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.ireland\OneDrive - US Navy-flankspeed\Documents\Evaluate-STIG\_Documentation\"/>
    </mc:Choice>
  </mc:AlternateContent>
  <bookViews>
    <workbookView xWindow="-110" yWindow="210" windowWidth="19310" windowHeight="8910"/>
  </bookViews>
  <sheets>
    <sheet name="Calculator" sheetId="13" r:id="rId1"/>
    <sheet name="Charts" sheetId="15" r:id="rId2"/>
    <sheet name="STIG_Metrics" sheetId="8" r:id="rId3"/>
    <sheet name="Dropdown Data" sheetId="2" state="hidden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8" l="1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12" i="8"/>
  <c r="S13" i="8"/>
  <c r="S14" i="8"/>
  <c r="S15" i="8"/>
  <c r="S16" i="8"/>
  <c r="S17" i="8"/>
  <c r="S18" i="8"/>
  <c r="S19" i="8"/>
  <c r="S11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12" i="8"/>
  <c r="I13" i="8"/>
  <c r="I14" i="8"/>
  <c r="I15" i="8"/>
  <c r="I16" i="8"/>
  <c r="I11" i="8"/>
  <c r="D24" i="13" l="1"/>
  <c r="G24" i="13"/>
  <c r="H24" i="13"/>
  <c r="I24" i="13"/>
  <c r="J24" i="13"/>
  <c r="R24" i="13" s="1"/>
  <c r="K24" i="13"/>
  <c r="S24" i="13" s="1"/>
  <c r="L24" i="13"/>
  <c r="M24" i="13"/>
  <c r="O24" i="13"/>
  <c r="P24" i="13"/>
  <c r="Q24" i="13"/>
  <c r="V24" i="13"/>
  <c r="W24" i="13"/>
  <c r="X24" i="13"/>
  <c r="Y24" i="13" s="1"/>
  <c r="T24" i="13" s="1"/>
  <c r="U24" i="13" s="1"/>
  <c r="Z24" i="13"/>
  <c r="AA24" i="13"/>
  <c r="AB24" i="13"/>
  <c r="D23" i="13"/>
  <c r="G23" i="13"/>
  <c r="Q23" i="13" s="1"/>
  <c r="H23" i="13"/>
  <c r="I23" i="13"/>
  <c r="J23" i="13"/>
  <c r="R23" i="13" s="1"/>
  <c r="K23" i="13"/>
  <c r="M23" i="13"/>
  <c r="O23" i="13"/>
  <c r="P23" i="13"/>
  <c r="S23" i="13"/>
  <c r="V23" i="13"/>
  <c r="L23" i="13" s="1"/>
  <c r="W23" i="13"/>
  <c r="X23" i="13"/>
  <c r="N23" i="13" s="1"/>
  <c r="Y23" i="13"/>
  <c r="T23" i="13" s="1"/>
  <c r="U23" i="13" s="1"/>
  <c r="Z23" i="13"/>
  <c r="AA23" i="13"/>
  <c r="AB23" i="13"/>
  <c r="D22" i="13"/>
  <c r="G22" i="13"/>
  <c r="Q22" i="13" s="1"/>
  <c r="H22" i="13"/>
  <c r="I22" i="13"/>
  <c r="J22" i="13"/>
  <c r="K22" i="13"/>
  <c r="O22" i="13"/>
  <c r="P22" i="13"/>
  <c r="R22" i="13"/>
  <c r="S22" i="13"/>
  <c r="V22" i="13"/>
  <c r="L22" i="13" s="1"/>
  <c r="W22" i="13"/>
  <c r="Y22" i="13" s="1"/>
  <c r="T22" i="13" s="1"/>
  <c r="U22" i="13" s="1"/>
  <c r="X22" i="13"/>
  <c r="N22" i="13" s="1"/>
  <c r="Z22" i="13"/>
  <c r="AA22" i="13"/>
  <c r="AB22" i="13"/>
  <c r="H24" i="8"/>
  <c r="J24" i="8"/>
  <c r="K24" i="8"/>
  <c r="L24" i="8"/>
  <c r="M24" i="8"/>
  <c r="N24" i="8"/>
  <c r="R24" i="8"/>
  <c r="T24" i="8"/>
  <c r="H23" i="8"/>
  <c r="K23" i="8" s="1"/>
  <c r="J23" i="8"/>
  <c r="L23" i="8"/>
  <c r="M23" i="8"/>
  <c r="N23" i="8"/>
  <c r="R23" i="8"/>
  <c r="T23" i="8"/>
  <c r="H22" i="8"/>
  <c r="K22" i="8" s="1"/>
  <c r="J22" i="8"/>
  <c r="L22" i="8"/>
  <c r="M22" i="8"/>
  <c r="N22" i="8"/>
  <c r="R22" i="8"/>
  <c r="T22" i="8"/>
  <c r="O23" i="8" l="1"/>
  <c r="N24" i="13"/>
  <c r="M22" i="13"/>
  <c r="Q22" i="8"/>
  <c r="P24" i="8"/>
  <c r="O24" i="8"/>
  <c r="Q23" i="8"/>
  <c r="Q24" i="8"/>
  <c r="P23" i="8"/>
  <c r="O22" i="8"/>
  <c r="P22" i="8"/>
  <c r="D79" i="13"/>
  <c r="G79" i="13"/>
  <c r="Q79" i="13" s="1"/>
  <c r="H79" i="13"/>
  <c r="I79" i="13"/>
  <c r="J79" i="13"/>
  <c r="K79" i="13"/>
  <c r="M79" i="13"/>
  <c r="O79" i="13"/>
  <c r="P79" i="13"/>
  <c r="R79" i="13"/>
  <c r="S79" i="13"/>
  <c r="V79" i="13"/>
  <c r="L79" i="13" s="1"/>
  <c r="W79" i="13"/>
  <c r="X79" i="13"/>
  <c r="Y79" i="13" s="1"/>
  <c r="T79" i="13" s="1"/>
  <c r="U79" i="13" s="1"/>
  <c r="Z79" i="13"/>
  <c r="AA79" i="13"/>
  <c r="AB79" i="13"/>
  <c r="H79" i="8"/>
  <c r="K79" i="8" s="1"/>
  <c r="J79" i="8"/>
  <c r="L79" i="8"/>
  <c r="M79" i="8"/>
  <c r="N79" i="8"/>
  <c r="R79" i="8"/>
  <c r="T79" i="8"/>
  <c r="N79" i="13" l="1"/>
  <c r="P79" i="8"/>
  <c r="O79" i="8"/>
  <c r="Q79" i="8"/>
  <c r="D17" i="13"/>
  <c r="G17" i="13"/>
  <c r="Q17" i="13" s="1"/>
  <c r="H17" i="13"/>
  <c r="I17" i="13"/>
  <c r="J17" i="13"/>
  <c r="R17" i="13" s="1"/>
  <c r="K17" i="13"/>
  <c r="S17" i="13" s="1"/>
  <c r="D16" i="13"/>
  <c r="G16" i="13"/>
  <c r="Q16" i="13" s="1"/>
  <c r="H16" i="13"/>
  <c r="I16" i="13"/>
  <c r="J16" i="13"/>
  <c r="R16" i="13" s="1"/>
  <c r="K16" i="13"/>
  <c r="S16" i="13" s="1"/>
  <c r="O16" i="13"/>
  <c r="P16" i="13"/>
  <c r="V16" i="13"/>
  <c r="L16" i="13" s="1"/>
  <c r="W16" i="13"/>
  <c r="M16" i="13" s="1"/>
  <c r="X16" i="13"/>
  <c r="N16" i="13" s="1"/>
  <c r="Z16" i="13"/>
  <c r="AA16" i="13"/>
  <c r="AB16" i="13"/>
  <c r="H16" i="8"/>
  <c r="K16" i="8" s="1"/>
  <c r="J16" i="8"/>
  <c r="L16" i="8"/>
  <c r="M16" i="8"/>
  <c r="N16" i="8"/>
  <c r="R16" i="8"/>
  <c r="T16" i="8"/>
  <c r="H17" i="8"/>
  <c r="K17" i="8" s="1"/>
  <c r="J17" i="8"/>
  <c r="L17" i="8"/>
  <c r="Z17" i="13" s="1"/>
  <c r="M17" i="8"/>
  <c r="W17" i="13" s="1"/>
  <c r="M17" i="13" s="1"/>
  <c r="N17" i="8"/>
  <c r="X17" i="13" s="1"/>
  <c r="N17" i="13" s="1"/>
  <c r="R17" i="8"/>
  <c r="T17" i="8"/>
  <c r="AB17" i="13" l="1"/>
  <c r="V17" i="13"/>
  <c r="L17" i="13" s="1"/>
  <c r="AA17" i="13"/>
  <c r="O17" i="8"/>
  <c r="O17" i="13" s="1"/>
  <c r="Y16" i="13"/>
  <c r="T16" i="13" s="1"/>
  <c r="U16" i="13" s="1"/>
  <c r="Y17" i="13"/>
  <c r="T17" i="13" s="1"/>
  <c r="U17" i="13" s="1"/>
  <c r="Q17" i="8"/>
  <c r="Q16" i="8"/>
  <c r="O16" i="8"/>
  <c r="P16" i="8"/>
  <c r="P17" i="8"/>
  <c r="P17" i="13" s="1"/>
  <c r="G75" i="13"/>
  <c r="Q75" i="13" s="1"/>
  <c r="H75" i="13"/>
  <c r="I75" i="13"/>
  <c r="J75" i="13"/>
  <c r="R75" i="13" s="1"/>
  <c r="K75" i="13"/>
  <c r="S75" i="13" s="1"/>
  <c r="O75" i="13"/>
  <c r="P75" i="13"/>
  <c r="V75" i="13"/>
  <c r="L75" i="13" s="1"/>
  <c r="W75" i="13"/>
  <c r="M75" i="13" s="1"/>
  <c r="X75" i="13"/>
  <c r="Z75" i="13"/>
  <c r="AA75" i="13"/>
  <c r="AB75" i="13"/>
  <c r="D75" i="13"/>
  <c r="H75" i="8"/>
  <c r="K75" i="8" s="1"/>
  <c r="J75" i="8"/>
  <c r="L75" i="8"/>
  <c r="M75" i="8"/>
  <c r="N75" i="8"/>
  <c r="R75" i="8"/>
  <c r="T75" i="8"/>
  <c r="Q75" i="8" l="1"/>
  <c r="Y75" i="13"/>
  <c r="T75" i="13" s="1"/>
  <c r="U75" i="13" s="1"/>
  <c r="N75" i="13"/>
  <c r="O75" i="8"/>
  <c r="P75" i="8"/>
  <c r="I11" i="13"/>
  <c r="I12" i="13"/>
  <c r="I13" i="13"/>
  <c r="I14" i="13"/>
  <c r="I15" i="13"/>
  <c r="I18" i="13"/>
  <c r="I19" i="13"/>
  <c r="I20" i="13"/>
  <c r="I21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6" i="13"/>
  <c r="I77" i="13"/>
  <c r="I78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H11" i="13"/>
  <c r="H12" i="13"/>
  <c r="H13" i="13"/>
  <c r="H14" i="13"/>
  <c r="H15" i="13"/>
  <c r="H18" i="13"/>
  <c r="H19" i="13"/>
  <c r="H20" i="13"/>
  <c r="H21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6" i="13"/>
  <c r="H77" i="13"/>
  <c r="H78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I7" i="13" l="1"/>
  <c r="H7" i="13"/>
  <c r="K35" i="13"/>
  <c r="S35" i="13" s="1"/>
  <c r="K36" i="13"/>
  <c r="S36" i="13" s="1"/>
  <c r="J35" i="13"/>
  <c r="R35" i="13" s="1"/>
  <c r="J36" i="13"/>
  <c r="R36" i="13" s="1"/>
  <c r="G35" i="13"/>
  <c r="Q35" i="13" s="1"/>
  <c r="G36" i="13"/>
  <c r="Q36" i="13" s="1"/>
  <c r="D35" i="13"/>
  <c r="D36" i="13"/>
  <c r="H35" i="8"/>
  <c r="K35" i="8" s="1"/>
  <c r="J35" i="8"/>
  <c r="L35" i="8"/>
  <c r="V35" i="13" s="1"/>
  <c r="L35" i="13" s="1"/>
  <c r="M35" i="8"/>
  <c r="AA35" i="13" s="1"/>
  <c r="N35" i="8"/>
  <c r="AB35" i="13" s="1"/>
  <c r="R35" i="8"/>
  <c r="T35" i="8"/>
  <c r="H36" i="8"/>
  <c r="K36" i="8" s="1"/>
  <c r="J36" i="8"/>
  <c r="L36" i="8"/>
  <c r="V36" i="13" s="1"/>
  <c r="L36" i="13" s="1"/>
  <c r="M36" i="8"/>
  <c r="AA36" i="13" s="1"/>
  <c r="N36" i="8"/>
  <c r="AB36" i="13" s="1"/>
  <c r="R36" i="8"/>
  <c r="T36" i="8"/>
  <c r="CK5" i="15" l="1"/>
  <c r="CK6" i="15"/>
  <c r="W35" i="13"/>
  <c r="M35" i="13" s="1"/>
  <c r="X35" i="13"/>
  <c r="N35" i="13" s="1"/>
  <c r="W36" i="13"/>
  <c r="M36" i="13" s="1"/>
  <c r="Z35" i="13"/>
  <c r="X36" i="13"/>
  <c r="N36" i="13" s="1"/>
  <c r="Z36" i="13"/>
  <c r="O36" i="8"/>
  <c r="O36" i="13" s="1"/>
  <c r="Q35" i="8"/>
  <c r="P36" i="8"/>
  <c r="P36" i="13" s="1"/>
  <c r="O35" i="8"/>
  <c r="O35" i="13" s="1"/>
  <c r="Q36" i="8"/>
  <c r="P35" i="8"/>
  <c r="P35" i="13" s="1"/>
  <c r="AB42" i="13"/>
  <c r="AB44" i="13"/>
  <c r="AB45" i="13"/>
  <c r="AB46" i="13"/>
  <c r="AB49" i="13"/>
  <c r="AB51" i="13"/>
  <c r="AB53" i="13"/>
  <c r="AB55" i="13"/>
  <c r="AB57" i="13"/>
  <c r="AB59" i="13"/>
  <c r="AB65" i="13"/>
  <c r="AB70" i="13"/>
  <c r="AB76" i="13"/>
  <c r="AB82" i="13"/>
  <c r="AB84" i="13"/>
  <c r="AB86" i="13"/>
  <c r="AB91" i="13"/>
  <c r="AA42" i="13"/>
  <c r="AA44" i="13"/>
  <c r="AA45" i="13"/>
  <c r="AA46" i="13"/>
  <c r="AA49" i="13"/>
  <c r="AA51" i="13"/>
  <c r="AA53" i="13"/>
  <c r="AA55" i="13"/>
  <c r="AA57" i="13"/>
  <c r="AA59" i="13"/>
  <c r="AA65" i="13"/>
  <c r="AA70" i="13"/>
  <c r="AA76" i="13"/>
  <c r="AA82" i="13"/>
  <c r="AA84" i="13"/>
  <c r="AA86" i="13"/>
  <c r="AA91" i="13"/>
  <c r="Z42" i="13"/>
  <c r="Z44" i="13"/>
  <c r="Z45" i="13"/>
  <c r="Z46" i="13"/>
  <c r="Z49" i="13"/>
  <c r="Z51" i="13"/>
  <c r="Z53" i="13"/>
  <c r="Z55" i="13"/>
  <c r="Z57" i="13"/>
  <c r="Z59" i="13"/>
  <c r="Z65" i="13"/>
  <c r="Z70" i="13"/>
  <c r="Z76" i="13"/>
  <c r="Z82" i="13"/>
  <c r="Z84" i="13"/>
  <c r="Z86" i="13"/>
  <c r="Z91" i="13"/>
  <c r="X42" i="13"/>
  <c r="X44" i="13"/>
  <c r="X45" i="13"/>
  <c r="X46" i="13"/>
  <c r="X49" i="13"/>
  <c r="X51" i="13"/>
  <c r="X53" i="13"/>
  <c r="X55" i="13"/>
  <c r="X57" i="13"/>
  <c r="X59" i="13"/>
  <c r="X65" i="13"/>
  <c r="X70" i="13"/>
  <c r="X76" i="13"/>
  <c r="X82" i="13"/>
  <c r="X84" i="13"/>
  <c r="X86" i="13"/>
  <c r="X91" i="13"/>
  <c r="W42" i="13"/>
  <c r="W44" i="13"/>
  <c r="W45" i="13"/>
  <c r="W46" i="13"/>
  <c r="W49" i="13"/>
  <c r="W51" i="13"/>
  <c r="W53" i="13"/>
  <c r="W55" i="13"/>
  <c r="W57" i="13"/>
  <c r="W59" i="13"/>
  <c r="W65" i="13"/>
  <c r="W70" i="13"/>
  <c r="W76" i="13"/>
  <c r="W82" i="13"/>
  <c r="W84" i="13"/>
  <c r="W86" i="13"/>
  <c r="W91" i="13"/>
  <c r="V42" i="13"/>
  <c r="V44" i="13"/>
  <c r="V45" i="13"/>
  <c r="V46" i="13"/>
  <c r="V49" i="13"/>
  <c r="V51" i="13"/>
  <c r="V53" i="13"/>
  <c r="V55" i="13"/>
  <c r="V57" i="13"/>
  <c r="V59" i="13"/>
  <c r="V65" i="13"/>
  <c r="V70" i="13"/>
  <c r="V76" i="13"/>
  <c r="V82" i="13"/>
  <c r="V84" i="13"/>
  <c r="V86" i="13"/>
  <c r="V91" i="13"/>
  <c r="P42" i="13"/>
  <c r="P44" i="13"/>
  <c r="P45" i="13"/>
  <c r="P46" i="13"/>
  <c r="P49" i="13"/>
  <c r="P51" i="13"/>
  <c r="P53" i="13"/>
  <c r="P55" i="13"/>
  <c r="P57" i="13"/>
  <c r="P59" i="13"/>
  <c r="P65" i="13"/>
  <c r="P70" i="13"/>
  <c r="P76" i="13"/>
  <c r="P82" i="13"/>
  <c r="P84" i="13"/>
  <c r="P86" i="13"/>
  <c r="P91" i="13"/>
  <c r="O42" i="13"/>
  <c r="O44" i="13"/>
  <c r="O45" i="13"/>
  <c r="O46" i="13"/>
  <c r="O49" i="13"/>
  <c r="O51" i="13"/>
  <c r="O53" i="13"/>
  <c r="O55" i="13"/>
  <c r="O57" i="13"/>
  <c r="O59" i="13"/>
  <c r="O65" i="13"/>
  <c r="O70" i="13"/>
  <c r="O76" i="13"/>
  <c r="O82" i="13"/>
  <c r="O84" i="13"/>
  <c r="O86" i="13"/>
  <c r="O91" i="13"/>
  <c r="K11" i="13"/>
  <c r="K12" i="13"/>
  <c r="K13" i="13"/>
  <c r="K14" i="13"/>
  <c r="S14" i="13" s="1"/>
  <c r="K15" i="13"/>
  <c r="K18" i="13"/>
  <c r="K19" i="13"/>
  <c r="K20" i="13"/>
  <c r="K21" i="13"/>
  <c r="K25" i="13"/>
  <c r="K26" i="13"/>
  <c r="K27" i="13"/>
  <c r="K28" i="13"/>
  <c r="K29" i="13"/>
  <c r="K30" i="13"/>
  <c r="K31" i="13"/>
  <c r="K32" i="13"/>
  <c r="K33" i="13"/>
  <c r="K34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6" i="13"/>
  <c r="K77" i="13"/>
  <c r="K78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S11" i="13"/>
  <c r="J11" i="13"/>
  <c r="R11" i="13" s="1"/>
  <c r="J12" i="13"/>
  <c r="J13" i="13"/>
  <c r="J14" i="13"/>
  <c r="R14" i="13" s="1"/>
  <c r="J15" i="13"/>
  <c r="J18" i="13"/>
  <c r="J19" i="13"/>
  <c r="J20" i="13"/>
  <c r="J21" i="13"/>
  <c r="J25" i="13"/>
  <c r="J26" i="13"/>
  <c r="J27" i="13"/>
  <c r="J28" i="13"/>
  <c r="J29" i="13"/>
  <c r="J30" i="13"/>
  <c r="J31" i="13"/>
  <c r="J32" i="13"/>
  <c r="J33" i="13"/>
  <c r="J34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6" i="13"/>
  <c r="J77" i="13"/>
  <c r="J78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D12" i="13"/>
  <c r="D13" i="13"/>
  <c r="D14" i="13"/>
  <c r="D15" i="13"/>
  <c r="D18" i="13"/>
  <c r="D19" i="13"/>
  <c r="D20" i="13"/>
  <c r="D21" i="13"/>
  <c r="D25" i="13"/>
  <c r="D26" i="13"/>
  <c r="D27" i="13"/>
  <c r="D28" i="13"/>
  <c r="D29" i="13"/>
  <c r="D30" i="13"/>
  <c r="D31" i="13"/>
  <c r="D32" i="13"/>
  <c r="D33" i="13"/>
  <c r="D34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6" i="13"/>
  <c r="D77" i="13"/>
  <c r="D78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G11" i="13"/>
  <c r="G12" i="13"/>
  <c r="G13" i="13"/>
  <c r="G14" i="13"/>
  <c r="Q14" i="13" s="1"/>
  <c r="G15" i="13"/>
  <c r="G18" i="13"/>
  <c r="G19" i="13"/>
  <c r="G20" i="13"/>
  <c r="G21" i="13"/>
  <c r="G25" i="13"/>
  <c r="G26" i="13"/>
  <c r="G27" i="13"/>
  <c r="G28" i="13"/>
  <c r="G29" i="13"/>
  <c r="G30" i="13"/>
  <c r="G31" i="13"/>
  <c r="G32" i="13"/>
  <c r="G33" i="13"/>
  <c r="G34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6" i="13"/>
  <c r="G77" i="13"/>
  <c r="G78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Q11" i="13"/>
  <c r="H14" i="8"/>
  <c r="K14" i="8" s="1"/>
  <c r="J14" i="8"/>
  <c r="L14" i="8"/>
  <c r="Z14" i="13" s="1"/>
  <c r="M14" i="8"/>
  <c r="AA14" i="13" s="1"/>
  <c r="N14" i="8"/>
  <c r="AB14" i="13" s="1"/>
  <c r="R14" i="8"/>
  <c r="T14" i="8"/>
  <c r="D11" i="13"/>
  <c r="D6" i="13" s="1"/>
  <c r="R11" i="8"/>
  <c r="T11" i="8"/>
  <c r="H11" i="8"/>
  <c r="K11" i="8" s="1"/>
  <c r="J11" i="8"/>
  <c r="L11" i="8"/>
  <c r="Z11" i="13" s="1"/>
  <c r="M11" i="8"/>
  <c r="AA11" i="13" s="1"/>
  <c r="N11" i="8"/>
  <c r="AB11" i="13" s="1"/>
  <c r="Y35" i="13" l="1"/>
  <c r="T35" i="13" s="1"/>
  <c r="U35" i="13" s="1"/>
  <c r="Y36" i="13"/>
  <c r="T36" i="13" s="1"/>
  <c r="U36" i="13" s="1"/>
  <c r="V14" i="13"/>
  <c r="L14" i="13" s="1"/>
  <c r="W14" i="13"/>
  <c r="M14" i="13" s="1"/>
  <c r="X14" i="13"/>
  <c r="N14" i="13" s="1"/>
  <c r="V11" i="13"/>
  <c r="L11" i="13" s="1"/>
  <c r="W11" i="13"/>
  <c r="X11" i="13"/>
  <c r="N11" i="13" s="1"/>
  <c r="P14" i="8"/>
  <c r="P14" i="13" s="1"/>
  <c r="Q14" i="8"/>
  <c r="O14" i="8"/>
  <c r="O14" i="13" s="1"/>
  <c r="O11" i="8"/>
  <c r="O11" i="13" s="1"/>
  <c r="P11" i="8"/>
  <c r="P11" i="13" s="1"/>
  <c r="Q11" i="8"/>
  <c r="S68" i="13"/>
  <c r="R68" i="13"/>
  <c r="Q68" i="13"/>
  <c r="H68" i="8"/>
  <c r="K68" i="8" s="1"/>
  <c r="J68" i="8"/>
  <c r="L68" i="8"/>
  <c r="M68" i="8"/>
  <c r="N68" i="8"/>
  <c r="R68" i="8"/>
  <c r="T68" i="8"/>
  <c r="V68" i="13" l="1"/>
  <c r="L68" i="13" s="1"/>
  <c r="Z68" i="13"/>
  <c r="X68" i="13"/>
  <c r="N68" i="13" s="1"/>
  <c r="AB68" i="13"/>
  <c r="W68" i="13"/>
  <c r="AA68" i="13"/>
  <c r="Y14" i="13"/>
  <c r="T14" i="13" s="1"/>
  <c r="U14" i="13" s="1"/>
  <c r="Y11" i="13"/>
  <c r="T11" i="13" s="1"/>
  <c r="U11" i="13" s="1"/>
  <c r="M11" i="13"/>
  <c r="P68" i="8"/>
  <c r="P68" i="13" s="1"/>
  <c r="O68" i="8"/>
  <c r="O68" i="13" s="1"/>
  <c r="Q68" i="8"/>
  <c r="Q70" i="13"/>
  <c r="R70" i="13"/>
  <c r="S70" i="13"/>
  <c r="N70" i="13"/>
  <c r="L70" i="13"/>
  <c r="Y70" i="13"/>
  <c r="T70" i="13" s="1"/>
  <c r="U70" i="13" s="1"/>
  <c r="H70" i="8"/>
  <c r="K70" i="8" s="1"/>
  <c r="J70" i="8"/>
  <c r="L70" i="8"/>
  <c r="M70" i="8"/>
  <c r="N70" i="8"/>
  <c r="R70" i="8"/>
  <c r="T70" i="8"/>
  <c r="Q21" i="13"/>
  <c r="R21" i="13"/>
  <c r="S21" i="13"/>
  <c r="H21" i="8"/>
  <c r="K21" i="8" s="1"/>
  <c r="J21" i="8"/>
  <c r="L21" i="8"/>
  <c r="M21" i="8"/>
  <c r="N21" i="8"/>
  <c r="R21" i="8"/>
  <c r="T21" i="8"/>
  <c r="W21" i="13" l="1"/>
  <c r="M21" i="13" s="1"/>
  <c r="AA21" i="13"/>
  <c r="Z21" i="13"/>
  <c r="V21" i="13"/>
  <c r="L21" i="13" s="1"/>
  <c r="AB21" i="13"/>
  <c r="X21" i="13"/>
  <c r="N21" i="13" s="1"/>
  <c r="M68" i="13"/>
  <c r="Y68" i="13"/>
  <c r="T68" i="13" s="1"/>
  <c r="U68" i="13" s="1"/>
  <c r="P70" i="8"/>
  <c r="M70" i="13"/>
  <c r="Q70" i="8"/>
  <c r="O70" i="8"/>
  <c r="P21" i="8"/>
  <c r="P21" i="13" s="1"/>
  <c r="O21" i="8"/>
  <c r="O21" i="13" s="1"/>
  <c r="Q21" i="8"/>
  <c r="R12" i="8"/>
  <c r="T12" i="8"/>
  <c r="H12" i="8"/>
  <c r="K12" i="8" s="1"/>
  <c r="J12" i="8"/>
  <c r="L12" i="8"/>
  <c r="M12" i="8"/>
  <c r="N12" i="8"/>
  <c r="Y21" i="13" l="1"/>
  <c r="T21" i="13" s="1"/>
  <c r="U21" i="13" s="1"/>
  <c r="AB12" i="13"/>
  <c r="X12" i="13"/>
  <c r="AA12" i="13"/>
  <c r="W12" i="13"/>
  <c r="Z12" i="13"/>
  <c r="V12" i="13"/>
  <c r="R12" i="13"/>
  <c r="Q12" i="13"/>
  <c r="S12" i="13"/>
  <c r="O12" i="8"/>
  <c r="O12" i="13" s="1"/>
  <c r="P12" i="8"/>
  <c r="P12" i="13" s="1"/>
  <c r="Q12" i="8"/>
  <c r="R83" i="13"/>
  <c r="S83" i="13"/>
  <c r="Q83" i="13"/>
  <c r="H83" i="8"/>
  <c r="K83" i="8" s="1"/>
  <c r="J83" i="8"/>
  <c r="L83" i="8"/>
  <c r="M83" i="8"/>
  <c r="N83" i="8"/>
  <c r="R83" i="8"/>
  <c r="T83" i="8"/>
  <c r="X83" i="13" l="1"/>
  <c r="AB83" i="13"/>
  <c r="W83" i="13"/>
  <c r="M83" i="13" s="1"/>
  <c r="AA83" i="13"/>
  <c r="V83" i="13"/>
  <c r="L83" i="13" s="1"/>
  <c r="Z83" i="13"/>
  <c r="N12" i="13"/>
  <c r="M12" i="13"/>
  <c r="L12" i="13"/>
  <c r="Y12" i="13"/>
  <c r="Q83" i="8"/>
  <c r="P83" i="8"/>
  <c r="P83" i="13" s="1"/>
  <c r="O83" i="8"/>
  <c r="O83" i="13" s="1"/>
  <c r="Q91" i="13"/>
  <c r="R91" i="13"/>
  <c r="S91" i="13"/>
  <c r="L91" i="13"/>
  <c r="M91" i="13"/>
  <c r="N91" i="13"/>
  <c r="Q90" i="13"/>
  <c r="R90" i="13"/>
  <c r="S90" i="13"/>
  <c r="Q89" i="13"/>
  <c r="R89" i="13"/>
  <c r="S89" i="13"/>
  <c r="H91" i="8"/>
  <c r="K91" i="8" s="1"/>
  <c r="J91" i="8"/>
  <c r="L91" i="8"/>
  <c r="M91" i="8"/>
  <c r="N91" i="8"/>
  <c r="R91" i="8"/>
  <c r="T91" i="8"/>
  <c r="H90" i="8"/>
  <c r="K90" i="8" s="1"/>
  <c r="J90" i="8"/>
  <c r="L90" i="8"/>
  <c r="M90" i="8"/>
  <c r="N90" i="8"/>
  <c r="R90" i="8"/>
  <c r="T90" i="8"/>
  <c r="H89" i="8"/>
  <c r="K89" i="8" s="1"/>
  <c r="J89" i="8"/>
  <c r="L89" i="8"/>
  <c r="M89" i="8"/>
  <c r="N89" i="8"/>
  <c r="R89" i="8"/>
  <c r="T89" i="8"/>
  <c r="Y83" i="13" l="1"/>
  <c r="T83" i="13" s="1"/>
  <c r="U83" i="13" s="1"/>
  <c r="AA89" i="13"/>
  <c r="W89" i="13"/>
  <c r="M89" i="13" s="1"/>
  <c r="V89" i="13"/>
  <c r="L89" i="13" s="1"/>
  <c r="Z89" i="13"/>
  <c r="AB89" i="13"/>
  <c r="X89" i="13"/>
  <c r="N89" i="13" s="1"/>
  <c r="X90" i="13"/>
  <c r="N90" i="13" s="1"/>
  <c r="AB90" i="13"/>
  <c r="W90" i="13"/>
  <c r="M90" i="13" s="1"/>
  <c r="AA90" i="13"/>
  <c r="Z90" i="13"/>
  <c r="V90" i="13"/>
  <c r="L90" i="13" s="1"/>
  <c r="T12" i="13"/>
  <c r="U12" i="13" s="1"/>
  <c r="O91" i="8"/>
  <c r="N83" i="13"/>
  <c r="Y91" i="13"/>
  <c r="T91" i="13" s="1"/>
  <c r="U91" i="13" s="1"/>
  <c r="P90" i="8"/>
  <c r="P90" i="13" s="1"/>
  <c r="P91" i="8"/>
  <c r="O90" i="8"/>
  <c r="O90" i="13" s="1"/>
  <c r="Q91" i="8"/>
  <c r="Q90" i="8"/>
  <c r="P89" i="8"/>
  <c r="P89" i="13" s="1"/>
  <c r="O89" i="8"/>
  <c r="O89" i="13" s="1"/>
  <c r="Q89" i="8"/>
  <c r="Q82" i="13"/>
  <c r="R82" i="13"/>
  <c r="S82" i="13"/>
  <c r="L82" i="13"/>
  <c r="M82" i="13"/>
  <c r="Y82" i="13"/>
  <c r="T82" i="13" s="1"/>
  <c r="U82" i="13" s="1"/>
  <c r="Q81" i="13"/>
  <c r="R81" i="13"/>
  <c r="S81" i="13"/>
  <c r="H81" i="8"/>
  <c r="K81" i="8" s="1"/>
  <c r="J81" i="8"/>
  <c r="L81" i="8"/>
  <c r="M81" i="8"/>
  <c r="N81" i="8"/>
  <c r="R81" i="8"/>
  <c r="T81" i="8"/>
  <c r="H82" i="8"/>
  <c r="K82" i="8" s="1"/>
  <c r="J82" i="8"/>
  <c r="L82" i="8"/>
  <c r="M82" i="8"/>
  <c r="N82" i="8"/>
  <c r="R82" i="8"/>
  <c r="T82" i="8"/>
  <c r="X81" i="13" l="1"/>
  <c r="N81" i="13" s="1"/>
  <c r="AB81" i="13"/>
  <c r="W81" i="13"/>
  <c r="M81" i="13" s="1"/>
  <c r="AA81" i="13"/>
  <c r="Z81" i="13"/>
  <c r="V81" i="13"/>
  <c r="L81" i="13" s="1"/>
  <c r="Y89" i="13"/>
  <c r="T89" i="13" s="1"/>
  <c r="Y90" i="13"/>
  <c r="T90" i="13" s="1"/>
  <c r="U90" i="13" s="1"/>
  <c r="O81" i="8"/>
  <c r="O81" i="13" s="1"/>
  <c r="N82" i="13"/>
  <c r="Q82" i="8"/>
  <c r="P81" i="8"/>
  <c r="P81" i="13" s="1"/>
  <c r="Q81" i="8"/>
  <c r="P82" i="8"/>
  <c r="O82" i="8"/>
  <c r="Q19" i="13"/>
  <c r="R19" i="13"/>
  <c r="S19" i="13"/>
  <c r="H19" i="8"/>
  <c r="K19" i="8" s="1"/>
  <c r="J19" i="8"/>
  <c r="L19" i="8"/>
  <c r="M19" i="8"/>
  <c r="N19" i="8"/>
  <c r="R19" i="8"/>
  <c r="T19" i="8"/>
  <c r="Q18" i="13"/>
  <c r="R18" i="13"/>
  <c r="S18" i="13"/>
  <c r="H18" i="8"/>
  <c r="K18" i="8" s="1"/>
  <c r="J18" i="8"/>
  <c r="L18" i="8"/>
  <c r="M18" i="8"/>
  <c r="N18" i="8"/>
  <c r="R18" i="8"/>
  <c r="T18" i="8"/>
  <c r="N13" i="8"/>
  <c r="N15" i="8"/>
  <c r="N20" i="8"/>
  <c r="N25" i="8"/>
  <c r="N26" i="8"/>
  <c r="N27" i="8"/>
  <c r="N28" i="8"/>
  <c r="N29" i="8"/>
  <c r="N30" i="8"/>
  <c r="N32" i="8"/>
  <c r="N33" i="8"/>
  <c r="N34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31" i="8"/>
  <c r="N69" i="8"/>
  <c r="N71" i="8"/>
  <c r="N72" i="8"/>
  <c r="N73" i="8"/>
  <c r="N74" i="8"/>
  <c r="N76" i="8"/>
  <c r="N77" i="8"/>
  <c r="N78" i="8"/>
  <c r="N80" i="8"/>
  <c r="N84" i="8"/>
  <c r="N85" i="8"/>
  <c r="N86" i="8"/>
  <c r="N87" i="8"/>
  <c r="N88" i="8"/>
  <c r="M13" i="8"/>
  <c r="M15" i="8"/>
  <c r="M20" i="8"/>
  <c r="M25" i="8"/>
  <c r="M26" i="8"/>
  <c r="M27" i="8"/>
  <c r="M28" i="8"/>
  <c r="M29" i="8"/>
  <c r="M30" i="8"/>
  <c r="M32" i="8"/>
  <c r="M33" i="8"/>
  <c r="M34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31" i="8"/>
  <c r="M69" i="8"/>
  <c r="M71" i="8"/>
  <c r="M72" i="8"/>
  <c r="M73" i="8"/>
  <c r="M74" i="8"/>
  <c r="M76" i="8"/>
  <c r="M77" i="8"/>
  <c r="M78" i="8"/>
  <c r="M80" i="8"/>
  <c r="M84" i="8"/>
  <c r="M85" i="8"/>
  <c r="M86" i="8"/>
  <c r="M87" i="8"/>
  <c r="M88" i="8"/>
  <c r="L13" i="8"/>
  <c r="L15" i="8"/>
  <c r="L20" i="8"/>
  <c r="L25" i="8"/>
  <c r="L26" i="8"/>
  <c r="L27" i="8"/>
  <c r="L28" i="8"/>
  <c r="L29" i="8"/>
  <c r="L30" i="8"/>
  <c r="L32" i="8"/>
  <c r="L33" i="8"/>
  <c r="L34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31" i="8"/>
  <c r="L69" i="8"/>
  <c r="L71" i="8"/>
  <c r="L72" i="8"/>
  <c r="L73" i="8"/>
  <c r="L74" i="8"/>
  <c r="L76" i="8"/>
  <c r="L77" i="8"/>
  <c r="L78" i="8"/>
  <c r="L80" i="8"/>
  <c r="L84" i="8"/>
  <c r="L85" i="8"/>
  <c r="L86" i="8"/>
  <c r="L87" i="8"/>
  <c r="L88" i="8"/>
  <c r="J13" i="8"/>
  <c r="J15" i="8"/>
  <c r="J20" i="8"/>
  <c r="J25" i="8"/>
  <c r="J26" i="8"/>
  <c r="J27" i="8"/>
  <c r="J28" i="8"/>
  <c r="J29" i="8"/>
  <c r="J30" i="8"/>
  <c r="J32" i="8"/>
  <c r="J33" i="8"/>
  <c r="J34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31" i="8"/>
  <c r="J69" i="8"/>
  <c r="J71" i="8"/>
  <c r="J72" i="8"/>
  <c r="J73" i="8"/>
  <c r="J74" i="8"/>
  <c r="J76" i="8"/>
  <c r="J77" i="8"/>
  <c r="J78" i="8"/>
  <c r="J80" i="8"/>
  <c r="J84" i="8"/>
  <c r="J85" i="8"/>
  <c r="J86" i="8"/>
  <c r="J87" i="8"/>
  <c r="J88" i="8"/>
  <c r="Y81" i="13" l="1"/>
  <c r="T81" i="13" s="1"/>
  <c r="U81" i="13" s="1"/>
  <c r="V33" i="13"/>
  <c r="Z33" i="13"/>
  <c r="W87" i="13"/>
  <c r="M87" i="13" s="1"/>
  <c r="AA87" i="13"/>
  <c r="X85" i="13"/>
  <c r="AB85" i="13"/>
  <c r="V88" i="13"/>
  <c r="L88" i="13" s="1"/>
  <c r="Z88" i="13"/>
  <c r="AB27" i="13"/>
  <c r="X27" i="13"/>
  <c r="N27" i="13" s="1"/>
  <c r="V87" i="13"/>
  <c r="L87" i="13" s="1"/>
  <c r="Z87" i="13"/>
  <c r="AA85" i="13"/>
  <c r="W85" i="13"/>
  <c r="AB25" i="13"/>
  <c r="X25" i="13"/>
  <c r="N25" i="13" s="1"/>
  <c r="V37" i="13"/>
  <c r="Z37" i="13"/>
  <c r="W33" i="13"/>
  <c r="AA33" i="13"/>
  <c r="V27" i="13"/>
  <c r="L27" i="13" s="1"/>
  <c r="Z27" i="13"/>
  <c r="W25" i="13"/>
  <c r="M25" i="13" s="1"/>
  <c r="AA25" i="13"/>
  <c r="W27" i="13"/>
  <c r="AA27" i="13"/>
  <c r="V85" i="13"/>
  <c r="Z85" i="13"/>
  <c r="X37" i="13"/>
  <c r="AB37" i="13"/>
  <c r="W88" i="13"/>
  <c r="AA88" i="13"/>
  <c r="V25" i="13"/>
  <c r="L25" i="13" s="1"/>
  <c r="Z25" i="13"/>
  <c r="W37" i="13"/>
  <c r="AA37" i="13"/>
  <c r="X33" i="13"/>
  <c r="AB33" i="13"/>
  <c r="AB88" i="13"/>
  <c r="X88" i="13"/>
  <c r="N88" i="13" s="1"/>
  <c r="X87" i="13"/>
  <c r="AB87" i="13"/>
  <c r="Z71" i="13"/>
  <c r="V71" i="13"/>
  <c r="AA56" i="13"/>
  <c r="W56" i="13"/>
  <c r="AB66" i="13"/>
  <c r="X66" i="13"/>
  <c r="Z31" i="13"/>
  <c r="V31" i="13"/>
  <c r="Z56" i="13"/>
  <c r="V56" i="13"/>
  <c r="L56" i="13" s="1"/>
  <c r="Z29" i="13"/>
  <c r="V29" i="13"/>
  <c r="AA66" i="13"/>
  <c r="W66" i="13"/>
  <c r="AA54" i="13"/>
  <c r="W54" i="13"/>
  <c r="X78" i="13"/>
  <c r="AB78" i="13"/>
  <c r="X64" i="13"/>
  <c r="N64" i="13" s="1"/>
  <c r="AB64" i="13"/>
  <c r="X52" i="13"/>
  <c r="N52" i="13" s="1"/>
  <c r="AB52" i="13"/>
  <c r="X40" i="13"/>
  <c r="AB40" i="13"/>
  <c r="Z69" i="13"/>
  <c r="V69" i="13"/>
  <c r="Z30" i="13"/>
  <c r="V30" i="13"/>
  <c r="AA43" i="13"/>
  <c r="W43" i="13"/>
  <c r="M43" i="13" s="1"/>
  <c r="Z28" i="13"/>
  <c r="V28" i="13"/>
  <c r="W26" i="13"/>
  <c r="AA26" i="13"/>
  <c r="AB20" i="13"/>
  <c r="X20" i="13"/>
  <c r="Z66" i="13"/>
  <c r="V66" i="13"/>
  <c r="Z54" i="13"/>
  <c r="V54" i="13"/>
  <c r="L54" i="13" s="1"/>
  <c r="W78" i="13"/>
  <c r="AA78" i="13"/>
  <c r="W64" i="13"/>
  <c r="M64" i="13" s="1"/>
  <c r="AA64" i="13"/>
  <c r="W52" i="13"/>
  <c r="M52" i="13" s="1"/>
  <c r="AA52" i="13"/>
  <c r="W40" i="13"/>
  <c r="AA40" i="13"/>
  <c r="AB62" i="13"/>
  <c r="X62" i="13"/>
  <c r="AB50" i="13"/>
  <c r="X50" i="13"/>
  <c r="N50" i="13" s="1"/>
  <c r="AB38" i="13"/>
  <c r="X38" i="13"/>
  <c r="AB15" i="13"/>
  <c r="X15" i="13"/>
  <c r="AB80" i="13"/>
  <c r="X80" i="13"/>
  <c r="Z43" i="13"/>
  <c r="V43" i="13"/>
  <c r="L43" i="13" s="1"/>
  <c r="AB39" i="13"/>
  <c r="X39" i="13"/>
  <c r="Z80" i="13"/>
  <c r="V80" i="13"/>
  <c r="V26" i="13"/>
  <c r="Z26" i="13"/>
  <c r="W77" i="13"/>
  <c r="AA77" i="13"/>
  <c r="W63" i="13"/>
  <c r="AA63" i="13"/>
  <c r="W39" i="13"/>
  <c r="AA39" i="13"/>
  <c r="AA20" i="13"/>
  <c r="W20" i="13"/>
  <c r="AB74" i="13"/>
  <c r="X74" i="13"/>
  <c r="AB61" i="13"/>
  <c r="X61" i="13"/>
  <c r="AB13" i="13"/>
  <c r="X13" i="13"/>
  <c r="AA29" i="13"/>
  <c r="W29" i="13"/>
  <c r="AA67" i="13"/>
  <c r="W67" i="13"/>
  <c r="X26" i="13"/>
  <c r="AB26" i="13"/>
  <c r="Z67" i="13"/>
  <c r="V67" i="13"/>
  <c r="AA80" i="13"/>
  <c r="W80" i="13"/>
  <c r="AB63" i="13"/>
  <c r="X63" i="13"/>
  <c r="V41" i="13"/>
  <c r="L41" i="13" s="1"/>
  <c r="Z41" i="13"/>
  <c r="V78" i="13"/>
  <c r="Z78" i="13"/>
  <c r="V64" i="13"/>
  <c r="L64" i="13" s="1"/>
  <c r="Z64" i="13"/>
  <c r="V52" i="13"/>
  <c r="L52" i="13" s="1"/>
  <c r="Z52" i="13"/>
  <c r="V40" i="13"/>
  <c r="Z40" i="13"/>
  <c r="AA62" i="13"/>
  <c r="W62" i="13"/>
  <c r="AA50" i="13"/>
  <c r="W50" i="13"/>
  <c r="AA38" i="13"/>
  <c r="W38" i="13"/>
  <c r="AA15" i="13"/>
  <c r="W15" i="13"/>
  <c r="AB73" i="13"/>
  <c r="X73" i="13"/>
  <c r="AB60" i="13"/>
  <c r="X60" i="13"/>
  <c r="AB48" i="13"/>
  <c r="X48" i="13"/>
  <c r="AB34" i="13"/>
  <c r="X34" i="13"/>
  <c r="N34" i="13" s="1"/>
  <c r="AB19" i="13"/>
  <c r="X19" i="13"/>
  <c r="N19" i="13" s="1"/>
  <c r="V39" i="13"/>
  <c r="Z39" i="13"/>
  <c r="Z20" i="13"/>
  <c r="V20" i="13"/>
  <c r="AA74" i="13"/>
  <c r="W74" i="13"/>
  <c r="AA61" i="13"/>
  <c r="W61" i="13"/>
  <c r="AA13" i="13"/>
  <c r="W13" i="13"/>
  <c r="AB72" i="13"/>
  <c r="X72" i="13"/>
  <c r="AB47" i="13"/>
  <c r="X47" i="13"/>
  <c r="AA19" i="13"/>
  <c r="W19" i="13"/>
  <c r="M19" i="13" s="1"/>
  <c r="Z58" i="13"/>
  <c r="V58" i="13"/>
  <c r="L58" i="13" s="1"/>
  <c r="AA31" i="13"/>
  <c r="W31" i="13"/>
  <c r="AB54" i="13"/>
  <c r="X54" i="13"/>
  <c r="N54" i="13" s="1"/>
  <c r="AA28" i="13"/>
  <c r="W28" i="13"/>
  <c r="X77" i="13"/>
  <c r="AB77" i="13"/>
  <c r="V77" i="13"/>
  <c r="Z77" i="13"/>
  <c r="Z62" i="13"/>
  <c r="V62" i="13"/>
  <c r="Z50" i="13"/>
  <c r="V50" i="13"/>
  <c r="L50" i="13" s="1"/>
  <c r="Z38" i="13"/>
  <c r="V38" i="13"/>
  <c r="Z15" i="13"/>
  <c r="V15" i="13"/>
  <c r="AA73" i="13"/>
  <c r="W73" i="13"/>
  <c r="AA60" i="13"/>
  <c r="W60" i="13"/>
  <c r="AA48" i="13"/>
  <c r="W48" i="13"/>
  <c r="M48" i="13" s="1"/>
  <c r="AA34" i="13"/>
  <c r="W34" i="13"/>
  <c r="M34" i="13" s="1"/>
  <c r="AB71" i="13"/>
  <c r="X71" i="13"/>
  <c r="AB58" i="13"/>
  <c r="X58" i="13"/>
  <c r="N58" i="13" s="1"/>
  <c r="AB32" i="13"/>
  <c r="X32" i="13"/>
  <c r="N32" i="13" s="1"/>
  <c r="AB18" i="13"/>
  <c r="X18" i="13"/>
  <c r="N18" i="13" s="1"/>
  <c r="Z19" i="13"/>
  <c r="V19" i="13"/>
  <c r="L19" i="13" s="1"/>
  <c r="Z32" i="13"/>
  <c r="V32" i="13"/>
  <c r="L32" i="13" s="1"/>
  <c r="X41" i="13"/>
  <c r="N41" i="13" s="1"/>
  <c r="AB41" i="13"/>
  <c r="W41" i="13"/>
  <c r="M41" i="13" s="1"/>
  <c r="AA41" i="13"/>
  <c r="Z63" i="13"/>
  <c r="V63" i="13"/>
  <c r="Z74" i="13"/>
  <c r="V74" i="13"/>
  <c r="Z61" i="13"/>
  <c r="V61" i="13"/>
  <c r="Z13" i="13"/>
  <c r="V13" i="13"/>
  <c r="AA72" i="13"/>
  <c r="W72" i="13"/>
  <c r="AA47" i="13"/>
  <c r="W47" i="13"/>
  <c r="AB69" i="13"/>
  <c r="X69" i="13"/>
  <c r="AB30" i="13"/>
  <c r="X30" i="13"/>
  <c r="AA18" i="13"/>
  <c r="W18" i="13"/>
  <c r="M18" i="13" s="1"/>
  <c r="Z73" i="13"/>
  <c r="V73" i="13"/>
  <c r="Z60" i="13"/>
  <c r="V60" i="13"/>
  <c r="Z48" i="13"/>
  <c r="V48" i="13"/>
  <c r="L48" i="13" s="1"/>
  <c r="Z34" i="13"/>
  <c r="V34" i="13"/>
  <c r="L34" i="13" s="1"/>
  <c r="AA71" i="13"/>
  <c r="W71" i="13"/>
  <c r="AA58" i="13"/>
  <c r="W58" i="13"/>
  <c r="M58" i="13" s="1"/>
  <c r="AA32" i="13"/>
  <c r="W32" i="13"/>
  <c r="AB31" i="13"/>
  <c r="X31" i="13"/>
  <c r="AB56" i="13"/>
  <c r="X56" i="13"/>
  <c r="N56" i="13" s="1"/>
  <c r="AB29" i="13"/>
  <c r="X29" i="13"/>
  <c r="Z18" i="13"/>
  <c r="V18" i="13"/>
  <c r="L18" i="13" s="1"/>
  <c r="Z72" i="13"/>
  <c r="V72" i="13"/>
  <c r="Z47" i="13"/>
  <c r="V47" i="13"/>
  <c r="AA69" i="13"/>
  <c r="W69" i="13"/>
  <c r="AA30" i="13"/>
  <c r="W30" i="13"/>
  <c r="AB67" i="13"/>
  <c r="X67" i="13"/>
  <c r="AB43" i="13"/>
  <c r="X43" i="13"/>
  <c r="N43" i="13" s="1"/>
  <c r="AB28" i="13"/>
  <c r="X28" i="13"/>
  <c r="U89" i="13"/>
  <c r="Q18" i="8"/>
  <c r="O19" i="8"/>
  <c r="O19" i="13" s="1"/>
  <c r="Q19" i="8"/>
  <c r="P19" i="8"/>
  <c r="P19" i="13" s="1"/>
  <c r="O18" i="8"/>
  <c r="O18" i="13" s="1"/>
  <c r="P18" i="8"/>
  <c r="P18" i="13" s="1"/>
  <c r="U44" i="13"/>
  <c r="U45" i="13"/>
  <c r="U76" i="13"/>
  <c r="T44" i="13"/>
  <c r="T45" i="13"/>
  <c r="T76" i="13"/>
  <c r="S27" i="13"/>
  <c r="S44" i="13"/>
  <c r="S45" i="13"/>
  <c r="S76" i="13"/>
  <c r="R27" i="13"/>
  <c r="R44" i="13"/>
  <c r="R45" i="13"/>
  <c r="R76" i="13"/>
  <c r="Q25" i="13"/>
  <c r="Q27" i="13"/>
  <c r="Q44" i="13"/>
  <c r="Q45" i="13"/>
  <c r="Q76" i="13"/>
  <c r="Q86" i="13"/>
  <c r="Q87" i="13"/>
  <c r="N44" i="13"/>
  <c r="N45" i="13"/>
  <c r="N76" i="13"/>
  <c r="M44" i="13"/>
  <c r="M45" i="13"/>
  <c r="M76" i="13"/>
  <c r="L44" i="13"/>
  <c r="L45" i="13"/>
  <c r="L76" i="13"/>
  <c r="Y44" i="13"/>
  <c r="Y45" i="13"/>
  <c r="Y76" i="13"/>
  <c r="Y84" i="13"/>
  <c r="T84" i="13" s="1"/>
  <c r="U84" i="13" s="1"/>
  <c r="N85" i="13"/>
  <c r="N86" i="13"/>
  <c r="N87" i="13"/>
  <c r="M84" i="13"/>
  <c r="M85" i="13"/>
  <c r="L84" i="13"/>
  <c r="L85" i="13"/>
  <c r="L86" i="13"/>
  <c r="S15" i="13"/>
  <c r="S20" i="13"/>
  <c r="S25" i="13"/>
  <c r="S26" i="13"/>
  <c r="S28" i="13"/>
  <c r="S29" i="13"/>
  <c r="S30" i="13"/>
  <c r="S31" i="13"/>
  <c r="S32" i="13"/>
  <c r="S33" i="13"/>
  <c r="S34" i="13"/>
  <c r="S37" i="13"/>
  <c r="S38" i="13"/>
  <c r="S39" i="13"/>
  <c r="S40" i="13"/>
  <c r="S41" i="13"/>
  <c r="S42" i="13"/>
  <c r="S43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9" i="13"/>
  <c r="S71" i="13"/>
  <c r="S72" i="13"/>
  <c r="S73" i="13"/>
  <c r="S74" i="13"/>
  <c r="S77" i="13"/>
  <c r="S78" i="13"/>
  <c r="S80" i="13"/>
  <c r="S84" i="13"/>
  <c r="S85" i="13"/>
  <c r="S86" i="13"/>
  <c r="S87" i="13"/>
  <c r="S88" i="13"/>
  <c r="R15" i="13"/>
  <c r="R20" i="13"/>
  <c r="R25" i="13"/>
  <c r="R26" i="13"/>
  <c r="R28" i="13"/>
  <c r="R29" i="13"/>
  <c r="R30" i="13"/>
  <c r="R31" i="13"/>
  <c r="R32" i="13"/>
  <c r="R33" i="13"/>
  <c r="R34" i="13"/>
  <c r="R37" i="13"/>
  <c r="R38" i="13"/>
  <c r="R39" i="13"/>
  <c r="R40" i="13"/>
  <c r="R41" i="13"/>
  <c r="R42" i="13"/>
  <c r="R43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9" i="13"/>
  <c r="R71" i="13"/>
  <c r="R72" i="13"/>
  <c r="R73" i="13"/>
  <c r="R74" i="13"/>
  <c r="R77" i="13"/>
  <c r="R78" i="13"/>
  <c r="R80" i="13"/>
  <c r="R84" i="13"/>
  <c r="R85" i="13"/>
  <c r="R86" i="13"/>
  <c r="R87" i="13"/>
  <c r="R88" i="13"/>
  <c r="Q15" i="13"/>
  <c r="Q20" i="13"/>
  <c r="Q26" i="13"/>
  <c r="Q28" i="13"/>
  <c r="Q29" i="13"/>
  <c r="Q30" i="13"/>
  <c r="Q31" i="13"/>
  <c r="Q32" i="13"/>
  <c r="Q33" i="13"/>
  <c r="Q34" i="13"/>
  <c r="Q37" i="13"/>
  <c r="Q38" i="13"/>
  <c r="Q39" i="13"/>
  <c r="Q40" i="13"/>
  <c r="Q41" i="13"/>
  <c r="Q42" i="13"/>
  <c r="Q43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9" i="13"/>
  <c r="Q71" i="13"/>
  <c r="Q72" i="13"/>
  <c r="Q73" i="13"/>
  <c r="Q74" i="13"/>
  <c r="Q77" i="13"/>
  <c r="Q78" i="13"/>
  <c r="Q80" i="13"/>
  <c r="Q84" i="13"/>
  <c r="Q85" i="13"/>
  <c r="Q88" i="13"/>
  <c r="Y87" i="13" l="1"/>
  <c r="T87" i="13" s="1"/>
  <c r="U87" i="13" s="1"/>
  <c r="Y27" i="13"/>
  <c r="T27" i="13" s="1"/>
  <c r="U27" i="13" s="1"/>
  <c r="M27" i="13"/>
  <c r="Y19" i="13"/>
  <c r="T19" i="13" s="1"/>
  <c r="U19" i="13" s="1"/>
  <c r="AB92" i="13"/>
  <c r="K7" i="13"/>
  <c r="CK12" i="15" s="1"/>
  <c r="J7" i="13"/>
  <c r="CK11" i="15" s="1"/>
  <c r="G7" i="13"/>
  <c r="Y25" i="13"/>
  <c r="T25" i="13" s="1"/>
  <c r="U25" i="13" s="1"/>
  <c r="Y50" i="13"/>
  <c r="T50" i="13" s="1"/>
  <c r="U50" i="13" s="1"/>
  <c r="M50" i="13"/>
  <c r="Y32" i="13"/>
  <c r="T32" i="13" s="1"/>
  <c r="U32" i="13" s="1"/>
  <c r="M32" i="13"/>
  <c r="Y56" i="13"/>
  <c r="T56" i="13" s="1"/>
  <c r="U56" i="13" s="1"/>
  <c r="Y54" i="13"/>
  <c r="T54" i="13" s="1"/>
  <c r="U54" i="13" s="1"/>
  <c r="Y48" i="13"/>
  <c r="T48" i="13" s="1"/>
  <c r="U48" i="13" s="1"/>
  <c r="Y64" i="13"/>
  <c r="T64" i="13" s="1"/>
  <c r="U64" i="13" s="1"/>
  <c r="M56" i="13"/>
  <c r="M54" i="13"/>
  <c r="Y52" i="13"/>
  <c r="T52" i="13" s="1"/>
  <c r="U52" i="13" s="1"/>
  <c r="N48" i="13"/>
  <c r="Y43" i="13"/>
  <c r="T43" i="13" s="1"/>
  <c r="U43" i="13" s="1"/>
  <c r="Y41" i="13"/>
  <c r="T41" i="13" s="1"/>
  <c r="U41" i="13" s="1"/>
  <c r="Y34" i="13"/>
  <c r="T34" i="13" s="1"/>
  <c r="U34" i="13" s="1"/>
  <c r="S13" i="13"/>
  <c r="S7" i="13" s="1"/>
  <c r="R13" i="13"/>
  <c r="R7" i="13" s="1"/>
  <c r="Q13" i="13"/>
  <c r="Q7" i="13" s="1"/>
  <c r="Y86" i="13"/>
  <c r="T86" i="13" s="1"/>
  <c r="U86" i="13" s="1"/>
  <c r="N84" i="13"/>
  <c r="M86" i="13"/>
  <c r="Y85" i="13"/>
  <c r="T85" i="13" s="1"/>
  <c r="U85" i="13" s="1"/>
  <c r="Y18" i="13"/>
  <c r="T18" i="13" s="1"/>
  <c r="U18" i="13" s="1"/>
  <c r="Y88" i="13"/>
  <c r="T88" i="13" s="1"/>
  <c r="U88" i="13" s="1"/>
  <c r="M88" i="13"/>
  <c r="Y58" i="13"/>
  <c r="T58" i="13" s="1"/>
  <c r="U58" i="13" s="1"/>
  <c r="H59" i="8"/>
  <c r="K59" i="8" s="1"/>
  <c r="R59" i="8"/>
  <c r="T59" i="8"/>
  <c r="I8" i="13" l="1"/>
  <c r="H8" i="13"/>
  <c r="S8" i="13"/>
  <c r="AE11" i="13"/>
  <c r="AF11" i="13"/>
  <c r="AH11" i="13"/>
  <c r="AG11" i="13"/>
  <c r="AG13" i="13"/>
  <c r="AH13" i="13"/>
  <c r="AE13" i="13"/>
  <c r="AF13" i="13"/>
  <c r="AE12" i="13"/>
  <c r="AF12" i="13"/>
  <c r="AG12" i="13"/>
  <c r="AH12" i="13"/>
  <c r="CK4" i="15"/>
  <c r="CM4" i="15" s="1"/>
  <c r="CK10" i="15"/>
  <c r="CL11" i="15" s="1"/>
  <c r="CM11" i="15" s="1"/>
  <c r="K8" i="13"/>
  <c r="P59" i="8"/>
  <c r="O59" i="8"/>
  <c r="Q59" i="8"/>
  <c r="AM11" i="13" l="1"/>
  <c r="CJ32" i="15" s="1"/>
  <c r="AN11" i="13"/>
  <c r="CJ33" i="15" s="1"/>
  <c r="AK12" i="13"/>
  <c r="CK30" i="15" s="1"/>
  <c r="AL12" i="13"/>
  <c r="CK31" i="15" s="1"/>
  <c r="AM12" i="13"/>
  <c r="CK32" i="15" s="1"/>
  <c r="AN12" i="13"/>
  <c r="AL11" i="13"/>
  <c r="CJ31" i="15" s="1"/>
  <c r="AK11" i="13"/>
  <c r="CJ30" i="15" s="1"/>
  <c r="CL5" i="15"/>
  <c r="CM5" i="15" s="1"/>
  <c r="CL6" i="15"/>
  <c r="CM6" i="15" s="1"/>
  <c r="CL4" i="15"/>
  <c r="CL12" i="15"/>
  <c r="CM12" i="15" s="1"/>
  <c r="CM10" i="15"/>
  <c r="CL10" i="15"/>
  <c r="H86" i="8"/>
  <c r="K86" i="8" s="1"/>
  <c r="R86" i="8"/>
  <c r="T86" i="8"/>
  <c r="CL30" i="15" l="1"/>
  <c r="CL31" i="15"/>
  <c r="AN13" i="13"/>
  <c r="AM13" i="13"/>
  <c r="AL13" i="13"/>
  <c r="CK33" i="15"/>
  <c r="CM33" i="15" s="1"/>
  <c r="AK13" i="13"/>
  <c r="CM32" i="15"/>
  <c r="CL32" i="15"/>
  <c r="CM31" i="15"/>
  <c r="CM30" i="15"/>
  <c r="O86" i="8"/>
  <c r="Q86" i="8"/>
  <c r="P86" i="8"/>
  <c r="CL33" i="15" l="1"/>
  <c r="H88" i="8"/>
  <c r="K88" i="8" s="1"/>
  <c r="R88" i="8"/>
  <c r="T88" i="8"/>
  <c r="P88" i="8" l="1"/>
  <c r="P88" i="13" s="1"/>
  <c r="O88" i="8"/>
  <c r="O88" i="13" s="1"/>
  <c r="Q88" i="8"/>
  <c r="N57" i="13" l="1"/>
  <c r="N46" i="13"/>
  <c r="N69" i="13"/>
  <c r="N53" i="13"/>
  <c r="N73" i="13"/>
  <c r="N33" i="13"/>
  <c r="N72" i="13"/>
  <c r="N29" i="13"/>
  <c r="N28" i="13"/>
  <c r="N74" i="13"/>
  <c r="N59" i="13"/>
  <c r="N71" i="13"/>
  <c r="N55" i="13"/>
  <c r="N20" i="13"/>
  <c r="N47" i="13"/>
  <c r="N30" i="13"/>
  <c r="N42" i="13"/>
  <c r="N65" i="13"/>
  <c r="N26" i="13"/>
  <c r="N51" i="13"/>
  <c r="N78" i="13"/>
  <c r="N77" i="13"/>
  <c r="N49" i="13"/>
  <c r="N37" i="13"/>
  <c r="N15" i="13"/>
  <c r="N60" i="13"/>
  <c r="N31" i="13"/>
  <c r="N67" i="13"/>
  <c r="N66" i="13"/>
  <c r="N40" i="13"/>
  <c r="N80" i="13"/>
  <c r="N39" i="13"/>
  <c r="N63" i="13"/>
  <c r="N38" i="13"/>
  <c r="N62" i="13"/>
  <c r="N61" i="13"/>
  <c r="P25" i="8"/>
  <c r="P25" i="13" s="1"/>
  <c r="P27" i="8"/>
  <c r="P27" i="13" s="1"/>
  <c r="P33" i="8"/>
  <c r="P33" i="13" s="1"/>
  <c r="P37" i="8"/>
  <c r="P37" i="13" s="1"/>
  <c r="P42" i="8"/>
  <c r="P44" i="8"/>
  <c r="P45" i="8"/>
  <c r="P46" i="8"/>
  <c r="P49" i="8"/>
  <c r="P51" i="8"/>
  <c r="P53" i="8"/>
  <c r="P55" i="8"/>
  <c r="P57" i="8"/>
  <c r="P65" i="8"/>
  <c r="P76" i="8"/>
  <c r="P84" i="8"/>
  <c r="P85" i="8"/>
  <c r="P85" i="13" s="1"/>
  <c r="P87" i="8"/>
  <c r="P87" i="13" s="1"/>
  <c r="H85" i="8"/>
  <c r="K85" i="8" s="1"/>
  <c r="R85" i="8"/>
  <c r="T85" i="8"/>
  <c r="X92" i="13" l="1"/>
  <c r="L49" i="13"/>
  <c r="L78" i="13"/>
  <c r="L63" i="13"/>
  <c r="L38" i="13"/>
  <c r="L20" i="13"/>
  <c r="L37" i="13"/>
  <c r="L74" i="13"/>
  <c r="L60" i="13"/>
  <c r="L47" i="13"/>
  <c r="L33" i="13"/>
  <c r="L73" i="13"/>
  <c r="L59" i="13"/>
  <c r="L46" i="13"/>
  <c r="L57" i="13"/>
  <c r="L72" i="13"/>
  <c r="L31" i="13"/>
  <c r="L71" i="13"/>
  <c r="L30" i="13"/>
  <c r="L69" i="13"/>
  <c r="L55" i="13"/>
  <c r="L29" i="13"/>
  <c r="L67" i="13"/>
  <c r="L77" i="13"/>
  <c r="L15" i="13"/>
  <c r="L28" i="13"/>
  <c r="L66" i="13"/>
  <c r="L53" i="13"/>
  <c r="L61" i="13"/>
  <c r="L65" i="13"/>
  <c r="L40" i="13"/>
  <c r="N13" i="13"/>
  <c r="L62" i="13"/>
  <c r="L42" i="13"/>
  <c r="L26" i="13"/>
  <c r="L80" i="13"/>
  <c r="L51" i="13"/>
  <c r="L39" i="13"/>
  <c r="P71" i="8"/>
  <c r="P71" i="13" s="1"/>
  <c r="P62" i="8"/>
  <c r="P62" i="13" s="1"/>
  <c r="P41" i="8"/>
  <c r="P41" i="13" s="1"/>
  <c r="P30" i="8"/>
  <c r="P30" i="13" s="1"/>
  <c r="P13" i="8"/>
  <c r="P13" i="13" s="1"/>
  <c r="O74" i="8"/>
  <c r="O74" i="13" s="1"/>
  <c r="Q74" i="8"/>
  <c r="O65" i="8"/>
  <c r="Q65" i="8"/>
  <c r="O52" i="8"/>
  <c r="O52" i="13" s="1"/>
  <c r="Q52" i="8"/>
  <c r="P61" i="8"/>
  <c r="P61" i="13" s="1"/>
  <c r="P52" i="8"/>
  <c r="P52" i="13" s="1"/>
  <c r="P48" i="8"/>
  <c r="P48" i="13" s="1"/>
  <c r="P34" i="8"/>
  <c r="P34" i="13" s="1"/>
  <c r="O78" i="8"/>
  <c r="O78" i="13" s="1"/>
  <c r="Q78" i="8"/>
  <c r="O31" i="8"/>
  <c r="O31" i="13" s="1"/>
  <c r="Q31" i="8"/>
  <c r="O60" i="8"/>
  <c r="O60" i="13" s="1"/>
  <c r="Q60" i="8"/>
  <c r="O51" i="8"/>
  <c r="Q51" i="8"/>
  <c r="O44" i="8"/>
  <c r="Q44" i="8"/>
  <c r="O29" i="8"/>
  <c r="O29" i="13" s="1"/>
  <c r="Q29" i="8"/>
  <c r="P73" i="8"/>
  <c r="P73" i="13" s="1"/>
  <c r="P64" i="8"/>
  <c r="P64" i="13" s="1"/>
  <c r="P60" i="8"/>
  <c r="P60" i="13" s="1"/>
  <c r="P43" i="8"/>
  <c r="P43" i="13" s="1"/>
  <c r="P39" i="8"/>
  <c r="P39" i="13" s="1"/>
  <c r="P28" i="8"/>
  <c r="P28" i="13" s="1"/>
  <c r="O85" i="8"/>
  <c r="O85" i="13" s="1"/>
  <c r="Q85" i="8"/>
  <c r="O72" i="8"/>
  <c r="O72" i="13" s="1"/>
  <c r="Q72" i="8"/>
  <c r="O67" i="8"/>
  <c r="O67" i="13" s="1"/>
  <c r="Q67" i="8"/>
  <c r="O63" i="8"/>
  <c r="O63" i="13" s="1"/>
  <c r="Q63" i="8"/>
  <c r="O58" i="8"/>
  <c r="O58" i="13" s="1"/>
  <c r="Q58" i="8"/>
  <c r="O54" i="8"/>
  <c r="O54" i="13" s="1"/>
  <c r="Q54" i="8"/>
  <c r="O50" i="8"/>
  <c r="O50" i="13" s="1"/>
  <c r="Q50" i="8"/>
  <c r="O47" i="8"/>
  <c r="O47" i="13" s="1"/>
  <c r="Q47" i="8"/>
  <c r="O43" i="8"/>
  <c r="O43" i="13" s="1"/>
  <c r="Q43" i="8"/>
  <c r="O39" i="8"/>
  <c r="O39" i="13" s="1"/>
  <c r="Q39" i="8"/>
  <c r="O33" i="8"/>
  <c r="O33" i="13" s="1"/>
  <c r="Q33" i="8"/>
  <c r="O28" i="8"/>
  <c r="O28" i="13" s="1"/>
  <c r="Q28" i="8"/>
  <c r="O20" i="8"/>
  <c r="O20" i="13" s="1"/>
  <c r="Q20" i="8"/>
  <c r="P66" i="8"/>
  <c r="P66" i="13" s="1"/>
  <c r="P26" i="8"/>
  <c r="P26" i="13" s="1"/>
  <c r="O80" i="8"/>
  <c r="O80" i="13" s="1"/>
  <c r="Q80" i="8"/>
  <c r="O69" i="8"/>
  <c r="O69" i="13" s="1"/>
  <c r="Q69" i="8"/>
  <c r="O61" i="8"/>
  <c r="O61" i="13" s="1"/>
  <c r="Q61" i="8"/>
  <c r="O56" i="8"/>
  <c r="O56" i="13" s="1"/>
  <c r="Q56" i="8"/>
  <c r="O13" i="8"/>
  <c r="O13" i="13" s="1"/>
  <c r="Q13" i="8"/>
  <c r="O45" i="8"/>
  <c r="Q45" i="8"/>
  <c r="O41" i="8"/>
  <c r="O41" i="13" s="1"/>
  <c r="Q41" i="8"/>
  <c r="O37" i="8"/>
  <c r="O37" i="13" s="1"/>
  <c r="Q37" i="8"/>
  <c r="O30" i="8"/>
  <c r="O30" i="13" s="1"/>
  <c r="Q30" i="8"/>
  <c r="O26" i="8"/>
  <c r="O26" i="13" s="1"/>
  <c r="Q26" i="8"/>
  <c r="P80" i="8"/>
  <c r="P80" i="13" s="1"/>
  <c r="P74" i="8"/>
  <c r="P74" i="13" s="1"/>
  <c r="P69" i="8"/>
  <c r="P69" i="13" s="1"/>
  <c r="P56" i="8"/>
  <c r="P56" i="13" s="1"/>
  <c r="P40" i="8"/>
  <c r="P40" i="13" s="1"/>
  <c r="P29" i="8"/>
  <c r="P29" i="13" s="1"/>
  <c r="O87" i="8"/>
  <c r="O87" i="13" s="1"/>
  <c r="Q87" i="8"/>
  <c r="O73" i="8"/>
  <c r="O73" i="13" s="1"/>
  <c r="Q73" i="8"/>
  <c r="O64" i="8"/>
  <c r="O64" i="13" s="1"/>
  <c r="Q64" i="8"/>
  <c r="O55" i="8"/>
  <c r="Q55" i="8"/>
  <c r="O48" i="8"/>
  <c r="O48" i="13" s="1"/>
  <c r="Q48" i="8"/>
  <c r="O40" i="8"/>
  <c r="O40" i="13" s="1"/>
  <c r="Q40" i="8"/>
  <c r="O34" i="8"/>
  <c r="O34" i="13" s="1"/>
  <c r="Q34" i="8"/>
  <c r="O25" i="8"/>
  <c r="O25" i="13" s="1"/>
  <c r="Q25" i="8"/>
  <c r="P78" i="8"/>
  <c r="P78" i="13" s="1"/>
  <c r="P31" i="8"/>
  <c r="P31" i="13" s="1"/>
  <c r="P47" i="8"/>
  <c r="P47" i="13" s="1"/>
  <c r="P20" i="8"/>
  <c r="P20" i="13" s="1"/>
  <c r="O77" i="8"/>
  <c r="O77" i="13" s="1"/>
  <c r="Q77" i="8"/>
  <c r="P77" i="8"/>
  <c r="P77" i="13" s="1"/>
  <c r="P72" i="8"/>
  <c r="P72" i="13" s="1"/>
  <c r="P67" i="8"/>
  <c r="P67" i="13" s="1"/>
  <c r="P63" i="8"/>
  <c r="P63" i="13" s="1"/>
  <c r="P58" i="8"/>
  <c r="P58" i="13" s="1"/>
  <c r="P54" i="8"/>
  <c r="P54" i="13" s="1"/>
  <c r="P50" i="8"/>
  <c r="P50" i="13" s="1"/>
  <c r="P38" i="8"/>
  <c r="P38" i="13" s="1"/>
  <c r="P32" i="8"/>
  <c r="P32" i="13" s="1"/>
  <c r="P15" i="8"/>
  <c r="P15" i="13" s="1"/>
  <c r="O84" i="8"/>
  <c r="Q84" i="8"/>
  <c r="O76" i="8"/>
  <c r="Q76" i="8"/>
  <c r="O71" i="8"/>
  <c r="O71" i="13" s="1"/>
  <c r="Q71" i="8"/>
  <c r="O66" i="8"/>
  <c r="O66" i="13" s="1"/>
  <c r="Q66" i="8"/>
  <c r="O62" i="8"/>
  <c r="O62" i="13" s="1"/>
  <c r="Q62" i="8"/>
  <c r="O57" i="8"/>
  <c r="Q57" i="8"/>
  <c r="O53" i="8"/>
  <c r="Q53" i="8"/>
  <c r="O49" i="8"/>
  <c r="Q49" i="8"/>
  <c r="O46" i="8"/>
  <c r="Q46" i="8"/>
  <c r="O42" i="8"/>
  <c r="Q42" i="8"/>
  <c r="O38" i="8"/>
  <c r="O38" i="13" s="1"/>
  <c r="Q38" i="8"/>
  <c r="O32" i="8"/>
  <c r="O32" i="13" s="1"/>
  <c r="Q32" i="8"/>
  <c r="O27" i="8"/>
  <c r="O27" i="13" s="1"/>
  <c r="Q27" i="8"/>
  <c r="O15" i="8"/>
  <c r="O15" i="13" s="1"/>
  <c r="Q15" i="8"/>
  <c r="AA92" i="13" l="1"/>
  <c r="W92" i="13"/>
  <c r="V92" i="13"/>
  <c r="L7" i="13" s="1"/>
  <c r="Z92" i="13"/>
  <c r="P7" i="13" s="1"/>
  <c r="L13" i="13"/>
  <c r="M73" i="13"/>
  <c r="Y73" i="13"/>
  <c r="T73" i="13" s="1"/>
  <c r="U73" i="13" s="1"/>
  <c r="M60" i="13"/>
  <c r="Y60" i="13"/>
  <c r="T60" i="13" s="1"/>
  <c r="U60" i="13" s="1"/>
  <c r="M61" i="13"/>
  <c r="Y61" i="13"/>
  <c r="T61" i="13" s="1"/>
  <c r="U61" i="13" s="1"/>
  <c r="M80" i="13"/>
  <c r="Y80" i="13"/>
  <c r="T80" i="13" s="1"/>
  <c r="U80" i="13" s="1"/>
  <c r="M20" i="13"/>
  <c r="Y20" i="13"/>
  <c r="T20" i="13" s="1"/>
  <c r="U20" i="13" s="1"/>
  <c r="Y63" i="13"/>
  <c r="T63" i="13" s="1"/>
  <c r="U63" i="13" s="1"/>
  <c r="M63" i="13"/>
  <c r="M42" i="13"/>
  <c r="Y42" i="13"/>
  <c r="T42" i="13" s="1"/>
  <c r="U42" i="13" s="1"/>
  <c r="M49" i="13"/>
  <c r="Y49" i="13"/>
  <c r="T49" i="13" s="1"/>
  <c r="U49" i="13" s="1"/>
  <c r="M28" i="13"/>
  <c r="Y28" i="13"/>
  <c r="T28" i="13" s="1"/>
  <c r="U28" i="13" s="1"/>
  <c r="M65" i="13"/>
  <c r="Y65" i="13"/>
  <c r="T65" i="13" s="1"/>
  <c r="U65" i="13" s="1"/>
  <c r="M29" i="13"/>
  <c r="Y29" i="13"/>
  <c r="T29" i="13" s="1"/>
  <c r="U29" i="13" s="1"/>
  <c r="M33" i="13"/>
  <c r="Y33" i="13"/>
  <c r="T33" i="13" s="1"/>
  <c r="U33" i="13" s="1"/>
  <c r="M71" i="13"/>
  <c r="Y71" i="13"/>
  <c r="T71" i="13" s="1"/>
  <c r="U71" i="13" s="1"/>
  <c r="M62" i="13"/>
  <c r="Y62" i="13"/>
  <c r="T62" i="13" s="1"/>
  <c r="U62" i="13" s="1"/>
  <c r="Y38" i="13"/>
  <c r="T38" i="13" s="1"/>
  <c r="U38" i="13" s="1"/>
  <c r="M38" i="13"/>
  <c r="M67" i="13"/>
  <c r="Y67" i="13"/>
  <c r="T67" i="13" s="1"/>
  <c r="U67" i="13" s="1"/>
  <c r="M46" i="13"/>
  <c r="Y46" i="13"/>
  <c r="T46" i="13" s="1"/>
  <c r="U46" i="13" s="1"/>
  <c r="Y39" i="13"/>
  <c r="T39" i="13" s="1"/>
  <c r="U39" i="13" s="1"/>
  <c r="M39" i="13"/>
  <c r="Y78" i="13"/>
  <c r="T78" i="13" s="1"/>
  <c r="U78" i="13" s="1"/>
  <c r="M78" i="13"/>
  <c r="M55" i="13"/>
  <c r="Y55" i="13"/>
  <c r="T55" i="13" s="1"/>
  <c r="U55" i="13" s="1"/>
  <c r="M53" i="13"/>
  <c r="Y53" i="13"/>
  <c r="T53" i="13" s="1"/>
  <c r="U53" i="13" s="1"/>
  <c r="M47" i="13"/>
  <c r="Y47" i="13"/>
  <c r="T47" i="13" s="1"/>
  <c r="U47" i="13" s="1"/>
  <c r="Y13" i="13"/>
  <c r="M13" i="13"/>
  <c r="M15" i="13"/>
  <c r="Y15" i="13"/>
  <c r="T15" i="13" s="1"/>
  <c r="U15" i="13" s="1"/>
  <c r="Y77" i="13"/>
  <c r="T77" i="13" s="1"/>
  <c r="U77" i="13" s="1"/>
  <c r="M77" i="13"/>
  <c r="M66" i="13"/>
  <c r="Y66" i="13"/>
  <c r="T66" i="13" s="1"/>
  <c r="U66" i="13" s="1"/>
  <c r="M57" i="13"/>
  <c r="Y57" i="13"/>
  <c r="T57" i="13" s="1"/>
  <c r="U57" i="13" s="1"/>
  <c r="M31" i="13"/>
  <c r="Y31" i="13"/>
  <c r="T31" i="13" s="1"/>
  <c r="U31" i="13" s="1"/>
  <c r="Y51" i="13"/>
  <c r="T51" i="13" s="1"/>
  <c r="U51" i="13" s="1"/>
  <c r="M51" i="13"/>
  <c r="M26" i="13"/>
  <c r="Y26" i="13"/>
  <c r="T26" i="13" s="1"/>
  <c r="U26" i="13" s="1"/>
  <c r="M59" i="13"/>
  <c r="Y59" i="13"/>
  <c r="T59" i="13" s="1"/>
  <c r="U59" i="13" s="1"/>
  <c r="M74" i="13"/>
  <c r="Y74" i="13"/>
  <c r="T74" i="13" s="1"/>
  <c r="U74" i="13" s="1"/>
  <c r="X93" i="13"/>
  <c r="N7" i="13"/>
  <c r="M37" i="13"/>
  <c r="Y37" i="13"/>
  <c r="T37" i="13" s="1"/>
  <c r="U37" i="13" s="1"/>
  <c r="M69" i="13"/>
  <c r="Y69" i="13"/>
  <c r="T69" i="13" s="1"/>
  <c r="U69" i="13" s="1"/>
  <c r="M40" i="13"/>
  <c r="Y40" i="13"/>
  <c r="T40" i="13" s="1"/>
  <c r="U40" i="13" s="1"/>
  <c r="M30" i="13"/>
  <c r="Y30" i="13"/>
  <c r="T30" i="13" s="1"/>
  <c r="U30" i="13" s="1"/>
  <c r="M72" i="13"/>
  <c r="Y72" i="13"/>
  <c r="T72" i="13" s="1"/>
  <c r="U72" i="13" s="1"/>
  <c r="H20" i="8"/>
  <c r="K20" i="8" s="1"/>
  <c r="H25" i="8"/>
  <c r="K25" i="8" s="1"/>
  <c r="H26" i="8"/>
  <c r="K26" i="8" s="1"/>
  <c r="H27" i="8"/>
  <c r="K27" i="8" s="1"/>
  <c r="H28" i="8"/>
  <c r="K28" i="8" s="1"/>
  <c r="H29" i="8"/>
  <c r="K29" i="8" s="1"/>
  <c r="H30" i="8"/>
  <c r="K30" i="8" s="1"/>
  <c r="H32" i="8"/>
  <c r="K32" i="8" s="1"/>
  <c r="H33" i="8"/>
  <c r="K33" i="8" s="1"/>
  <c r="H34" i="8"/>
  <c r="K34" i="8" s="1"/>
  <c r="H37" i="8"/>
  <c r="K37" i="8" s="1"/>
  <c r="H38" i="8"/>
  <c r="K38" i="8" s="1"/>
  <c r="H39" i="8"/>
  <c r="K39" i="8" s="1"/>
  <c r="H40" i="8"/>
  <c r="K40" i="8" s="1"/>
  <c r="H41" i="8"/>
  <c r="K41" i="8" s="1"/>
  <c r="H42" i="8"/>
  <c r="K42" i="8" s="1"/>
  <c r="H43" i="8"/>
  <c r="K43" i="8" s="1"/>
  <c r="H44" i="8"/>
  <c r="K44" i="8" s="1"/>
  <c r="H45" i="8"/>
  <c r="K45" i="8" s="1"/>
  <c r="H46" i="8"/>
  <c r="K46" i="8" s="1"/>
  <c r="H47" i="8"/>
  <c r="K47" i="8" s="1"/>
  <c r="H48" i="8"/>
  <c r="K48" i="8" s="1"/>
  <c r="H49" i="8"/>
  <c r="K49" i="8" s="1"/>
  <c r="H50" i="8"/>
  <c r="K50" i="8" s="1"/>
  <c r="H51" i="8"/>
  <c r="K51" i="8" s="1"/>
  <c r="H52" i="8"/>
  <c r="K52" i="8" s="1"/>
  <c r="H53" i="8"/>
  <c r="K53" i="8" s="1"/>
  <c r="H54" i="8"/>
  <c r="K54" i="8" s="1"/>
  <c r="H55" i="8"/>
  <c r="K55" i="8" s="1"/>
  <c r="H56" i="8"/>
  <c r="K56" i="8" s="1"/>
  <c r="H57" i="8"/>
  <c r="K57" i="8" s="1"/>
  <c r="H58" i="8"/>
  <c r="K58" i="8" s="1"/>
  <c r="H60" i="8"/>
  <c r="K60" i="8" s="1"/>
  <c r="H61" i="8"/>
  <c r="K61" i="8" s="1"/>
  <c r="H62" i="8"/>
  <c r="K62" i="8" s="1"/>
  <c r="H63" i="8"/>
  <c r="K63" i="8" s="1"/>
  <c r="H64" i="8"/>
  <c r="K64" i="8" s="1"/>
  <c r="H65" i="8"/>
  <c r="K65" i="8" s="1"/>
  <c r="H66" i="8"/>
  <c r="K66" i="8" s="1"/>
  <c r="H67" i="8"/>
  <c r="K67" i="8" s="1"/>
  <c r="H31" i="8"/>
  <c r="K31" i="8" s="1"/>
  <c r="H69" i="8"/>
  <c r="K69" i="8" s="1"/>
  <c r="H71" i="8"/>
  <c r="K71" i="8" s="1"/>
  <c r="H72" i="8"/>
  <c r="K72" i="8" s="1"/>
  <c r="H73" i="8"/>
  <c r="K73" i="8" s="1"/>
  <c r="H74" i="8"/>
  <c r="K74" i="8" s="1"/>
  <c r="H76" i="8"/>
  <c r="K76" i="8" s="1"/>
  <c r="H77" i="8"/>
  <c r="K77" i="8" s="1"/>
  <c r="H78" i="8"/>
  <c r="K78" i="8" s="1"/>
  <c r="H80" i="8"/>
  <c r="K80" i="8" s="1"/>
  <c r="H84" i="8"/>
  <c r="K84" i="8" s="1"/>
  <c r="H87" i="8"/>
  <c r="K87" i="8" s="1"/>
  <c r="T13" i="8"/>
  <c r="T15" i="8"/>
  <c r="T20" i="8"/>
  <c r="T25" i="8"/>
  <c r="T26" i="8"/>
  <c r="T27" i="8"/>
  <c r="T28" i="8"/>
  <c r="T29" i="8"/>
  <c r="T30" i="8"/>
  <c r="T32" i="8"/>
  <c r="T33" i="8"/>
  <c r="T34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60" i="8"/>
  <c r="T61" i="8"/>
  <c r="T62" i="8"/>
  <c r="T63" i="8"/>
  <c r="T64" i="8"/>
  <c r="T65" i="8"/>
  <c r="T66" i="8"/>
  <c r="T67" i="8"/>
  <c r="T31" i="8"/>
  <c r="T69" i="8"/>
  <c r="T71" i="8"/>
  <c r="T72" i="8"/>
  <c r="T73" i="8"/>
  <c r="T74" i="8"/>
  <c r="T76" i="8"/>
  <c r="T77" i="8"/>
  <c r="T78" i="8"/>
  <c r="T80" i="8"/>
  <c r="T84" i="8"/>
  <c r="T87" i="8"/>
  <c r="R13" i="8"/>
  <c r="R15" i="8"/>
  <c r="R20" i="8"/>
  <c r="R25" i="8"/>
  <c r="R26" i="8"/>
  <c r="R27" i="8"/>
  <c r="R28" i="8"/>
  <c r="R29" i="8"/>
  <c r="R30" i="8"/>
  <c r="R32" i="8"/>
  <c r="R33" i="8"/>
  <c r="R34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60" i="8"/>
  <c r="R61" i="8"/>
  <c r="R62" i="8"/>
  <c r="R63" i="8"/>
  <c r="R64" i="8"/>
  <c r="R65" i="8"/>
  <c r="R66" i="8"/>
  <c r="R67" i="8"/>
  <c r="R31" i="8"/>
  <c r="R69" i="8"/>
  <c r="R71" i="8"/>
  <c r="R72" i="8"/>
  <c r="R73" i="8"/>
  <c r="R74" i="8"/>
  <c r="R76" i="8"/>
  <c r="R77" i="8"/>
  <c r="R78" i="8"/>
  <c r="R80" i="8"/>
  <c r="R84" i="8"/>
  <c r="R87" i="8"/>
  <c r="H15" i="8"/>
  <c r="K15" i="8" s="1"/>
  <c r="H13" i="8"/>
  <c r="K13" i="8" s="1"/>
  <c r="O7" i="13" l="1"/>
  <c r="P8" i="13" s="1"/>
  <c r="Y92" i="13"/>
  <c r="N8" i="13" s="1"/>
  <c r="W93" i="13"/>
  <c r="M7" i="13"/>
  <c r="V93" i="13"/>
  <c r="T13" i="13"/>
  <c r="T7" i="13" s="1"/>
  <c r="U13" i="13" l="1"/>
  <c r="U7" i="13" s="1"/>
</calcChain>
</file>

<file path=xl/comments1.xml><?xml version="1.0" encoding="utf-8"?>
<comments xmlns="http://schemas.openxmlformats.org/spreadsheetml/2006/main">
  <authors>
    <author>Daniel C. Ireland</author>
    <author>tc={6DE4985E-09A0-4272-85C9-E199B81D0126}</author>
    <author>tc={13A51170-6B01-4FB8-A798-592EC0DC003A}</author>
    <author>tc={24070E7D-28E7-4E00-A6F5-769612832182}</author>
  </authors>
  <commentList>
    <comment ref="B10" authorId="0" shapeId="0">
      <text>
        <r>
          <rPr>
            <sz val="9"/>
            <color indexed="81"/>
            <rFont val="Tahoma"/>
            <family val="2"/>
          </rPr>
          <t>A SCAP benchmark is available on cyber.mil for the STIG.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Total number of </t>
        </r>
        <r>
          <rPr>
            <b/>
            <sz val="9"/>
            <color indexed="81"/>
            <rFont val="Tahoma"/>
            <family val="2"/>
          </rPr>
          <t>Vuln IDs</t>
        </r>
        <r>
          <rPr>
            <sz val="9"/>
            <color indexed="81"/>
            <rFont val="Tahoma"/>
            <family val="2"/>
          </rPr>
          <t xml:space="preserve"> in the STIG.
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Total </t>
        </r>
        <r>
          <rPr>
            <b/>
            <sz val="9"/>
            <color indexed="81"/>
            <rFont val="Tahoma"/>
            <family val="2"/>
          </rPr>
          <t>Vuln IDs</t>
        </r>
        <r>
          <rPr>
            <sz val="9"/>
            <color indexed="81"/>
            <rFont val="Tahoma"/>
            <family val="2"/>
          </rPr>
          <t xml:space="preserve"> in STIG that SCAP scans for.
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 xml:space="preserve">Total Vuln IDs in STIG that Evaluate-STIG has a path to NF status.  This is our baseline for check support.
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 xml:space="preserve">Total </t>
        </r>
        <r>
          <rPr>
            <b/>
            <sz val="9"/>
            <color indexed="81"/>
            <rFont val="Tahoma"/>
            <family val="2"/>
          </rPr>
          <t>Vuln IDs</t>
        </r>
        <r>
          <rPr>
            <sz val="9"/>
            <color indexed="81"/>
            <rFont val="Tahoma"/>
            <family val="2"/>
          </rPr>
          <t xml:space="preserve"> in STIG that Evaluate-STIG completes but SCAP does not.
</t>
        </r>
      </text>
    </comment>
    <comment ref="K10" authorId="0" shapeId="0">
      <text>
        <r>
          <rPr>
            <sz val="9"/>
            <color indexed="81"/>
            <rFont val="Tahoma"/>
            <family val="2"/>
          </rPr>
          <t xml:space="preserve">Minutes saved when using Evaluate-STIG instead of SCAP.
Multiplies </t>
        </r>
        <r>
          <rPr>
            <b/>
            <sz val="9"/>
            <color indexed="81"/>
            <rFont val="Tahoma"/>
            <family val="2"/>
          </rPr>
          <t xml:space="preserve">Labor Minutes </t>
        </r>
        <r>
          <rPr>
            <sz val="9"/>
            <color indexed="81"/>
            <rFont val="Tahoma"/>
            <family val="2"/>
          </rPr>
          <t xml:space="preserve">from Calculator tab and column </t>
        </r>
        <r>
          <rPr>
            <b/>
            <sz val="9"/>
            <color indexed="81"/>
            <rFont val="Tahoma"/>
            <family val="2"/>
          </rPr>
          <t>F</t>
        </r>
        <r>
          <rPr>
            <sz val="9"/>
            <color indexed="81"/>
            <rFont val="Tahoma"/>
            <family val="2"/>
          </rPr>
          <t xml:space="preserve"> here.</t>
        </r>
      </text>
    </comment>
    <comment ref="L10" authorId="0" shapeId="0">
      <text>
        <r>
          <rPr>
            <sz val="9"/>
            <color indexed="81"/>
            <rFont val="Tahoma"/>
            <family val="2"/>
          </rPr>
          <t xml:space="preserve">Based on </t>
        </r>
        <r>
          <rPr>
            <b/>
            <sz val="9"/>
            <color indexed="81"/>
            <rFont val="Tahoma"/>
            <family val="2"/>
          </rPr>
          <t>Labor Minutes</t>
        </r>
        <r>
          <rPr>
            <sz val="9"/>
            <color indexed="81"/>
            <rFont val="Tahoma"/>
            <family val="2"/>
          </rPr>
          <t>, number of CKLs that can be completed per hour when not using automation.</t>
        </r>
      </text>
    </comment>
    <comment ref="M10" authorId="0" shapeId="0">
      <text>
        <r>
          <rPr>
            <sz val="9"/>
            <color indexed="81"/>
            <rFont val="Tahoma"/>
            <family val="2"/>
          </rPr>
          <t xml:space="preserve">Based on </t>
        </r>
        <r>
          <rPr>
            <b/>
            <sz val="9"/>
            <color indexed="81"/>
            <rFont val="Tahoma"/>
            <family val="2"/>
          </rPr>
          <t>Labor Minutes</t>
        </r>
        <r>
          <rPr>
            <sz val="9"/>
            <color indexed="81"/>
            <rFont val="Tahoma"/>
            <family val="2"/>
          </rPr>
          <t xml:space="preserve">, number of CKLs that can be completed per hour when using SCAP.
</t>
        </r>
      </text>
    </comment>
    <comment ref="N10" authorId="0" shapeId="0">
      <text>
        <r>
          <rPr>
            <sz val="9"/>
            <color indexed="81"/>
            <rFont val="Tahoma"/>
            <family val="2"/>
          </rPr>
          <t xml:space="preserve">Based on </t>
        </r>
        <r>
          <rPr>
            <b/>
            <sz val="9"/>
            <color indexed="81"/>
            <rFont val="Tahoma"/>
            <family val="2"/>
          </rPr>
          <t>Labor Minutes</t>
        </r>
        <r>
          <rPr>
            <sz val="9"/>
            <color indexed="81"/>
            <rFont val="Tahoma"/>
            <family val="2"/>
          </rPr>
          <t xml:space="preserve">, number of CKLs that can be completed per hour when using Evaluate-STIG.
</t>
        </r>
      </text>
    </comment>
    <comment ref="O10" authorId="1" shapeId="0">
      <text>
        <r>
          <rPr>
            <sz val="9"/>
            <color theme="1"/>
            <rFont val="Tahoma"/>
            <family val="2"/>
          </rPr>
          <t>Improved productivity of SCAP over manually processing the entire STIG.</t>
        </r>
      </text>
    </comment>
    <comment ref="P10" authorId="2" shapeId="0">
      <text>
        <r>
          <rPr>
            <sz val="9"/>
            <color theme="1"/>
            <rFont val="Tahoma"/>
            <family val="2"/>
          </rPr>
          <t>Improved productivity of Evaluate-STIG over manually processing the entire STIG.</t>
        </r>
      </text>
    </comment>
    <comment ref="Q10" authorId="3" shapeId="0">
      <text>
        <r>
          <rPr>
            <sz val="9"/>
            <color theme="1"/>
            <rFont val="Tahoma"/>
            <family val="2"/>
          </rPr>
          <t>Improved productivity of Evaluate-STIG over using SCAP.</t>
        </r>
      </text>
    </comment>
    <comment ref="R10" authorId="0" shapeId="0">
      <text>
        <r>
          <rPr>
            <sz val="9"/>
            <color indexed="81"/>
            <rFont val="Tahoma"/>
            <family val="2"/>
          </rPr>
          <t>CKL completion when using SCAP only.</t>
        </r>
      </text>
    </comment>
    <comment ref="T10" authorId="0" shapeId="0">
      <text>
        <r>
          <rPr>
            <sz val="9"/>
            <color indexed="81"/>
            <rFont val="Tahoma"/>
            <family val="2"/>
          </rPr>
          <t>CKL completion when using Evaluate-STIG.  Assumes fully compliant configuration,  "Unclassified" scan, and no Answer File.</t>
        </r>
      </text>
    </comment>
  </commentList>
</comments>
</file>

<file path=xl/sharedStrings.xml><?xml version="1.0" encoding="utf-8"?>
<sst xmlns="http://schemas.openxmlformats.org/spreadsheetml/2006/main" count="255" uniqueCount="167">
  <si>
    <t xml:space="preserve"> </t>
  </si>
  <si>
    <r>
      <rPr>
        <b/>
        <i/>
        <sz val="12"/>
        <color theme="4" tint="0.79998168889431442"/>
        <rFont val="Calibri"/>
        <family val="2"/>
        <scheme val="minor"/>
      </rPr>
      <t>Step 1:</t>
    </r>
    <r>
      <rPr>
        <b/>
        <sz val="12"/>
        <color theme="4" tint="0.79998168889431442"/>
        <rFont val="Calibri"/>
        <family val="2"/>
        <scheme val="minor"/>
      </rPr>
      <t xml:space="preserve">
Enter Hourly Rate</t>
    </r>
  </si>
  <si>
    <t>Average Labor Minutes Per Manual Check</t>
  </si>
  <si>
    <t>STIG Supported by Evaluate-STIG</t>
  </si>
  <si>
    <r>
      <rPr>
        <b/>
        <i/>
        <sz val="12"/>
        <color theme="4" tint="0.79998168889431442"/>
        <rFont val="Calibri"/>
        <family val="2"/>
        <scheme val="minor"/>
      </rPr>
      <t xml:space="preserve">Step 2:
</t>
    </r>
    <r>
      <rPr>
        <b/>
        <sz val="12"/>
        <color theme="4" tint="0.79998168889431442"/>
        <rFont val="Calibri"/>
        <family val="2"/>
        <scheme val="minor"/>
      </rPr>
      <t>Enter Total Installed Instances of Product</t>
    </r>
  </si>
  <si>
    <t>Remaining "NR":
Evaluate-STIG</t>
  </si>
  <si>
    <t>Annual Cost Avoidance</t>
  </si>
  <si>
    <t>Total STIG Checks</t>
  </si>
  <si>
    <t>Total Completed Checks: Evaluate-STIG</t>
  </si>
  <si>
    <t>STIGS Per Hour:
Manual</t>
  </si>
  <si>
    <t>STIGS Per Hour:
Evaluate-STIG</t>
  </si>
  <si>
    <t>CKL Completion (Finalized Checks):
Evaluate-STIG</t>
  </si>
  <si>
    <t>P</t>
  </si>
  <si>
    <t>McAfee VirusScan 8.8 Local Client</t>
  </si>
  <si>
    <t>Microsoft .NET Framework 4</t>
  </si>
  <si>
    <t>Microsoft Access 2013</t>
  </si>
  <si>
    <t>Microsoft Access 2016</t>
  </si>
  <si>
    <t>Microsoft Edge</t>
  </si>
  <si>
    <t>Microsoft Excel 2013</t>
  </si>
  <si>
    <t>Microsoft Excel 2016</t>
  </si>
  <si>
    <t>Microsoft Groove 2013</t>
  </si>
  <si>
    <t>Microsoft InfoPath 2013</t>
  </si>
  <si>
    <t>Microsoft Lync 2013</t>
  </si>
  <si>
    <t>Microsoft Office System 2013</t>
  </si>
  <si>
    <t>Microsoft Office System 2016</t>
  </si>
  <si>
    <t>Microsoft OneDrive</t>
  </si>
  <si>
    <t>Microsoft OneNote 2013</t>
  </si>
  <si>
    <t>Microsoft OneNote 2016</t>
  </si>
  <si>
    <t>Microsoft Outlook 2013</t>
  </si>
  <si>
    <t>Microsoft Outlook 2016</t>
  </si>
  <si>
    <t>Microsoft PowerPoint 2013</t>
  </si>
  <si>
    <t>Microsoft PowerPoint 2016</t>
  </si>
  <si>
    <t>Microsoft Project 2013</t>
  </si>
  <si>
    <t>Microsoft Project 2016</t>
  </si>
  <si>
    <t>Microsoft Publisher 2013</t>
  </si>
  <si>
    <t>Microsoft Publisher 2016</t>
  </si>
  <si>
    <t>Microsoft Skype for Business 2016</t>
  </si>
  <si>
    <t>Microsoft SQL Server 2014 Database</t>
  </si>
  <si>
    <t>Microsoft SQL Server 2014 Instance</t>
  </si>
  <si>
    <t>Microsoft SQL Server 2016 Database</t>
  </si>
  <si>
    <t>Microsoft SQL Server 2016 Instance</t>
  </si>
  <si>
    <t>Microsoft Visio 2013</t>
  </si>
  <si>
    <t>Microsoft Visio 2016</t>
  </si>
  <si>
    <t>Microsoft Word 2013</t>
  </si>
  <si>
    <t>Microsoft Word 2016</t>
  </si>
  <si>
    <t>Ubuntu 18.04</t>
  </si>
  <si>
    <t>Hourly Rate</t>
  </si>
  <si>
    <t>Total "NR" Checks</t>
  </si>
  <si>
    <t>Time to Complete (Minutes): Manual</t>
  </si>
  <si>
    <t>Cost to Complete STIG per Quarter:
Manual</t>
  </si>
  <si>
    <t>Cost to Complete STIG per Quarter:
Evaluate-STIG</t>
  </si>
  <si>
    <t>Time to Complete STIG per Quarter:
Manual</t>
  </si>
  <si>
    <t>Total Cost to Complete per Quarter:
Manual</t>
  </si>
  <si>
    <t>Total Cost to Complete per Quarter:
Evaluate-STIG</t>
  </si>
  <si>
    <t>Q1</t>
  </si>
  <si>
    <t>Q2</t>
  </si>
  <si>
    <t>Q3</t>
  </si>
  <si>
    <t>Q4</t>
  </si>
  <si>
    <t>Manual Review</t>
  </si>
  <si>
    <t>Evaluate-STIG</t>
  </si>
  <si>
    <t>Hours to Complete:
Manual</t>
  </si>
  <si>
    <t>Hours to Complete:
Evaluate-STIG</t>
  </si>
  <si>
    <t>Total Time to Complete per Quarter:
Manual</t>
  </si>
  <si>
    <t>Time to Complete</t>
  </si>
  <si>
    <t>Productivity Gain:
Evaluate-STIG Over Manual</t>
  </si>
  <si>
    <t>Productivity Gain:
Evaluate-STIG vs Manual</t>
  </si>
  <si>
    <t>Weighted Effort</t>
  </si>
  <si>
    <t>Manual</t>
  </si>
  <si>
    <t>Weighted Productivity Gain:
Evaluate-STIG vs Manual</t>
  </si>
  <si>
    <t>Ubuntu 20.04</t>
  </si>
  <si>
    <t>In Work Days</t>
  </si>
  <si>
    <t>Time to Complete STIG Review (8 hr/Day):
Evaluate-STIG</t>
  </si>
  <si>
    <t>Annual Labor Hour Avoidance</t>
  </si>
  <si>
    <t>Total Remaining
Manual Checks:
Evaluate-STIG</t>
  </si>
  <si>
    <t>Total Assignable Labor Time for STIG Review
(8 hr/Day):
Evaluate-STIG</t>
  </si>
  <si>
    <t>Ubuntu 16.04</t>
  </si>
  <si>
    <t>Microsoft SharePoint Designer 2013</t>
  </si>
  <si>
    <t>This row intentially blank</t>
  </si>
  <si>
    <t>Total</t>
  </si>
  <si>
    <t>Oracle Linux 7</t>
  </si>
  <si>
    <t>Oracle Linux 8</t>
  </si>
  <si>
    <t>VMware Horizon 7.13 Agent</t>
  </si>
  <si>
    <t>VMware Horizon 7.13 Client</t>
  </si>
  <si>
    <t>VMware Horizon 7.13 Connection Server</t>
  </si>
  <si>
    <t>Microsoft Defender Antivirus</t>
  </si>
  <si>
    <t>Total Checks</t>
  </si>
  <si>
    <t>Projected:
Annual Labor Hour Avoidance with Evaluate-STIG *</t>
  </si>
  <si>
    <t>Projected:
Annual Cost Avoidance with Evaluate-STIG *</t>
  </si>
  <si>
    <t>* Annual projections assume quarterly reviews.</t>
  </si>
  <si>
    <t>Adobe Acrobat Pro XI</t>
  </si>
  <si>
    <t>Microsoft Exchange 2016 Edge Transport Server</t>
  </si>
  <si>
    <t>Microsoft Exchange 2016 Mailbox Server</t>
  </si>
  <si>
    <t>Total Automated Checks:
Evaluate-STIG</t>
  </si>
  <si>
    <t>Completed Checks:
Evaluate-STIG</t>
  </si>
  <si>
    <t>Quarterly Cost Avoided</t>
  </si>
  <si>
    <t>Quarterly Cost to Complete</t>
  </si>
  <si>
    <t>Annual Cost Avoidance Over Manual Review</t>
  </si>
  <si>
    <t>Label</t>
  </si>
  <si>
    <t>Percentage</t>
  </si>
  <si>
    <t>Total Automated Checks</t>
  </si>
  <si>
    <t>Total Non-Automated Checks (Remaining "NR")</t>
  </si>
  <si>
    <t>Oracle Java JRE 8 for Windows</t>
  </si>
  <si>
    <t>Oracle Java JRE 8 for Unix</t>
  </si>
  <si>
    <t>Active Directory Domain</t>
  </si>
  <si>
    <t>Active Directory Forest</t>
  </si>
  <si>
    <t>Adobe Acrobat Professional DC Classic</t>
  </si>
  <si>
    <t>Adobe Acrobat Professional DC Continuous</t>
  </si>
  <si>
    <t>Adobe Reader DC Classic</t>
  </si>
  <si>
    <t>Adobe Reader DC Continuous</t>
  </si>
  <si>
    <t>Apache 2.4 Server Unix</t>
  </si>
  <si>
    <t>Apache 2.4 Server Windows</t>
  </si>
  <si>
    <t>Apache 2.4 Site Unix</t>
  </si>
  <si>
    <t>Apache 2.4 Site Windows</t>
  </si>
  <si>
    <t>Cisco IOS XE Router NDM</t>
  </si>
  <si>
    <t>Google Chrome</t>
  </si>
  <si>
    <t>IIS 10.0 Server</t>
  </si>
  <si>
    <t>IIS 10.0 Site</t>
  </si>
  <si>
    <t>IIS 8.5 Server</t>
  </si>
  <si>
    <t>IIS 8.5 Site</t>
  </si>
  <si>
    <t>Internet Explorer 11</t>
  </si>
  <si>
    <t>McAfee ENS 10x Local</t>
  </si>
  <si>
    <t>Cisco IOS XE Switch L2S</t>
  </si>
  <si>
    <t>Cisco IOS XE Switch NDM</t>
  </si>
  <si>
    <t>Microsoft Office 365</t>
  </si>
  <si>
    <t>Mozilla Firefox</t>
  </si>
  <si>
    <t>PostgreSQL 9.x</t>
  </si>
  <si>
    <t>Red Hat Enterprise Linux 7</t>
  </si>
  <si>
    <t>Red Hat Enterprise Linux 8</t>
  </si>
  <si>
    <t>Windows 10</t>
  </si>
  <si>
    <t>Windows 11</t>
  </si>
  <si>
    <t>Windows Firewall</t>
  </si>
  <si>
    <t>Windows Server 2008 R2 MS</t>
  </si>
  <si>
    <t>Windows Server 2012 DC</t>
  </si>
  <si>
    <t>Windows Server 2012 MS</t>
  </si>
  <si>
    <t>Windows Server 2016</t>
  </si>
  <si>
    <t>Windows Server 2019</t>
  </si>
  <si>
    <t>Windows Server 2022</t>
  </si>
  <si>
    <t>Total Completed Checks: DISA SCAP</t>
  </si>
  <si>
    <t>Total Completed Checks: Evaluate-STIG Over DISA SCAP</t>
  </si>
  <si>
    <t>Total Completed Checks: NIWC SCAP</t>
  </si>
  <si>
    <t>DISA Benchmark Available</t>
  </si>
  <si>
    <t>NIWC Benchmark Available</t>
  </si>
  <si>
    <t>Total Completed Checks: Evaluate-STIG Over NIWC SCAP</t>
  </si>
  <si>
    <t>CKL Completion (Finalized Checks): 
NIWC SCAP</t>
  </si>
  <si>
    <t>CKL Completion (Finalized Checks): 
DISA SCAP</t>
  </si>
  <si>
    <t>Time Savings (Minutes): Evaluate-STIG Over DISA SCAP</t>
  </si>
  <si>
    <t>STIGS Per Hour:
DISA SCAP</t>
  </si>
  <si>
    <t>Productivity Gain:
DISA SCAP over Manual</t>
  </si>
  <si>
    <t>Productivity Gain:
Evaluate-STIG Over DISA SCAP</t>
  </si>
  <si>
    <t>DISA SCAP</t>
  </si>
  <si>
    <t>Avoidance Over DISA SCAP</t>
  </si>
  <si>
    <t>Total Remaining
Manual Checks:
DISA SCAP</t>
  </si>
  <si>
    <t>Total Assignable Labor Time for STIG Review
(8 hr/Day):
DISA SCAP</t>
  </si>
  <si>
    <t>Remaining "NR":
DISA SCAP</t>
  </si>
  <si>
    <t>Time to Complete STIG Review (8 hr/Day):
DISA SCAP</t>
  </si>
  <si>
    <t>Total Automated Checks:
DISA SCAP</t>
  </si>
  <si>
    <t>Completed Checks:
DISA SCAP</t>
  </si>
  <si>
    <t>Weighted Productivity Gain:
DISA SCAP vs Manual</t>
  </si>
  <si>
    <t>Total Cost to Complete per Quarter:
DISA SCAP</t>
  </si>
  <si>
    <t>Productivity Gain:
DISA SCAP vs Manual</t>
  </si>
  <si>
    <t>Cost to Complete STIG per Quarter:
DISA SCAP</t>
  </si>
  <si>
    <t>Hours to Complete:
DISA SCAP</t>
  </si>
  <si>
    <t>Evaluate-STIG over DISA SCAP Reduction</t>
  </si>
  <si>
    <t>Evaluate-STIG over DISA SCAP</t>
  </si>
  <si>
    <r>
      <rPr>
        <sz val="20"/>
        <color theme="1"/>
        <rFont val="Calibri"/>
        <family val="2"/>
        <scheme val="minor"/>
      </rPr>
      <t>Evaluate-STIG</t>
    </r>
    <r>
      <rPr>
        <sz val="11"/>
        <color theme="1"/>
        <rFont val="Calibri"/>
        <family val="2"/>
        <scheme val="minor"/>
      </rPr>
      <t xml:space="preserve">
</t>
    </r>
    <r>
      <rPr>
        <sz val="16"/>
        <color theme="1"/>
        <rFont val="Calibri"/>
        <family val="2"/>
        <scheme val="minor"/>
      </rPr>
      <t>Per-Checklist Metrics (Out-of-Box Configuration / "Unclassified" ScanType / Evaluate-STIG Path to "NF")</t>
    </r>
    <r>
      <rPr>
        <sz val="11"/>
        <color theme="1"/>
        <rFont val="Calibri"/>
        <family val="2"/>
        <scheme val="minor"/>
      </rPr>
      <t xml:space="preserve">
Updated: 05/11/2023</t>
    </r>
  </si>
  <si>
    <r>
      <rPr>
        <b/>
        <sz val="20"/>
        <color rgb="FF38B6FF"/>
        <rFont val="Lucida Bright"/>
        <family val="1"/>
      </rPr>
      <t>Evaluate-STIG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sz val="14"/>
        <color theme="0" tint="-4.9989318521683403E-2"/>
        <rFont val="Calibri"/>
        <family val="2"/>
        <scheme val="minor"/>
      </rPr>
      <t xml:space="preserve">Annual Projected Time and Cost Avoidance Over DISA SCAP
</t>
    </r>
    <r>
      <rPr>
        <i/>
        <sz val="10"/>
        <color theme="0" tint="-4.9989318521683403E-2"/>
        <rFont val="Calibri Light"/>
        <family val="2"/>
        <scheme val="major"/>
      </rPr>
      <t>Updated: 05/11/2023</t>
    </r>
  </si>
  <si>
    <r>
      <rPr>
        <b/>
        <sz val="14"/>
        <color theme="0"/>
        <rFont val="Calibri"/>
        <family val="2"/>
        <scheme val="minor"/>
      </rPr>
      <t>Instructions:</t>
    </r>
    <r>
      <rPr>
        <sz val="11"/>
        <color theme="0"/>
        <rFont val="Calibri"/>
        <family val="2"/>
        <scheme val="minor"/>
      </rPr>
      <t xml:space="preserve">
1. Enter your hourly rate and average labor minutes to complete a single manual check.
2. Enter the total number of instances for each STIG-applicable product installed in your environment(s).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</si>
</sst>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0.0%"/>
    <numFmt numFmtId="166" formatCode="[h]:mm"/>
    <numFmt numFmtId="167" formatCode="#,##0.0\ &quot;Hrs&quot;"/>
  </numFmts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2"/>
      <color theme="5" tint="0.59999389629810485"/>
      <name val="Calibri"/>
      <family val="2"/>
      <scheme val="minor"/>
    </font>
    <font>
      <b/>
      <sz val="12"/>
      <color theme="7" tint="0.59999389629810485"/>
      <name val="Calibri"/>
      <family val="2"/>
      <scheme val="minor"/>
    </font>
    <font>
      <b/>
      <sz val="12"/>
      <color theme="9" tint="0.59999389629810485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  <font>
      <b/>
      <i/>
      <sz val="12"/>
      <color theme="4" tint="0.7999816888943144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b/>
      <sz val="12"/>
      <color theme="9" tint="0.79998168889431442"/>
      <name val="Calibri"/>
      <family val="2"/>
      <scheme val="minor"/>
    </font>
    <font>
      <sz val="11"/>
      <color rgb="FF172849"/>
      <name val="Calibri"/>
      <scheme val="minor"/>
    </font>
    <font>
      <sz val="11"/>
      <color theme="1" tint="0.14999847407452621"/>
      <name val="Calibri"/>
      <scheme val="minor"/>
    </font>
    <font>
      <sz val="11"/>
      <name val="Calibri"/>
      <scheme val="minor"/>
    </font>
    <font>
      <sz val="11"/>
      <color theme="2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theme="1"/>
      <name val="Tahoma"/>
      <family val="2"/>
    </font>
    <font>
      <b/>
      <sz val="20"/>
      <color rgb="FF38B6FF"/>
      <name val="Lucida Bright"/>
      <family val="1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i/>
      <sz val="10"/>
      <color theme="0" tint="-4.9989318521683403E-2"/>
      <name val="Calibri Light"/>
      <family val="2"/>
      <scheme val="major"/>
    </font>
    <font>
      <i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1"/>
        <bgColor indexed="64"/>
      </patternFill>
    </fill>
    <fill>
      <patternFill patternType="solid">
        <fgColor rgb="FF5886D8"/>
        <bgColor indexed="64"/>
      </patternFill>
    </fill>
    <fill>
      <patternFill patternType="solid">
        <fgColor theme="7" tint="-0.249977111117893"/>
        <bgColor theme="8"/>
      </patternFill>
    </fill>
    <fill>
      <patternFill patternType="solid">
        <fgColor theme="7" tint="-0.499984740745262"/>
        <bgColor theme="8"/>
      </patternFill>
    </fill>
    <fill>
      <patternFill patternType="solid">
        <fgColor theme="5" tint="-0.249977111117893"/>
        <bgColor theme="8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B7B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8"/>
      </patternFill>
    </fill>
    <fill>
      <patternFill patternType="solid">
        <fgColor theme="9" tint="-0.499984740745262"/>
        <bgColor theme="8"/>
      </patternFill>
    </fill>
    <fill>
      <patternFill patternType="solid">
        <fgColor rgb="FF406E21"/>
        <bgColor indexed="64"/>
      </patternFill>
    </fill>
    <fill>
      <patternFill patternType="solid">
        <fgColor theme="0" tint="-0.14999847407452621"/>
        <bgColor theme="8" tint="0.59999389629810485"/>
      </patternFill>
    </fill>
    <fill>
      <patternFill patternType="solid">
        <fgColor rgb="FFB245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249977111117893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auto="1"/>
      </left>
      <right style="thin">
        <color rgb="FF6C4C00"/>
      </right>
      <top style="thin">
        <color auto="1"/>
      </top>
      <bottom style="thick">
        <color rgb="FF644A00"/>
      </bottom>
      <diagonal/>
    </border>
    <border>
      <left style="thin">
        <color auto="1"/>
      </left>
      <right style="thin">
        <color theme="7" tint="-0.499984740745262"/>
      </right>
      <top style="thick">
        <color rgb="FF644A00"/>
      </top>
      <bottom/>
      <diagonal/>
    </border>
    <border>
      <left/>
      <right style="thin">
        <color rgb="FF193805"/>
      </right>
      <top style="thick">
        <color rgb="FF29411B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93805"/>
      </left>
      <right style="thick">
        <color auto="1"/>
      </right>
      <top style="thick">
        <color rgb="FF29411B"/>
      </top>
      <bottom/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/>
      <right style="thin">
        <color rgb="FF193805"/>
      </right>
      <top/>
      <bottom style="thick">
        <color auto="1"/>
      </bottom>
      <diagonal/>
    </border>
    <border>
      <left style="thin">
        <color rgb="FF193805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rgb="FF492207"/>
      </right>
      <top/>
      <bottom/>
      <diagonal/>
    </border>
    <border>
      <left style="thin">
        <color indexed="64"/>
      </left>
      <right style="thin">
        <color rgb="FF492207"/>
      </right>
      <top/>
      <bottom style="thick">
        <color auto="1"/>
      </bottom>
      <diagonal/>
    </border>
    <border>
      <left style="thin">
        <color rgb="FF492207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thin">
        <color rgb="FF644A00"/>
      </right>
      <top style="thick">
        <color rgb="FF644A00"/>
      </top>
      <bottom/>
      <diagonal/>
    </border>
    <border>
      <left style="thin">
        <color rgb="FF644A00"/>
      </left>
      <right style="thin">
        <color indexed="64"/>
      </right>
      <top style="thick">
        <color rgb="FF644A00"/>
      </top>
      <bottom/>
      <diagonal/>
    </border>
    <border>
      <left style="thin">
        <color rgb="FF644A00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0"/>
      </top>
      <bottom/>
      <diagonal/>
    </border>
    <border>
      <left/>
      <right style="thin">
        <color theme="8" tint="-0.24994659260841701"/>
      </right>
      <top/>
      <bottom/>
      <diagonal/>
    </border>
    <border>
      <left/>
      <right style="thin">
        <color theme="8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8" tint="-0.24994659260841701"/>
      </right>
      <top/>
      <bottom style="thin">
        <color theme="0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ck">
        <color rgb="FF644A00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8" tint="-0.499984740745262"/>
      </left>
      <right style="thick">
        <color theme="1"/>
      </right>
      <top style="thin">
        <color theme="1" tint="0.24994659260841701"/>
      </top>
      <bottom style="thick">
        <color theme="1"/>
      </bottom>
      <diagonal/>
    </border>
    <border>
      <left style="thick">
        <color theme="1"/>
      </left>
      <right style="thin">
        <color theme="2" tint="-0.749961851863155"/>
      </right>
      <top style="thin">
        <color theme="1" tint="0.24994659260841701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 style="thick">
        <color theme="1"/>
      </left>
      <right style="thin">
        <color theme="2" tint="-0.749961851863155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749961851863155"/>
      </left>
      <right style="thick">
        <color theme="1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0" tint="-4.9989318521683403E-2"/>
      </left>
      <right style="thin">
        <color theme="8" tint="-0.499984740745262"/>
      </right>
      <top style="thin">
        <color theme="8" tint="-0.499984740745262"/>
      </top>
      <bottom style="thick">
        <color theme="1"/>
      </bottom>
      <diagonal/>
    </border>
    <border>
      <left style="thin">
        <color theme="0" tint="-4.9989318521683403E-2"/>
      </left>
      <right style="thin">
        <color theme="8" tint="-0.499984740745262"/>
      </right>
      <top style="thin">
        <color theme="0" tint="-4.9989318521683403E-2"/>
      </top>
      <bottom style="thin">
        <color theme="8" tint="-0.499984740745262"/>
      </bottom>
      <diagonal/>
    </border>
    <border>
      <left style="thin">
        <color theme="8" tint="-0.499984740745262"/>
      </left>
      <right style="thick">
        <color theme="1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2" tint="-0.749961851863155"/>
      </left>
      <right style="thick">
        <color theme="1"/>
      </right>
      <top style="thin">
        <color theme="0" tint="-4.9989318521683403E-2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0" tint="-4.9989318521683403E-2"/>
      </top>
      <bottom style="thin">
        <color theme="2" tint="-0.749961851863155"/>
      </bottom>
      <diagonal/>
    </border>
    <border>
      <left style="thin">
        <color theme="0" tint="-4.9989318521683403E-2"/>
      </left>
      <right style="thin">
        <color theme="2" tint="-0.749961851863155"/>
      </right>
      <top style="thin">
        <color theme="0" tint="-4.9989318521683403E-2"/>
      </top>
      <bottom style="thin">
        <color theme="2" tint="-0.749961851863155"/>
      </bottom>
      <diagonal/>
    </border>
    <border>
      <left style="thin">
        <color theme="0" tint="-4.9989318521683403E-2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auto="1"/>
      </left>
      <right/>
      <top style="thick">
        <color rgb="FF644A00"/>
      </top>
      <bottom/>
      <diagonal/>
    </border>
    <border>
      <left style="thin">
        <color theme="0" tint="-4.9989318521683403E-2"/>
      </left>
      <right style="thin">
        <color rgb="FF644A00"/>
      </right>
      <top style="thick">
        <color rgb="FF644A00"/>
      </top>
      <bottom/>
      <diagonal/>
    </border>
    <border>
      <left style="thin">
        <color theme="0" tint="-4.9989318521683403E-2"/>
      </left>
      <right style="thin">
        <color rgb="FF644A00"/>
      </right>
      <top/>
      <bottom style="thick">
        <color auto="1"/>
      </bottom>
      <diagonal/>
    </border>
    <border>
      <left style="thin">
        <color theme="0" tint="-4.9989318521683403E-2"/>
      </left>
      <right style="thin">
        <color rgb="FF492207"/>
      </right>
      <top style="thin">
        <color theme="0" tint="-4.9989318521683403E-2"/>
      </top>
      <bottom style="thick">
        <color rgb="FF644A00"/>
      </bottom>
      <diagonal/>
    </border>
    <border>
      <left style="thin">
        <color rgb="FF492207"/>
      </left>
      <right style="thin">
        <color indexed="64"/>
      </right>
      <top style="thin">
        <color theme="0" tint="-4.9989318521683403E-2"/>
      </top>
      <bottom style="thick">
        <color rgb="FF644A00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ck">
        <color rgb="FF6A310A"/>
      </bottom>
      <diagonal/>
    </border>
    <border>
      <left style="thin">
        <color indexed="64"/>
      </left>
      <right style="thin">
        <color rgb="FF492207"/>
      </right>
      <top style="thin">
        <color theme="0" tint="-4.9989318521683403E-2"/>
      </top>
      <bottom style="thick">
        <color rgb="FF6A310A"/>
      </bottom>
      <diagonal/>
    </border>
    <border>
      <left/>
      <right style="thin">
        <color rgb="FF193805"/>
      </right>
      <top style="thin">
        <color theme="0" tint="-4.9989318521683403E-2"/>
      </top>
      <bottom style="thick">
        <color rgb="FF29411B"/>
      </bottom>
      <diagonal/>
    </border>
    <border>
      <left style="thin">
        <color rgb="FF193805"/>
      </left>
      <right style="thick">
        <color auto="1"/>
      </right>
      <top style="thin">
        <color theme="0" tint="-4.9989318521683403E-2"/>
      </top>
      <bottom style="thick">
        <color rgb="FF29411B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ck">
        <color auto="1"/>
      </bottom>
      <diagonal/>
    </border>
    <border>
      <left/>
      <right/>
      <top style="thin">
        <color theme="0" tint="-4.9989318521683403E-2"/>
      </top>
      <bottom style="thick">
        <color auto="1"/>
      </bottom>
      <diagonal/>
    </border>
    <border>
      <left/>
      <right style="thick">
        <color auto="1"/>
      </right>
      <top style="thin">
        <color theme="0" tint="-4.9989318521683403E-2"/>
      </top>
      <bottom style="thick">
        <color auto="1"/>
      </bottom>
      <diagonal/>
    </border>
  </borders>
  <cellStyleXfs count="1">
    <xf numFmtId="0" fontId="0" fillId="0" borderId="0"/>
  </cellStyleXfs>
  <cellXfs count="219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165" fontId="0" fillId="2" borderId="11" xfId="0" applyNumberFormat="1" applyFont="1" applyFill="1" applyBorder="1" applyAlignment="1">
      <alignment horizontal="center" vertical="center"/>
    </xf>
    <xf numFmtId="165" fontId="0" fillId="2" borderId="12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" fontId="7" fillId="14" borderId="19" xfId="0" applyNumberFormat="1" applyFont="1" applyFill="1" applyBorder="1" applyAlignment="1" applyProtection="1">
      <alignment horizontal="right" vertical="center" wrapText="1"/>
    </xf>
    <xf numFmtId="0" fontId="0" fillId="0" borderId="0" xfId="0"/>
    <xf numFmtId="2" fontId="0" fillId="0" borderId="30" xfId="0" applyNumberFormat="1" applyFill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5" fontId="0" fillId="3" borderId="31" xfId="0" applyNumberFormat="1" applyFont="1" applyFill="1" applyBorder="1" applyAlignment="1">
      <alignment horizontal="center" vertical="center"/>
    </xf>
    <xf numFmtId="165" fontId="0" fillId="3" borderId="32" xfId="0" applyNumberFormat="1" applyFont="1" applyFill="1" applyBorder="1" applyAlignment="1">
      <alignment horizontal="center" vertical="center"/>
    </xf>
    <xf numFmtId="165" fontId="0" fillId="3" borderId="33" xfId="0" applyNumberFormat="1" applyFont="1" applyFill="1" applyBorder="1" applyAlignment="1">
      <alignment horizontal="center" vertical="center"/>
    </xf>
    <xf numFmtId="165" fontId="0" fillId="3" borderId="34" xfId="0" applyNumberFormat="1" applyFont="1" applyFill="1" applyBorder="1" applyAlignment="1">
      <alignment horizontal="center" vertical="center"/>
    </xf>
    <xf numFmtId="10" fontId="0" fillId="0" borderId="28" xfId="0" applyNumberFormat="1" applyFill="1" applyBorder="1" applyAlignment="1">
      <alignment horizontal="center" vertical="center"/>
    </xf>
    <xf numFmtId="10" fontId="0" fillId="0" borderId="28" xfId="0" applyNumberFormat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165" fontId="0" fillId="0" borderId="0" xfId="0" applyNumberFormat="1"/>
    <xf numFmtId="3" fontId="20" fillId="11" borderId="25" xfId="0" applyNumberFormat="1" applyFont="1" applyFill="1" applyBorder="1" applyAlignment="1" applyProtection="1">
      <alignment horizontal="right" vertical="center" wrapText="1"/>
    </xf>
    <xf numFmtId="3" fontId="20" fillId="11" borderId="26" xfId="0" applyNumberFormat="1" applyFont="1" applyFill="1" applyBorder="1" applyAlignment="1" applyProtection="1">
      <alignment horizontal="right" vertical="center" wrapText="1"/>
    </xf>
    <xf numFmtId="3" fontId="20" fillId="11" borderId="14" xfId="0" applyNumberFormat="1" applyFont="1" applyFill="1" applyBorder="1" applyAlignment="1" applyProtection="1">
      <alignment horizontal="right" vertical="center" wrapText="1"/>
    </xf>
    <xf numFmtId="1" fontId="7" fillId="14" borderId="27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center" vertical="center" wrapText="1"/>
    </xf>
    <xf numFmtId="3" fontId="24" fillId="0" borderId="37" xfId="0" applyNumberFormat="1" applyFont="1" applyFill="1" applyBorder="1" applyAlignment="1" applyProtection="1">
      <alignment horizontal="center" vertical="center"/>
    </xf>
    <xf numFmtId="0" fontId="24" fillId="0" borderId="37" xfId="0" applyNumberFormat="1" applyFont="1" applyFill="1" applyBorder="1" applyAlignment="1" applyProtection="1">
      <alignment horizontal="center" vertical="center"/>
    </xf>
    <xf numFmtId="10" fontId="24" fillId="0" borderId="37" xfId="0" applyNumberFormat="1" applyFont="1" applyFill="1" applyBorder="1" applyAlignment="1" applyProtection="1">
      <alignment horizontal="center" vertical="center"/>
    </xf>
    <xf numFmtId="164" fontId="24" fillId="0" borderId="37" xfId="0" applyNumberFormat="1" applyFont="1" applyFill="1" applyBorder="1" applyAlignment="1" applyProtection="1">
      <alignment horizontal="center" vertical="center"/>
    </xf>
    <xf numFmtId="167" fontId="24" fillId="0" borderId="37" xfId="0" applyNumberFormat="1" applyFont="1" applyFill="1" applyBorder="1" applyAlignment="1" applyProtection="1">
      <alignment horizontal="center" vertical="center"/>
    </xf>
    <xf numFmtId="166" fontId="6" fillId="21" borderId="37" xfId="0" applyNumberFormat="1" applyFont="1" applyFill="1" applyBorder="1" applyAlignment="1" applyProtection="1">
      <alignment horizontal="center" vertical="center"/>
    </xf>
    <xf numFmtId="0" fontId="6" fillId="21" borderId="37" xfId="0" applyNumberFormat="1" applyFont="1" applyFill="1" applyBorder="1" applyAlignment="1" applyProtection="1">
      <alignment horizontal="center" vertical="center"/>
    </xf>
    <xf numFmtId="166" fontId="25" fillId="21" borderId="37" xfId="0" applyNumberFormat="1" applyFont="1" applyFill="1" applyBorder="1" applyAlignment="1" applyProtection="1">
      <alignment horizontal="center" vertical="center"/>
    </xf>
    <xf numFmtId="0" fontId="25" fillId="21" borderId="37" xfId="0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0" fillId="6" borderId="0" xfId="0" applyFill="1" applyBorder="1" applyAlignment="1" applyProtection="1"/>
    <xf numFmtId="0" fontId="9" fillId="9" borderId="13" xfId="0" applyFont="1" applyFill="1" applyBorder="1" applyAlignment="1" applyProtection="1">
      <alignment horizontal="center" vertical="center" wrapText="1"/>
    </xf>
    <xf numFmtId="0" fontId="20" fillId="13" borderId="22" xfId="0" applyFont="1" applyFill="1" applyBorder="1" applyAlignment="1" applyProtection="1">
      <alignment horizontal="right" vertical="center" wrapText="1"/>
    </xf>
    <xf numFmtId="10" fontId="20" fillId="13" borderId="29" xfId="0" applyNumberFormat="1" applyFont="1" applyFill="1" applyBorder="1" applyAlignment="1" applyProtection="1">
      <alignment horizontal="right" vertical="center" wrapText="1"/>
    </xf>
    <xf numFmtId="164" fontId="20" fillId="13" borderId="16" xfId="0" applyNumberFormat="1" applyFont="1" applyFill="1" applyBorder="1" applyAlignment="1" applyProtection="1">
      <alignment horizontal="right" vertical="center" wrapText="1"/>
    </xf>
    <xf numFmtId="167" fontId="20" fillId="15" borderId="15" xfId="0" applyNumberFormat="1" applyFont="1" applyFill="1" applyBorder="1" applyAlignment="1" applyProtection="1">
      <alignment horizontal="right" vertical="center" wrapText="1"/>
    </xf>
    <xf numFmtId="164" fontId="20" fillId="15" borderId="18" xfId="0" applyNumberFormat="1" applyFont="1" applyFill="1" applyBorder="1" applyAlignment="1" applyProtection="1">
      <alignment horizontal="right" vertical="center" wrapText="1"/>
    </xf>
    <xf numFmtId="0" fontId="5" fillId="20" borderId="19" xfId="0" applyFont="1" applyFill="1" applyBorder="1" applyAlignment="1" applyProtection="1">
      <alignment horizontal="right" vertical="center" wrapText="1"/>
    </xf>
    <xf numFmtId="0" fontId="18" fillId="20" borderId="23" xfId="0" applyFont="1" applyFill="1" applyBorder="1" applyAlignment="1" applyProtection="1">
      <alignment horizontal="right" vertical="center" wrapText="1"/>
    </xf>
    <xf numFmtId="0" fontId="18" fillId="20" borderId="24" xfId="0" applyFont="1" applyFill="1" applyBorder="1" applyAlignment="1" applyProtection="1">
      <alignment horizontal="right" vertical="center" wrapText="1"/>
    </xf>
    <xf numFmtId="0" fontId="18" fillId="20" borderId="35" xfId="0" applyFont="1" applyFill="1" applyBorder="1" applyAlignment="1" applyProtection="1">
      <alignment horizontal="right" vertical="center" wrapText="1"/>
    </xf>
    <xf numFmtId="0" fontId="11" fillId="18" borderId="20" xfId="0" applyFont="1" applyFill="1" applyBorder="1" applyAlignment="1" applyProtection="1">
      <alignment horizontal="right" vertical="center" wrapText="1"/>
    </xf>
    <xf numFmtId="0" fontId="11" fillId="18" borderId="21" xfId="0" applyFont="1" applyFill="1" applyBorder="1" applyAlignment="1" applyProtection="1">
      <alignment horizontal="right" vertical="center" wrapText="1"/>
    </xf>
    <xf numFmtId="0" fontId="0" fillId="0" borderId="0" xfId="0" applyAlignment="1" applyProtection="1">
      <alignment vertical="center" wrapText="1"/>
    </xf>
    <xf numFmtId="0" fontId="21" fillId="8" borderId="37" xfId="0" applyFont="1" applyFill="1" applyBorder="1" applyAlignment="1" applyProtection="1">
      <alignment horizontal="center" vertical="center" wrapText="1"/>
    </xf>
    <xf numFmtId="0" fontId="0" fillId="22" borderId="36" xfId="0" applyFill="1" applyBorder="1" applyAlignment="1" applyProtection="1">
      <alignment vertical="center" wrapText="1"/>
    </xf>
    <xf numFmtId="0" fontId="0" fillId="22" borderId="38" xfId="0" applyFill="1" applyBorder="1" applyAlignment="1" applyProtection="1">
      <alignment vertical="center" wrapText="1"/>
    </xf>
    <xf numFmtId="0" fontId="0" fillId="0" borderId="28" xfId="0" applyBorder="1" applyAlignment="1" applyProtection="1">
      <alignment vertical="center"/>
    </xf>
    <xf numFmtId="164" fontId="0" fillId="0" borderId="28" xfId="0" applyNumberFormat="1" applyBorder="1" applyAlignment="1" applyProtection="1">
      <alignment vertical="center"/>
    </xf>
    <xf numFmtId="166" fontId="0" fillId="0" borderId="0" xfId="0" applyNumberFormat="1" applyProtection="1"/>
    <xf numFmtId="166" fontId="0" fillId="0" borderId="0" xfId="0" applyNumberFormat="1" applyAlignment="1" applyProtection="1"/>
    <xf numFmtId="2" fontId="0" fillId="0" borderId="0" xfId="0" applyNumberFormat="1" applyAlignment="1" applyProtection="1"/>
    <xf numFmtId="0" fontId="0" fillId="6" borderId="0" xfId="0" applyFill="1" applyBorder="1" applyAlignment="1" applyProtection="1"/>
    <xf numFmtId="0" fontId="0" fillId="6" borderId="0" xfId="0" applyFill="1" applyBorder="1" applyAlignment="1" applyProtection="1"/>
    <xf numFmtId="0" fontId="0" fillId="6" borderId="0" xfId="0" applyFill="1" applyBorder="1" applyAlignment="1" applyProtection="1"/>
    <xf numFmtId="0" fontId="0" fillId="6" borderId="0" xfId="0" applyFill="1" applyBorder="1" applyAlignment="1" applyProtection="1"/>
    <xf numFmtId="0" fontId="0" fillId="6" borderId="0" xfId="0" applyFill="1" applyBorder="1" applyAlignment="1" applyProtection="1"/>
    <xf numFmtId="0" fontId="0" fillId="6" borderId="0" xfId="0" applyFill="1" applyBorder="1" applyAlignment="1" applyProtection="1"/>
    <xf numFmtId="0" fontId="0" fillId="6" borderId="0" xfId="0" applyFill="1" applyBorder="1" applyAlignment="1" applyProtection="1"/>
    <xf numFmtId="0" fontId="0" fillId="6" borderId="0" xfId="0" applyFill="1" applyBorder="1" applyAlignment="1" applyProtection="1"/>
    <xf numFmtId="3" fontId="13" fillId="0" borderId="37" xfId="0" applyNumberFormat="1" applyFont="1" applyFill="1" applyBorder="1" applyAlignment="1" applyProtection="1">
      <alignment horizontal="center" vertical="center"/>
    </xf>
    <xf numFmtId="0" fontId="13" fillId="0" borderId="37" xfId="0" applyNumberFormat="1" applyFont="1" applyFill="1" applyBorder="1" applyAlignment="1" applyProtection="1">
      <alignment horizontal="center" vertical="center"/>
    </xf>
    <xf numFmtId="10" fontId="13" fillId="0" borderId="37" xfId="0" applyNumberFormat="1" applyFont="1" applyFill="1" applyBorder="1" applyAlignment="1" applyProtection="1">
      <alignment horizontal="center" vertical="center"/>
    </xf>
    <xf numFmtId="164" fontId="13" fillId="0" borderId="37" xfId="0" applyNumberFormat="1" applyFont="1" applyFill="1" applyBorder="1" applyAlignment="1" applyProtection="1">
      <alignment horizontal="center" vertical="center"/>
    </xf>
    <xf numFmtId="167" fontId="13" fillId="0" borderId="37" xfId="0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vertical="center"/>
    </xf>
    <xf numFmtId="164" fontId="0" fillId="0" borderId="28" xfId="0" applyNumberFormat="1" applyFont="1" applyBorder="1" applyAlignment="1" applyProtection="1">
      <alignment vertical="center"/>
    </xf>
    <xf numFmtId="0" fontId="0" fillId="6" borderId="0" xfId="0" applyFill="1" applyBorder="1" applyAlignment="1" applyProtection="1"/>
    <xf numFmtId="0" fontId="9" fillId="9" borderId="39" xfId="0" applyFont="1" applyFill="1" applyBorder="1" applyAlignment="1" applyProtection="1">
      <alignment horizontal="center" vertical="center" wrapText="1"/>
    </xf>
    <xf numFmtId="1" fontId="7" fillId="14" borderId="40" xfId="0" applyNumberFormat="1" applyFont="1" applyFill="1" applyBorder="1" applyAlignment="1" applyProtection="1">
      <alignment horizontal="right" vertical="center" wrapText="1"/>
    </xf>
    <xf numFmtId="0" fontId="0" fillId="0" borderId="28" xfId="0" applyBorder="1" applyProtection="1"/>
    <xf numFmtId="164" fontId="0" fillId="0" borderId="28" xfId="0" applyNumberFormat="1" applyBorder="1" applyProtection="1"/>
    <xf numFmtId="0" fontId="27" fillId="0" borderId="0" xfId="0" applyFont="1" applyFill="1" applyAlignment="1">
      <alignment horizontal="center"/>
    </xf>
    <xf numFmtId="0" fontId="26" fillId="25" borderId="0" xfId="0" applyFont="1" applyFill="1"/>
    <xf numFmtId="164" fontId="0" fillId="26" borderId="43" xfId="0" applyNumberFormat="1" applyFill="1" applyBorder="1"/>
    <xf numFmtId="164" fontId="0" fillId="23" borderId="43" xfId="0" applyNumberFormat="1" applyFill="1" applyBorder="1"/>
    <xf numFmtId="164" fontId="26" fillId="25" borderId="41" xfId="0" applyNumberFormat="1" applyFont="1" applyFill="1" applyBorder="1" applyAlignment="1">
      <alignment horizontal="center"/>
    </xf>
    <xf numFmtId="164" fontId="26" fillId="25" borderId="42" xfId="0" applyNumberFormat="1" applyFont="1" applyFill="1" applyBorder="1" applyAlignment="1">
      <alignment horizontal="center"/>
    </xf>
    <xf numFmtId="0" fontId="0" fillId="0" borderId="0" xfId="0" applyNumberFormat="1"/>
    <xf numFmtId="164" fontId="26" fillId="25" borderId="0" xfId="0" applyNumberFormat="1" applyFont="1" applyFill="1" applyBorder="1" applyAlignment="1">
      <alignment horizontal="center"/>
    </xf>
    <xf numFmtId="164" fontId="26" fillId="25" borderId="44" xfId="0" applyNumberFormat="1" applyFont="1" applyFill="1" applyBorder="1" applyAlignment="1">
      <alignment horizontal="center"/>
    </xf>
    <xf numFmtId="164" fontId="26" fillId="25" borderId="45" xfId="0" applyNumberFormat="1" applyFont="1" applyFill="1" applyBorder="1" applyAlignment="1">
      <alignment horizontal="center"/>
    </xf>
    <xf numFmtId="165" fontId="0" fillId="26" borderId="28" xfId="0" applyNumberFormat="1" applyFill="1" applyBorder="1"/>
    <xf numFmtId="165" fontId="0" fillId="23" borderId="28" xfId="0" applyNumberFormat="1" applyFill="1" applyBorder="1"/>
    <xf numFmtId="3" fontId="0" fillId="26" borderId="28" xfId="0" applyNumberFormat="1" applyFill="1" applyBorder="1"/>
    <xf numFmtId="3" fontId="0" fillId="23" borderId="28" xfId="0" applyNumberFormat="1" applyFill="1" applyBorder="1"/>
    <xf numFmtId="3" fontId="0" fillId="26" borderId="28" xfId="0" applyNumberFormat="1" applyFill="1" applyBorder="1" applyAlignment="1">
      <alignment horizontal="right"/>
    </xf>
    <xf numFmtId="0" fontId="0" fillId="23" borderId="28" xfId="0" applyNumberFormat="1" applyFill="1" applyBorder="1" applyAlignment="1">
      <alignment horizontal="right"/>
    </xf>
    <xf numFmtId="0" fontId="0" fillId="26" borderId="28" xfId="0" applyNumberFormat="1" applyFill="1" applyBorder="1" applyAlignment="1">
      <alignment horizontal="right"/>
    </xf>
    <xf numFmtId="0" fontId="0" fillId="6" borderId="0" xfId="0" applyFill="1" applyBorder="1" applyAlignment="1" applyProtection="1"/>
    <xf numFmtId="0" fontId="0" fillId="6" borderId="0" xfId="0" applyFill="1" applyBorder="1" applyAlignment="1" applyProtection="1"/>
    <xf numFmtId="0" fontId="0" fillId="6" borderId="0" xfId="0" applyFill="1" applyBorder="1" applyAlignment="1" applyProtection="1"/>
    <xf numFmtId="0" fontId="0" fillId="6" borderId="0" xfId="0" applyFill="1" applyBorder="1" applyAlignment="1" applyProtection="1"/>
    <xf numFmtId="0" fontId="0" fillId="0" borderId="0" xfId="0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10" fontId="0" fillId="0" borderId="2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165" fontId="0" fillId="27" borderId="31" xfId="0" applyNumberFormat="1" applyFont="1" applyFill="1" applyBorder="1" applyAlignment="1">
      <alignment horizontal="center" vertical="center"/>
    </xf>
    <xf numFmtId="164" fontId="18" fillId="20" borderId="35" xfId="0" applyNumberFormat="1" applyFont="1" applyFill="1" applyBorder="1" applyAlignment="1" applyProtection="1">
      <alignment horizontal="right" vertical="center" wrapText="1"/>
    </xf>
    <xf numFmtId="0" fontId="0" fillId="6" borderId="0" xfId="0" applyFill="1" applyBorder="1" applyAlignment="1" applyProtection="1"/>
    <xf numFmtId="0" fontId="0" fillId="0" borderId="0" xfId="0" applyAlignment="1"/>
    <xf numFmtId="0" fontId="28" fillId="24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8" borderId="0" xfId="0" applyFont="1" applyFill="1" applyBorder="1" applyAlignment="1" applyProtection="1">
      <alignment horizontal="left" vertical="top" wrapText="1" indent="12"/>
    </xf>
    <xf numFmtId="0" fontId="0" fillId="28" borderId="0" xfId="0" applyFill="1" applyAlignment="1">
      <alignment horizontal="left" vertical="top" indent="12"/>
    </xf>
    <xf numFmtId="0" fontId="0" fillId="28" borderId="0" xfId="0" applyFill="1" applyBorder="1" applyAlignment="1" applyProtection="1"/>
    <xf numFmtId="0" fontId="0" fillId="28" borderId="0" xfId="0" applyFill="1" applyAlignment="1" applyProtection="1"/>
    <xf numFmtId="0" fontId="0" fillId="28" borderId="0" xfId="0" applyFill="1" applyBorder="1" applyAlignment="1" applyProtection="1"/>
    <xf numFmtId="0" fontId="0" fillId="28" borderId="0" xfId="0" applyFill="1" applyProtection="1"/>
    <xf numFmtId="0" fontId="5" fillId="28" borderId="0" xfId="0" applyFont="1" applyFill="1" applyBorder="1" applyAlignment="1" applyProtection="1"/>
    <xf numFmtId="0" fontId="0" fillId="28" borderId="0" xfId="0" applyFill="1" applyBorder="1" applyAlignment="1" applyProtection="1">
      <alignment vertical="top" wrapText="1"/>
    </xf>
    <xf numFmtId="0" fontId="0" fillId="28" borderId="0" xfId="0" applyFill="1" applyBorder="1" applyAlignment="1" applyProtection="1">
      <alignment vertical="center"/>
    </xf>
    <xf numFmtId="0" fontId="0" fillId="28" borderId="0" xfId="0" applyFill="1" applyBorder="1" applyAlignment="1" applyProtection="1">
      <alignment horizontal="right" vertical="center"/>
    </xf>
    <xf numFmtId="0" fontId="0" fillId="28" borderId="0" xfId="0" applyFill="1" applyBorder="1" applyAlignment="1" applyProtection="1">
      <alignment horizontal="left"/>
    </xf>
    <xf numFmtId="164" fontId="0" fillId="28" borderId="0" xfId="0" applyNumberFormat="1" applyFill="1" applyBorder="1" applyAlignment="1" applyProtection="1">
      <alignment vertical="center"/>
    </xf>
    <xf numFmtId="0" fontId="0" fillId="29" borderId="0" xfId="0" applyFill="1" applyBorder="1" applyAlignment="1" applyProtection="1"/>
    <xf numFmtId="0" fontId="0" fillId="29" borderId="0" xfId="0" applyFill="1" applyBorder="1" applyProtection="1"/>
    <xf numFmtId="0" fontId="0" fillId="29" borderId="0" xfId="0" applyFill="1" applyProtection="1"/>
    <xf numFmtId="2" fontId="0" fillId="29" borderId="0" xfId="0" applyNumberFormat="1" applyFill="1" applyAlignment="1" applyProtection="1"/>
    <xf numFmtId="166" fontId="0" fillId="29" borderId="0" xfId="0" applyNumberFormat="1" applyFill="1" applyProtection="1"/>
    <xf numFmtId="0" fontId="0" fillId="29" borderId="0" xfId="0" applyFill="1" applyAlignment="1" applyProtection="1"/>
    <xf numFmtId="0" fontId="19" fillId="29" borderId="0" xfId="0" applyFont="1" applyFill="1" applyBorder="1" applyAlignment="1" applyProtection="1"/>
    <xf numFmtId="0" fontId="0" fillId="29" borderId="0" xfId="0" applyFill="1" applyBorder="1" applyAlignment="1" applyProtection="1">
      <alignment horizontal="right" vertical="center"/>
    </xf>
    <xf numFmtId="164" fontId="0" fillId="29" borderId="0" xfId="0" applyNumberFormat="1" applyFont="1" applyFill="1" applyBorder="1" applyAlignment="1" applyProtection="1">
      <alignment vertical="center"/>
    </xf>
    <xf numFmtId="164" fontId="0" fillId="29" borderId="0" xfId="0" applyNumberFormat="1" applyFill="1" applyBorder="1" applyAlignment="1" applyProtection="1">
      <alignment vertical="center"/>
    </xf>
    <xf numFmtId="0" fontId="0" fillId="29" borderId="46" xfId="0" applyFill="1" applyBorder="1" applyAlignment="1" applyProtection="1"/>
    <xf numFmtId="0" fontId="0" fillId="29" borderId="47" xfId="0" applyFill="1" applyBorder="1" applyAlignment="1" applyProtection="1"/>
    <xf numFmtId="0" fontId="1" fillId="29" borderId="0" xfId="0" applyFont="1" applyFill="1" applyBorder="1" applyAlignment="1" applyProtection="1"/>
    <xf numFmtId="0" fontId="0" fillId="29" borderId="0" xfId="0" applyFill="1" applyBorder="1" applyAlignment="1" applyProtection="1"/>
    <xf numFmtId="4" fontId="12" fillId="5" borderId="48" xfId="0" applyNumberFormat="1" applyFont="1" applyFill="1" applyBorder="1" applyAlignment="1" applyProtection="1">
      <alignment horizontal="center" vertical="center"/>
      <protection locked="0"/>
    </xf>
    <xf numFmtId="1" fontId="13" fillId="0" borderId="50" xfId="0" applyNumberFormat="1" applyFont="1" applyFill="1" applyBorder="1" applyAlignment="1" applyProtection="1">
      <alignment horizontal="center" vertical="center"/>
      <protection locked="0"/>
    </xf>
    <xf numFmtId="1" fontId="13" fillId="29" borderId="51" xfId="0" applyNumberFormat="1" applyFont="1" applyFill="1" applyBorder="1" applyAlignment="1" applyProtection="1">
      <alignment horizontal="center" vertical="center"/>
    </xf>
    <xf numFmtId="1" fontId="24" fillId="29" borderId="51" xfId="0" applyNumberFormat="1" applyFont="1" applyFill="1" applyBorder="1" applyAlignment="1" applyProtection="1">
      <alignment horizontal="center" vertical="center"/>
    </xf>
    <xf numFmtId="1" fontId="24" fillId="29" borderId="49" xfId="0" applyNumberFormat="1" applyFont="1" applyFill="1" applyBorder="1" applyAlignment="1" applyProtection="1">
      <alignment horizontal="center" vertical="center"/>
    </xf>
    <xf numFmtId="0" fontId="0" fillId="29" borderId="52" xfId="0" applyFill="1" applyBorder="1" applyAlignment="1" applyProtection="1"/>
    <xf numFmtId="0" fontId="0" fillId="0" borderId="53" xfId="0" applyBorder="1" applyAlignment="1" applyProtection="1">
      <alignment vertical="center"/>
    </xf>
    <xf numFmtId="0" fontId="0" fillId="0" borderId="53" xfId="0" applyBorder="1" applyAlignment="1" applyProtection="1">
      <alignment horizontal="right" vertical="center"/>
    </xf>
    <xf numFmtId="0" fontId="0" fillId="29" borderId="0" xfId="0" applyFont="1" applyFill="1" applyBorder="1" applyAlignment="1" applyProtection="1"/>
    <xf numFmtId="0" fontId="0" fillId="28" borderId="0" xfId="0" applyFill="1" applyBorder="1" applyProtection="1"/>
    <xf numFmtId="0" fontId="0" fillId="28" borderId="0" xfId="0" applyFill="1" applyBorder="1" applyAlignment="1" applyProtection="1">
      <alignment vertical="center" wrapText="1"/>
    </xf>
    <xf numFmtId="0" fontId="31" fillId="24" borderId="1" xfId="0" applyFont="1" applyFill="1" applyBorder="1" applyAlignment="1" applyProtection="1">
      <alignment vertical="center"/>
    </xf>
    <xf numFmtId="0" fontId="31" fillId="24" borderId="2" xfId="0" applyFont="1" applyFill="1" applyBorder="1" applyAlignment="1" applyProtection="1">
      <alignment vertical="center"/>
    </xf>
    <xf numFmtId="0" fontId="31" fillId="24" borderId="17" xfId="0" applyFont="1" applyFill="1" applyBorder="1" applyAlignment="1" applyProtection="1">
      <alignment vertical="center"/>
    </xf>
    <xf numFmtId="0" fontId="31" fillId="24" borderId="28" xfId="0" applyFont="1" applyFill="1" applyBorder="1" applyAlignment="1" applyProtection="1">
      <alignment vertical="center" wrapText="1"/>
    </xf>
    <xf numFmtId="0" fontId="31" fillId="29" borderId="0" xfId="0" applyFont="1" applyFill="1" applyAlignment="1" applyProtection="1">
      <alignment vertical="center" wrapText="1"/>
    </xf>
    <xf numFmtId="0" fontId="31" fillId="24" borderId="1" xfId="0" applyFont="1" applyFill="1" applyBorder="1" applyAlignment="1" applyProtection="1">
      <alignment vertical="center" wrapText="1"/>
    </xf>
    <xf numFmtId="0" fontId="31" fillId="24" borderId="2" xfId="0" applyFont="1" applyFill="1" applyBorder="1" applyAlignment="1" applyProtection="1">
      <alignment vertical="center" wrapText="1"/>
    </xf>
    <xf numFmtId="0" fontId="31" fillId="0" borderId="2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1" fillId="28" borderId="0" xfId="0" applyFont="1" applyFill="1" applyBorder="1" applyProtection="1"/>
    <xf numFmtId="0" fontId="31" fillId="29" borderId="0" xfId="0" applyFont="1" applyFill="1" applyAlignment="1" applyProtection="1">
      <alignment horizontal="right"/>
    </xf>
    <xf numFmtId="0" fontId="0" fillId="29" borderId="52" xfId="0" applyFill="1" applyBorder="1" applyAlignment="1" applyProtection="1">
      <alignment horizontal="right"/>
    </xf>
    <xf numFmtId="166" fontId="6" fillId="21" borderId="55" xfId="0" applyNumberFormat="1" applyFont="1" applyFill="1" applyBorder="1" applyAlignment="1" applyProtection="1">
      <alignment horizontal="center" vertical="center"/>
    </xf>
    <xf numFmtId="166" fontId="25" fillId="21" borderId="55" xfId="0" applyNumberFormat="1" applyFont="1" applyFill="1" applyBorder="1" applyAlignment="1" applyProtection="1">
      <alignment horizontal="center" vertical="center"/>
    </xf>
    <xf numFmtId="164" fontId="13" fillId="0" borderId="54" xfId="0" applyNumberFormat="1" applyFont="1" applyFill="1" applyBorder="1" applyAlignment="1" applyProtection="1">
      <alignment horizontal="center" vertical="center"/>
    </xf>
    <xf numFmtId="164" fontId="24" fillId="0" borderId="54" xfId="0" applyNumberFormat="1" applyFont="1" applyFill="1" applyBorder="1" applyAlignment="1" applyProtection="1">
      <alignment horizontal="center" vertical="center"/>
    </xf>
    <xf numFmtId="0" fontId="34" fillId="28" borderId="0" xfId="0" applyFont="1" applyFill="1" applyBorder="1" applyAlignment="1" applyProtection="1">
      <alignment vertical="center" wrapText="1"/>
    </xf>
    <xf numFmtId="0" fontId="34" fillId="28" borderId="0" xfId="0" applyFont="1" applyFill="1" applyBorder="1" applyAlignment="1">
      <alignment vertical="center" wrapText="1"/>
    </xf>
    <xf numFmtId="0" fontId="14" fillId="7" borderId="56" xfId="0" applyFont="1" applyFill="1" applyBorder="1" applyAlignment="1" applyProtection="1">
      <alignment horizontal="left" vertical="center" wrapText="1"/>
    </xf>
    <xf numFmtId="0" fontId="14" fillId="4" borderId="57" xfId="0" applyFont="1" applyFill="1" applyBorder="1" applyAlignment="1" applyProtection="1">
      <alignment horizontal="left" vertical="center" wrapText="1"/>
    </xf>
    <xf numFmtId="164" fontId="12" fillId="19" borderId="58" xfId="0" applyNumberFormat="1" applyFont="1" applyFill="1" applyBorder="1" applyAlignment="1" applyProtection="1">
      <alignment horizontal="center" vertical="center"/>
      <protection locked="0"/>
    </xf>
    <xf numFmtId="0" fontId="14" fillId="0" borderId="59" xfId="0" applyFont="1" applyBorder="1" applyAlignment="1" applyProtection="1">
      <alignment horizontal="left" vertical="center" wrapText="1"/>
    </xf>
    <xf numFmtId="0" fontId="14" fillId="0" borderId="61" xfId="0" applyFont="1" applyBorder="1" applyAlignment="1" applyProtection="1">
      <alignment vertical="center" wrapText="1"/>
    </xf>
    <xf numFmtId="0" fontId="23" fillId="0" borderId="62" xfId="0" applyFont="1" applyFill="1" applyBorder="1" applyAlignment="1" applyProtection="1">
      <alignment horizontal="left" vertical="center"/>
    </xf>
    <xf numFmtId="3" fontId="20" fillId="11" borderId="63" xfId="0" applyNumberFormat="1" applyFont="1" applyFill="1" applyBorder="1" applyAlignment="1" applyProtection="1">
      <alignment horizontal="right" vertical="center" wrapText="1"/>
    </xf>
    <xf numFmtId="3" fontId="20" fillId="11" borderId="64" xfId="0" applyNumberFormat="1" applyFont="1" applyFill="1" applyBorder="1" applyAlignment="1" applyProtection="1">
      <alignment horizontal="right" vertical="center" wrapText="1"/>
    </xf>
    <xf numFmtId="1" fontId="7" fillId="14" borderId="65" xfId="0" applyNumberFormat="1" applyFont="1" applyFill="1" applyBorder="1" applyAlignment="1" applyProtection="1">
      <alignment horizontal="right" vertical="center" wrapText="1"/>
    </xf>
    <xf numFmtId="0" fontId="31" fillId="28" borderId="0" xfId="0" applyFont="1" applyFill="1" applyBorder="1" applyAlignment="1" applyProtection="1">
      <alignment horizontal="right"/>
    </xf>
    <xf numFmtId="0" fontId="9" fillId="9" borderId="66" xfId="0" applyFont="1" applyFill="1" applyBorder="1" applyAlignment="1" applyProtection="1">
      <alignment horizontal="center" vertical="center" wrapText="1"/>
    </xf>
    <xf numFmtId="0" fontId="9" fillId="9" borderId="67" xfId="0" applyFont="1" applyFill="1" applyBorder="1" applyAlignment="1" applyProtection="1">
      <alignment horizontal="center" vertical="center" wrapText="1"/>
    </xf>
    <xf numFmtId="0" fontId="8" fillId="12" borderId="68" xfId="0" applyFont="1" applyFill="1" applyBorder="1" applyAlignment="1" applyProtection="1">
      <alignment horizontal="center" vertical="center" wrapText="1"/>
    </xf>
    <xf numFmtId="0" fontId="8" fillId="12" borderId="69" xfId="0" applyFont="1" applyFill="1" applyBorder="1" applyAlignment="1" applyProtection="1">
      <alignment horizontal="center" vertical="center" wrapText="1"/>
    </xf>
    <xf numFmtId="0" fontId="10" fillId="17" borderId="70" xfId="0" applyFont="1" applyFill="1" applyBorder="1" applyAlignment="1" applyProtection="1">
      <alignment horizontal="center" vertical="center" wrapText="1"/>
    </xf>
    <xf numFmtId="0" fontId="10" fillId="17" borderId="71" xfId="0" applyFont="1" applyFill="1" applyBorder="1" applyAlignment="1" applyProtection="1">
      <alignment horizontal="center" vertical="center" wrapText="1"/>
    </xf>
    <xf numFmtId="0" fontId="21" fillId="8" borderId="60" xfId="0" applyFont="1" applyFill="1" applyBorder="1" applyAlignment="1" applyProtection="1">
      <alignment horizontal="center" vertical="center" wrapText="1"/>
    </xf>
    <xf numFmtId="0" fontId="8" fillId="10" borderId="60" xfId="0" applyFont="1" applyFill="1" applyBorder="1" applyAlignment="1" applyProtection="1">
      <alignment horizontal="center" vertical="center" wrapText="1"/>
    </xf>
    <xf numFmtId="0" fontId="22" fillId="15" borderId="60" xfId="0" applyFont="1" applyFill="1" applyBorder="1" applyAlignment="1" applyProtection="1">
      <alignment horizontal="center" vertical="center" wrapText="1"/>
    </xf>
    <xf numFmtId="0" fontId="22" fillId="16" borderId="59" xfId="0" applyFont="1" applyFill="1" applyBorder="1" applyAlignment="1" applyProtection="1">
      <alignment horizontal="center" vertical="center" wrapText="1"/>
    </xf>
    <xf numFmtId="0" fontId="21" fillId="8" borderId="50" xfId="0" applyFont="1" applyFill="1" applyBorder="1" applyAlignment="1" applyProtection="1">
      <alignment horizontal="center" vertical="center" wrapText="1"/>
    </xf>
    <xf numFmtId="3" fontId="13" fillId="0" borderId="50" xfId="0" applyNumberFormat="1" applyFont="1" applyFill="1" applyBorder="1" applyAlignment="1" applyProtection="1">
      <alignment horizontal="center" vertical="center"/>
    </xf>
    <xf numFmtId="3" fontId="24" fillId="0" borderId="50" xfId="0" applyNumberFormat="1" applyFont="1" applyFill="1" applyBorder="1" applyAlignment="1" applyProtection="1">
      <alignment horizontal="center" vertical="center"/>
    </xf>
    <xf numFmtId="0" fontId="21" fillId="8" borderId="61" xfId="0" applyFont="1" applyFill="1" applyBorder="1" applyAlignment="1" applyProtection="1">
      <alignment horizontal="center" vertical="center" wrapText="1"/>
    </xf>
    <xf numFmtId="3" fontId="13" fillId="0" borderId="62" xfId="0" applyNumberFormat="1" applyFont="1" applyFill="1" applyBorder="1" applyAlignment="1" applyProtection="1">
      <alignment horizontal="center" vertical="center"/>
    </xf>
    <xf numFmtId="3" fontId="24" fillId="0" borderId="62" xfId="0" applyNumberFormat="1" applyFont="1" applyFill="1" applyBorder="1" applyAlignment="1" applyProtection="1">
      <alignment horizontal="center" vertical="center"/>
    </xf>
    <xf numFmtId="0" fontId="19" fillId="24" borderId="72" xfId="0" applyFont="1" applyFill="1" applyBorder="1" applyAlignment="1" applyProtection="1">
      <alignment horizontal="left" vertical="center" wrapText="1" indent="1"/>
    </xf>
    <xf numFmtId="0" fontId="31" fillId="24" borderId="73" xfId="0" applyFont="1" applyFill="1" applyBorder="1" applyAlignment="1" applyProtection="1">
      <alignment horizontal="left" vertical="center" indent="1"/>
    </xf>
    <xf numFmtId="0" fontId="31" fillId="24" borderId="74" xfId="0" applyFont="1" applyFill="1" applyBorder="1" applyAlignment="1" applyProtection="1">
      <alignment horizontal="left" vertical="center" indent="1"/>
    </xf>
  </cellXfs>
  <cellStyles count="1">
    <cellStyle name="Normal" xfId="0" builtinId="0"/>
  </cellStyles>
  <dxfs count="62"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 style="thin">
          <color theme="2" tint="-0.749961851863155"/>
        </horizontal>
      </border>
      <protection locked="1" hidden="0"/>
    </dxf>
    <dxf>
      <font>
        <b val="0"/>
        <strike val="0"/>
        <outline val="0"/>
        <shadow val="0"/>
        <u val="none"/>
        <vertAlign val="baseline"/>
        <sz val="11"/>
        <color rgb="FF172849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ck">
          <color theme="1"/>
        </right>
        <top style="thin">
          <color theme="2" tint="-0.749961851863155"/>
        </top>
        <bottom style="thin">
          <color theme="2" tint="-0.749961851863155"/>
        </bottom>
        <vertical/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" formatCode="0"/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1"/>
        </left>
        <right style="thin">
          <color theme="2" tint="-0.749961851863155"/>
        </right>
        <top style="thin">
          <color theme="1" tint="0.24994659260841701"/>
        </top>
        <bottom style="thin">
          <color theme="1" tint="0.24994659260841701"/>
        </bottom>
        <vertical/>
        <horizontal style="thin">
          <color theme="1" tint="0.24994659260841701"/>
        </horizontal>
      </border>
      <protection locked="1" hidden="0"/>
    </dxf>
    <dxf>
      <font>
        <color rgb="FF375623"/>
      </font>
      <fill>
        <patternFill>
          <bgColor theme="9" tint="0.59996337778862885"/>
        </patternFill>
      </fill>
    </dxf>
    <dxf>
      <font>
        <color rgb="FF375623"/>
      </font>
      <fill>
        <patternFill>
          <bgColor theme="9" tint="0.79998168889431442"/>
        </patternFill>
      </fill>
    </dxf>
    <dxf>
      <font>
        <color rgb="FF833C0C"/>
      </font>
      <fill>
        <patternFill>
          <bgColor theme="5" tint="0.59996337778862885"/>
        </patternFill>
      </fill>
    </dxf>
    <dxf>
      <font>
        <color rgb="FF833C0C"/>
      </font>
      <fill>
        <patternFill>
          <bgColor theme="5" tint="0.79998168889431442"/>
        </patternFill>
      </fill>
    </dxf>
    <dxf>
      <font>
        <color rgb="FF73350B"/>
      </font>
      <fill>
        <patternFill>
          <bgColor rgb="FFFFEEA7"/>
        </patternFill>
      </fill>
    </dxf>
    <dxf>
      <font>
        <color rgb="FF644A00"/>
      </font>
      <fill>
        <patternFill>
          <bgColor rgb="FFFFF5C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 val="0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/>
        <top/>
        <bottom/>
        <vertical style="thin">
          <color theme="8" tint="-0.2499465926084170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fill>
        <patternFill patternType="solid">
          <fgColor indexed="64"/>
          <bgColor theme="7" tint="0.599963377788628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/>
        <top/>
        <bottom/>
        <vertical/>
        <horizontal/>
      </border>
    </dxf>
    <dxf>
      <font>
        <b val="0"/>
      </font>
      <numFmt numFmtId="165" formatCode="0.0%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  <vertical style="thin">
          <color theme="8" tint="-0.24994659260841701"/>
        </vertical>
        <horizontal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/>
        <horizontal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 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font>
        <b val="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8" tint="-0.2499465926084170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8" tint="-0.24994659260841701"/>
        </right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h]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h]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h]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h]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7" formatCode="#,##0.0\ &quot;Hrs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 style="thin">
          <color theme="2" tint="-0.749961851863155"/>
        </vertical>
        <horizontal style="thin">
          <color theme="2" tint="-0.749961851863155"/>
        </horizontal>
      </border>
      <protection locked="0" hidden="0"/>
    </dxf>
    <dxf>
      <border diagonalUp="0" diagonalDown="0">
        <left/>
        <right/>
        <top/>
        <bottom/>
      </border>
    </dxf>
    <dxf>
      <protection locked="1" hidden="0"/>
    </dxf>
    <dxf>
      <border>
        <bottom style="thin">
          <color rgb="FF2037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0.79998168889431442"/>
        <name val="Calibri"/>
        <scheme val="minor"/>
      </font>
      <alignment horizontal="general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38B6FF"/>
      <color rgb="FFFFEEA7"/>
      <color rgb="FFFFF5C8"/>
      <color rgb="FFFFF7AB"/>
      <color rgb="FFFFFBD5"/>
      <color rgb="FFCDE1BE"/>
      <color rgb="FF375623"/>
      <color rgb="FFB9C3A5"/>
      <color rgb="FFFFD2C3"/>
      <color rgb="FF83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Total Automated Checks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4CF7-4954-972C-1BA4F18588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CF7-4954-972C-1BA4F185885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CF7-4954-972C-1BA4F185885C}"/>
              </c:ext>
            </c:extLst>
          </c:dPt>
          <c:cat>
            <c:strLit>
              <c:ptCount val="3"/>
              <c:pt idx="0">
                <c:v>Total Checks</c:v>
              </c:pt>
              <c:pt idx="1">
                <c:v>DISA SCAP</c:v>
              </c:pt>
              <c:pt idx="2">
                <c:v>Evaluate-STIG</c:v>
              </c:pt>
            </c:strLit>
          </c:cat>
          <c:val>
            <c:numRef>
              <c:f>Charts!$CK$4:$CK$6</c:f>
              <c:numCache>
                <c:formatCode>#,##0</c:formatCode>
                <c:ptCount val="3"/>
                <c:pt idx="0">
                  <c:v>1069977</c:v>
                </c:pt>
                <c:pt idx="1">
                  <c:v>693033</c:v>
                </c:pt>
                <c:pt idx="2">
                  <c:v>1036369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F7-4954-972C-1BA4F185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19384"/>
        <c:axId val="32620040"/>
      </c:barChart>
      <c:barChart>
        <c:barDir val="bar"/>
        <c:grouping val="clustered"/>
        <c:varyColors val="0"/>
        <c:ser>
          <c:idx val="1"/>
          <c:order val="1"/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Charts!$CM$4:$CM$6</c:f>
              <c:strCache>
                <c:ptCount val="3"/>
                <c:pt idx="0">
                  <c:v>1,069,977</c:v>
                </c:pt>
                <c:pt idx="1">
                  <c:v>693,033
 (64.8%)</c:v>
                </c:pt>
                <c:pt idx="2">
                  <c:v>1,036,369
 (96.9%)</c:v>
                </c:pt>
              </c:strCache>
            </c:strRef>
          </c:cat>
          <c:val>
            <c:numRef>
              <c:f>Charts!$CK$4:$CK$6</c:f>
              <c:numCache>
                <c:formatCode>#,##0</c:formatCode>
                <c:ptCount val="3"/>
                <c:pt idx="0">
                  <c:v>1069977</c:v>
                </c:pt>
                <c:pt idx="1">
                  <c:v>693033</c:v>
                </c:pt>
                <c:pt idx="2">
                  <c:v>1036369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CF7-4954-972C-1BA4F185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912552"/>
        <c:axId val="441911240"/>
      </c:barChart>
      <c:catAx>
        <c:axId val="326193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0040"/>
        <c:crosses val="autoZero"/>
        <c:auto val="1"/>
        <c:lblAlgn val="ctr"/>
        <c:lblOffset val="100"/>
        <c:noMultiLvlLbl val="0"/>
      </c:catAx>
      <c:valAx>
        <c:axId val="32620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AUTOMATED CHECKS</a:t>
                </a:r>
                <a:r>
                  <a:rPr lang="en-US" baseline="0"/>
                  <a:t> BY TOOL COMPARED TO TOTAL stig checks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384"/>
        <c:crosses val="autoZero"/>
        <c:crossBetween val="between"/>
      </c:valAx>
      <c:valAx>
        <c:axId val="441911240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441912552"/>
        <c:crosses val="autoZero"/>
        <c:crossBetween val="between"/>
      </c:valAx>
      <c:catAx>
        <c:axId val="441912552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419112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Total</a:t>
            </a:r>
            <a:r>
              <a:rPr lang="en-US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Work Days to Complete STIG Review</a:t>
            </a:r>
          </a:p>
          <a:p>
            <a:pPr>
              <a:defRPr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defRPr>
            </a:pPr>
            <a:r>
              <a:rPr lang="en-US" sz="800" b="0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* Lower is Better</a:t>
            </a:r>
            <a:endParaRPr lang="en-US" sz="8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E1-43E4-A701-E5CA2B2B4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E1-43E4-A701-E5CA2B2B452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E1-43E4-A701-E5CA2B2B452F}"/>
              </c:ext>
            </c:extLst>
          </c:dPt>
          <c:dLbls>
            <c:numFmt formatCode="#.00\ &quot;days&quot;" sourceLinked="0"/>
            <c:spPr>
              <a:solidFill>
                <a:schemeClr val="l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Manual Review</c:v>
              </c:pt>
              <c:pt idx="1">
                <c:v>DISA SCAP</c:v>
              </c:pt>
              <c:pt idx="2">
                <c:v>Evaluate-STIG</c:v>
              </c:pt>
            </c:strLit>
          </c:cat>
          <c:val>
            <c:numRef>
              <c:f>Calculator!$V$93:$X$93</c:f>
              <c:numCache>
                <c:formatCode>0.00</c:formatCode>
                <c:ptCount val="3"/>
                <c:pt idx="0">
                  <c:v>10031.034375000001</c:v>
                </c:pt>
                <c:pt idx="1">
                  <c:v>3533.8500000000004</c:v>
                </c:pt>
                <c:pt idx="2">
                  <c:v>315.07499999999999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E1-43E4-A701-E5CA2B2B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19384"/>
        <c:axId val="32620040"/>
      </c:barChart>
      <c:catAx>
        <c:axId val="3261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0040"/>
        <c:crosses val="autoZero"/>
        <c:auto val="1"/>
        <c:lblAlgn val="ctr"/>
        <c:lblOffset val="100"/>
        <c:noMultiLvlLbl val="0"/>
      </c:catAx>
      <c:valAx>
        <c:axId val="326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(8</a:t>
                </a:r>
                <a:r>
                  <a:rPr lang="en-US" baseline="0"/>
                  <a:t> </a:t>
                </a:r>
                <a:r>
                  <a:rPr lang="en-US"/>
                  <a:t>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38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Annual Cost to Complete</a:t>
            </a:r>
            <a:br>
              <a:rPr lang="en-US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</a:br>
            <a:r>
              <a:rPr lang="en-US" sz="800" b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*</a:t>
            </a:r>
            <a:r>
              <a:rPr lang="en-US" sz="800" b="0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Assumes Quartely Reviews | </a:t>
            </a:r>
            <a:r>
              <a:rPr lang="en-US" sz="800" b="0" i="0" u="none" strike="noStrike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* Lower is Better</a:t>
            </a:r>
            <a:endParaRPr lang="en-US" sz="8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Manual Review</c:v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non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Calculator!$AE$11:$AH$11</c:f>
              <c:numCache>
                <c:formatCode>"$"#,##0.00</c:formatCode>
                <c:ptCount val="4"/>
                <c:pt idx="0">
                  <c:v>8024827.5</c:v>
                </c:pt>
                <c:pt idx="1">
                  <c:v>16049655</c:v>
                </c:pt>
                <c:pt idx="2">
                  <c:v>24074482.5</c:v>
                </c:pt>
                <c:pt idx="3">
                  <c:v>32099310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6-4466-8F24-ACDD8C721753}"/>
            </c:ext>
          </c:extLst>
        </c:ser>
        <c:ser>
          <c:idx val="1"/>
          <c:order val="1"/>
          <c:tx>
            <c:v>DISA SCAP</c:v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non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Calculator!$AE$12:$AH$12</c:f>
              <c:numCache>
                <c:formatCode>"$"#,##0.00</c:formatCode>
                <c:ptCount val="4"/>
                <c:pt idx="0">
                  <c:v>2827080</c:v>
                </c:pt>
                <c:pt idx="1">
                  <c:v>5654160</c:v>
                </c:pt>
                <c:pt idx="2">
                  <c:v>8481240</c:v>
                </c:pt>
                <c:pt idx="3">
                  <c:v>11308320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6-4466-8F24-ACDD8C721753}"/>
            </c:ext>
          </c:extLst>
        </c:ser>
        <c:ser>
          <c:idx val="0"/>
          <c:order val="2"/>
          <c:tx>
            <c:v>Evaluate-STIG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non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Q1</c:v>
              </c:pt>
              <c:pt idx="1">
                <c:v>Q2</c:v>
              </c:pt>
              <c:pt idx="2">
                <c:v>Q3</c:v>
              </c:pt>
              <c:pt idx="3">
                <c:v>Q4</c:v>
              </c:pt>
            </c:strLit>
          </c:cat>
          <c:val>
            <c:numRef>
              <c:f>Calculator!$AE$13:$AH$13</c:f>
              <c:numCache>
                <c:formatCode>"$"#,##0.00</c:formatCode>
                <c:ptCount val="4"/>
                <c:pt idx="0">
                  <c:v>252060</c:v>
                </c:pt>
                <c:pt idx="1">
                  <c:v>504120</c:v>
                </c:pt>
                <c:pt idx="2">
                  <c:v>756180</c:v>
                </c:pt>
                <c:pt idx="3">
                  <c:v>1008240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6-4466-8F24-ACDD8C72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9384"/>
        <c:axId val="32620040"/>
      </c:lineChart>
      <c:catAx>
        <c:axId val="3261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0040"/>
        <c:crosses val="autoZero"/>
        <c:auto val="1"/>
        <c:lblAlgn val="ctr"/>
        <c:lblOffset val="100"/>
        <c:noMultiLvlLbl val="0"/>
      </c:catAx>
      <c:valAx>
        <c:axId val="326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labor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Productivity Gain</a:t>
            </a:r>
            <a:r>
              <a:rPr lang="en-US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over Manual Review</a:t>
            </a:r>
            <a:endParaRPr lang="en-US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A9-48A2-A562-B14D29BCFD4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A9-48A2-A562-B14D29BCFD4E}"/>
              </c:ext>
            </c:extLst>
          </c:dPt>
          <c:dLbls>
            <c:numFmt formatCode="#,##0.00\ \x" sourceLinked="0"/>
            <c:spPr>
              <a:solidFill>
                <a:schemeClr val="l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non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DISA SCAP</c:v>
              </c:pt>
              <c:pt idx="1">
                <c:v>Evaluate-STIG</c:v>
              </c:pt>
            </c:strLit>
          </c:cat>
          <c:val>
            <c:numRef>
              <c:f>Calculator!$O$7:$P$7</c:f>
              <c:numCache>
                <c:formatCode>0.00%</c:formatCode>
                <c:ptCount val="2"/>
                <c:pt idx="0">
                  <c:v>1.8355295664049374</c:v>
                </c:pt>
                <c:pt idx="1">
                  <c:v>28.959595676765424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9-48A2-A562-B14D29BCF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19384"/>
        <c:axId val="32620040"/>
      </c:barChart>
      <c:catAx>
        <c:axId val="3261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0040"/>
        <c:crosses val="autoZero"/>
        <c:auto val="1"/>
        <c:lblAlgn val="ctr"/>
        <c:lblOffset val="100"/>
        <c:noMultiLvlLbl val="0"/>
      </c:catAx>
      <c:valAx>
        <c:axId val="326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multiplier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\x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38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Remaining Non-Automated Checks</a:t>
            </a:r>
            <a:br>
              <a:rPr lang="en-US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</a:br>
            <a:r>
              <a:rPr lang="en-US" sz="80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en-US" sz="800" b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* Total "NR" Items After Scan</a:t>
            </a:r>
            <a:r>
              <a:rPr lang="en-US" sz="800" b="0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| * Smaller is Better</a:t>
            </a:r>
            <a:endParaRPr lang="en-US" sz="8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272-4492-9B04-42BB77D919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6272-4492-9B04-42BB77D919C0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272-4492-9B04-42BB77D919C0}"/>
              </c:ext>
            </c:extLst>
          </c:dPt>
          <c:cat>
            <c:strRef>
              <c:f>Charts!$CJ$10:$CJ$12</c:f>
              <c:strCache>
                <c:ptCount val="3"/>
                <c:pt idx="0">
                  <c:v>Total Checks</c:v>
                </c:pt>
                <c:pt idx="1">
                  <c:v>DISA SCAP</c:v>
                </c:pt>
                <c:pt idx="2">
                  <c:v>Evaluate-STIG</c:v>
                </c:pt>
              </c:strCache>
            </c:strRef>
          </c:cat>
          <c:val>
            <c:numRef>
              <c:f>Charts!$CK$10:$CK$12</c:f>
              <c:numCache>
                <c:formatCode>#,##0</c:formatCode>
                <c:ptCount val="3"/>
                <c:pt idx="0">
                  <c:v>1069977</c:v>
                </c:pt>
                <c:pt idx="1">
                  <c:v>376944</c:v>
                </c:pt>
                <c:pt idx="2">
                  <c:v>33608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2-4492-9B04-42BB77D9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19384"/>
        <c:axId val="32620040"/>
      </c:barChart>
      <c:barChart>
        <c:barDir val="bar"/>
        <c:grouping val="clustered"/>
        <c:varyColors val="0"/>
        <c:ser>
          <c:idx val="1"/>
          <c:order val="1"/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Charts!$CM$10:$CM$12</c:f>
              <c:strCache>
                <c:ptCount val="3"/>
                <c:pt idx="0">
                  <c:v>1,069,977</c:v>
                </c:pt>
                <c:pt idx="1">
                  <c:v>376,944
 (35.2%)</c:v>
                </c:pt>
                <c:pt idx="2">
                  <c:v>33,608
 (3.1%)</c:v>
                </c:pt>
              </c:strCache>
            </c:strRef>
          </c:cat>
          <c:val>
            <c:numRef>
              <c:f>Charts!$CK$10:$CK$12</c:f>
              <c:numCache>
                <c:formatCode>#,##0</c:formatCode>
                <c:ptCount val="3"/>
                <c:pt idx="0">
                  <c:v>1069977</c:v>
                </c:pt>
                <c:pt idx="1">
                  <c:v>376944</c:v>
                </c:pt>
                <c:pt idx="2">
                  <c:v>33608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2-4492-9B04-42BB77D9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904680"/>
        <c:axId val="441914520"/>
      </c:barChart>
      <c:catAx>
        <c:axId val="326193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0040"/>
        <c:crosses val="autoZero"/>
        <c:auto val="1"/>
        <c:lblAlgn val="ctr"/>
        <c:lblOffset val="100"/>
        <c:noMultiLvlLbl val="0"/>
      </c:catAx>
      <c:valAx>
        <c:axId val="32620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not reviewed items after scan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384"/>
        <c:crosses val="autoZero"/>
        <c:crossBetween val="between"/>
      </c:valAx>
      <c:valAx>
        <c:axId val="441914520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441904680"/>
        <c:crosses val="autoZero"/>
        <c:crossBetween val="between"/>
      </c:valAx>
      <c:catAx>
        <c:axId val="441904680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419145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Annual Cost Avoidance Over Manual Review</a:t>
            </a:r>
            <a:br>
              <a:rPr lang="en-US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</a:br>
            <a:r>
              <a:rPr lang="en-US" sz="800" b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*</a:t>
            </a:r>
            <a:r>
              <a:rPr lang="en-US" sz="800" b="0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 Assumes Quartely Reviews | </a:t>
            </a:r>
            <a:r>
              <a:rPr lang="en-US" sz="800" b="0" i="0" baseline="0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* Higher is Better</a:t>
            </a:r>
            <a:endParaRPr lang="en-US" sz="8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Charts!$CK$29</c:f>
              <c:strCache>
                <c:ptCount val="1"/>
                <c:pt idx="0">
                  <c:v>Evaluate-STIG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rgbClr val="92D050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rgbClr val="92D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Charts!$CI$30:$CI$33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Charts!$CK$30:$CK$33</c:f>
              <c:numCache>
                <c:formatCode>"$"#,##0.00</c:formatCode>
                <c:ptCount val="4"/>
                <c:pt idx="0">
                  <c:v>7772767.5</c:v>
                </c:pt>
                <c:pt idx="1">
                  <c:v>15545535</c:v>
                </c:pt>
                <c:pt idx="2">
                  <c:v>23318302.5</c:v>
                </c:pt>
                <c:pt idx="3">
                  <c:v>31091070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8E-49E6-9BEA-C689B87745DE}"/>
            </c:ext>
          </c:extLst>
        </c:ser>
        <c:ser>
          <c:idx val="0"/>
          <c:order val="1"/>
          <c:tx>
            <c:strRef>
              <c:f>Charts!$CJ$29</c:f>
              <c:strCache>
                <c:ptCount val="1"/>
                <c:pt idx="0">
                  <c:v>DISA SCAP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Charts!$CI$30:$CI$33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Charts!$CJ$30:$CJ$33</c:f>
              <c:numCache>
                <c:formatCode>"$"#,##0.00</c:formatCode>
                <c:ptCount val="4"/>
                <c:pt idx="0">
                  <c:v>5197747.5</c:v>
                </c:pt>
                <c:pt idx="1">
                  <c:v>10395495</c:v>
                </c:pt>
                <c:pt idx="2">
                  <c:v>15593242.5</c:v>
                </c:pt>
                <c:pt idx="3">
                  <c:v>20790990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8E-49E6-9BEA-C689B87745DE}"/>
            </c:ext>
          </c:extLst>
        </c:ser>
        <c:ser>
          <c:idx val="2"/>
          <c:order val="2"/>
          <c:tx>
            <c:strRef>
              <c:f>Charts!$CL$29</c:f>
              <c:strCache>
                <c:ptCount val="1"/>
                <c:pt idx="0">
                  <c:v>Avoidance Over DISA SCAP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8E-49E6-9BEA-C689B87745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8E-49E6-9BEA-C689B87745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8E-49E6-9BEA-C689B87745DE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2FC0B62-2E6A-489F-8C01-230347991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8E-49E6-9BEA-C689B87745DE}"/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upArrow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cat>
            <c:strRef>
              <c:f>Charts!$CI$30:$CI$33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Charts!$CL$30:$CL$33</c:f>
              <c:numCache>
                <c:formatCode>"$"#,##0.00</c:formatCode>
                <c:ptCount val="4"/>
                <c:pt idx="0">
                  <c:v>6485257.5</c:v>
                </c:pt>
                <c:pt idx="1">
                  <c:v>12970515</c:v>
                </c:pt>
                <c:pt idx="2">
                  <c:v>19455772.5</c:v>
                </c:pt>
                <c:pt idx="3">
                  <c:v>25941030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Charts!$CM$30:$CM$33</c15:f>
                <c15:dlblRangeCache>
                  <c:ptCount val="4"/>
                  <c:pt idx="0">
                    <c:v>$2,575,020.00</c:v>
                  </c:pt>
                  <c:pt idx="1">
                    <c:v>$5,150,040.00</c:v>
                  </c:pt>
                  <c:pt idx="2">
                    <c:v>$7,725,060.00</c:v>
                  </c:pt>
                  <c:pt idx="3">
                    <c:v>$10,300,080.00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B8E-49E6-9BEA-C689B877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>
              <a:solidFill>
                <a:srgbClr val="92D050"/>
              </a:solidFill>
              <a:prstDash val="dash"/>
            </a:ln>
            <a:effectLst/>
          </c:spPr>
        </c:hiLowLines>
        <c:marker val="1"/>
        <c:smooth val="0"/>
        <c:axId val="32619384"/>
        <c:axId val="32620040"/>
      </c:lineChart>
      <c:catAx>
        <c:axId val="3261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0040"/>
        <c:crosses val="autoZero"/>
        <c:auto val="1"/>
        <c:lblAlgn val="ctr"/>
        <c:lblOffset val="100"/>
        <c:noMultiLvlLbl val="0"/>
      </c:catAx>
      <c:valAx>
        <c:axId val="326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avoidance over manual review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2</xdr:row>
      <xdr:rowOff>82550</xdr:rowOff>
    </xdr:from>
    <xdr:to>
      <xdr:col>3</xdr:col>
      <xdr:colOff>1193800</xdr:colOff>
      <xdr:row>5</xdr:row>
      <xdr:rowOff>196850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457200"/>
          <a:ext cx="1358900" cy="135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190499</xdr:rowOff>
    </xdr:from>
    <xdr:to>
      <xdr:col>41</xdr:col>
      <xdr:colOff>180974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42</xdr:col>
      <xdr:colOff>0</xdr:colOff>
      <xdr:row>78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84</xdr:col>
      <xdr:colOff>0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53</xdr:row>
      <xdr:rowOff>0</xdr:rowOff>
    </xdr:from>
    <xdr:to>
      <xdr:col>84</xdr:col>
      <xdr:colOff>0</xdr:colOff>
      <xdr:row>78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42</xdr:col>
      <xdr:colOff>0</xdr:colOff>
      <xdr:row>52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27</xdr:row>
      <xdr:rowOff>0</xdr:rowOff>
    </xdr:from>
    <xdr:to>
      <xdr:col>84</xdr:col>
      <xdr:colOff>0</xdr:colOff>
      <xdr:row>52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egsecker, Austin J CTR (USA)" id="{9B5EF4FB-CB43-4E4B-B236-D512B99953E2}" userId="S::austin.j.riegsecker.ctr@us.navy.mil::90879ee9-b81b-4576-8080-2905da02dd9e" providerId="AD"/>
</personList>
</file>

<file path=xl/tables/table1.xml><?xml version="1.0" encoding="utf-8"?>
<table xmlns="http://schemas.openxmlformats.org/spreadsheetml/2006/main" id="1" name="Table242" displayName="Table242" ref="D10:AB91" totalsRowShown="0" headerRowDxfId="61" dataDxfId="59" headerRowBorderDxfId="60" tableBorderDxfId="58">
  <sortState ref="D11:E36">
    <sortCondition ref="D9:D35"/>
  </sortState>
  <tableColumns count="25">
    <tableColumn id="1" name="STIG Supported by Evaluate-STIG" dataDxfId="1">
      <calculatedColumnFormula>(STIG_Metrics!A11)</calculatedColumnFormula>
    </tableColumn>
    <tableColumn id="2" name="Step 2:_x000a_Enter Total Installed Instances of Product" dataDxfId="57"/>
    <tableColumn id="3" name=" " dataDxfId="3"/>
    <tableColumn id="4" name="Total &quot;NR&quot; Checks" dataDxfId="56">
      <calculatedColumnFormula>IF($E11=0,"",(STIG_Metrics!D11)*$E11)</calculatedColumnFormula>
    </tableColumn>
    <tableColumn id="26" name="Completed Checks:_x000a_DISA SCAP" dataDxfId="55">
      <calculatedColumnFormula>IF($E11=0,"",(STIG_Metrics!E11)*$E11)</calculatedColumnFormula>
    </tableColumn>
    <tableColumn id="27" name="Completed Checks:_x000a_Evaluate-STIG" dataDxfId="54">
      <calculatedColumnFormula>IF($E11=0,"",(STIG_Metrics!G11)*$E11)</calculatedColumnFormula>
    </tableColumn>
    <tableColumn id="5" name="Remaining &quot;NR&quot;:_x000a_DISA SCAP" dataDxfId="0">
      <calculatedColumnFormula>IF($E11=0,"",(STIG_Metrics!D11-STIG_Metrics!E11)*$E11)</calculatedColumnFormula>
    </tableColumn>
    <tableColumn id="6" name="Remaining &quot;NR&quot;:_x000a_Evaluate-STIG" dataDxfId="53">
      <calculatedColumnFormula>IF($E11=0,"",(STIG_Metrics!D11-STIG_Metrics!G11)*$E11)</calculatedColumnFormula>
    </tableColumn>
    <tableColumn id="7" name="Time to Complete STIG per Quarter:_x000a_Manual" dataDxfId="52">
      <calculatedColumnFormula>IF($E11=0,"",FLOOR($V11*3,1)&amp;" Days"&amp;TEXT(SUM($V11-TIME(8,0,0)*FLOOR($V11*3,1))," h")&amp;" Hrs")</calculatedColumnFormula>
    </tableColumn>
    <tableColumn id="8" name="Time to Complete STIG Review (8 hr/Day):_x000a_DISA SCAP" dataDxfId="51">
      <calculatedColumnFormula>IF($E11=0,"",FLOOR($W11*3,1)&amp;" Days"&amp;TEXT(SUM($W11-TIME(8,0,0)*FLOOR($W11*3,1))," h")&amp;" Hrs")</calculatedColumnFormula>
    </tableColumn>
    <tableColumn id="9" name="Time to Complete STIG Review (8 hr/Day):_x000a_Evaluate-STIG" dataDxfId="50">
      <calculatedColumnFormula>IF($E11=0,"",FLOOR($X11*3,1)&amp; " Days"&amp;TEXT(SUM($X11-TIME(8,0,0)*FLOOR($X11*3,1))," h") &amp; " Hrs")</calculatedColumnFormula>
    </tableColumn>
    <tableColumn id="10" name="Productivity Gain:_x000a_DISA SCAP vs Manual" dataDxfId="49">
      <calculatedColumnFormula>IF($E11=0,"",STIG_Metrics!O11)</calculatedColumnFormula>
    </tableColumn>
    <tableColumn id="11" name="Productivity Gain:_x000a_Evaluate-STIG vs Manual" dataDxfId="48">
      <calculatedColumnFormula>IF($E11=0,"",STIG_Metrics!P11)</calculatedColumnFormula>
    </tableColumn>
    <tableColumn id="12" name="Cost to Complete STIG per Quarter:_x000a_Manual" dataDxfId="47">
      <calculatedColumnFormula>IF($E11=0,"",((G11*$E$8/60)*$E$7))</calculatedColumnFormula>
    </tableColumn>
    <tableColumn id="13" name="Cost to Complete STIG per Quarter:_x000a_DISA SCAP" dataDxfId="46">
      <calculatedColumnFormula>IF($E11=0,"",((J11*$E$8/60)*$E$7))</calculatedColumnFormula>
    </tableColumn>
    <tableColumn id="14" name="Cost to Complete STIG per Quarter:_x000a_Evaluate-STIG" dataDxfId="45">
      <calculatedColumnFormula>IF($E11=0,"",((K11*$E$8/60)*$E$7))</calculatedColumnFormula>
    </tableColumn>
    <tableColumn id="15" name="Annual Labor Hour Avoidance" dataDxfId="44">
      <calculatedColumnFormula>IF(E11=0,"",(Y11*24)*4)</calculatedColumnFormula>
    </tableColumn>
    <tableColumn id="16" name="Annual Cost Avoidance" dataDxfId="2">
      <calculatedColumnFormula>IF(E11=0,"",PRODUCT(T11,$E$7))</calculatedColumnFormula>
    </tableColumn>
    <tableColumn id="17" name="Hours to Complete:_x000a_Manual" dataDxfId="43">
      <calculatedColumnFormula>IF($E11=0,"",IF(STIG_Metrics!L11=60,0,($E11/STIG_Metrics!L11)/24))</calculatedColumnFormula>
    </tableColumn>
    <tableColumn id="18" name="Hours to Complete:_x000a_DISA SCAP" dataDxfId="42">
      <calculatedColumnFormula>IF($E11=0,"",IF(STIG_Metrics!M11=60,0,($E11/STIG_Metrics!M11)/24))</calculatedColumnFormula>
    </tableColumn>
    <tableColumn id="19" name="Hours to Complete:_x000a_Evaluate-STIG" dataDxfId="41">
      <calculatedColumnFormula>IF($E11=0,"",IF(STIG_Metrics!N11=60,0,($E11/STIG_Metrics!N11)/24))</calculatedColumnFormula>
    </tableColumn>
    <tableColumn id="21" name="Evaluate-STIG over DISA SCAP Reduction" dataDxfId="40">
      <calculatedColumnFormula>IF($E11=0,"",$W11-$X11)</calculatedColumnFormula>
    </tableColumn>
    <tableColumn id="20" name="Manual" dataDxfId="39">
      <calculatedColumnFormula>IF($E11=0,"",$E11/STIG_Metrics!L11)</calculatedColumnFormula>
    </tableColumn>
    <tableColumn id="22" name="DISA SCAP" dataDxfId="38">
      <calculatedColumnFormula>IF($E11=0,"",$E11/STIG_Metrics!M11)</calculatedColumnFormula>
    </tableColumn>
    <tableColumn id="23" name="Evaluate-STIG" dataDxfId="37">
      <calculatedColumnFormula>IF($E11=0,"",$E11/STIG_Metrics!N11)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T91" totalsRowShown="0" headerRowDxfId="36" headerRowBorderDxfId="35" tableBorderDxfId="34">
  <sortState ref="A11:P76">
    <sortCondition ref="A10:A76"/>
  </sortState>
  <tableColumns count="20">
    <tableColumn id="1" name="STIG Supported by Evaluate-STIG" dataDxfId="33"/>
    <tableColumn id="2" name="DISA Benchmark Available" dataDxfId="32"/>
    <tableColumn id="18" name="NIWC Benchmark Available" dataDxfId="31"/>
    <tableColumn id="10" name="Total STIG Checks" dataDxfId="30"/>
    <tableColumn id="3" name="Total Completed Checks: DISA SCAP" dataDxfId="29"/>
    <tableColumn id="17" name="Total Completed Checks: NIWC SCAP" dataDxfId="28"/>
    <tableColumn id="4" name="Total Completed Checks: Evaluate-STIG" dataDxfId="27"/>
    <tableColumn id="5" name="Total Completed Checks: Evaluate-STIG Over DISA SCAP" dataDxfId="26">
      <calculatedColumnFormula>G11-E11</calculatedColumnFormula>
    </tableColumn>
    <tableColumn id="19" name="Total Completed Checks: Evaluate-STIG Over NIWC SCAP" dataDxfId="25"/>
    <tableColumn id="7" name="Time to Complete (Minutes): Manual" dataDxfId="24">
      <calculatedColumnFormula>PRODUCT($D11,Calculator!$E$8)</calculatedColumnFormula>
    </tableColumn>
    <tableColumn id="6" name="Time Savings (Minutes): Evaluate-STIG Over DISA SCAP" dataDxfId="23">
      <calculatedColumnFormula>PRODUCT($H11,Calculator!$E$8)</calculatedColumnFormula>
    </tableColumn>
    <tableColumn id="15" name="STIGS Per Hour:_x000a_Manual" dataDxfId="22">
      <calculatedColumnFormula>60/($D11*Calculator!$E$8)</calculatedColumnFormula>
    </tableColumn>
    <tableColumn id="14" name="STIGS Per Hour:_x000a_DISA SCAP" dataDxfId="21">
      <calculatedColumnFormula>IF(($D11=$E11),60,60/(($D11-$E11)*Calculator!$E$8))</calculatedColumnFormula>
    </tableColumn>
    <tableColumn id="13" name="STIGS Per Hour:_x000a_Evaluate-STIG" dataDxfId="20">
      <calculatedColumnFormula>IF(($D11=$G11),60,60/(($D11-$G11)*Calculator!$E$8))</calculatedColumnFormula>
    </tableColumn>
    <tableColumn id="16" name="Productivity Gain:_x000a_DISA SCAP over Manual" dataDxfId="19">
      <calculatedColumnFormula>(M11-L11)/L11</calculatedColumnFormula>
    </tableColumn>
    <tableColumn id="12" name="Productivity Gain:_x000a_Evaluate-STIG Over Manual" dataDxfId="18">
      <calculatedColumnFormula>(N11-L11)/L11</calculatedColumnFormula>
    </tableColumn>
    <tableColumn id="11" name="Productivity Gain:_x000a_Evaluate-STIG Over DISA SCAP" dataDxfId="17">
      <calculatedColumnFormula>(N11-M11)/M11</calculatedColumnFormula>
    </tableColumn>
    <tableColumn id="8" name="CKL Completion (Finalized Checks): _x000a_DISA SCAP" dataDxfId="16">
      <calculatedColumnFormula xml:space="preserve"> E11/D11</calculatedColumnFormula>
    </tableColumn>
    <tableColumn id="20" name="CKL Completion (Finalized Checks): _x000a_NIWC SCAP" dataDxfId="15"/>
    <tableColumn id="9" name="CKL Completion (Finalized Checks):_x000a_Evaluate-STIG" dataDxfId="14">
      <calculatedColumnFormula>G11/D11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AP95"/>
  <sheetViews>
    <sheetView showGridLines="0" showRowColHeaders="0" tabSelected="1" zoomScaleNormal="100" workbookViewId="0">
      <pane ySplit="10" topLeftCell="A11" activePane="bottomLeft" state="frozen"/>
      <selection pane="bottomLeft" activeCell="E7" sqref="E7"/>
    </sheetView>
  </sheetViews>
  <sheetFormatPr defaultColWidth="9.1796875" defaultRowHeight="14.5"/>
  <cols>
    <col min="1" max="3" width="2.7265625" style="54" customWidth="1"/>
    <col min="4" max="4" width="43.26953125" style="55" customWidth="1"/>
    <col min="5" max="5" width="21.7265625" style="56" customWidth="1"/>
    <col min="6" max="6" width="2.7265625" style="54" customWidth="1"/>
    <col min="7" max="9" width="23.7265625" style="54" hidden="1" customWidth="1"/>
    <col min="10" max="11" width="24.7265625" style="54" customWidth="1"/>
    <col min="12" max="12" width="24.7265625" style="54" hidden="1" customWidth="1"/>
    <col min="13" max="14" width="24.7265625" style="54" customWidth="1"/>
    <col min="15" max="19" width="24.7265625" style="54" hidden="1" customWidth="1"/>
    <col min="20" max="21" width="24.7265625" style="54" customWidth="1"/>
    <col min="22" max="28" width="15.7265625" style="54" hidden="1" customWidth="1"/>
    <col min="29" max="29" width="2.7265625" style="54" hidden="1" customWidth="1"/>
    <col min="30" max="30" width="15.7265625" style="54" hidden="1" customWidth="1"/>
    <col min="31" max="34" width="14.7265625" style="54" hidden="1" customWidth="1"/>
    <col min="35" max="35" width="2.7265625" style="54" hidden="1" customWidth="1"/>
    <col min="36" max="36" width="27.7265625" style="54" hidden="1" customWidth="1"/>
    <col min="37" max="40" width="14.7265625" style="54" hidden="1" customWidth="1"/>
    <col min="41" max="42" width="2.7265625" style="54" customWidth="1"/>
    <col min="43" max="53" width="9.1796875" style="54"/>
    <col min="54" max="54" width="12.7265625" style="54" bestFit="1" customWidth="1"/>
    <col min="55" max="16384" width="9.1796875" style="54"/>
  </cols>
  <sheetData>
    <row r="1" spans="2:42">
      <c r="W1" s="54" t="s">
        <v>0</v>
      </c>
    </row>
    <row r="2" spans="2:42" ht="15" customHeight="1">
      <c r="B2" s="57"/>
      <c r="C2" s="131"/>
      <c r="D2" s="131"/>
      <c r="E2" s="131"/>
      <c r="F2" s="131"/>
      <c r="G2" s="131"/>
      <c r="H2" s="131"/>
      <c r="I2" s="131"/>
      <c r="J2" s="131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79"/>
      <c r="AE2" s="79"/>
      <c r="AF2" s="79"/>
      <c r="AG2" s="79"/>
      <c r="AH2" s="79"/>
      <c r="AI2" s="79"/>
      <c r="AJ2" s="79"/>
      <c r="AK2" s="94"/>
      <c r="AL2" s="94"/>
      <c r="AM2" s="94"/>
      <c r="AN2" s="94"/>
      <c r="AO2" s="94"/>
      <c r="AP2" s="94"/>
    </row>
    <row r="3" spans="2:42" ht="15" customHeight="1">
      <c r="B3" s="57"/>
      <c r="C3" s="137"/>
      <c r="D3" s="137"/>
      <c r="E3" s="137"/>
      <c r="F3" s="137"/>
      <c r="G3" s="137"/>
      <c r="H3" s="137"/>
      <c r="I3" s="137"/>
      <c r="J3" s="137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9"/>
      <c r="X3" s="140"/>
      <c r="Y3" s="141"/>
      <c r="Z3" s="141"/>
      <c r="AA3" s="141"/>
      <c r="AB3" s="141"/>
      <c r="AC3" s="141"/>
      <c r="AD3" s="141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94"/>
    </row>
    <row r="4" spans="2:42" ht="65.150000000000006" customHeight="1" thickBot="1">
      <c r="B4" s="57"/>
      <c r="C4" s="139"/>
      <c r="D4" s="135" t="s">
        <v>165</v>
      </c>
      <c r="E4" s="136"/>
      <c r="F4" s="142"/>
      <c r="G4" s="142"/>
      <c r="H4" s="142"/>
      <c r="I4" s="142"/>
      <c r="J4" s="216" t="s">
        <v>166</v>
      </c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8"/>
      <c r="V4" s="138"/>
      <c r="W4" s="139"/>
      <c r="X4" s="140"/>
      <c r="Y4" s="143"/>
      <c r="Z4" s="144"/>
      <c r="AA4" s="144"/>
      <c r="AB4" s="144"/>
      <c r="AC4" s="144"/>
      <c r="AD4" s="144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94"/>
    </row>
    <row r="5" spans="2:42" ht="18.399999999999999" customHeight="1" thickTop="1">
      <c r="B5" s="57"/>
      <c r="C5" s="139"/>
      <c r="D5" s="136"/>
      <c r="E5" s="136"/>
      <c r="F5" s="139"/>
      <c r="G5" s="145"/>
      <c r="H5" s="145"/>
      <c r="I5" s="145"/>
      <c r="J5" s="145"/>
      <c r="K5" s="139"/>
      <c r="L5" s="139"/>
      <c r="M5" s="139"/>
      <c r="N5" s="139"/>
      <c r="O5" s="139"/>
      <c r="P5" s="139"/>
      <c r="Q5" s="139"/>
      <c r="R5" s="139"/>
      <c r="S5" s="139"/>
      <c r="T5" s="199" t="s">
        <v>88</v>
      </c>
      <c r="U5" s="199"/>
      <c r="V5" s="138"/>
      <c r="W5" s="139"/>
      <c r="X5" s="140"/>
      <c r="Y5" s="143"/>
      <c r="Z5" s="146"/>
      <c r="AA5" s="146"/>
      <c r="AB5" s="146"/>
      <c r="AC5" s="146"/>
      <c r="AD5" s="146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94"/>
    </row>
    <row r="6" spans="2:42" ht="62.5" thickBot="1">
      <c r="B6" s="57"/>
      <c r="C6" s="139"/>
      <c r="D6" s="188" t="str">
        <f>"Note: First STIG in list is '"&amp;(D11)&amp;"'  so make sure you're scrolled to the top!"</f>
        <v>Note: First STIG in list is 'Active Directory Domain'  so make sure you're scrolled to the top!</v>
      </c>
      <c r="E6" s="189"/>
      <c r="F6" s="139"/>
      <c r="G6" s="58" t="s">
        <v>85</v>
      </c>
      <c r="H6" s="95" t="s">
        <v>155</v>
      </c>
      <c r="I6" s="95" t="s">
        <v>92</v>
      </c>
      <c r="J6" s="200" t="s">
        <v>151</v>
      </c>
      <c r="K6" s="201" t="s">
        <v>73</v>
      </c>
      <c r="L6" s="202" t="s">
        <v>62</v>
      </c>
      <c r="M6" s="203" t="s">
        <v>152</v>
      </c>
      <c r="N6" s="202" t="s">
        <v>74</v>
      </c>
      <c r="O6" s="202" t="s">
        <v>157</v>
      </c>
      <c r="P6" s="202" t="s">
        <v>68</v>
      </c>
      <c r="Q6" s="202" t="s">
        <v>52</v>
      </c>
      <c r="R6" s="202" t="s">
        <v>158</v>
      </c>
      <c r="S6" s="202" t="s">
        <v>53</v>
      </c>
      <c r="T6" s="204" t="s">
        <v>86</v>
      </c>
      <c r="U6" s="205" t="s">
        <v>87</v>
      </c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49"/>
      <c r="AP6" s="94"/>
    </row>
    <row r="7" spans="2:42" ht="32.25" customHeight="1" thickTop="1">
      <c r="B7" s="57"/>
      <c r="C7" s="147"/>
      <c r="D7" s="191" t="s">
        <v>1</v>
      </c>
      <c r="E7" s="192">
        <v>100</v>
      </c>
      <c r="F7" s="147"/>
      <c r="G7" s="42">
        <f>SUM(G11:G91)</f>
        <v>1069977</v>
      </c>
      <c r="H7" s="40">
        <f>SUM(H11:H91)</f>
        <v>693033</v>
      </c>
      <c r="I7" s="196">
        <f>SUM(I11:I91)</f>
        <v>1036369</v>
      </c>
      <c r="J7" s="197">
        <f>SUM(J11:J91)</f>
        <v>376944</v>
      </c>
      <c r="K7" s="41">
        <f>SUM(K11:K91)</f>
        <v>33608</v>
      </c>
      <c r="L7" s="59" t="str">
        <f>FLOOR($V92*3,1)&amp;" Days"&amp;TEXT(SUM($V92-TIME(8,0,0)*FLOOR($V92*3,1))," h")&amp;" Hrs"</f>
        <v>10031 Days 0 Hrs</v>
      </c>
      <c r="M7" s="59" t="str">
        <f>FLOOR($W92*3,1)&amp;" Days"&amp;TEXT(SUM($W92-TIME(8,0,0)*FLOOR($W92*3,1))," h")&amp;" Hrs"</f>
        <v>3533 Days 6 Hrs</v>
      </c>
      <c r="N7" s="59" t="str">
        <f>FLOOR($X92*3,1)&amp;" Days"&amp;TEXT(SUM($X92-TIME(8,0,0)*FLOOR($X92*3,1))," h")&amp;" Hrs"</f>
        <v>315 Days 0 Hrs</v>
      </c>
      <c r="O7" s="60">
        <f>((((SUM($E11:$E91)/$AA92)-((SUM($E11:$E91)/$Z92))))/((SUM($E11:$E91)/$Z92)))</f>
        <v>1.8355295664049374</v>
      </c>
      <c r="P7" s="60">
        <f>((((SUM($E11:$E91)/$AB92)-((SUM($E11:$E91)/$Z92))))/((SUM($E11:$E91)/$Z92)))</f>
        <v>28.959595676765424</v>
      </c>
      <c r="Q7" s="61">
        <f>SUM(Q11:Q91)</f>
        <v>8024827.5</v>
      </c>
      <c r="R7" s="61">
        <f>SUM(R11:R91)</f>
        <v>2827080</v>
      </c>
      <c r="S7" s="61">
        <f>SUM(S11:S91)</f>
        <v>252060</v>
      </c>
      <c r="T7" s="62">
        <f>SUM(T11:T91)</f>
        <v>103000.79999999999</v>
      </c>
      <c r="U7" s="63">
        <f>SUM(U11:U91)</f>
        <v>10300080</v>
      </c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49"/>
      <c r="AP7" s="94"/>
    </row>
    <row r="8" spans="2:42" ht="18.75" customHeight="1" thickBot="1">
      <c r="B8" s="57"/>
      <c r="C8" s="147"/>
      <c r="D8" s="190" t="s">
        <v>2</v>
      </c>
      <c r="E8" s="161">
        <v>4.5</v>
      </c>
      <c r="F8" s="157"/>
      <c r="G8" s="26"/>
      <c r="H8" s="96" t="str">
        <f>"Automated: "&amp; TEXT($H7/$G7,"#.##%")</f>
        <v>Automated: 64.77%</v>
      </c>
      <c r="I8" s="96" t="str">
        <f>"Automated: "&amp; TEXT($I7/$G7,"#.##%")</f>
        <v>Automated: 96.86%</v>
      </c>
      <c r="J8" s="198"/>
      <c r="K8" s="43" t="str">
        <f>"Reduction: "&amp; TEXT($J7-$K7,"#,##0")</f>
        <v>Reduction: 343,336</v>
      </c>
      <c r="L8" s="64"/>
      <c r="M8" s="65"/>
      <c r="N8" s="66" t="str">
        <f>"Reduction: "&amp;FLOOR($Y92*3,1)&amp;" Days"&amp;TEXT(SUM($Y92-TIME(8,0,0)*FLOOR($Y92*3,1))," h")&amp;" Hrs"</f>
        <v>Reduction: 3218 Days 6 Hrs</v>
      </c>
      <c r="O8" s="67"/>
      <c r="P8" s="67" t="str">
        <f>"Gain Over SCAP: "&amp; TEXT($P7-$O7,"#.##%")</f>
        <v>Gain Over SCAP: 2712.41%</v>
      </c>
      <c r="Q8" s="64"/>
      <c r="R8" s="64"/>
      <c r="S8" s="130" t="str">
        <f>"Decrease From SCAP: "&amp; TEXT(($R7-$S7)/$R7,"#.##%")</f>
        <v>Decrease From SCAP: 91.08%</v>
      </c>
      <c r="T8" s="68"/>
      <c r="U8" s="69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9"/>
      <c r="AJ8" s="138"/>
      <c r="AK8" s="138"/>
      <c r="AL8" s="138"/>
      <c r="AM8" s="138"/>
      <c r="AN8" s="138"/>
      <c r="AO8" s="149"/>
      <c r="AP8" s="94"/>
    </row>
    <row r="9" spans="2:42" ht="15" customHeight="1" thickTop="1">
      <c r="B9" s="57"/>
      <c r="C9" s="147"/>
      <c r="D9" s="159"/>
      <c r="E9" s="160"/>
      <c r="F9" s="158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52"/>
      <c r="V9" s="172" t="s">
        <v>63</v>
      </c>
      <c r="W9" s="173"/>
      <c r="X9" s="173"/>
      <c r="Y9" s="174"/>
      <c r="Z9" s="175" t="s">
        <v>66</v>
      </c>
      <c r="AA9" s="175"/>
      <c r="AB9" s="175"/>
      <c r="AC9" s="176"/>
      <c r="AD9" s="177" t="s">
        <v>95</v>
      </c>
      <c r="AE9" s="178"/>
      <c r="AF9" s="178"/>
      <c r="AG9" s="179"/>
      <c r="AH9" s="180"/>
      <c r="AI9" s="181"/>
      <c r="AJ9" s="177" t="s">
        <v>94</v>
      </c>
      <c r="AK9" s="178"/>
      <c r="AL9" s="178"/>
      <c r="AM9" s="179"/>
      <c r="AN9" s="180"/>
      <c r="AO9" s="153"/>
      <c r="AP9" s="79"/>
    </row>
    <row r="10" spans="2:42" s="70" customFormat="1" ht="47.65" customHeight="1">
      <c r="B10" s="57"/>
      <c r="C10" s="147"/>
      <c r="D10" s="194" t="s">
        <v>3</v>
      </c>
      <c r="E10" s="193" t="s">
        <v>4</v>
      </c>
      <c r="F10" s="163" t="s">
        <v>0</v>
      </c>
      <c r="G10" s="71" t="s">
        <v>47</v>
      </c>
      <c r="H10" s="71" t="s">
        <v>156</v>
      </c>
      <c r="I10" s="210" t="s">
        <v>93</v>
      </c>
      <c r="J10" s="213" t="s">
        <v>153</v>
      </c>
      <c r="K10" s="206" t="s">
        <v>5</v>
      </c>
      <c r="L10" s="207" t="s">
        <v>51</v>
      </c>
      <c r="M10" s="207" t="s">
        <v>154</v>
      </c>
      <c r="N10" s="207" t="s">
        <v>71</v>
      </c>
      <c r="O10" s="207" t="s">
        <v>159</v>
      </c>
      <c r="P10" s="207" t="s">
        <v>65</v>
      </c>
      <c r="Q10" s="207" t="s">
        <v>49</v>
      </c>
      <c r="R10" s="207" t="s">
        <v>160</v>
      </c>
      <c r="S10" s="207" t="s">
        <v>50</v>
      </c>
      <c r="T10" s="208" t="s">
        <v>72</v>
      </c>
      <c r="U10" s="209" t="s">
        <v>6</v>
      </c>
      <c r="V10" s="72" t="s">
        <v>60</v>
      </c>
      <c r="W10" s="73" t="s">
        <v>161</v>
      </c>
      <c r="X10" s="73" t="s">
        <v>61</v>
      </c>
      <c r="Y10" s="73" t="s">
        <v>162</v>
      </c>
      <c r="Z10" s="73" t="s">
        <v>67</v>
      </c>
      <c r="AA10" s="73" t="s">
        <v>149</v>
      </c>
      <c r="AB10" s="73" t="s">
        <v>59</v>
      </c>
      <c r="AC10" s="147"/>
      <c r="AD10" s="167"/>
      <c r="AE10" s="168" t="s">
        <v>54</v>
      </c>
      <c r="AF10" s="168" t="s">
        <v>55</v>
      </c>
      <c r="AG10" s="168" t="s">
        <v>56</v>
      </c>
      <c r="AH10" s="168" t="s">
        <v>57</v>
      </c>
      <c r="AI10" s="171"/>
      <c r="AJ10" s="167"/>
      <c r="AK10" s="168" t="s">
        <v>54</v>
      </c>
      <c r="AL10" s="168" t="s">
        <v>55</v>
      </c>
      <c r="AM10" s="168" t="s">
        <v>56</v>
      </c>
      <c r="AN10" s="168" t="s">
        <v>57</v>
      </c>
      <c r="AO10" s="154"/>
      <c r="AP10" s="79"/>
    </row>
    <row r="11" spans="2:42" ht="15" customHeight="1">
      <c r="B11" s="57"/>
      <c r="C11" s="147"/>
      <c r="D11" s="195" t="str">
        <f>(STIG_Metrics!A11)</f>
        <v>Active Directory Domain</v>
      </c>
      <c r="E11" s="162">
        <v>1</v>
      </c>
      <c r="F11" s="164"/>
      <c r="G11" s="87">
        <f>IF($E11=0,"",(STIG_Metrics!D11)*$E11)</f>
        <v>36</v>
      </c>
      <c r="H11" s="87">
        <f>IF($E11=0,"",(STIG_Metrics!E11)*$E11)</f>
        <v>0</v>
      </c>
      <c r="I11" s="211">
        <f>IF($E11=0,"",(STIG_Metrics!G11)*$E11)</f>
        <v>19</v>
      </c>
      <c r="J11" s="214">
        <f>IF($E11=0,"",(STIG_Metrics!D11-STIG_Metrics!E11)*$E11)</f>
        <v>36</v>
      </c>
      <c r="K11" s="87">
        <f>IF($E11=0,"",(STIG_Metrics!D11-STIG_Metrics!G11)*$E11)</f>
        <v>17</v>
      </c>
      <c r="L11" s="88" t="str">
        <f t="shared" ref="L11:L47" si="0">IF($E11=0,"",FLOOR($V11*3,1)&amp;" Days"&amp;TEXT(SUM($V11-TIME(8,0,0)*FLOOR($V11*3,1))," h")&amp;" Hrs")</f>
        <v>0 Days 2 Hrs</v>
      </c>
      <c r="M11" s="88" t="str">
        <f t="shared" ref="M11:M47" si="1">IF($E11=0,"",FLOOR($W11*3,1)&amp;" Days"&amp;TEXT(SUM($W11-TIME(8,0,0)*FLOOR($W11*3,1))," h")&amp;" Hrs")</f>
        <v>0 Days 2 Hrs</v>
      </c>
      <c r="N11" s="88" t="str">
        <f t="shared" ref="N11:N47" si="2">IF($E11=0,"",FLOOR($X11*3,1)&amp; " Days"&amp;TEXT(SUM($X11-TIME(8,0,0)*FLOOR($X11*3,1))," h") &amp; " Hrs")</f>
        <v>0 Days 1 Hrs</v>
      </c>
      <c r="O11" s="89">
        <f>IF($E11=0,"",STIG_Metrics!O11)</f>
        <v>0</v>
      </c>
      <c r="P11" s="89">
        <f>IF($E11=0,"",STIG_Metrics!P11)</f>
        <v>1.1176470588235294</v>
      </c>
      <c r="Q11" s="90">
        <f t="shared" ref="Q11:Q47" si="3">IF($E11=0,"",((G11*$E$8/60)*$E$7))</f>
        <v>270</v>
      </c>
      <c r="R11" s="90">
        <f t="shared" ref="R11:S12" si="4">IF($E11=0,"",((J11*$E$8/60)*$E$7))</f>
        <v>270</v>
      </c>
      <c r="S11" s="90">
        <f t="shared" si="4"/>
        <v>127.49999999999999</v>
      </c>
      <c r="T11" s="91">
        <f t="shared" ref="T11:T47" si="5">IF(E11=0,"",(Y11*24)*4)</f>
        <v>5.7</v>
      </c>
      <c r="U11" s="186">
        <f t="shared" ref="U11:U47" si="6">IF(E11=0,"",PRODUCT(T11,$E$7))</f>
        <v>570</v>
      </c>
      <c r="V11" s="184">
        <f>IF($E11=0,"",IF(STIG_Metrics!L11=60,0,($E11/STIG_Metrics!L11)/24))</f>
        <v>0.1125</v>
      </c>
      <c r="W11" s="50">
        <f>IF($E11=0,"",IF(STIG_Metrics!M11=60,0,($E11/STIG_Metrics!M11)/24))</f>
        <v>0.1125</v>
      </c>
      <c r="X11" s="50">
        <f>IF($E11=0,"",IF(STIG_Metrics!N11=60,0,($E11/STIG_Metrics!N11)/24))</f>
        <v>5.3124999999999999E-2</v>
      </c>
      <c r="Y11" s="50">
        <f t="shared" ref="Y11:Y47" si="7">IF($E11=0,"",$W11-$X11)</f>
        <v>5.9375000000000004E-2</v>
      </c>
      <c r="Z11" s="51">
        <f>IF($E11=0,"",$E11/STIG_Metrics!L11)</f>
        <v>2.7</v>
      </c>
      <c r="AA11" s="51">
        <f>IF($E11=0,"",$E11/STIG_Metrics!M11)</f>
        <v>2.7</v>
      </c>
      <c r="AB11" s="51">
        <f>IF($E11=0,"",$E11/STIG_Metrics!N11)</f>
        <v>1.2749999999999999</v>
      </c>
      <c r="AC11" s="169"/>
      <c r="AD11" s="92" t="s">
        <v>58</v>
      </c>
      <c r="AE11" s="93">
        <f>$Q$7</f>
        <v>8024827.5</v>
      </c>
      <c r="AF11" s="93">
        <f>$Q$7*2</f>
        <v>16049655</v>
      </c>
      <c r="AG11" s="93">
        <f>$Q$7*3</f>
        <v>24074482.5</v>
      </c>
      <c r="AH11" s="93">
        <f>$Q$7*4</f>
        <v>32099310</v>
      </c>
      <c r="AI11" s="170"/>
      <c r="AJ11" s="92" t="s">
        <v>149</v>
      </c>
      <c r="AK11" s="93">
        <f>$AE$11-$AE$12</f>
        <v>5197747.5</v>
      </c>
      <c r="AL11" s="93">
        <f>($AE$11-$AE$12)*2</f>
        <v>10395495</v>
      </c>
      <c r="AM11" s="93">
        <f>($AE$11-$AE$12)*3</f>
        <v>15593242.5</v>
      </c>
      <c r="AN11" s="93">
        <f>($AE$11-$AE$12)*4</f>
        <v>20790990</v>
      </c>
      <c r="AO11" s="155"/>
      <c r="AP11" s="79"/>
    </row>
    <row r="12" spans="2:42" ht="15" customHeight="1">
      <c r="B12" s="57"/>
      <c r="C12" s="147"/>
      <c r="D12" s="195" t="str">
        <f>(STIG_Metrics!A12)</f>
        <v>Active Directory Forest</v>
      </c>
      <c r="E12" s="162">
        <v>1</v>
      </c>
      <c r="F12" s="164"/>
      <c r="G12" s="87">
        <f>IF($E12=0,"",(STIG_Metrics!D12)*$E12)</f>
        <v>5</v>
      </c>
      <c r="H12" s="87">
        <f>IF($E12=0,"",(STIG_Metrics!E12)*$E12)</f>
        <v>0</v>
      </c>
      <c r="I12" s="211">
        <f>IF($E12=0,"",(STIG_Metrics!G12)*$E12)</f>
        <v>3</v>
      </c>
      <c r="J12" s="214">
        <f>IF($E12=0,"",(STIG_Metrics!D12-STIG_Metrics!E12)*$E12)</f>
        <v>5</v>
      </c>
      <c r="K12" s="87">
        <f>IF($E12=0,"",(STIG_Metrics!D12-STIG_Metrics!G12)*$E12)</f>
        <v>2</v>
      </c>
      <c r="L12" s="88" t="str">
        <f t="shared" si="0"/>
        <v>0 Days 0 Hrs</v>
      </c>
      <c r="M12" s="88" t="str">
        <f t="shared" si="1"/>
        <v>0 Days 0 Hrs</v>
      </c>
      <c r="N12" s="88" t="str">
        <f t="shared" si="2"/>
        <v>0 Days 0 Hrs</v>
      </c>
      <c r="O12" s="89">
        <f>IF($E12=0,"",STIG_Metrics!O12)</f>
        <v>0</v>
      </c>
      <c r="P12" s="89">
        <f>IF($E12=0,"",STIG_Metrics!P12)</f>
        <v>1.5</v>
      </c>
      <c r="Q12" s="90">
        <f t="shared" si="3"/>
        <v>37.5</v>
      </c>
      <c r="R12" s="90">
        <f t="shared" si="4"/>
        <v>37.5</v>
      </c>
      <c r="S12" s="90">
        <f t="shared" si="4"/>
        <v>15</v>
      </c>
      <c r="T12" s="91">
        <f t="shared" si="5"/>
        <v>0.90000000000000013</v>
      </c>
      <c r="U12" s="186">
        <f t="shared" si="6"/>
        <v>90.000000000000014</v>
      </c>
      <c r="V12" s="184">
        <f>IF($E12=0,"",IF(STIG_Metrics!L12=60,0,($E12/STIG_Metrics!L12)/24))</f>
        <v>1.5625E-2</v>
      </c>
      <c r="W12" s="50">
        <f>IF($E12=0,"",IF(STIG_Metrics!M12=60,0,($E12/STIG_Metrics!M12)/24))</f>
        <v>1.5625E-2</v>
      </c>
      <c r="X12" s="50">
        <f>IF($E12=0,"",IF(STIG_Metrics!N12=60,0,($E12/STIG_Metrics!N12)/24))</f>
        <v>6.2499999999999995E-3</v>
      </c>
      <c r="Y12" s="50">
        <f t="shared" si="7"/>
        <v>9.3750000000000014E-3</v>
      </c>
      <c r="Z12" s="51">
        <f>IF($E12=0,"",$E12/STIG_Metrics!L12)</f>
        <v>0.375</v>
      </c>
      <c r="AA12" s="51">
        <f>IF($E12=0,"",$E12/STIG_Metrics!M12)</f>
        <v>0.375</v>
      </c>
      <c r="AB12" s="51">
        <f>IF($E12=0,"",$E12/STIG_Metrics!N12)</f>
        <v>0.15</v>
      </c>
      <c r="AC12" s="169"/>
      <c r="AD12" s="92" t="s">
        <v>149</v>
      </c>
      <c r="AE12" s="93">
        <f>$R$7</f>
        <v>2827080</v>
      </c>
      <c r="AF12" s="93">
        <f>$R$7*2</f>
        <v>5654160</v>
      </c>
      <c r="AG12" s="93">
        <f>$R$7*3</f>
        <v>8481240</v>
      </c>
      <c r="AH12" s="93">
        <f>$R$7*4</f>
        <v>11308320</v>
      </c>
      <c r="AI12" s="170"/>
      <c r="AJ12" s="74" t="s">
        <v>59</v>
      </c>
      <c r="AK12" s="93">
        <f>$AE$11-$AE$13</f>
        <v>7772767.5</v>
      </c>
      <c r="AL12" s="93">
        <f>($AE$11-$AE$13)*2</f>
        <v>15545535</v>
      </c>
      <c r="AM12" s="93">
        <f>($AE$11-$AE$13)*3</f>
        <v>23318302.5</v>
      </c>
      <c r="AN12" s="93">
        <f>($AE$11-$AE$13)*4</f>
        <v>31091070</v>
      </c>
      <c r="AO12" s="156"/>
      <c r="AP12" s="79"/>
    </row>
    <row r="13" spans="2:42" ht="15" customHeight="1">
      <c r="B13" s="57"/>
      <c r="C13" s="147"/>
      <c r="D13" s="195" t="str">
        <f>(STIG_Metrics!A13)</f>
        <v>Adobe Acrobat Pro XI</v>
      </c>
      <c r="E13" s="162">
        <v>2</v>
      </c>
      <c r="F13" s="164"/>
      <c r="G13" s="45">
        <f>IF($E13=0,"",(STIG_Metrics!D13)*$E13)</f>
        <v>52</v>
      </c>
      <c r="H13" s="45">
        <f>IF($E13=0,"",(STIG_Metrics!E13)*$E13)</f>
        <v>0</v>
      </c>
      <c r="I13" s="212">
        <f>IF($E13=0,"",(STIG_Metrics!G13)*$E13)</f>
        <v>50</v>
      </c>
      <c r="J13" s="215">
        <f>IF($E13=0,"",(STIG_Metrics!D13-STIG_Metrics!E13)*$E13)</f>
        <v>52</v>
      </c>
      <c r="K13" s="45">
        <f>IF($E13=0,"",(STIG_Metrics!D13-STIG_Metrics!G13)*$E13)</f>
        <v>2</v>
      </c>
      <c r="L13" s="46" t="str">
        <f t="shared" si="0"/>
        <v>0 Days 3 Hrs</v>
      </c>
      <c r="M13" s="46" t="str">
        <f t="shared" si="1"/>
        <v>0 Days 3 Hrs</v>
      </c>
      <c r="N13" s="46" t="str">
        <f t="shared" si="2"/>
        <v>0 Days 0 Hrs</v>
      </c>
      <c r="O13" s="47">
        <f>IF($E13=0,"",STIG_Metrics!O13)</f>
        <v>0</v>
      </c>
      <c r="P13" s="47">
        <f>IF($E13=0,"",STIG_Metrics!P13)</f>
        <v>25.000000000000004</v>
      </c>
      <c r="Q13" s="48">
        <f t="shared" si="3"/>
        <v>390</v>
      </c>
      <c r="R13" s="48">
        <f t="shared" ref="R13:R55" si="8">IF($E13=0,"",((J13*$E$8/60)*$E$7))</f>
        <v>390</v>
      </c>
      <c r="S13" s="48">
        <f t="shared" ref="S13:S55" si="9">IF($E13=0,"",((K13*$E$8/60)*$E$7))</f>
        <v>15</v>
      </c>
      <c r="T13" s="49">
        <f t="shared" si="5"/>
        <v>15</v>
      </c>
      <c r="U13" s="187">
        <f t="shared" si="6"/>
        <v>1500</v>
      </c>
      <c r="V13" s="184">
        <f>IF($E13=0,"",IF(STIG_Metrics!L13=60,0,($E13/STIG_Metrics!L13)/24))</f>
        <v>0.16250000000000001</v>
      </c>
      <c r="W13" s="50">
        <f>IF($E13=0,"",IF(STIG_Metrics!M13=60,0,($E13/STIG_Metrics!M13)/24))</f>
        <v>0.16250000000000001</v>
      </c>
      <c r="X13" s="50">
        <f>IF($E13=0,"",IF(STIG_Metrics!N13=60,0,($E13/STIG_Metrics!N13)/24))</f>
        <v>6.2499999999999995E-3</v>
      </c>
      <c r="Y13" s="50">
        <f t="shared" si="7"/>
        <v>0.15625</v>
      </c>
      <c r="Z13" s="51">
        <f>IF($E13=0,"",$E13/STIG_Metrics!L13)</f>
        <v>3.9000000000000004</v>
      </c>
      <c r="AA13" s="51">
        <f>IF($E13=0,"",$E13/STIG_Metrics!M13)</f>
        <v>3.9000000000000004</v>
      </c>
      <c r="AB13" s="51">
        <f>IF($E13=0,"",$E13/STIG_Metrics!N13)</f>
        <v>0.15</v>
      </c>
      <c r="AC13" s="147"/>
      <c r="AD13" s="74" t="s">
        <v>59</v>
      </c>
      <c r="AE13" s="75">
        <f>$S$7</f>
        <v>252060</v>
      </c>
      <c r="AF13" s="75">
        <f>$S$7*2</f>
        <v>504120</v>
      </c>
      <c r="AG13" s="75">
        <f>$S$7*3</f>
        <v>756180</v>
      </c>
      <c r="AH13" s="75">
        <f>$S$7*4</f>
        <v>1008240</v>
      </c>
      <c r="AI13" s="170"/>
      <c r="AJ13" s="97" t="s">
        <v>163</v>
      </c>
      <c r="AK13" s="98">
        <f>AK12-AK11</f>
        <v>2575020</v>
      </c>
      <c r="AL13" s="98">
        <f t="shared" ref="AL13:AN13" si="10">AL12-AL11</f>
        <v>5150040</v>
      </c>
      <c r="AM13" s="98">
        <f t="shared" si="10"/>
        <v>7725060</v>
      </c>
      <c r="AN13" s="98">
        <f t="shared" si="10"/>
        <v>10300080</v>
      </c>
      <c r="AO13" s="149"/>
      <c r="AP13" s="94"/>
    </row>
    <row r="14" spans="2:42" ht="15" customHeight="1">
      <c r="B14" s="57"/>
      <c r="C14" s="147"/>
      <c r="D14" s="195" t="str">
        <f>(STIG_Metrics!A14)</f>
        <v>Adobe Acrobat Professional DC Classic</v>
      </c>
      <c r="E14" s="162">
        <v>164</v>
      </c>
      <c r="F14" s="164"/>
      <c r="G14" s="45">
        <f>IF($E14=0,"",(STIG_Metrics!D14)*$E14)</f>
        <v>3772</v>
      </c>
      <c r="H14" s="45">
        <f>IF($E14=0,"",(STIG_Metrics!E14)*$E14)</f>
        <v>0</v>
      </c>
      <c r="I14" s="212">
        <f>IF($E14=0,"",(STIG_Metrics!G14)*$E14)</f>
        <v>3772</v>
      </c>
      <c r="J14" s="215">
        <f>IF($E14=0,"",(STIG_Metrics!D14-STIG_Metrics!E14)*$E14)</f>
        <v>3772</v>
      </c>
      <c r="K14" s="45">
        <f>IF($E14=0,"",(STIG_Metrics!D14-STIG_Metrics!G14)*$E14)</f>
        <v>0</v>
      </c>
      <c r="L14" s="46" t="str">
        <f t="shared" si="0"/>
        <v>35 Days 2 Hrs</v>
      </c>
      <c r="M14" s="46" t="str">
        <f t="shared" si="1"/>
        <v>35 Days 2 Hrs</v>
      </c>
      <c r="N14" s="46" t="str">
        <f t="shared" si="2"/>
        <v>0 Days 0 Hrs</v>
      </c>
      <c r="O14" s="47">
        <f>IF($E14=0,"",STIG_Metrics!O14)</f>
        <v>0</v>
      </c>
      <c r="P14" s="47">
        <f>IF($E14=0,"",STIG_Metrics!P14)</f>
        <v>102.49999999999999</v>
      </c>
      <c r="Q14" s="48">
        <f t="shared" si="3"/>
        <v>28289.999999999996</v>
      </c>
      <c r="R14" s="48">
        <f>IF($E14=0,"",((J14*$E$8/60)*$E$7))</f>
        <v>28289.999999999996</v>
      </c>
      <c r="S14" s="48">
        <f>IF($E14=0,"",((K14*$E$8/60)*$E$7))</f>
        <v>0</v>
      </c>
      <c r="T14" s="49">
        <f t="shared" si="5"/>
        <v>1131.5999999999999</v>
      </c>
      <c r="U14" s="187">
        <f t="shared" si="6"/>
        <v>113159.99999999999</v>
      </c>
      <c r="V14" s="185">
        <f>IF($E14=0,"",IF(STIG_Metrics!L14=60,0,($E14/STIG_Metrics!L14)/24))</f>
        <v>11.7875</v>
      </c>
      <c r="W14" s="52">
        <f>IF($E14=0,"",IF(STIG_Metrics!M14=60,0,($E14/STIG_Metrics!M14)/24))</f>
        <v>11.7875</v>
      </c>
      <c r="X14" s="52">
        <f>IF($E14=0,"",IF(STIG_Metrics!N14=60,0,($E14/STIG_Metrics!N14)/24))</f>
        <v>0</v>
      </c>
      <c r="Y14" s="52">
        <f t="shared" si="7"/>
        <v>11.7875</v>
      </c>
      <c r="Z14" s="53">
        <f>IF($E14=0,"",$E14/STIG_Metrics!L14)</f>
        <v>282.89999999999998</v>
      </c>
      <c r="AA14" s="53">
        <f>IF($E14=0,"",$E14/STIG_Metrics!M14)</f>
        <v>282.89999999999998</v>
      </c>
      <c r="AB14" s="53">
        <f>IF($E14=0,"",$E14/STIG_Metrics!N14)</f>
        <v>2.7333333333333334</v>
      </c>
      <c r="AC14" s="147"/>
      <c r="AD14" s="149"/>
      <c r="AE14" s="149"/>
      <c r="AF14" s="149"/>
      <c r="AG14" s="149"/>
      <c r="AH14" s="149"/>
      <c r="AI14" s="170"/>
      <c r="AJ14" s="149"/>
      <c r="AK14" s="149"/>
      <c r="AL14" s="149"/>
      <c r="AM14" s="149"/>
      <c r="AN14" s="149"/>
      <c r="AO14" s="149"/>
      <c r="AP14" s="94"/>
    </row>
    <row r="15" spans="2:42" ht="15" customHeight="1">
      <c r="B15" s="57"/>
      <c r="C15" s="147"/>
      <c r="D15" s="195" t="str">
        <f>(STIG_Metrics!A15)</f>
        <v>Adobe Acrobat Professional DC Continuous</v>
      </c>
      <c r="E15" s="162">
        <v>4</v>
      </c>
      <c r="F15" s="164"/>
      <c r="G15" s="45">
        <f>IF($E15=0,"",(STIG_Metrics!D15)*$E15)</f>
        <v>92</v>
      </c>
      <c r="H15" s="45">
        <f>IF($E15=0,"",(STIG_Metrics!E15)*$E15)</f>
        <v>0</v>
      </c>
      <c r="I15" s="212">
        <f>IF($E15=0,"",(STIG_Metrics!G15)*$E15)</f>
        <v>88</v>
      </c>
      <c r="J15" s="215">
        <f>IF($E15=0,"",(STIG_Metrics!D15-STIG_Metrics!E15)*$E15)</f>
        <v>92</v>
      </c>
      <c r="K15" s="45">
        <f>IF($E15=0,"",(STIG_Metrics!D15-STIG_Metrics!G15)*$E15)</f>
        <v>4</v>
      </c>
      <c r="L15" s="46" t="str">
        <f t="shared" si="0"/>
        <v>0 Days 6 Hrs</v>
      </c>
      <c r="M15" s="46" t="str">
        <f t="shared" si="1"/>
        <v>0 Days 6 Hrs</v>
      </c>
      <c r="N15" s="46" t="str">
        <f t="shared" si="2"/>
        <v>0 Days 0 Hrs</v>
      </c>
      <c r="O15" s="47">
        <f>IF($E15=0,"",STIG_Metrics!O15)</f>
        <v>0</v>
      </c>
      <c r="P15" s="47">
        <f>IF($E15=0,"",STIG_Metrics!P15)</f>
        <v>22</v>
      </c>
      <c r="Q15" s="48">
        <f t="shared" si="3"/>
        <v>690</v>
      </c>
      <c r="R15" s="48">
        <f t="shared" si="8"/>
        <v>690</v>
      </c>
      <c r="S15" s="48">
        <f t="shared" si="9"/>
        <v>30</v>
      </c>
      <c r="T15" s="49">
        <f t="shared" si="5"/>
        <v>26.4</v>
      </c>
      <c r="U15" s="187">
        <f t="shared" si="6"/>
        <v>2640</v>
      </c>
      <c r="V15" s="184">
        <f>IF($E15=0,"",IF(STIG_Metrics!L15=60,0,($E15/STIG_Metrics!L15)/24))</f>
        <v>0.28749999999999998</v>
      </c>
      <c r="W15" s="50">
        <f>IF($E15=0,"",IF(STIG_Metrics!M15=60,0,($E15/STIG_Metrics!M15)/24))</f>
        <v>0.28749999999999998</v>
      </c>
      <c r="X15" s="50">
        <f>IF($E15=0,"",IF(STIG_Metrics!N15=60,0,($E15/STIG_Metrics!N15)/24))</f>
        <v>1.2499999999999999E-2</v>
      </c>
      <c r="Y15" s="50">
        <f t="shared" si="7"/>
        <v>0.27499999999999997</v>
      </c>
      <c r="Z15" s="51">
        <f>IF($E15=0,"",$E15/STIG_Metrics!L15)</f>
        <v>6.8999999999999995</v>
      </c>
      <c r="AA15" s="51">
        <f>IF($E15=0,"",$E15/STIG_Metrics!M15)</f>
        <v>6.8999999999999995</v>
      </c>
      <c r="AB15" s="51">
        <f>IF($E15=0,"",$E15/STIG_Metrics!N15)</f>
        <v>0.3</v>
      </c>
      <c r="AC15" s="147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94"/>
    </row>
    <row r="16" spans="2:42" ht="15" customHeight="1">
      <c r="B16" s="57"/>
      <c r="C16" s="147"/>
      <c r="D16" s="195" t="str">
        <f>(STIG_Metrics!A16)</f>
        <v>Adobe Reader DC Classic</v>
      </c>
      <c r="E16" s="162">
        <v>0</v>
      </c>
      <c r="F16" s="164"/>
      <c r="G16" s="45" t="str">
        <f>IF($E16=0,"",(STIG_Metrics!D16)*$E16)</f>
        <v/>
      </c>
      <c r="H16" s="45" t="str">
        <f>IF($E16=0,"",(STIG_Metrics!E16)*$E16)</f>
        <v/>
      </c>
      <c r="I16" s="212" t="str">
        <f>IF($E16=0,"",(STIG_Metrics!G16)*$E16)</f>
        <v/>
      </c>
      <c r="J16" s="215" t="str">
        <f>IF($E16=0,"",(STIG_Metrics!D16-STIG_Metrics!E16)*$E16)</f>
        <v/>
      </c>
      <c r="K16" s="45" t="str">
        <f>IF($E16=0,"",(STIG_Metrics!D16-STIG_Metrics!G16)*$E16)</f>
        <v/>
      </c>
      <c r="L16" s="46" t="str">
        <f>IF($E16=0,"",FLOOR($V16*3,1)&amp;" Days"&amp;TEXT(SUM($V16-TIME(8,0,0)*FLOOR($V16*3,1))," h")&amp;" Hrs")</f>
        <v/>
      </c>
      <c r="M16" s="46" t="str">
        <f>IF($E16=0,"",FLOOR($W16*3,1)&amp;" Days"&amp;TEXT(SUM($W16-TIME(8,0,0)*FLOOR($W16*3,1))," h")&amp;" Hrs")</f>
        <v/>
      </c>
      <c r="N16" s="46" t="str">
        <f>IF($E16=0,"",FLOOR($X16*3,1)&amp; " Days"&amp;TEXT(SUM($X16-TIME(8,0,0)*FLOOR($X16*3,1))," h") &amp; " Hrs")</f>
        <v/>
      </c>
      <c r="O16" s="47" t="str">
        <f>IF($E16=0,"",STIG_Metrics!O16)</f>
        <v/>
      </c>
      <c r="P16" s="47" t="str">
        <f>IF($E16=0,"",STIG_Metrics!P16)</f>
        <v/>
      </c>
      <c r="Q16" s="48" t="str">
        <f>IF($E16=0,"",((G16*$E$8/60)*$E$7))</f>
        <v/>
      </c>
      <c r="R16" s="48" t="str">
        <f>IF($E16=0,"",((J16*$E$8/60)*$E$7))</f>
        <v/>
      </c>
      <c r="S16" s="48" t="str">
        <f>IF($E16=0,"",((K16*$E$8/60)*$E$7))</f>
        <v/>
      </c>
      <c r="T16" s="49" t="str">
        <f>IF(E16=0,"",(Y16*24)*4)</f>
        <v/>
      </c>
      <c r="U16" s="187" t="str">
        <f>IF(E16=0,"",PRODUCT(T16,$E$7))</f>
        <v/>
      </c>
      <c r="V16" s="185" t="str">
        <f>IF($E16=0,"",IF(STIG_Metrics!L16=60,0,($E16/STIG_Metrics!L16)/24))</f>
        <v/>
      </c>
      <c r="W16" s="52" t="str">
        <f>IF($E16=0,"",IF(STIG_Metrics!M16=60,0,($E16/STIG_Metrics!M16)/24))</f>
        <v/>
      </c>
      <c r="X16" s="52" t="str">
        <f>IF($E16=0,"",IF(STIG_Metrics!N16=60,0,($E16/STIG_Metrics!N16)/24))</f>
        <v/>
      </c>
      <c r="Y16" s="52" t="str">
        <f>IF($E16=0,"",$W16-$X16)</f>
        <v/>
      </c>
      <c r="Z16" s="53" t="str">
        <f>IF($E16=0,"",$E16/STIG_Metrics!L16)</f>
        <v/>
      </c>
      <c r="AA16" s="53" t="str">
        <f>IF($E16=0,"",$E16/STIG_Metrics!M16)</f>
        <v/>
      </c>
      <c r="AB16" s="53" t="str">
        <f>IF($E16=0,"",$E16/STIG_Metrics!N16)</f>
        <v/>
      </c>
      <c r="AC16" s="147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94"/>
    </row>
    <row r="17" spans="2:42" ht="15" customHeight="1">
      <c r="B17" s="57"/>
      <c r="C17" s="147"/>
      <c r="D17" s="195" t="str">
        <f>(STIG_Metrics!A17)</f>
        <v>Adobe Reader DC Continuous</v>
      </c>
      <c r="E17" s="162">
        <v>1446</v>
      </c>
      <c r="F17" s="164"/>
      <c r="G17" s="45">
        <f>IF($E17=0,"",(STIG_Metrics!D17)*$E17)</f>
        <v>37596</v>
      </c>
      <c r="H17" s="45">
        <f>IF($E17=0,"",(STIG_Metrics!E17)*$E17)</f>
        <v>31812</v>
      </c>
      <c r="I17" s="212">
        <f>IF($E17=0,"",(STIG_Metrics!G17)*$E17)</f>
        <v>36150</v>
      </c>
      <c r="J17" s="215">
        <f>IF($E17=0,"",(STIG_Metrics!D17-STIG_Metrics!E17)*$E17)</f>
        <v>5784</v>
      </c>
      <c r="K17" s="45">
        <f>IF($E17=0,"",(STIG_Metrics!D17-STIG_Metrics!G17)*$E17)</f>
        <v>1446</v>
      </c>
      <c r="L17" s="46" t="str">
        <f>IF($E17=0,"",FLOOR($V17*3,1)&amp;" Days"&amp;TEXT(SUM($V17-TIME(8,0,0)*FLOOR($V17*3,1))," h")&amp;" Hrs")</f>
        <v>352 Days 3 Hrs</v>
      </c>
      <c r="M17" s="46" t="str">
        <f>IF($E17=0,"",FLOOR($W17*3,1)&amp;" Days"&amp;TEXT(SUM($W17-TIME(8,0,0)*FLOOR($W17*3,1))," h")&amp;" Hrs")</f>
        <v>54 Days 1 Hrs</v>
      </c>
      <c r="N17" s="46" t="str">
        <f>IF($E17=0,"",FLOOR($X17*3,1)&amp; " Days"&amp;TEXT(SUM($X17-TIME(8,0,0)*FLOOR($X17*3,1))," h") &amp; " Hrs")</f>
        <v>13 Days 4 Hrs</v>
      </c>
      <c r="O17" s="47">
        <f>IF($E17=0,"",STIG_Metrics!O17)</f>
        <v>5.5000000000000009</v>
      </c>
      <c r="P17" s="47">
        <f>IF($E17=0,"",STIG_Metrics!P17)</f>
        <v>25.000000000000004</v>
      </c>
      <c r="Q17" s="48">
        <f>IF($E17=0,"",((G17*$E$8/60)*$E$7))</f>
        <v>281970</v>
      </c>
      <c r="R17" s="48">
        <f>IF($E17=0,"",((J17*$E$8/60)*$E$7))</f>
        <v>43380</v>
      </c>
      <c r="S17" s="48">
        <f>IF($E17=0,"",((K17*$E$8/60)*$E$7))</f>
        <v>10845</v>
      </c>
      <c r="T17" s="49">
        <f>IF(E17=0,"",(Y17*24)*4)</f>
        <v>1301.3999999999999</v>
      </c>
      <c r="U17" s="187">
        <f>IF(E17=0,"",PRODUCT(T17,$E$7))</f>
        <v>130139.99999999999</v>
      </c>
      <c r="V17" s="185">
        <f>IF($E17=0,"",IF(STIG_Metrics!L17=60,0,($E17/STIG_Metrics!L17)/24))</f>
        <v>117.48750000000001</v>
      </c>
      <c r="W17" s="52">
        <f>IF($E17=0,"",IF(STIG_Metrics!M17=60,0,($E17/STIG_Metrics!M17)/24))</f>
        <v>18.074999999999999</v>
      </c>
      <c r="X17" s="52">
        <f>IF($E17=0,"",IF(STIG_Metrics!N17=60,0,($E17/STIG_Metrics!N17)/24))</f>
        <v>4.5187499999999998</v>
      </c>
      <c r="Y17" s="52">
        <f>IF($E17=0,"",$W17-$X17)</f>
        <v>13.556249999999999</v>
      </c>
      <c r="Z17" s="53">
        <f>IF($E17=0,"",$E17/STIG_Metrics!L17)</f>
        <v>2819.7000000000003</v>
      </c>
      <c r="AA17" s="53">
        <f>IF($E17=0,"",$E17/STIG_Metrics!M17)</f>
        <v>433.79999999999995</v>
      </c>
      <c r="AB17" s="53">
        <f>IF($E17=0,"",$E17/STIG_Metrics!N17)</f>
        <v>108.44999999999999</v>
      </c>
      <c r="AC17" s="147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94"/>
    </row>
    <row r="18" spans="2:42" ht="15" customHeight="1">
      <c r="B18" s="57"/>
      <c r="C18" s="147"/>
      <c r="D18" s="195" t="str">
        <f>(STIG_Metrics!A18)</f>
        <v>Apache 2.4 Server Unix</v>
      </c>
      <c r="E18" s="162">
        <v>0</v>
      </c>
      <c r="F18" s="164"/>
      <c r="G18" s="45" t="str">
        <f>IF($E18=0,"",(STIG_Metrics!D18)*$E18)</f>
        <v/>
      </c>
      <c r="H18" s="45" t="str">
        <f>IF($E18=0,"",(STIG_Metrics!E18)*$E18)</f>
        <v/>
      </c>
      <c r="I18" s="212" t="str">
        <f>IF($E18=0,"",(STIG_Metrics!G18)*$E18)</f>
        <v/>
      </c>
      <c r="J18" s="215" t="str">
        <f>IF($E18=0,"",(STIG_Metrics!D18-STIG_Metrics!E18)*$E18)</f>
        <v/>
      </c>
      <c r="K18" s="45" t="str">
        <f>IF($E18=0,"",(STIG_Metrics!D18-STIG_Metrics!G18)*$E18)</f>
        <v/>
      </c>
      <c r="L18" s="46" t="str">
        <f t="shared" si="0"/>
        <v/>
      </c>
      <c r="M18" s="46" t="str">
        <f t="shared" si="1"/>
        <v/>
      </c>
      <c r="N18" s="46" t="str">
        <f t="shared" si="2"/>
        <v/>
      </c>
      <c r="O18" s="47" t="str">
        <f>IF($E18=0,"",STIG_Metrics!O18)</f>
        <v/>
      </c>
      <c r="P18" s="47" t="str">
        <f>IF($E18=0,"",STIG_Metrics!P18)</f>
        <v/>
      </c>
      <c r="Q18" s="48" t="str">
        <f t="shared" si="3"/>
        <v/>
      </c>
      <c r="R18" s="48" t="str">
        <f t="shared" ref="R18:S19" si="11">IF($E18=0,"",((J18*$E$8/60)*$E$7))</f>
        <v/>
      </c>
      <c r="S18" s="48" t="str">
        <f t="shared" si="11"/>
        <v/>
      </c>
      <c r="T18" s="49" t="str">
        <f t="shared" si="5"/>
        <v/>
      </c>
      <c r="U18" s="187" t="str">
        <f t="shared" si="6"/>
        <v/>
      </c>
      <c r="V18" s="185" t="str">
        <f>IF($E18=0,"",IF(STIG_Metrics!L18=60,0,($E18/STIG_Metrics!L18)/24))</f>
        <v/>
      </c>
      <c r="W18" s="52" t="str">
        <f>IF($E18=0,"",IF(STIG_Metrics!M18=60,0,($E18/STIG_Metrics!M18)/24))</f>
        <v/>
      </c>
      <c r="X18" s="52" t="str">
        <f>IF($E18=0,"",IF(STIG_Metrics!N18=60,0,($E18/STIG_Metrics!N18)/24))</f>
        <v/>
      </c>
      <c r="Y18" s="52" t="str">
        <f t="shared" si="7"/>
        <v/>
      </c>
      <c r="Z18" s="53" t="str">
        <f>IF($E18=0,"",$E18/STIG_Metrics!L18)</f>
        <v/>
      </c>
      <c r="AA18" s="53" t="str">
        <f>IF($E18=0,"",$E18/STIG_Metrics!M18)</f>
        <v/>
      </c>
      <c r="AB18" s="53" t="str">
        <f>IF($E18=0,"",$E18/STIG_Metrics!N18)</f>
        <v/>
      </c>
      <c r="AC18" s="147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94"/>
    </row>
    <row r="19" spans="2:42" ht="15" customHeight="1">
      <c r="B19" s="57"/>
      <c r="C19" s="147"/>
      <c r="D19" s="195" t="str">
        <f>(STIG_Metrics!A19)</f>
        <v>Apache 2.4 Server Windows</v>
      </c>
      <c r="E19" s="162">
        <v>5</v>
      </c>
      <c r="F19" s="164"/>
      <c r="G19" s="45">
        <f>IF($E19=0,"",(STIG_Metrics!D19)*$E19)</f>
        <v>270</v>
      </c>
      <c r="H19" s="45">
        <f>IF($E19=0,"",(STIG_Metrics!E19)*$E19)</f>
        <v>0</v>
      </c>
      <c r="I19" s="212">
        <f>IF($E19=0,"",(STIG_Metrics!G19)*$E19)</f>
        <v>125</v>
      </c>
      <c r="J19" s="215">
        <f>IF($E19=0,"",(STIG_Metrics!D19-STIG_Metrics!E19)*$E19)</f>
        <v>270</v>
      </c>
      <c r="K19" s="45">
        <f>IF($E19=0,"",(STIG_Metrics!D19-STIG_Metrics!G19)*$E19)</f>
        <v>145</v>
      </c>
      <c r="L19" s="46" t="str">
        <f t="shared" si="0"/>
        <v>2 Days 4 Hrs</v>
      </c>
      <c r="M19" s="46" t="str">
        <f t="shared" si="1"/>
        <v>2 Days 4 Hrs</v>
      </c>
      <c r="N19" s="46" t="str">
        <f t="shared" si="2"/>
        <v>1 Days 2 Hrs</v>
      </c>
      <c r="O19" s="47">
        <f>IF($E19=0,"",STIG_Metrics!O19)</f>
        <v>0</v>
      </c>
      <c r="P19" s="47">
        <f>IF($E19=0,"",STIG_Metrics!P19)</f>
        <v>0.86206896551724144</v>
      </c>
      <c r="Q19" s="48">
        <f t="shared" si="3"/>
        <v>2025</v>
      </c>
      <c r="R19" s="48">
        <f t="shared" si="11"/>
        <v>2025</v>
      </c>
      <c r="S19" s="48">
        <f t="shared" si="11"/>
        <v>1087.5</v>
      </c>
      <c r="T19" s="49">
        <f t="shared" si="5"/>
        <v>37.5</v>
      </c>
      <c r="U19" s="187">
        <f t="shared" si="6"/>
        <v>3750</v>
      </c>
      <c r="V19" s="185">
        <f>IF($E19=0,"",IF(STIG_Metrics!L19=60,0,($E19/STIG_Metrics!L19)/24))</f>
        <v>0.84375</v>
      </c>
      <c r="W19" s="52">
        <f>IF($E19=0,"",IF(STIG_Metrics!M19=60,0,($E19/STIG_Metrics!M19)/24))</f>
        <v>0.84375</v>
      </c>
      <c r="X19" s="52">
        <f>IF($E19=0,"",IF(STIG_Metrics!N19=60,0,($E19/STIG_Metrics!N19)/24))</f>
        <v>0.453125</v>
      </c>
      <c r="Y19" s="52">
        <f t="shared" si="7"/>
        <v>0.390625</v>
      </c>
      <c r="Z19" s="53">
        <f>IF($E19=0,"",$E19/STIG_Metrics!L19)</f>
        <v>20.25</v>
      </c>
      <c r="AA19" s="53">
        <f>IF($E19=0,"",$E19/STIG_Metrics!M19)</f>
        <v>20.25</v>
      </c>
      <c r="AB19" s="53">
        <f>IF($E19=0,"",$E19/STIG_Metrics!N19)</f>
        <v>10.875</v>
      </c>
      <c r="AC19" s="147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94"/>
    </row>
    <row r="20" spans="2:42" ht="15" customHeight="1">
      <c r="B20" s="57"/>
      <c r="C20" s="147"/>
      <c r="D20" s="195" t="str">
        <f>(STIG_Metrics!A20)</f>
        <v>Apache 2.4 Site Unix</v>
      </c>
      <c r="E20" s="162">
        <v>0</v>
      </c>
      <c r="F20" s="164"/>
      <c r="G20" s="45" t="str">
        <f>IF($E20=0,"",(STIG_Metrics!D20)*$E20)</f>
        <v/>
      </c>
      <c r="H20" s="45" t="str">
        <f>IF($E20=0,"",(STIG_Metrics!E20)*$E20)</f>
        <v/>
      </c>
      <c r="I20" s="212" t="str">
        <f>IF($E20=0,"",(STIG_Metrics!G20)*$E20)</f>
        <v/>
      </c>
      <c r="J20" s="215" t="str">
        <f>IF($E20=0,"",(STIG_Metrics!D20-STIG_Metrics!E20)*$E20)</f>
        <v/>
      </c>
      <c r="K20" s="45" t="str">
        <f>IF($E20=0,"",(STIG_Metrics!D20-STIG_Metrics!G20)*$E20)</f>
        <v/>
      </c>
      <c r="L20" s="46" t="str">
        <f t="shared" si="0"/>
        <v/>
      </c>
      <c r="M20" s="46" t="str">
        <f t="shared" si="1"/>
        <v/>
      </c>
      <c r="N20" s="46" t="str">
        <f t="shared" si="2"/>
        <v/>
      </c>
      <c r="O20" s="47" t="str">
        <f>IF($E20=0,"",STIG_Metrics!O20)</f>
        <v/>
      </c>
      <c r="P20" s="47" t="str">
        <f>IF($E20=0,"",STIG_Metrics!P20)</f>
        <v/>
      </c>
      <c r="Q20" s="48" t="str">
        <f t="shared" si="3"/>
        <v/>
      </c>
      <c r="R20" s="48" t="str">
        <f t="shared" si="8"/>
        <v/>
      </c>
      <c r="S20" s="48" t="str">
        <f t="shared" si="9"/>
        <v/>
      </c>
      <c r="T20" s="49" t="str">
        <f t="shared" si="5"/>
        <v/>
      </c>
      <c r="U20" s="187" t="str">
        <f t="shared" si="6"/>
        <v/>
      </c>
      <c r="V20" s="184" t="str">
        <f>IF($E20=0,"",IF(STIG_Metrics!L20=60,0,($E20/STIG_Metrics!L20)/24))</f>
        <v/>
      </c>
      <c r="W20" s="50" t="str">
        <f>IF($E20=0,"",IF(STIG_Metrics!M20=60,0,($E20/STIG_Metrics!M20)/24))</f>
        <v/>
      </c>
      <c r="X20" s="50" t="str">
        <f>IF($E20=0,"",IF(STIG_Metrics!N20=60,0,($E20/STIG_Metrics!N20)/24))</f>
        <v/>
      </c>
      <c r="Y20" s="50" t="str">
        <f t="shared" si="7"/>
        <v/>
      </c>
      <c r="Z20" s="51" t="str">
        <f>IF($E20=0,"",$E20/STIG_Metrics!L20)</f>
        <v/>
      </c>
      <c r="AA20" s="51" t="str">
        <f>IF($E20=0,"",$E20/STIG_Metrics!M20)</f>
        <v/>
      </c>
      <c r="AB20" s="51" t="str">
        <f>IF($E20=0,"",$E20/STIG_Metrics!N20)</f>
        <v/>
      </c>
      <c r="AC20" s="147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94"/>
    </row>
    <row r="21" spans="2:42" ht="15" customHeight="1">
      <c r="B21" s="57"/>
      <c r="C21" s="147"/>
      <c r="D21" s="195" t="str">
        <f>(STIG_Metrics!A21)</f>
        <v>Apache 2.4 Site Windows</v>
      </c>
      <c r="E21" s="162">
        <v>5</v>
      </c>
      <c r="F21" s="164"/>
      <c r="G21" s="45">
        <f>IF($E21=0,"",(STIG_Metrics!D21)*$E21)</f>
        <v>180</v>
      </c>
      <c r="H21" s="45">
        <f>IF($E21=0,"",(STIG_Metrics!E21)*$E21)</f>
        <v>0</v>
      </c>
      <c r="I21" s="212">
        <f>IF($E21=0,"",(STIG_Metrics!G21)*$E21)</f>
        <v>105</v>
      </c>
      <c r="J21" s="215">
        <f>IF($E21=0,"",(STIG_Metrics!D21-STIG_Metrics!E21)*$E21)</f>
        <v>180</v>
      </c>
      <c r="K21" s="45">
        <f>IF($E21=0,"",(STIG_Metrics!D21-STIG_Metrics!G21)*$E21)</f>
        <v>75</v>
      </c>
      <c r="L21" s="46" t="str">
        <f t="shared" si="0"/>
        <v>1 Days 5 Hrs</v>
      </c>
      <c r="M21" s="46" t="str">
        <f t="shared" si="1"/>
        <v>1 Days 5 Hrs</v>
      </c>
      <c r="N21" s="46" t="str">
        <f t="shared" si="2"/>
        <v>0 Days 5 Hrs</v>
      </c>
      <c r="O21" s="47">
        <f>IF($E21=0,"",STIG_Metrics!O21)</f>
        <v>0</v>
      </c>
      <c r="P21" s="47">
        <f>IF($E21=0,"",STIG_Metrics!P21)</f>
        <v>1.4</v>
      </c>
      <c r="Q21" s="48">
        <f t="shared" si="3"/>
        <v>1350</v>
      </c>
      <c r="R21" s="48">
        <f t="shared" ref="R21:S24" si="12">IF($E21=0,"",((J21*$E$8/60)*$E$7))</f>
        <v>1350</v>
      </c>
      <c r="S21" s="48">
        <f t="shared" si="12"/>
        <v>562.5</v>
      </c>
      <c r="T21" s="49">
        <f t="shared" si="5"/>
        <v>31.5</v>
      </c>
      <c r="U21" s="187">
        <f t="shared" si="6"/>
        <v>3150</v>
      </c>
      <c r="V21" s="185">
        <f>IF($E21=0,"",IF(STIG_Metrics!L21=60,0,($E21/STIG_Metrics!L21)/24))</f>
        <v>0.5625</v>
      </c>
      <c r="W21" s="52">
        <f>IF($E21=0,"",IF(STIG_Metrics!M21=60,0,($E21/STIG_Metrics!M21)/24))</f>
        <v>0.5625</v>
      </c>
      <c r="X21" s="52">
        <f>IF($E21=0,"",IF(STIG_Metrics!N21=60,0,($E21/STIG_Metrics!N21)/24))</f>
        <v>0.234375</v>
      </c>
      <c r="Y21" s="52">
        <f t="shared" si="7"/>
        <v>0.328125</v>
      </c>
      <c r="Z21" s="53">
        <f>IF($E21=0,"",$E21/STIG_Metrics!L21)</f>
        <v>13.5</v>
      </c>
      <c r="AA21" s="53">
        <f>IF($E21=0,"",$E21/STIG_Metrics!M21)</f>
        <v>13.5</v>
      </c>
      <c r="AB21" s="53">
        <f>IF($E21=0,"",$E21/STIG_Metrics!N21)</f>
        <v>5.625</v>
      </c>
      <c r="AC21" s="147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94"/>
    </row>
    <row r="22" spans="2:42" ht="15" customHeight="1">
      <c r="B22" s="57"/>
      <c r="C22" s="147"/>
      <c r="D22" s="195" t="str">
        <f>(STIG_Metrics!A22)</f>
        <v>Cisco IOS XE Router NDM</v>
      </c>
      <c r="E22" s="162">
        <v>0</v>
      </c>
      <c r="F22" s="164"/>
      <c r="G22" s="45" t="str">
        <f>IF($E22=0,"",(STIG_Metrics!D22)*$E22)</f>
        <v/>
      </c>
      <c r="H22" s="45" t="str">
        <f>IF($E22=0,"",(STIG_Metrics!E22)*$E22)</f>
        <v/>
      </c>
      <c r="I22" s="212" t="str">
        <f>IF($E22=0,"",(STIG_Metrics!G22)*$E22)</f>
        <v/>
      </c>
      <c r="J22" s="215" t="str">
        <f>IF($E22=0,"",(STIG_Metrics!D22-STIG_Metrics!E22)*$E22)</f>
        <v/>
      </c>
      <c r="K22" s="45" t="str">
        <f>IF($E22=0,"",(STIG_Metrics!D22-STIG_Metrics!G22)*$E22)</f>
        <v/>
      </c>
      <c r="L22" s="46" t="str">
        <f>IF($E22=0,"",FLOOR($V22*3,1)&amp;" Days"&amp;TEXT(SUM($V22-TIME(8,0,0)*FLOOR($V22*3,1))," h")&amp;" Hrs")</f>
        <v/>
      </c>
      <c r="M22" s="46" t="str">
        <f>IF($E22=0,"",FLOOR($W22*3,1)&amp;" Days"&amp;TEXT(SUM($W22-TIME(8,0,0)*FLOOR($W22*3,1))," h")&amp;" Hrs")</f>
        <v/>
      </c>
      <c r="N22" s="46" t="str">
        <f>IF($E22=0,"",FLOOR($X22*3,1)&amp; " Days"&amp;TEXT(SUM($X22-TIME(8,0,0)*FLOOR($X22*3,1))," h") &amp; " Hrs")</f>
        <v/>
      </c>
      <c r="O22" s="47" t="str">
        <f>IF($E22=0,"",STIG_Metrics!O22)</f>
        <v/>
      </c>
      <c r="P22" s="47" t="str">
        <f>IF($E22=0,"",STIG_Metrics!P22)</f>
        <v/>
      </c>
      <c r="Q22" s="48" t="str">
        <f>IF($E22=0,"",((G22*$E$8/60)*$E$7))</f>
        <v/>
      </c>
      <c r="R22" s="48" t="str">
        <f t="shared" si="12"/>
        <v/>
      </c>
      <c r="S22" s="48" t="str">
        <f t="shared" si="12"/>
        <v/>
      </c>
      <c r="T22" s="49" t="str">
        <f>IF(E22=0,"",(Y22*24)*4)</f>
        <v/>
      </c>
      <c r="U22" s="187" t="str">
        <f>IF(E22=0,"",PRODUCT(T22,$E$7))</f>
        <v/>
      </c>
      <c r="V22" s="185" t="str">
        <f>IF($E22=0,"",IF(STIG_Metrics!L22=60,0,($E22/STIG_Metrics!L22)/24))</f>
        <v/>
      </c>
      <c r="W22" s="52" t="str">
        <f>IF($E22=0,"",IF(STIG_Metrics!M22=60,0,($E22/STIG_Metrics!M22)/24))</f>
        <v/>
      </c>
      <c r="X22" s="52" t="str">
        <f>IF($E22=0,"",IF(STIG_Metrics!N22=60,0,($E22/STIG_Metrics!N22)/24))</f>
        <v/>
      </c>
      <c r="Y22" s="52" t="str">
        <f>IF($E22=0,"",$W22-$X22)</f>
        <v/>
      </c>
      <c r="Z22" s="53" t="str">
        <f>IF($E22=0,"",$E22/STIG_Metrics!L22)</f>
        <v/>
      </c>
      <c r="AA22" s="53" t="str">
        <f>IF($E22=0,"",$E22/STIG_Metrics!M22)</f>
        <v/>
      </c>
      <c r="AB22" s="53" t="str">
        <f>IF($E22=0,"",$E22/STIG_Metrics!N22)</f>
        <v/>
      </c>
      <c r="AC22" s="147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94"/>
    </row>
    <row r="23" spans="2:42" ht="15" customHeight="1">
      <c r="B23" s="57"/>
      <c r="C23" s="147"/>
      <c r="D23" s="195" t="str">
        <f>(STIG_Metrics!A23)</f>
        <v>Cisco IOS XE Switch L2S</v>
      </c>
      <c r="E23" s="162">
        <v>0</v>
      </c>
      <c r="F23" s="164"/>
      <c r="G23" s="45" t="str">
        <f>IF($E23=0,"",(STIG_Metrics!D23)*$E23)</f>
        <v/>
      </c>
      <c r="H23" s="45" t="str">
        <f>IF($E23=0,"",(STIG_Metrics!E23)*$E23)</f>
        <v/>
      </c>
      <c r="I23" s="212" t="str">
        <f>IF($E23=0,"",(STIG_Metrics!G23)*$E23)</f>
        <v/>
      </c>
      <c r="J23" s="215" t="str">
        <f>IF($E23=0,"",(STIG_Metrics!D23-STIG_Metrics!E23)*$E23)</f>
        <v/>
      </c>
      <c r="K23" s="45" t="str">
        <f>IF($E23=0,"",(STIG_Metrics!D23-STIG_Metrics!G23)*$E23)</f>
        <v/>
      </c>
      <c r="L23" s="46" t="str">
        <f>IF($E23=0,"",FLOOR($V23*3,1)&amp;" Days"&amp;TEXT(SUM($V23-TIME(8,0,0)*FLOOR($V23*3,1))," h")&amp;" Hrs")</f>
        <v/>
      </c>
      <c r="M23" s="46" t="str">
        <f>IF($E23=0,"",FLOOR($W23*3,1)&amp;" Days"&amp;TEXT(SUM($W23-TIME(8,0,0)*FLOOR($W23*3,1))," h")&amp;" Hrs")</f>
        <v/>
      </c>
      <c r="N23" s="46" t="str">
        <f>IF($E23=0,"",FLOOR($X23*3,1)&amp; " Days"&amp;TEXT(SUM($X23-TIME(8,0,0)*FLOOR($X23*3,1))," h") &amp; " Hrs")</f>
        <v/>
      </c>
      <c r="O23" s="47" t="str">
        <f>IF($E23=0,"",STIG_Metrics!O23)</f>
        <v/>
      </c>
      <c r="P23" s="47" t="str">
        <f>IF($E23=0,"",STIG_Metrics!P23)</f>
        <v/>
      </c>
      <c r="Q23" s="48" t="str">
        <f>IF($E23=0,"",((G23*$E$8/60)*$E$7))</f>
        <v/>
      </c>
      <c r="R23" s="48" t="str">
        <f t="shared" si="12"/>
        <v/>
      </c>
      <c r="S23" s="48" t="str">
        <f t="shared" si="12"/>
        <v/>
      </c>
      <c r="T23" s="49" t="str">
        <f>IF(E23=0,"",(Y23*24)*4)</f>
        <v/>
      </c>
      <c r="U23" s="187" t="str">
        <f>IF(E23=0,"",PRODUCT(T23,$E$7))</f>
        <v/>
      </c>
      <c r="V23" s="185" t="str">
        <f>IF($E23=0,"",IF(STIG_Metrics!L23=60,0,($E23/STIG_Metrics!L23)/24))</f>
        <v/>
      </c>
      <c r="W23" s="52" t="str">
        <f>IF($E23=0,"",IF(STIG_Metrics!M23=60,0,($E23/STIG_Metrics!M23)/24))</f>
        <v/>
      </c>
      <c r="X23" s="52" t="str">
        <f>IF($E23=0,"",IF(STIG_Metrics!N23=60,0,($E23/STIG_Metrics!N23)/24))</f>
        <v/>
      </c>
      <c r="Y23" s="52" t="str">
        <f>IF($E23=0,"",$W23-$X23)</f>
        <v/>
      </c>
      <c r="Z23" s="53" t="str">
        <f>IF($E23=0,"",$E23/STIG_Metrics!L23)</f>
        <v/>
      </c>
      <c r="AA23" s="53" t="str">
        <f>IF($E23=0,"",$E23/STIG_Metrics!M23)</f>
        <v/>
      </c>
      <c r="AB23" s="53" t="str">
        <f>IF($E23=0,"",$E23/STIG_Metrics!N23)</f>
        <v/>
      </c>
      <c r="AC23" s="147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94"/>
    </row>
    <row r="24" spans="2:42" ht="15" customHeight="1">
      <c r="B24" s="57"/>
      <c r="C24" s="147"/>
      <c r="D24" s="195" t="str">
        <f>(STIG_Metrics!A24)</f>
        <v>Cisco IOS XE Switch NDM</v>
      </c>
      <c r="E24" s="162">
        <v>0</v>
      </c>
      <c r="F24" s="164"/>
      <c r="G24" s="45" t="str">
        <f>IF($E24=0,"",(STIG_Metrics!D24)*$E24)</f>
        <v/>
      </c>
      <c r="H24" s="45" t="str">
        <f>IF($E24=0,"",(STIG_Metrics!E24)*$E24)</f>
        <v/>
      </c>
      <c r="I24" s="212" t="str">
        <f>IF($E24=0,"",(STIG_Metrics!G24)*$E24)</f>
        <v/>
      </c>
      <c r="J24" s="215" t="str">
        <f>IF($E24=0,"",(STIG_Metrics!D24-STIG_Metrics!E24)*$E24)</f>
        <v/>
      </c>
      <c r="K24" s="45" t="str">
        <f>IF($E24=0,"",(STIG_Metrics!D24-STIG_Metrics!G24)*$E24)</f>
        <v/>
      </c>
      <c r="L24" s="46" t="str">
        <f>IF($E24=0,"",FLOOR($V24*3,1)&amp;" Days"&amp;TEXT(SUM($V24-TIME(8,0,0)*FLOOR($V24*3,1))," h")&amp;" Hrs")</f>
        <v/>
      </c>
      <c r="M24" s="46" t="str">
        <f>IF($E24=0,"",FLOOR($W24*3,1)&amp;" Days"&amp;TEXT(SUM($W24-TIME(8,0,0)*FLOOR($W24*3,1))," h")&amp;" Hrs")</f>
        <v/>
      </c>
      <c r="N24" s="46" t="str">
        <f>IF($E24=0,"",FLOOR($X24*3,1)&amp; " Days"&amp;TEXT(SUM($X24-TIME(8,0,0)*FLOOR($X24*3,1))," h") &amp; " Hrs")</f>
        <v/>
      </c>
      <c r="O24" s="47" t="str">
        <f>IF($E24=0,"",STIG_Metrics!O24)</f>
        <v/>
      </c>
      <c r="P24" s="47" t="str">
        <f>IF($E24=0,"",STIG_Metrics!P24)</f>
        <v/>
      </c>
      <c r="Q24" s="48" t="str">
        <f>IF($E24=0,"",((G24*$E$8/60)*$E$7))</f>
        <v/>
      </c>
      <c r="R24" s="48" t="str">
        <f t="shared" si="12"/>
        <v/>
      </c>
      <c r="S24" s="48" t="str">
        <f t="shared" si="12"/>
        <v/>
      </c>
      <c r="T24" s="49" t="str">
        <f>IF(E24=0,"",(Y24*24)*4)</f>
        <v/>
      </c>
      <c r="U24" s="187" t="str">
        <f>IF(E24=0,"",PRODUCT(T24,$E$7))</f>
        <v/>
      </c>
      <c r="V24" s="185" t="str">
        <f>IF($E24=0,"",IF(STIG_Metrics!L24=60,0,($E24/STIG_Metrics!L24)/24))</f>
        <v/>
      </c>
      <c r="W24" s="52" t="str">
        <f>IF($E24=0,"",IF(STIG_Metrics!M24=60,0,($E24/STIG_Metrics!M24)/24))</f>
        <v/>
      </c>
      <c r="X24" s="52" t="str">
        <f>IF($E24=0,"",IF(STIG_Metrics!N24=60,0,($E24/STIG_Metrics!N24)/24))</f>
        <v/>
      </c>
      <c r="Y24" s="52" t="str">
        <f>IF($E24=0,"",$W24-$X24)</f>
        <v/>
      </c>
      <c r="Z24" s="53" t="str">
        <f>IF($E24=0,"",$E24/STIG_Metrics!L24)</f>
        <v/>
      </c>
      <c r="AA24" s="53" t="str">
        <f>IF($E24=0,"",$E24/STIG_Metrics!M24)</f>
        <v/>
      </c>
      <c r="AB24" s="53" t="str">
        <f>IF($E24=0,"",$E24/STIG_Metrics!N24)</f>
        <v/>
      </c>
      <c r="AC24" s="147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94"/>
    </row>
    <row r="25" spans="2:42" ht="15" customHeight="1">
      <c r="B25" s="57"/>
      <c r="C25" s="147"/>
      <c r="D25" s="195" t="str">
        <f>(STIG_Metrics!A25)</f>
        <v>Google Chrome</v>
      </c>
      <c r="E25" s="162">
        <v>1341</v>
      </c>
      <c r="F25" s="164"/>
      <c r="G25" s="45">
        <f>IF($E25=0,"",(STIG_Metrics!D25)*$E25)</f>
        <v>57663</v>
      </c>
      <c r="H25" s="45">
        <f>IF($E25=0,"",(STIG_Metrics!E25)*$E25)</f>
        <v>52299</v>
      </c>
      <c r="I25" s="212">
        <f>IF($E25=0,"",(STIG_Metrics!G25)*$E25)</f>
        <v>56322</v>
      </c>
      <c r="J25" s="215">
        <f>IF($E25=0,"",(STIG_Metrics!D25-STIG_Metrics!E25)*$E25)</f>
        <v>5364</v>
      </c>
      <c r="K25" s="45">
        <f>IF($E25=0,"",(STIG_Metrics!D25-STIG_Metrics!G25)*$E25)</f>
        <v>1341</v>
      </c>
      <c r="L25" s="46" t="str">
        <f t="shared" si="0"/>
        <v>540 Days 4 Hrs</v>
      </c>
      <c r="M25" s="46" t="str">
        <f t="shared" si="1"/>
        <v>50 Days 2 Hrs</v>
      </c>
      <c r="N25" s="46" t="str">
        <f t="shared" si="2"/>
        <v>12 Days 4 Hrs</v>
      </c>
      <c r="O25" s="47">
        <f>IF($E25=0,"",STIG_Metrics!O25)</f>
        <v>9.75</v>
      </c>
      <c r="P25" s="47">
        <f>IF($E25=0,"",STIG_Metrics!P25)</f>
        <v>42</v>
      </c>
      <c r="Q25" s="48">
        <f t="shared" si="3"/>
        <v>432472.50000000006</v>
      </c>
      <c r="R25" s="48">
        <f t="shared" si="8"/>
        <v>40230</v>
      </c>
      <c r="S25" s="48">
        <f t="shared" si="9"/>
        <v>10057.5</v>
      </c>
      <c r="T25" s="49">
        <f t="shared" si="5"/>
        <v>1206.8999999999999</v>
      </c>
      <c r="U25" s="187">
        <f t="shared" si="6"/>
        <v>120689.99999999999</v>
      </c>
      <c r="V25" s="184">
        <f>IF($E25=0,"",IF(STIG_Metrics!L25=60,0,($E25/STIG_Metrics!L25)/24))</f>
        <v>180.19687500000001</v>
      </c>
      <c r="W25" s="50">
        <f>IF($E25=0,"",IF(STIG_Metrics!M25=60,0,($E25/STIG_Metrics!M25)/24))</f>
        <v>16.762499999999999</v>
      </c>
      <c r="X25" s="50">
        <f>IF($E25=0,"",IF(STIG_Metrics!N25=60,0,($E25/STIG_Metrics!N25)/24))</f>
        <v>4.1906249999999998</v>
      </c>
      <c r="Y25" s="50">
        <f t="shared" si="7"/>
        <v>12.571874999999999</v>
      </c>
      <c r="Z25" s="51">
        <f>IF($E25=0,"",$E25/STIG_Metrics!L25)</f>
        <v>4324.7250000000004</v>
      </c>
      <c r="AA25" s="51">
        <f>IF($E25=0,"",$E25/STIG_Metrics!M25)</f>
        <v>402.29999999999995</v>
      </c>
      <c r="AB25" s="51">
        <f>IF($E25=0,"",$E25/STIG_Metrics!N25)</f>
        <v>100.57499999999999</v>
      </c>
      <c r="AC25" s="147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94"/>
    </row>
    <row r="26" spans="2:42" ht="15" customHeight="1">
      <c r="B26" s="57"/>
      <c r="C26" s="147"/>
      <c r="D26" s="195" t="str">
        <f>(STIG_Metrics!A26)</f>
        <v>IIS 10.0 Server</v>
      </c>
      <c r="E26" s="162">
        <v>32</v>
      </c>
      <c r="F26" s="164"/>
      <c r="G26" s="45">
        <f>IF($E26=0,"",(STIG_Metrics!D26)*$E26)</f>
        <v>1440</v>
      </c>
      <c r="H26" s="45">
        <f>IF($E26=0,"",(STIG_Metrics!E26)*$E26)</f>
        <v>0</v>
      </c>
      <c r="I26" s="212">
        <f>IF($E26=0,"",(STIG_Metrics!G26)*$E26)</f>
        <v>928</v>
      </c>
      <c r="J26" s="215">
        <f>IF($E26=0,"",(STIG_Metrics!D26-STIG_Metrics!E26)*$E26)</f>
        <v>1440</v>
      </c>
      <c r="K26" s="45">
        <f>IF($E26=0,"",(STIG_Metrics!D26-STIG_Metrics!G26)*$E26)</f>
        <v>512</v>
      </c>
      <c r="L26" s="46" t="str">
        <f t="shared" si="0"/>
        <v>13 Days 4 Hrs</v>
      </c>
      <c r="M26" s="46" t="str">
        <f t="shared" si="1"/>
        <v>13 Days 4 Hrs</v>
      </c>
      <c r="N26" s="46" t="str">
        <f t="shared" si="2"/>
        <v>4 Days 6 Hrs</v>
      </c>
      <c r="O26" s="47">
        <f>IF($E26=0,"",STIG_Metrics!O26)</f>
        <v>0</v>
      </c>
      <c r="P26" s="47">
        <f>IF($E26=0,"",STIG_Metrics!P26)</f>
        <v>1.8125000000000002</v>
      </c>
      <c r="Q26" s="48">
        <f t="shared" si="3"/>
        <v>10800</v>
      </c>
      <c r="R26" s="48">
        <f t="shared" si="8"/>
        <v>10800</v>
      </c>
      <c r="S26" s="48">
        <f t="shared" si="9"/>
        <v>3840</v>
      </c>
      <c r="T26" s="49">
        <f t="shared" si="5"/>
        <v>278.40000000000003</v>
      </c>
      <c r="U26" s="187">
        <f t="shared" si="6"/>
        <v>27840.000000000004</v>
      </c>
      <c r="V26" s="184">
        <f>IF($E26=0,"",IF(STIG_Metrics!L26=60,0,($E26/STIG_Metrics!L26)/24))</f>
        <v>4.5</v>
      </c>
      <c r="W26" s="50">
        <f>IF($E26=0,"",IF(STIG_Metrics!M26=60,0,($E26/STIG_Metrics!M26)/24))</f>
        <v>4.5</v>
      </c>
      <c r="X26" s="50">
        <f>IF($E26=0,"",IF(STIG_Metrics!N26=60,0,($E26/STIG_Metrics!N26)/24))</f>
        <v>1.5999999999999999</v>
      </c>
      <c r="Y26" s="50">
        <f t="shared" si="7"/>
        <v>2.9000000000000004</v>
      </c>
      <c r="Z26" s="51">
        <f>IF($E26=0,"",$E26/STIG_Metrics!L26)</f>
        <v>108</v>
      </c>
      <c r="AA26" s="51">
        <f>IF($E26=0,"",$E26/STIG_Metrics!M26)</f>
        <v>108</v>
      </c>
      <c r="AB26" s="51">
        <f>IF($E26=0,"",$E26/STIG_Metrics!N26)</f>
        <v>38.4</v>
      </c>
      <c r="AC26" s="147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94"/>
    </row>
    <row r="27" spans="2:42" ht="15" customHeight="1">
      <c r="B27" s="57"/>
      <c r="C27" s="147"/>
      <c r="D27" s="195" t="str">
        <f>(STIG_Metrics!A27)</f>
        <v>IIS 10.0 Site</v>
      </c>
      <c r="E27" s="162">
        <v>46</v>
      </c>
      <c r="F27" s="164"/>
      <c r="G27" s="45">
        <f>IF($E27=0,"",(STIG_Metrics!D27)*$E27)</f>
        <v>2024</v>
      </c>
      <c r="H27" s="45">
        <f>IF($E27=0,"",(STIG_Metrics!E27)*$E27)</f>
        <v>0</v>
      </c>
      <c r="I27" s="212">
        <f>IF($E27=0,"",(STIG_Metrics!G27)*$E27)</f>
        <v>1702</v>
      </c>
      <c r="J27" s="215">
        <f>IF($E27=0,"",(STIG_Metrics!D27-STIG_Metrics!E27)*$E27)</f>
        <v>2024</v>
      </c>
      <c r="K27" s="45">
        <f>IF($E27=0,"",(STIG_Metrics!D27-STIG_Metrics!G27)*$E27)</f>
        <v>322</v>
      </c>
      <c r="L27" s="46" t="str">
        <f t="shared" si="0"/>
        <v>18 Days 7 Hrs</v>
      </c>
      <c r="M27" s="46" t="str">
        <f t="shared" si="1"/>
        <v>18 Days 7 Hrs</v>
      </c>
      <c r="N27" s="46" t="str">
        <f t="shared" si="2"/>
        <v>3 Days 0 Hrs</v>
      </c>
      <c r="O27" s="47">
        <f>IF($E27=0,"",STIG_Metrics!O27)</f>
        <v>0</v>
      </c>
      <c r="P27" s="47">
        <f>IF($E27=0,"",STIG_Metrics!P27)</f>
        <v>5.2857142857142856</v>
      </c>
      <c r="Q27" s="48">
        <f t="shared" si="3"/>
        <v>15180.000000000002</v>
      </c>
      <c r="R27" s="48">
        <f t="shared" si="8"/>
        <v>15180.000000000002</v>
      </c>
      <c r="S27" s="48">
        <f t="shared" si="9"/>
        <v>2415</v>
      </c>
      <c r="T27" s="49">
        <f t="shared" si="5"/>
        <v>510.59999999999997</v>
      </c>
      <c r="U27" s="187">
        <f t="shared" si="6"/>
        <v>51060</v>
      </c>
      <c r="V27" s="184">
        <f>IF($E27=0,"",IF(STIG_Metrics!L27=60,0,($E27/STIG_Metrics!L27)/24))</f>
        <v>6.3249999999999993</v>
      </c>
      <c r="W27" s="50">
        <f>IF($E27=0,"",IF(STIG_Metrics!M27=60,0,($E27/STIG_Metrics!M27)/24))</f>
        <v>6.3249999999999993</v>
      </c>
      <c r="X27" s="50">
        <f>IF($E27=0,"",IF(STIG_Metrics!N27=60,0,($E27/STIG_Metrics!N27)/24))</f>
        <v>1.0062500000000001</v>
      </c>
      <c r="Y27" s="50">
        <f t="shared" si="7"/>
        <v>5.3187499999999996</v>
      </c>
      <c r="Z27" s="51">
        <f>IF($E27=0,"",$E27/STIG_Metrics!L27)</f>
        <v>151.79999999999998</v>
      </c>
      <c r="AA27" s="51">
        <f>IF($E27=0,"",$E27/STIG_Metrics!M27)</f>
        <v>151.79999999999998</v>
      </c>
      <c r="AB27" s="51">
        <f>IF($E27=0,"",$E27/STIG_Metrics!N27)</f>
        <v>24.150000000000002</v>
      </c>
      <c r="AC27" s="147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94"/>
    </row>
    <row r="28" spans="2:42" ht="15" customHeight="1">
      <c r="B28" s="57"/>
      <c r="C28" s="147"/>
      <c r="D28" s="195" t="str">
        <f>(STIG_Metrics!A28)</f>
        <v>IIS 8.5 Server</v>
      </c>
      <c r="E28" s="162">
        <v>4</v>
      </c>
      <c r="F28" s="164"/>
      <c r="G28" s="45">
        <f>IF($E28=0,"",(STIG_Metrics!D28)*$E28)</f>
        <v>168</v>
      </c>
      <c r="H28" s="45">
        <f>IF($E28=0,"",(STIG_Metrics!E28)*$E28)</f>
        <v>0</v>
      </c>
      <c r="I28" s="212">
        <f>IF($E28=0,"",(STIG_Metrics!G28)*$E28)</f>
        <v>100</v>
      </c>
      <c r="J28" s="215">
        <f>IF($E28=0,"",(STIG_Metrics!D28-STIG_Metrics!E28)*$E28)</f>
        <v>168</v>
      </c>
      <c r="K28" s="45">
        <f>IF($E28=0,"",(STIG_Metrics!D28-STIG_Metrics!G28)*$E28)</f>
        <v>68</v>
      </c>
      <c r="L28" s="46" t="str">
        <f t="shared" si="0"/>
        <v>1 Days 4 Hrs</v>
      </c>
      <c r="M28" s="46" t="str">
        <f t="shared" si="1"/>
        <v>1 Days 4 Hrs</v>
      </c>
      <c r="N28" s="46" t="str">
        <f t="shared" si="2"/>
        <v>0 Days 5 Hrs</v>
      </c>
      <c r="O28" s="47">
        <f>IF($E28=0,"",STIG_Metrics!O28)</f>
        <v>0</v>
      </c>
      <c r="P28" s="47">
        <f>IF($E28=0,"",STIG_Metrics!P28)</f>
        <v>1.4705882352941178</v>
      </c>
      <c r="Q28" s="48">
        <f t="shared" si="3"/>
        <v>1260</v>
      </c>
      <c r="R28" s="48">
        <f t="shared" si="8"/>
        <v>1260</v>
      </c>
      <c r="S28" s="48">
        <f t="shared" si="9"/>
        <v>509.99999999999994</v>
      </c>
      <c r="T28" s="49">
        <f t="shared" si="5"/>
        <v>30</v>
      </c>
      <c r="U28" s="187">
        <f t="shared" si="6"/>
        <v>3000</v>
      </c>
      <c r="V28" s="184">
        <f>IF($E28=0,"",IF(STIG_Metrics!L28=60,0,($E28/STIG_Metrics!L28)/24))</f>
        <v>0.52500000000000002</v>
      </c>
      <c r="W28" s="50">
        <f>IF($E28=0,"",IF(STIG_Metrics!M28=60,0,($E28/STIG_Metrics!M28)/24))</f>
        <v>0.52500000000000002</v>
      </c>
      <c r="X28" s="50">
        <f>IF($E28=0,"",IF(STIG_Metrics!N28=60,0,($E28/STIG_Metrics!N28)/24))</f>
        <v>0.21249999999999999</v>
      </c>
      <c r="Y28" s="50">
        <f t="shared" si="7"/>
        <v>0.3125</v>
      </c>
      <c r="Z28" s="51">
        <f>IF($E28=0,"",$E28/STIG_Metrics!L28)</f>
        <v>12.600000000000001</v>
      </c>
      <c r="AA28" s="51">
        <f>IF($E28=0,"",$E28/STIG_Metrics!M28)</f>
        <v>12.600000000000001</v>
      </c>
      <c r="AB28" s="51">
        <f>IF($E28=0,"",$E28/STIG_Metrics!N28)</f>
        <v>5.0999999999999996</v>
      </c>
      <c r="AC28" s="147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94"/>
    </row>
    <row r="29" spans="2:42" ht="15" customHeight="1">
      <c r="B29" s="57"/>
      <c r="C29" s="147"/>
      <c r="D29" s="195" t="str">
        <f>(STIG_Metrics!A29)</f>
        <v>IIS 8.5 Site</v>
      </c>
      <c r="E29" s="162">
        <v>6</v>
      </c>
      <c r="F29" s="164"/>
      <c r="G29" s="45">
        <f>IF($E29=0,"",(STIG_Metrics!D29)*$E29)</f>
        <v>288</v>
      </c>
      <c r="H29" s="45">
        <f>IF($E29=0,"",(STIG_Metrics!E29)*$E29)</f>
        <v>0</v>
      </c>
      <c r="I29" s="212">
        <f>IF($E29=0,"",(STIG_Metrics!G29)*$E29)</f>
        <v>252</v>
      </c>
      <c r="J29" s="215">
        <f>IF($E29=0,"",(STIG_Metrics!D29-STIG_Metrics!E29)*$E29)</f>
        <v>288</v>
      </c>
      <c r="K29" s="45">
        <f>IF($E29=0,"",(STIG_Metrics!D29-STIG_Metrics!G29)*$E29)</f>
        <v>36</v>
      </c>
      <c r="L29" s="46" t="str">
        <f t="shared" si="0"/>
        <v>2 Days 5 Hrs</v>
      </c>
      <c r="M29" s="46" t="str">
        <f t="shared" si="1"/>
        <v>2 Days 5 Hrs</v>
      </c>
      <c r="N29" s="46" t="str">
        <f t="shared" si="2"/>
        <v>0 Days 2 Hrs</v>
      </c>
      <c r="O29" s="47">
        <f>IF($E29=0,"",STIG_Metrics!O29)</f>
        <v>0</v>
      </c>
      <c r="P29" s="47">
        <f>IF($E29=0,"",STIG_Metrics!P29)</f>
        <v>7</v>
      </c>
      <c r="Q29" s="48">
        <f t="shared" si="3"/>
        <v>2160</v>
      </c>
      <c r="R29" s="48">
        <f t="shared" si="8"/>
        <v>2160</v>
      </c>
      <c r="S29" s="48">
        <f t="shared" si="9"/>
        <v>270</v>
      </c>
      <c r="T29" s="49">
        <f t="shared" si="5"/>
        <v>75.599999999999994</v>
      </c>
      <c r="U29" s="187">
        <f t="shared" si="6"/>
        <v>7559.9999999999991</v>
      </c>
      <c r="V29" s="184">
        <f>IF($E29=0,"",IF(STIG_Metrics!L29=60,0,($E29/STIG_Metrics!L29)/24))</f>
        <v>0.89999999999999991</v>
      </c>
      <c r="W29" s="50">
        <f>IF($E29=0,"",IF(STIG_Metrics!M29=60,0,($E29/STIG_Metrics!M29)/24))</f>
        <v>0.89999999999999991</v>
      </c>
      <c r="X29" s="50">
        <f>IF($E29=0,"",IF(STIG_Metrics!N29=60,0,($E29/STIG_Metrics!N29)/24))</f>
        <v>0.11249999999999999</v>
      </c>
      <c r="Y29" s="50">
        <f t="shared" si="7"/>
        <v>0.78749999999999987</v>
      </c>
      <c r="Z29" s="51">
        <f>IF($E29=0,"",$E29/STIG_Metrics!L29)</f>
        <v>21.599999999999998</v>
      </c>
      <c r="AA29" s="51">
        <f>IF($E29=0,"",$E29/STIG_Metrics!M29)</f>
        <v>21.599999999999998</v>
      </c>
      <c r="AB29" s="51">
        <f>IF($E29=0,"",$E29/STIG_Metrics!N29)</f>
        <v>2.6999999999999997</v>
      </c>
      <c r="AC29" s="147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94"/>
    </row>
    <row r="30" spans="2:42" ht="15" customHeight="1">
      <c r="B30" s="57"/>
      <c r="C30" s="147"/>
      <c r="D30" s="195" t="str">
        <f>(STIG_Metrics!A30)</f>
        <v>Internet Explorer 11</v>
      </c>
      <c r="E30" s="162">
        <v>86</v>
      </c>
      <c r="F30" s="164"/>
      <c r="G30" s="45">
        <f>IF($E30=0,"",(STIG_Metrics!D30)*$E30)</f>
        <v>11782</v>
      </c>
      <c r="H30" s="45">
        <f>IF($E30=0,"",(STIG_Metrics!E30)*$E30)</f>
        <v>11524</v>
      </c>
      <c r="I30" s="212">
        <f>IF($E30=0,"",(STIG_Metrics!G30)*$E30)</f>
        <v>11782</v>
      </c>
      <c r="J30" s="215">
        <f>IF($E30=0,"",(STIG_Metrics!D30-STIG_Metrics!E30)*$E30)</f>
        <v>258</v>
      </c>
      <c r="K30" s="45">
        <f>IF($E30=0,"",(STIG_Metrics!D30-STIG_Metrics!G30)*$E30)</f>
        <v>0</v>
      </c>
      <c r="L30" s="46" t="str">
        <f t="shared" si="0"/>
        <v>110 Days 3 Hrs</v>
      </c>
      <c r="M30" s="46" t="str">
        <f t="shared" si="1"/>
        <v>2 Days 3 Hrs</v>
      </c>
      <c r="N30" s="46" t="str">
        <f t="shared" si="2"/>
        <v>0 Days 0 Hrs</v>
      </c>
      <c r="O30" s="47">
        <f>IF($E30=0,"",STIG_Metrics!O30)</f>
        <v>44.666666666666664</v>
      </c>
      <c r="P30" s="47">
        <f>IF($E30=0,"",STIG_Metrics!P30)</f>
        <v>615.5</v>
      </c>
      <c r="Q30" s="48">
        <f t="shared" si="3"/>
        <v>88365</v>
      </c>
      <c r="R30" s="48">
        <f t="shared" si="8"/>
        <v>1935.0000000000002</v>
      </c>
      <c r="S30" s="48">
        <f t="shared" si="9"/>
        <v>0</v>
      </c>
      <c r="T30" s="49">
        <f t="shared" si="5"/>
        <v>77.399999999999991</v>
      </c>
      <c r="U30" s="187">
        <f t="shared" si="6"/>
        <v>7739.9999999999991</v>
      </c>
      <c r="V30" s="184">
        <f>IF($E30=0,"",IF(STIG_Metrics!L30=60,0,($E30/STIG_Metrics!L30)/24))</f>
        <v>36.818750000000001</v>
      </c>
      <c r="W30" s="50">
        <f>IF($E30=0,"",IF(STIG_Metrics!M30=60,0,($E30/STIG_Metrics!M30)/24))</f>
        <v>0.80624999999999991</v>
      </c>
      <c r="X30" s="50">
        <f>IF($E30=0,"",IF(STIG_Metrics!N30=60,0,($E30/STIG_Metrics!N30)/24))</f>
        <v>0</v>
      </c>
      <c r="Y30" s="50">
        <f t="shared" si="7"/>
        <v>0.80624999999999991</v>
      </c>
      <c r="Z30" s="51">
        <f>IF($E30=0,"",$E30/STIG_Metrics!L30)</f>
        <v>883.65</v>
      </c>
      <c r="AA30" s="51">
        <f>IF($E30=0,"",$E30/STIG_Metrics!M30)</f>
        <v>19.349999999999998</v>
      </c>
      <c r="AB30" s="51">
        <f>IF($E30=0,"",$E30/STIG_Metrics!N30)</f>
        <v>1.4333333333333333</v>
      </c>
      <c r="AC30" s="147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94"/>
    </row>
    <row r="31" spans="2:42" ht="15" customHeight="1">
      <c r="B31" s="57"/>
      <c r="C31" s="147"/>
      <c r="D31" s="195" t="str">
        <f>(STIG_Metrics!A31)</f>
        <v>McAfee ENS 10x Local</v>
      </c>
      <c r="E31" s="162">
        <v>0</v>
      </c>
      <c r="F31" s="164"/>
      <c r="G31" s="45" t="str">
        <f>IF($E31=0,"",(STIG_Metrics!D31)*$E31)</f>
        <v/>
      </c>
      <c r="H31" s="45" t="str">
        <f>IF($E31=0,"",(STIG_Metrics!E31)*$E31)</f>
        <v/>
      </c>
      <c r="I31" s="212" t="str">
        <f>IF($E31=0,"",(STIG_Metrics!G31)*$E31)</f>
        <v/>
      </c>
      <c r="J31" s="215" t="str">
        <f>IF($E31=0,"",(STIG_Metrics!D31-STIG_Metrics!E31)*$E31)</f>
        <v/>
      </c>
      <c r="K31" s="45" t="str">
        <f>IF($E31=0,"",(STIG_Metrics!D31-STIG_Metrics!G31)*$E31)</f>
        <v/>
      </c>
      <c r="L31" s="46" t="str">
        <f t="shared" si="0"/>
        <v/>
      </c>
      <c r="M31" s="46" t="str">
        <f t="shared" si="1"/>
        <v/>
      </c>
      <c r="N31" s="46" t="str">
        <f t="shared" si="2"/>
        <v/>
      </c>
      <c r="O31" s="47" t="str">
        <f>IF($E31=0,"",STIG_Metrics!O31)</f>
        <v/>
      </c>
      <c r="P31" s="47" t="str">
        <f>IF($E31=0,"",STIG_Metrics!P31)</f>
        <v/>
      </c>
      <c r="Q31" s="48" t="str">
        <f t="shared" si="3"/>
        <v/>
      </c>
      <c r="R31" s="48" t="str">
        <f t="shared" si="8"/>
        <v/>
      </c>
      <c r="S31" s="48" t="str">
        <f t="shared" si="9"/>
        <v/>
      </c>
      <c r="T31" s="49" t="str">
        <f t="shared" si="5"/>
        <v/>
      </c>
      <c r="U31" s="187" t="str">
        <f t="shared" si="6"/>
        <v/>
      </c>
      <c r="V31" s="184" t="str">
        <f>IF($E31=0,"",IF(STIG_Metrics!L31=60,0,($E31/STIG_Metrics!L31)/24))</f>
        <v/>
      </c>
      <c r="W31" s="50" t="str">
        <f>IF($E31=0,"",IF(STIG_Metrics!M31=60,0,($E31/STIG_Metrics!M31)/24))</f>
        <v/>
      </c>
      <c r="X31" s="50" t="str">
        <f>IF($E31=0,"",IF(STIG_Metrics!N31=60,0,($E31/STIG_Metrics!N31)/24))</f>
        <v/>
      </c>
      <c r="Y31" s="50" t="str">
        <f t="shared" si="7"/>
        <v/>
      </c>
      <c r="Z31" s="51" t="str">
        <f>IF($E31=0,"",$E31/STIG_Metrics!L31)</f>
        <v/>
      </c>
      <c r="AA31" s="51" t="str">
        <f>IF($E31=0,"",$E31/STIG_Metrics!M31)</f>
        <v/>
      </c>
      <c r="AB31" s="51" t="str">
        <f>IF($E31=0,"",$E31/STIG_Metrics!N31)</f>
        <v/>
      </c>
      <c r="AC31" s="147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94"/>
    </row>
    <row r="32" spans="2:42" ht="15" customHeight="1">
      <c r="B32" s="57"/>
      <c r="C32" s="147"/>
      <c r="D32" s="195" t="str">
        <f>(STIG_Metrics!A32)</f>
        <v>McAfee VirusScan 8.8 Local Client</v>
      </c>
      <c r="E32" s="162">
        <v>0</v>
      </c>
      <c r="F32" s="164"/>
      <c r="G32" s="45" t="str">
        <f>IF($E32=0,"",(STIG_Metrics!D32)*$E32)</f>
        <v/>
      </c>
      <c r="H32" s="45" t="str">
        <f>IF($E32=0,"",(STIG_Metrics!E32)*$E32)</f>
        <v/>
      </c>
      <c r="I32" s="212" t="str">
        <f>IF($E32=0,"",(STIG_Metrics!G32)*$E32)</f>
        <v/>
      </c>
      <c r="J32" s="215" t="str">
        <f>IF($E32=0,"",(STIG_Metrics!D32-STIG_Metrics!E32)*$E32)</f>
        <v/>
      </c>
      <c r="K32" s="45" t="str">
        <f>IF($E32=0,"",(STIG_Metrics!D32-STIG_Metrics!G32)*$E32)</f>
        <v/>
      </c>
      <c r="L32" s="46" t="str">
        <f t="shared" si="0"/>
        <v/>
      </c>
      <c r="M32" s="46" t="str">
        <f t="shared" si="1"/>
        <v/>
      </c>
      <c r="N32" s="46" t="str">
        <f t="shared" si="2"/>
        <v/>
      </c>
      <c r="O32" s="47" t="str">
        <f>IF($E32=0,"",STIG_Metrics!O32)</f>
        <v/>
      </c>
      <c r="P32" s="47" t="str">
        <f>IF($E32=0,"",STIG_Metrics!P32)</f>
        <v/>
      </c>
      <c r="Q32" s="48" t="str">
        <f t="shared" si="3"/>
        <v/>
      </c>
      <c r="R32" s="48" t="str">
        <f t="shared" si="8"/>
        <v/>
      </c>
      <c r="S32" s="48" t="str">
        <f t="shared" si="9"/>
        <v/>
      </c>
      <c r="T32" s="49" t="str">
        <f t="shared" si="5"/>
        <v/>
      </c>
      <c r="U32" s="187" t="str">
        <f t="shared" si="6"/>
        <v/>
      </c>
      <c r="V32" s="184" t="str">
        <f>IF($E32=0,"",IF(STIG_Metrics!L32=60,0,($E32/STIG_Metrics!L32)/24))</f>
        <v/>
      </c>
      <c r="W32" s="50" t="str">
        <f>IF($E32=0,"",IF(STIG_Metrics!M32=60,0,($E32/STIG_Metrics!M32)/24))</f>
        <v/>
      </c>
      <c r="X32" s="50" t="str">
        <f>IF($E32=0,"",IF(STIG_Metrics!N32=60,0,($E32/STIG_Metrics!N32)/24))</f>
        <v/>
      </c>
      <c r="Y32" s="50" t="str">
        <f t="shared" si="7"/>
        <v/>
      </c>
      <c r="Z32" s="51" t="str">
        <f>IF($E32=0,"",$E32/STIG_Metrics!L32)</f>
        <v/>
      </c>
      <c r="AA32" s="51" t="str">
        <f>IF($E32=0,"",$E32/STIG_Metrics!M32)</f>
        <v/>
      </c>
      <c r="AB32" s="51" t="str">
        <f>IF($E32=0,"",$E32/STIG_Metrics!N32)</f>
        <v/>
      </c>
      <c r="AC32" s="147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94"/>
    </row>
    <row r="33" spans="2:42" ht="15" customHeight="1">
      <c r="B33" s="57"/>
      <c r="C33" s="147"/>
      <c r="D33" s="195" t="str">
        <f>(STIG_Metrics!A33)</f>
        <v>Microsoft .NET Framework 4</v>
      </c>
      <c r="E33" s="162">
        <v>1917</v>
      </c>
      <c r="F33" s="164"/>
      <c r="G33" s="45">
        <f>IF($E33=0,"",(STIG_Metrics!D33)*$E33)</f>
        <v>30672</v>
      </c>
      <c r="H33" s="45">
        <f>IF($E33=0,"",(STIG_Metrics!E33)*$E33)</f>
        <v>7668</v>
      </c>
      <c r="I33" s="212">
        <f>IF($E33=0,"",(STIG_Metrics!G33)*$E33)</f>
        <v>24921</v>
      </c>
      <c r="J33" s="215">
        <f>IF($E33=0,"",(STIG_Metrics!D33-STIG_Metrics!E33)*$E33)</f>
        <v>23004</v>
      </c>
      <c r="K33" s="45">
        <f>IF($E33=0,"",(STIG_Metrics!D33-STIG_Metrics!G33)*$E33)</f>
        <v>5751</v>
      </c>
      <c r="L33" s="46" t="str">
        <f t="shared" si="0"/>
        <v>287 Days 4 Hrs</v>
      </c>
      <c r="M33" s="46" t="str">
        <f t="shared" si="1"/>
        <v>215 Days 5 Hrs</v>
      </c>
      <c r="N33" s="46" t="str">
        <f t="shared" si="2"/>
        <v>53 Days 7 Hrs</v>
      </c>
      <c r="O33" s="47">
        <f>IF($E33=0,"",STIG_Metrics!O33)</f>
        <v>0.33333333333333331</v>
      </c>
      <c r="P33" s="47">
        <f>IF($E33=0,"",STIG_Metrics!P33)</f>
        <v>4.333333333333333</v>
      </c>
      <c r="Q33" s="48">
        <f t="shared" si="3"/>
        <v>230040</v>
      </c>
      <c r="R33" s="48">
        <f t="shared" si="8"/>
        <v>172530</v>
      </c>
      <c r="S33" s="48">
        <f t="shared" si="9"/>
        <v>43132.5</v>
      </c>
      <c r="T33" s="49">
        <f t="shared" si="5"/>
        <v>5175.9000000000005</v>
      </c>
      <c r="U33" s="187">
        <f t="shared" si="6"/>
        <v>517590.00000000006</v>
      </c>
      <c r="V33" s="184">
        <f>IF($E33=0,"",IF(STIG_Metrics!L33=60,0,($E33/STIG_Metrics!L33)/24))</f>
        <v>95.850000000000009</v>
      </c>
      <c r="W33" s="50">
        <f>IF($E33=0,"",IF(STIG_Metrics!M33=60,0,($E33/STIG_Metrics!M33)/24))</f>
        <v>71.887500000000003</v>
      </c>
      <c r="X33" s="50">
        <f>IF($E33=0,"",IF(STIG_Metrics!N33=60,0,($E33/STIG_Metrics!N33)/24))</f>
        <v>17.971875000000001</v>
      </c>
      <c r="Y33" s="50">
        <f t="shared" si="7"/>
        <v>53.915625000000006</v>
      </c>
      <c r="Z33" s="51">
        <f>IF($E33=0,"",$E33/STIG_Metrics!L33)</f>
        <v>2300.4</v>
      </c>
      <c r="AA33" s="51">
        <f>IF($E33=0,"",$E33/STIG_Metrics!M33)</f>
        <v>1725.3</v>
      </c>
      <c r="AB33" s="51">
        <f>IF($E33=0,"",$E33/STIG_Metrics!N33)</f>
        <v>431.32499999999999</v>
      </c>
      <c r="AC33" s="147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94"/>
    </row>
    <row r="34" spans="2:42" ht="15" customHeight="1">
      <c r="B34" s="57"/>
      <c r="C34" s="147"/>
      <c r="D34" s="195" t="str">
        <f>(STIG_Metrics!A34)</f>
        <v>Microsoft Access 2013</v>
      </c>
      <c r="E34" s="162">
        <v>0</v>
      </c>
      <c r="F34" s="164"/>
      <c r="G34" s="45" t="str">
        <f>IF($E34=0,"",(STIG_Metrics!D34)*$E34)</f>
        <v/>
      </c>
      <c r="H34" s="45" t="str">
        <f>IF($E34=0,"",(STIG_Metrics!E34)*$E34)</f>
        <v/>
      </c>
      <c r="I34" s="212" t="str">
        <f>IF($E34=0,"",(STIG_Metrics!G34)*$E34)</f>
        <v/>
      </c>
      <c r="J34" s="215" t="str">
        <f>IF($E34=0,"",(STIG_Metrics!D34-STIG_Metrics!E34)*$E34)</f>
        <v/>
      </c>
      <c r="K34" s="45" t="str">
        <f>IF($E34=0,"",(STIG_Metrics!D34-STIG_Metrics!G34)*$E34)</f>
        <v/>
      </c>
      <c r="L34" s="46" t="str">
        <f t="shared" si="0"/>
        <v/>
      </c>
      <c r="M34" s="46" t="str">
        <f t="shared" si="1"/>
        <v/>
      </c>
      <c r="N34" s="46" t="str">
        <f t="shared" si="2"/>
        <v/>
      </c>
      <c r="O34" s="47" t="str">
        <f>IF($E34=0,"",STIG_Metrics!O34)</f>
        <v/>
      </c>
      <c r="P34" s="47" t="str">
        <f>IF($E34=0,"",STIG_Metrics!P34)</f>
        <v/>
      </c>
      <c r="Q34" s="48" t="str">
        <f t="shared" si="3"/>
        <v/>
      </c>
      <c r="R34" s="48" t="str">
        <f t="shared" si="8"/>
        <v/>
      </c>
      <c r="S34" s="48" t="str">
        <f t="shared" si="9"/>
        <v/>
      </c>
      <c r="T34" s="49" t="str">
        <f t="shared" si="5"/>
        <v/>
      </c>
      <c r="U34" s="187" t="str">
        <f t="shared" si="6"/>
        <v/>
      </c>
      <c r="V34" s="184" t="str">
        <f>IF($E34=0,"",IF(STIG_Metrics!L34=60,0,($E34/STIG_Metrics!L34)/24))</f>
        <v/>
      </c>
      <c r="W34" s="50" t="str">
        <f>IF($E34=0,"",IF(STIG_Metrics!M34=60,0,($E34/STIG_Metrics!M34)/24))</f>
        <v/>
      </c>
      <c r="X34" s="50" t="str">
        <f>IF($E34=0,"",IF(STIG_Metrics!N34=60,0,($E34/STIG_Metrics!N34)/24))</f>
        <v/>
      </c>
      <c r="Y34" s="50" t="str">
        <f t="shared" si="7"/>
        <v/>
      </c>
      <c r="Z34" s="51" t="str">
        <f>IF($E34=0,"",$E34/STIG_Metrics!L34)</f>
        <v/>
      </c>
      <c r="AA34" s="51" t="str">
        <f>IF($E34=0,"",$E34/STIG_Metrics!M34)</f>
        <v/>
      </c>
      <c r="AB34" s="51" t="str">
        <f>IF($E34=0,"",$E34/STIG_Metrics!N34)</f>
        <v/>
      </c>
      <c r="AC34" s="147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94"/>
    </row>
    <row r="35" spans="2:42" ht="15" customHeight="1">
      <c r="B35" s="57"/>
      <c r="C35" s="147"/>
      <c r="D35" s="195" t="str">
        <f>(STIG_Metrics!A35)</f>
        <v>Microsoft Access 2016</v>
      </c>
      <c r="E35" s="162">
        <v>810</v>
      </c>
      <c r="F35" s="164"/>
      <c r="G35" s="45">
        <f>IF($E35=0,"",(STIG_Metrics!D35)*$E35)</f>
        <v>12960</v>
      </c>
      <c r="H35" s="45">
        <f>IF($E35=0,"",(STIG_Metrics!E35)*$E35)</f>
        <v>0</v>
      </c>
      <c r="I35" s="212">
        <f>IF($E35=0,"",(STIG_Metrics!G35)*$E35)</f>
        <v>12960</v>
      </c>
      <c r="J35" s="215">
        <f>IF($E35=0,"",(STIG_Metrics!D35-STIG_Metrics!E35)*$E35)</f>
        <v>12960</v>
      </c>
      <c r="K35" s="45">
        <f>IF($E35=0,"",(STIG_Metrics!D35-STIG_Metrics!G35)*$E35)</f>
        <v>0</v>
      </c>
      <c r="L35" s="46" t="str">
        <f t="shared" si="0"/>
        <v>121 Days 4 Hrs</v>
      </c>
      <c r="M35" s="46" t="str">
        <f t="shared" si="1"/>
        <v>121 Days 4 Hrs</v>
      </c>
      <c r="N35" s="46" t="str">
        <f t="shared" si="2"/>
        <v>0 Days 0 Hrs</v>
      </c>
      <c r="O35" s="47">
        <f>IF($E35=0,"",STIG_Metrics!O35)</f>
        <v>0</v>
      </c>
      <c r="P35" s="47">
        <f>IF($E35=0,"",STIG_Metrics!P35)</f>
        <v>71</v>
      </c>
      <c r="Q35" s="48">
        <f t="shared" si="3"/>
        <v>97200</v>
      </c>
      <c r="R35" s="48">
        <f t="shared" si="8"/>
        <v>97200</v>
      </c>
      <c r="S35" s="48">
        <f t="shared" si="9"/>
        <v>0</v>
      </c>
      <c r="T35" s="49">
        <f t="shared" si="5"/>
        <v>3888</v>
      </c>
      <c r="U35" s="187">
        <f t="shared" si="6"/>
        <v>388800</v>
      </c>
      <c r="V35" s="184">
        <f>IF($E35=0,"",IF(STIG_Metrics!L35=60,0,($E35/STIG_Metrics!L35)/24))</f>
        <v>40.5</v>
      </c>
      <c r="W35" s="50">
        <f>IF($E35=0,"",IF(STIG_Metrics!M35=60,0,($E35/STIG_Metrics!M35)/24))</f>
        <v>40.5</v>
      </c>
      <c r="X35" s="50">
        <f>IF($E35=0,"",IF(STIG_Metrics!N35=60,0,($E35/STIG_Metrics!N35)/24))</f>
        <v>0</v>
      </c>
      <c r="Y35" s="50">
        <f t="shared" si="7"/>
        <v>40.5</v>
      </c>
      <c r="Z35" s="51">
        <f>IF($E35=0,"",$E35/STIG_Metrics!L35)</f>
        <v>972</v>
      </c>
      <c r="AA35" s="51">
        <f>IF($E35=0,"",$E35/STIG_Metrics!M35)</f>
        <v>972</v>
      </c>
      <c r="AB35" s="51">
        <f>IF($E35=0,"",$E35/STIG_Metrics!N35)</f>
        <v>13.5</v>
      </c>
      <c r="AC35" s="147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94"/>
    </row>
    <row r="36" spans="2:42" ht="15" customHeight="1">
      <c r="B36" s="57"/>
      <c r="C36" s="147"/>
      <c r="D36" s="195" t="str">
        <f>(STIG_Metrics!A36)</f>
        <v>Microsoft Defender Antivirus</v>
      </c>
      <c r="E36" s="162">
        <v>1811</v>
      </c>
      <c r="F36" s="164"/>
      <c r="G36" s="45">
        <f>IF($E36=0,"",(STIG_Metrics!D36)*$E36)</f>
        <v>74251</v>
      </c>
      <c r="H36" s="45">
        <f>IF($E36=0,"",(STIG_Metrics!E36)*$E36)</f>
        <v>74251</v>
      </c>
      <c r="I36" s="212">
        <f>IF($E36=0,"",(STIG_Metrics!G36)*$E36)</f>
        <v>74251</v>
      </c>
      <c r="J36" s="215">
        <f>IF($E36=0,"",(STIG_Metrics!D36-STIG_Metrics!E36)*$E36)</f>
        <v>0</v>
      </c>
      <c r="K36" s="45">
        <f>IF($E36=0,"",(STIG_Metrics!D36-STIG_Metrics!G36)*$E36)</f>
        <v>0</v>
      </c>
      <c r="L36" s="46" t="str">
        <f t="shared" si="0"/>
        <v>696 Days 0 Hrs</v>
      </c>
      <c r="M36" s="46" t="str">
        <f t="shared" si="1"/>
        <v>0 Days 0 Hrs</v>
      </c>
      <c r="N36" s="46" t="str">
        <f t="shared" si="2"/>
        <v>0 Days 0 Hrs</v>
      </c>
      <c r="O36" s="47">
        <f>IF($E36=0,"",STIG_Metrics!O36)</f>
        <v>183.5</v>
      </c>
      <c r="P36" s="47">
        <f>IF($E36=0,"",STIG_Metrics!P36)</f>
        <v>183.5</v>
      </c>
      <c r="Q36" s="48">
        <f t="shared" si="3"/>
        <v>556882.5</v>
      </c>
      <c r="R36" s="48">
        <f t="shared" si="8"/>
        <v>0</v>
      </c>
      <c r="S36" s="48">
        <f t="shared" si="9"/>
        <v>0</v>
      </c>
      <c r="T36" s="49">
        <f t="shared" si="5"/>
        <v>0</v>
      </c>
      <c r="U36" s="187">
        <f t="shared" si="6"/>
        <v>0</v>
      </c>
      <c r="V36" s="184">
        <f>IF($E36=0,"",IF(STIG_Metrics!L36=60,0,($E36/STIG_Metrics!L36)/24))</f>
        <v>232.03437499999998</v>
      </c>
      <c r="W36" s="50">
        <f>IF($E36=0,"",IF(STIG_Metrics!M36=60,0,($E36/STIG_Metrics!M36)/24))</f>
        <v>0</v>
      </c>
      <c r="X36" s="50">
        <f>IF($E36=0,"",IF(STIG_Metrics!N36=60,0,($E36/STIG_Metrics!N36)/24))</f>
        <v>0</v>
      </c>
      <c r="Y36" s="50">
        <f t="shared" si="7"/>
        <v>0</v>
      </c>
      <c r="Z36" s="51">
        <f>IF($E36=0,"",$E36/STIG_Metrics!L36)</f>
        <v>5568.8249999999998</v>
      </c>
      <c r="AA36" s="51">
        <f>IF($E36=0,"",$E36/STIG_Metrics!M36)</f>
        <v>30.183333333333334</v>
      </c>
      <c r="AB36" s="51">
        <f>IF($E36=0,"",$E36/STIG_Metrics!N36)</f>
        <v>30.183333333333334</v>
      </c>
      <c r="AC36" s="147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94"/>
    </row>
    <row r="37" spans="2:42" ht="15" customHeight="1">
      <c r="B37" s="57"/>
      <c r="C37" s="147"/>
      <c r="D37" s="195" t="str">
        <f>(STIG_Metrics!A37)</f>
        <v>Microsoft Edge</v>
      </c>
      <c r="E37" s="162">
        <v>1057</v>
      </c>
      <c r="F37" s="164"/>
      <c r="G37" s="45">
        <f>IF($E37=0,"",(STIG_Metrics!D37)*$E37)</f>
        <v>59192</v>
      </c>
      <c r="H37" s="45">
        <f>IF($E37=0,"",(STIG_Metrics!E37)*$E37)</f>
        <v>51793</v>
      </c>
      <c r="I37" s="212">
        <f>IF($E37=0,"",(STIG_Metrics!G37)*$E37)</f>
        <v>58135</v>
      </c>
      <c r="J37" s="215">
        <f>IF($E37=0,"",(STIG_Metrics!D37-STIG_Metrics!E37)*$E37)</f>
        <v>7399</v>
      </c>
      <c r="K37" s="45">
        <f>IF($E37=0,"",(STIG_Metrics!D37-STIG_Metrics!G37)*$E37)</f>
        <v>1057</v>
      </c>
      <c r="L37" s="46" t="str">
        <f t="shared" si="0"/>
        <v>554 Days 7 Hrs</v>
      </c>
      <c r="M37" s="46" t="str">
        <f t="shared" si="1"/>
        <v>69 Days 2 Hrs</v>
      </c>
      <c r="N37" s="46" t="str">
        <f t="shared" si="2"/>
        <v>9 Days 7 Hrs</v>
      </c>
      <c r="O37" s="47">
        <f>IF($E37=0,"",STIG_Metrics!O37)</f>
        <v>7</v>
      </c>
      <c r="P37" s="47">
        <f>IF($E37=0,"",STIG_Metrics!P37)</f>
        <v>55.000000000000007</v>
      </c>
      <c r="Q37" s="48">
        <f t="shared" si="3"/>
        <v>443939.99999999994</v>
      </c>
      <c r="R37" s="48">
        <f t="shared" si="8"/>
        <v>55492.499999999993</v>
      </c>
      <c r="S37" s="48">
        <f t="shared" si="9"/>
        <v>7927.5000000000009</v>
      </c>
      <c r="T37" s="49">
        <f t="shared" si="5"/>
        <v>1902.6000000000001</v>
      </c>
      <c r="U37" s="187">
        <f t="shared" si="6"/>
        <v>190260</v>
      </c>
      <c r="V37" s="184">
        <f>IF($E37=0,"",IF(STIG_Metrics!L37=60,0,($E37/STIG_Metrics!L37)/24))</f>
        <v>184.97500000000002</v>
      </c>
      <c r="W37" s="50">
        <f>IF($E37=0,"",IF(STIG_Metrics!M37=60,0,($E37/STIG_Metrics!M37)/24))</f>
        <v>23.121875000000003</v>
      </c>
      <c r="X37" s="50">
        <f>IF($E37=0,"",IF(STIG_Metrics!N37=60,0,($E37/STIG_Metrics!N37)/24))</f>
        <v>3.3031249999999996</v>
      </c>
      <c r="Y37" s="50">
        <f t="shared" si="7"/>
        <v>19.818750000000001</v>
      </c>
      <c r="Z37" s="51">
        <f>IF($E37=0,"",$E37/STIG_Metrics!L37)</f>
        <v>4439.4000000000005</v>
      </c>
      <c r="AA37" s="51">
        <f>IF($E37=0,"",$E37/STIG_Metrics!M37)</f>
        <v>554.92500000000007</v>
      </c>
      <c r="AB37" s="51">
        <f>IF($E37=0,"",$E37/STIG_Metrics!N37)</f>
        <v>79.274999999999991</v>
      </c>
      <c r="AC37" s="147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94"/>
    </row>
    <row r="38" spans="2:42" ht="15" customHeight="1">
      <c r="B38" s="57"/>
      <c r="C38" s="147"/>
      <c r="D38" s="195" t="str">
        <f>(STIG_Metrics!A38)</f>
        <v>Microsoft Excel 2013</v>
      </c>
      <c r="E38" s="162">
        <v>0</v>
      </c>
      <c r="F38" s="164"/>
      <c r="G38" s="45" t="str">
        <f>IF($E38=0,"",(STIG_Metrics!D38)*$E38)</f>
        <v/>
      </c>
      <c r="H38" s="45" t="str">
        <f>IF($E38=0,"",(STIG_Metrics!E38)*$E38)</f>
        <v/>
      </c>
      <c r="I38" s="212" t="str">
        <f>IF($E38=0,"",(STIG_Metrics!G38)*$E38)</f>
        <v/>
      </c>
      <c r="J38" s="215" t="str">
        <f>IF($E38=0,"",(STIG_Metrics!D38-STIG_Metrics!E38)*$E38)</f>
        <v/>
      </c>
      <c r="K38" s="45" t="str">
        <f>IF($E38=0,"",(STIG_Metrics!D38-STIG_Metrics!G38)*$E38)</f>
        <v/>
      </c>
      <c r="L38" s="46" t="str">
        <f t="shared" si="0"/>
        <v/>
      </c>
      <c r="M38" s="46" t="str">
        <f t="shared" si="1"/>
        <v/>
      </c>
      <c r="N38" s="46" t="str">
        <f t="shared" si="2"/>
        <v/>
      </c>
      <c r="O38" s="47" t="str">
        <f>IF($E38=0,"",STIG_Metrics!O38)</f>
        <v/>
      </c>
      <c r="P38" s="47" t="str">
        <f>IF($E38=0,"",STIG_Metrics!P38)</f>
        <v/>
      </c>
      <c r="Q38" s="48" t="str">
        <f t="shared" si="3"/>
        <v/>
      </c>
      <c r="R38" s="48" t="str">
        <f t="shared" si="8"/>
        <v/>
      </c>
      <c r="S38" s="48" t="str">
        <f t="shared" si="9"/>
        <v/>
      </c>
      <c r="T38" s="49" t="str">
        <f t="shared" si="5"/>
        <v/>
      </c>
      <c r="U38" s="187" t="str">
        <f t="shared" si="6"/>
        <v/>
      </c>
      <c r="V38" s="184" t="str">
        <f>IF($E38=0,"",IF(STIG_Metrics!L38=60,0,($E38/STIG_Metrics!L38)/24))</f>
        <v/>
      </c>
      <c r="W38" s="50" t="str">
        <f>IF($E38=0,"",IF(STIG_Metrics!M38=60,0,($E38/STIG_Metrics!M38)/24))</f>
        <v/>
      </c>
      <c r="X38" s="50" t="str">
        <f>IF($E38=0,"",IF(STIG_Metrics!N38=60,0,($E38/STIG_Metrics!N38)/24))</f>
        <v/>
      </c>
      <c r="Y38" s="50" t="str">
        <f t="shared" si="7"/>
        <v/>
      </c>
      <c r="Z38" s="51" t="str">
        <f>IF($E38=0,"",$E38/STIG_Metrics!L38)</f>
        <v/>
      </c>
      <c r="AA38" s="51" t="str">
        <f>IF($E38=0,"",$E38/STIG_Metrics!M38)</f>
        <v/>
      </c>
      <c r="AB38" s="51" t="str">
        <f>IF($E38=0,"",$E38/STIG_Metrics!N38)</f>
        <v/>
      </c>
      <c r="AC38" s="147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94"/>
    </row>
    <row r="39" spans="2:42" ht="15" customHeight="1">
      <c r="B39" s="57"/>
      <c r="C39" s="147"/>
      <c r="D39" s="195" t="str">
        <f>(STIG_Metrics!A39)</f>
        <v>Microsoft Excel 2016</v>
      </c>
      <c r="E39" s="162">
        <v>815</v>
      </c>
      <c r="F39" s="164"/>
      <c r="G39" s="45">
        <f>IF($E39=0,"",(STIG_Metrics!D39)*$E39)</f>
        <v>33415</v>
      </c>
      <c r="H39" s="45">
        <f>IF($E39=0,"",(STIG_Metrics!E39)*$E39)</f>
        <v>0</v>
      </c>
      <c r="I39" s="212">
        <f>IF($E39=0,"",(STIG_Metrics!G39)*$E39)</f>
        <v>33415</v>
      </c>
      <c r="J39" s="215">
        <f>IF($E39=0,"",(STIG_Metrics!D39-STIG_Metrics!E39)*$E39)</f>
        <v>33415</v>
      </c>
      <c r="K39" s="45">
        <f>IF($E39=0,"",(STIG_Metrics!D39-STIG_Metrics!G39)*$E39)</f>
        <v>0</v>
      </c>
      <c r="L39" s="46" t="str">
        <f t="shared" si="0"/>
        <v>313 Days 2 Hrs</v>
      </c>
      <c r="M39" s="46" t="str">
        <f t="shared" si="1"/>
        <v>313 Days 2 Hrs</v>
      </c>
      <c r="N39" s="46" t="str">
        <f t="shared" si="2"/>
        <v>0 Days 0 Hrs</v>
      </c>
      <c r="O39" s="47">
        <f>IF($E39=0,"",STIG_Metrics!O39)</f>
        <v>0</v>
      </c>
      <c r="P39" s="47">
        <f>IF($E39=0,"",STIG_Metrics!P39)</f>
        <v>183.5</v>
      </c>
      <c r="Q39" s="48">
        <f t="shared" si="3"/>
        <v>250612.5</v>
      </c>
      <c r="R39" s="48">
        <f t="shared" si="8"/>
        <v>250612.5</v>
      </c>
      <c r="S39" s="48">
        <f t="shared" si="9"/>
        <v>0</v>
      </c>
      <c r="T39" s="49">
        <f t="shared" si="5"/>
        <v>10024.5</v>
      </c>
      <c r="U39" s="187">
        <f t="shared" si="6"/>
        <v>1002450</v>
      </c>
      <c r="V39" s="184">
        <f>IF($E39=0,"",IF(STIG_Metrics!L39=60,0,($E39/STIG_Metrics!L39)/24))</f>
        <v>104.421875</v>
      </c>
      <c r="W39" s="50">
        <f>IF($E39=0,"",IF(STIG_Metrics!M39=60,0,($E39/STIG_Metrics!M39)/24))</f>
        <v>104.421875</v>
      </c>
      <c r="X39" s="50">
        <f>IF($E39=0,"",IF(STIG_Metrics!N39=60,0,($E39/STIG_Metrics!N39)/24))</f>
        <v>0</v>
      </c>
      <c r="Y39" s="50">
        <f t="shared" si="7"/>
        <v>104.421875</v>
      </c>
      <c r="Z39" s="51">
        <f>IF($E39=0,"",$E39/STIG_Metrics!L39)</f>
        <v>2506.125</v>
      </c>
      <c r="AA39" s="51">
        <f>IF($E39=0,"",$E39/STIG_Metrics!M39)</f>
        <v>2506.125</v>
      </c>
      <c r="AB39" s="51">
        <f>IF($E39=0,"",$E39/STIG_Metrics!N39)</f>
        <v>13.583333333333334</v>
      </c>
      <c r="AC39" s="147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94"/>
    </row>
    <row r="40" spans="2:42" ht="15" customHeight="1">
      <c r="B40" s="57"/>
      <c r="C40" s="147"/>
      <c r="D40" s="195" t="str">
        <f>(STIG_Metrics!A40)</f>
        <v>Microsoft Exchange 2016 Edge Transport Server</v>
      </c>
      <c r="E40" s="162">
        <v>0</v>
      </c>
      <c r="F40" s="164"/>
      <c r="G40" s="45" t="str">
        <f>IF($E40=0,"",(STIG_Metrics!D40)*$E40)</f>
        <v/>
      </c>
      <c r="H40" s="45" t="str">
        <f>IF($E40=0,"",(STIG_Metrics!E40)*$E40)</f>
        <v/>
      </c>
      <c r="I40" s="212" t="str">
        <f>IF($E40=0,"",(STIG_Metrics!G40)*$E40)</f>
        <v/>
      </c>
      <c r="J40" s="215" t="str">
        <f>IF($E40=0,"",(STIG_Metrics!D40-STIG_Metrics!E40)*$E40)</f>
        <v/>
      </c>
      <c r="K40" s="45" t="str">
        <f>IF($E40=0,"",(STIG_Metrics!D40-STIG_Metrics!G40)*$E40)</f>
        <v/>
      </c>
      <c r="L40" s="46" t="str">
        <f t="shared" si="0"/>
        <v/>
      </c>
      <c r="M40" s="46" t="str">
        <f t="shared" si="1"/>
        <v/>
      </c>
      <c r="N40" s="46" t="str">
        <f t="shared" si="2"/>
        <v/>
      </c>
      <c r="O40" s="47" t="str">
        <f>IF($E40=0,"",STIG_Metrics!O40)</f>
        <v/>
      </c>
      <c r="P40" s="47" t="str">
        <f>IF($E40=0,"",STIG_Metrics!P40)</f>
        <v/>
      </c>
      <c r="Q40" s="48" t="str">
        <f t="shared" si="3"/>
        <v/>
      </c>
      <c r="R40" s="48" t="str">
        <f t="shared" si="8"/>
        <v/>
      </c>
      <c r="S40" s="48" t="str">
        <f t="shared" si="9"/>
        <v/>
      </c>
      <c r="T40" s="49" t="str">
        <f t="shared" si="5"/>
        <v/>
      </c>
      <c r="U40" s="187" t="str">
        <f t="shared" si="6"/>
        <v/>
      </c>
      <c r="V40" s="184" t="str">
        <f>IF($E40=0,"",IF(STIG_Metrics!L40=60,0,($E40/STIG_Metrics!L40)/24))</f>
        <v/>
      </c>
      <c r="W40" s="50" t="str">
        <f>IF($E40=0,"",IF(STIG_Metrics!M40=60,0,($E40/STIG_Metrics!M40)/24))</f>
        <v/>
      </c>
      <c r="X40" s="50" t="str">
        <f>IF($E40=0,"",IF(STIG_Metrics!N40=60,0,($E40/STIG_Metrics!N40)/24))</f>
        <v/>
      </c>
      <c r="Y40" s="50" t="str">
        <f t="shared" si="7"/>
        <v/>
      </c>
      <c r="Z40" s="51" t="str">
        <f>IF($E40=0,"",$E40/STIG_Metrics!L40)</f>
        <v/>
      </c>
      <c r="AA40" s="51" t="str">
        <f>IF($E40=0,"",$E40/STIG_Metrics!M40)</f>
        <v/>
      </c>
      <c r="AB40" s="51" t="str">
        <f>IF($E40=0,"",$E40/STIG_Metrics!N40)</f>
        <v/>
      </c>
      <c r="AC40" s="147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94"/>
    </row>
    <row r="41" spans="2:42" ht="15" customHeight="1">
      <c r="B41" s="57"/>
      <c r="C41" s="147"/>
      <c r="D41" s="195" t="str">
        <f>(STIG_Metrics!A41)</f>
        <v>Microsoft Exchange 2016 Mailbox Server</v>
      </c>
      <c r="E41" s="162">
        <v>0</v>
      </c>
      <c r="F41" s="164"/>
      <c r="G41" s="45" t="str">
        <f>IF($E41=0,"",(STIG_Metrics!D41)*$E41)</f>
        <v/>
      </c>
      <c r="H41" s="45" t="str">
        <f>IF($E41=0,"",(STIG_Metrics!E41)*$E41)</f>
        <v/>
      </c>
      <c r="I41" s="212" t="str">
        <f>IF($E41=0,"",(STIG_Metrics!G41)*$E41)</f>
        <v/>
      </c>
      <c r="J41" s="215" t="str">
        <f>IF($E41=0,"",(STIG_Metrics!D41-STIG_Metrics!E41)*$E41)</f>
        <v/>
      </c>
      <c r="K41" s="45" t="str">
        <f>IF($E41=0,"",(STIG_Metrics!D41-STIG_Metrics!G41)*$E41)</f>
        <v/>
      </c>
      <c r="L41" s="46" t="str">
        <f t="shared" si="0"/>
        <v/>
      </c>
      <c r="M41" s="46" t="str">
        <f t="shared" si="1"/>
        <v/>
      </c>
      <c r="N41" s="46" t="str">
        <f t="shared" si="2"/>
        <v/>
      </c>
      <c r="O41" s="47" t="str">
        <f>IF($E41=0,"",STIG_Metrics!O41)</f>
        <v/>
      </c>
      <c r="P41" s="47" t="str">
        <f>IF($E41=0,"",STIG_Metrics!P41)</f>
        <v/>
      </c>
      <c r="Q41" s="48" t="str">
        <f t="shared" si="3"/>
        <v/>
      </c>
      <c r="R41" s="48" t="str">
        <f t="shared" si="8"/>
        <v/>
      </c>
      <c r="S41" s="48" t="str">
        <f t="shared" si="9"/>
        <v/>
      </c>
      <c r="T41" s="49" t="str">
        <f t="shared" si="5"/>
        <v/>
      </c>
      <c r="U41" s="187" t="str">
        <f t="shared" si="6"/>
        <v/>
      </c>
      <c r="V41" s="184" t="str">
        <f>IF($E41=0,"",IF(STIG_Metrics!L41=60,0,($E41/STIG_Metrics!L41)/24))</f>
        <v/>
      </c>
      <c r="W41" s="50" t="str">
        <f>IF($E41=0,"",IF(STIG_Metrics!M41=60,0,($E41/STIG_Metrics!M41)/24))</f>
        <v/>
      </c>
      <c r="X41" s="50" t="str">
        <f>IF($E41=0,"",IF(STIG_Metrics!N41=60,0,($E41/STIG_Metrics!N41)/24))</f>
        <v/>
      </c>
      <c r="Y41" s="50" t="str">
        <f t="shared" si="7"/>
        <v/>
      </c>
      <c r="Z41" s="51" t="str">
        <f>IF($E41=0,"",$E41/STIG_Metrics!L41)</f>
        <v/>
      </c>
      <c r="AA41" s="51" t="str">
        <f>IF($E41=0,"",$E41/STIG_Metrics!M41)</f>
        <v/>
      </c>
      <c r="AB41" s="51" t="str">
        <f>IF($E41=0,"",$E41/STIG_Metrics!N41)</f>
        <v/>
      </c>
      <c r="AC41" s="147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94"/>
    </row>
    <row r="42" spans="2:42" ht="15" customHeight="1">
      <c r="B42" s="57"/>
      <c r="C42" s="147"/>
      <c r="D42" s="195" t="str">
        <f>(STIG_Metrics!A42)</f>
        <v>Microsoft Groove 2013</v>
      </c>
      <c r="E42" s="162">
        <v>0</v>
      </c>
      <c r="F42" s="164"/>
      <c r="G42" s="45" t="str">
        <f>IF($E42=0,"",(STIG_Metrics!D42)*$E42)</f>
        <v/>
      </c>
      <c r="H42" s="45" t="str">
        <f>IF($E42=0,"",(STIG_Metrics!E42)*$E42)</f>
        <v/>
      </c>
      <c r="I42" s="212" t="str">
        <f>IF($E42=0,"",(STIG_Metrics!G42)*$E42)</f>
        <v/>
      </c>
      <c r="J42" s="215" t="str">
        <f>IF($E42=0,"",(STIG_Metrics!D42-STIG_Metrics!E42)*$E42)</f>
        <v/>
      </c>
      <c r="K42" s="45" t="str">
        <f>IF($E42=0,"",(STIG_Metrics!D42-STIG_Metrics!G42)*$E42)</f>
        <v/>
      </c>
      <c r="L42" s="46" t="str">
        <f t="shared" si="0"/>
        <v/>
      </c>
      <c r="M42" s="46" t="str">
        <f t="shared" si="1"/>
        <v/>
      </c>
      <c r="N42" s="46" t="str">
        <f t="shared" si="2"/>
        <v/>
      </c>
      <c r="O42" s="47" t="str">
        <f>IF($E42=0,"",STIG_Metrics!O42)</f>
        <v/>
      </c>
      <c r="P42" s="47" t="str">
        <f>IF($E42=0,"",STIG_Metrics!P42)</f>
        <v/>
      </c>
      <c r="Q42" s="48" t="str">
        <f t="shared" si="3"/>
        <v/>
      </c>
      <c r="R42" s="48" t="str">
        <f t="shared" si="8"/>
        <v/>
      </c>
      <c r="S42" s="48" t="str">
        <f t="shared" si="9"/>
        <v/>
      </c>
      <c r="T42" s="49" t="str">
        <f t="shared" si="5"/>
        <v/>
      </c>
      <c r="U42" s="187" t="str">
        <f t="shared" si="6"/>
        <v/>
      </c>
      <c r="V42" s="184" t="str">
        <f>IF($E42=0,"",IF(STIG_Metrics!L42=60,0,($E42/STIG_Metrics!L42)/24))</f>
        <v/>
      </c>
      <c r="W42" s="50" t="str">
        <f>IF($E42=0,"",IF(STIG_Metrics!M42=60,0,($E42/STIG_Metrics!M42)/24))</f>
        <v/>
      </c>
      <c r="X42" s="50" t="str">
        <f>IF($E42=0,"",IF(STIG_Metrics!N42=60,0,($E42/STIG_Metrics!N42)/24))</f>
        <v/>
      </c>
      <c r="Y42" s="50" t="str">
        <f t="shared" si="7"/>
        <v/>
      </c>
      <c r="Z42" s="51" t="str">
        <f>IF($E42=0,"",$E42/STIG_Metrics!L42)</f>
        <v/>
      </c>
      <c r="AA42" s="51" t="str">
        <f>IF($E42=0,"",$E42/STIG_Metrics!M42)</f>
        <v/>
      </c>
      <c r="AB42" s="51" t="str">
        <f>IF($E42=0,"",$E42/STIG_Metrics!N42)</f>
        <v/>
      </c>
      <c r="AC42" s="147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94"/>
    </row>
    <row r="43" spans="2:42" ht="15" customHeight="1">
      <c r="B43" s="57"/>
      <c r="C43" s="147"/>
      <c r="D43" s="195" t="str">
        <f>(STIG_Metrics!A43)</f>
        <v>Microsoft InfoPath 2013</v>
      </c>
      <c r="E43" s="162">
        <v>0</v>
      </c>
      <c r="F43" s="164"/>
      <c r="G43" s="45" t="str">
        <f>IF($E43=0,"",(STIG_Metrics!D43)*$E43)</f>
        <v/>
      </c>
      <c r="H43" s="45" t="str">
        <f>IF($E43=0,"",(STIG_Metrics!E43)*$E43)</f>
        <v/>
      </c>
      <c r="I43" s="212" t="str">
        <f>IF($E43=0,"",(STIG_Metrics!G43)*$E43)</f>
        <v/>
      </c>
      <c r="J43" s="215" t="str">
        <f>IF($E43=0,"",(STIG_Metrics!D43-STIG_Metrics!E43)*$E43)</f>
        <v/>
      </c>
      <c r="K43" s="45" t="str">
        <f>IF($E43=0,"",(STIG_Metrics!D43-STIG_Metrics!G43)*$E43)</f>
        <v/>
      </c>
      <c r="L43" s="46" t="str">
        <f t="shared" si="0"/>
        <v/>
      </c>
      <c r="M43" s="46" t="str">
        <f t="shared" si="1"/>
        <v/>
      </c>
      <c r="N43" s="46" t="str">
        <f t="shared" si="2"/>
        <v/>
      </c>
      <c r="O43" s="47" t="str">
        <f>IF($E43=0,"",STIG_Metrics!O43)</f>
        <v/>
      </c>
      <c r="P43" s="47" t="str">
        <f>IF($E43=0,"",STIG_Metrics!P43)</f>
        <v/>
      </c>
      <c r="Q43" s="48" t="str">
        <f t="shared" si="3"/>
        <v/>
      </c>
      <c r="R43" s="48" t="str">
        <f t="shared" si="8"/>
        <v/>
      </c>
      <c r="S43" s="48" t="str">
        <f t="shared" si="9"/>
        <v/>
      </c>
      <c r="T43" s="49" t="str">
        <f t="shared" si="5"/>
        <v/>
      </c>
      <c r="U43" s="187" t="str">
        <f t="shared" si="6"/>
        <v/>
      </c>
      <c r="V43" s="184" t="str">
        <f>IF($E43=0,"",IF(STIG_Metrics!L43=60,0,($E43/STIG_Metrics!L43)/24))</f>
        <v/>
      </c>
      <c r="W43" s="50" t="str">
        <f>IF($E43=0,"",IF(STIG_Metrics!M43=60,0,($E43/STIG_Metrics!M43)/24))</f>
        <v/>
      </c>
      <c r="X43" s="50" t="str">
        <f>IF($E43=0,"",IF(STIG_Metrics!N43=60,0,($E43/STIG_Metrics!N43)/24))</f>
        <v/>
      </c>
      <c r="Y43" s="50" t="str">
        <f t="shared" si="7"/>
        <v/>
      </c>
      <c r="Z43" s="51" t="str">
        <f>IF($E43=0,"",$E43/STIG_Metrics!L43)</f>
        <v/>
      </c>
      <c r="AA43" s="51" t="str">
        <f>IF($E43=0,"",$E43/STIG_Metrics!M43)</f>
        <v/>
      </c>
      <c r="AB43" s="51" t="str">
        <f>IF($E43=0,"",$E43/STIG_Metrics!N43)</f>
        <v/>
      </c>
      <c r="AC43" s="147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94"/>
    </row>
    <row r="44" spans="2:42" ht="15" customHeight="1">
      <c r="B44" s="57"/>
      <c r="C44" s="147"/>
      <c r="D44" s="195" t="str">
        <f>(STIG_Metrics!A44)</f>
        <v>Microsoft Lync 2013</v>
      </c>
      <c r="E44" s="162">
        <v>0</v>
      </c>
      <c r="F44" s="164"/>
      <c r="G44" s="45" t="str">
        <f>IF($E44=0,"",(STIG_Metrics!D44)*$E44)</f>
        <v/>
      </c>
      <c r="H44" s="45" t="str">
        <f>IF($E44=0,"",(STIG_Metrics!E44)*$E44)</f>
        <v/>
      </c>
      <c r="I44" s="212" t="str">
        <f>IF($E44=0,"",(STIG_Metrics!G44)*$E44)</f>
        <v/>
      </c>
      <c r="J44" s="215" t="str">
        <f>IF($E44=0,"",(STIG_Metrics!D44-STIG_Metrics!E44)*$E44)</f>
        <v/>
      </c>
      <c r="K44" s="45" t="str">
        <f>IF($E44=0,"",(STIG_Metrics!D44-STIG_Metrics!G44)*$E44)</f>
        <v/>
      </c>
      <c r="L44" s="46" t="str">
        <f t="shared" si="0"/>
        <v/>
      </c>
      <c r="M44" s="46" t="str">
        <f t="shared" si="1"/>
        <v/>
      </c>
      <c r="N44" s="46" t="str">
        <f t="shared" si="2"/>
        <v/>
      </c>
      <c r="O44" s="47" t="str">
        <f>IF($E44=0,"",STIG_Metrics!O44)</f>
        <v/>
      </c>
      <c r="P44" s="47" t="str">
        <f>IF($E44=0,"",STIG_Metrics!P44)</f>
        <v/>
      </c>
      <c r="Q44" s="48" t="str">
        <f t="shared" si="3"/>
        <v/>
      </c>
      <c r="R44" s="48" t="str">
        <f t="shared" si="8"/>
        <v/>
      </c>
      <c r="S44" s="48" t="str">
        <f t="shared" si="9"/>
        <v/>
      </c>
      <c r="T44" s="49" t="str">
        <f t="shared" si="5"/>
        <v/>
      </c>
      <c r="U44" s="187" t="str">
        <f t="shared" si="6"/>
        <v/>
      </c>
      <c r="V44" s="184" t="str">
        <f>IF($E44=0,"",IF(STIG_Metrics!L44=60,0,($E44/STIG_Metrics!L44)/24))</f>
        <v/>
      </c>
      <c r="W44" s="50" t="str">
        <f>IF($E44=0,"",IF(STIG_Metrics!M44=60,0,($E44/STIG_Metrics!M44)/24))</f>
        <v/>
      </c>
      <c r="X44" s="50" t="str">
        <f>IF($E44=0,"",IF(STIG_Metrics!N44=60,0,($E44/STIG_Metrics!N44)/24))</f>
        <v/>
      </c>
      <c r="Y44" s="50" t="str">
        <f t="shared" si="7"/>
        <v/>
      </c>
      <c r="Z44" s="51" t="str">
        <f>IF($E44=0,"",$E44/STIG_Metrics!L44)</f>
        <v/>
      </c>
      <c r="AA44" s="51" t="str">
        <f>IF($E44=0,"",$E44/STIG_Metrics!M44)</f>
        <v/>
      </c>
      <c r="AB44" s="51" t="str">
        <f>IF($E44=0,"",$E44/STIG_Metrics!N44)</f>
        <v/>
      </c>
      <c r="AC44" s="147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94"/>
    </row>
    <row r="45" spans="2:42" ht="15" customHeight="1">
      <c r="B45" s="57"/>
      <c r="C45" s="147"/>
      <c r="D45" s="195" t="str">
        <f>(STIG_Metrics!A45)</f>
        <v>Microsoft Office 365</v>
      </c>
      <c r="E45" s="162">
        <v>0</v>
      </c>
      <c r="F45" s="164"/>
      <c r="G45" s="45" t="str">
        <f>IF($E45=0,"",(STIG_Metrics!D45)*$E45)</f>
        <v/>
      </c>
      <c r="H45" s="45" t="str">
        <f>IF($E45=0,"",(STIG_Metrics!E45)*$E45)</f>
        <v/>
      </c>
      <c r="I45" s="212" t="str">
        <f>IF($E45=0,"",(STIG_Metrics!G45)*$E45)</f>
        <v/>
      </c>
      <c r="J45" s="215" t="str">
        <f>IF($E45=0,"",(STIG_Metrics!D45-STIG_Metrics!E45)*$E45)</f>
        <v/>
      </c>
      <c r="K45" s="45" t="str">
        <f>IF($E45=0,"",(STIG_Metrics!D45-STIG_Metrics!G45)*$E45)</f>
        <v/>
      </c>
      <c r="L45" s="46" t="str">
        <f t="shared" si="0"/>
        <v/>
      </c>
      <c r="M45" s="46" t="str">
        <f t="shared" si="1"/>
        <v/>
      </c>
      <c r="N45" s="46" t="str">
        <f t="shared" si="2"/>
        <v/>
      </c>
      <c r="O45" s="47" t="str">
        <f>IF($E45=0,"",STIG_Metrics!O45)</f>
        <v/>
      </c>
      <c r="P45" s="47" t="str">
        <f>IF($E45=0,"",STIG_Metrics!P45)</f>
        <v/>
      </c>
      <c r="Q45" s="48" t="str">
        <f t="shared" si="3"/>
        <v/>
      </c>
      <c r="R45" s="48" t="str">
        <f t="shared" si="8"/>
        <v/>
      </c>
      <c r="S45" s="48" t="str">
        <f t="shared" si="9"/>
        <v/>
      </c>
      <c r="T45" s="49" t="str">
        <f t="shared" si="5"/>
        <v/>
      </c>
      <c r="U45" s="187" t="str">
        <f t="shared" si="6"/>
        <v/>
      </c>
      <c r="V45" s="184" t="str">
        <f>IF($E45=0,"",IF(STIG_Metrics!L45=60,0,($E45/STIG_Metrics!L45)/24))</f>
        <v/>
      </c>
      <c r="W45" s="50" t="str">
        <f>IF($E45=0,"",IF(STIG_Metrics!M45=60,0,($E45/STIG_Metrics!M45)/24))</f>
        <v/>
      </c>
      <c r="X45" s="50" t="str">
        <f>IF($E45=0,"",IF(STIG_Metrics!N45=60,0,($E45/STIG_Metrics!N45)/24))</f>
        <v/>
      </c>
      <c r="Y45" s="50" t="str">
        <f t="shared" si="7"/>
        <v/>
      </c>
      <c r="Z45" s="51" t="str">
        <f>IF($E45=0,"",$E45/STIG_Metrics!L45)</f>
        <v/>
      </c>
      <c r="AA45" s="51" t="str">
        <f>IF($E45=0,"",$E45/STIG_Metrics!M45)</f>
        <v/>
      </c>
      <c r="AB45" s="51" t="str">
        <f>IF($E45=0,"",$E45/STIG_Metrics!N45)</f>
        <v/>
      </c>
      <c r="AC45" s="147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94"/>
    </row>
    <row r="46" spans="2:42" ht="15" customHeight="1">
      <c r="B46" s="57"/>
      <c r="C46" s="147"/>
      <c r="D46" s="195" t="str">
        <f>(STIG_Metrics!A46)</f>
        <v>Microsoft Office System 2013</v>
      </c>
      <c r="E46" s="162">
        <v>0</v>
      </c>
      <c r="F46" s="164"/>
      <c r="G46" s="45" t="str">
        <f>IF($E46=0,"",(STIG_Metrics!D46)*$E46)</f>
        <v/>
      </c>
      <c r="H46" s="45" t="str">
        <f>IF($E46=0,"",(STIG_Metrics!E46)*$E46)</f>
        <v/>
      </c>
      <c r="I46" s="212" t="str">
        <f>IF($E46=0,"",(STIG_Metrics!G46)*$E46)</f>
        <v/>
      </c>
      <c r="J46" s="215" t="str">
        <f>IF($E46=0,"",(STIG_Metrics!D46-STIG_Metrics!E46)*$E46)</f>
        <v/>
      </c>
      <c r="K46" s="45" t="str">
        <f>IF($E46=0,"",(STIG_Metrics!D46-STIG_Metrics!G46)*$E46)</f>
        <v/>
      </c>
      <c r="L46" s="46" t="str">
        <f t="shared" si="0"/>
        <v/>
      </c>
      <c r="M46" s="46" t="str">
        <f t="shared" si="1"/>
        <v/>
      </c>
      <c r="N46" s="46" t="str">
        <f t="shared" si="2"/>
        <v/>
      </c>
      <c r="O46" s="47" t="str">
        <f>IF($E46=0,"",STIG_Metrics!O46)</f>
        <v/>
      </c>
      <c r="P46" s="47" t="str">
        <f>IF($E46=0,"",STIG_Metrics!P46)</f>
        <v/>
      </c>
      <c r="Q46" s="48" t="str">
        <f t="shared" si="3"/>
        <v/>
      </c>
      <c r="R46" s="48" t="str">
        <f t="shared" si="8"/>
        <v/>
      </c>
      <c r="S46" s="48" t="str">
        <f t="shared" si="9"/>
        <v/>
      </c>
      <c r="T46" s="49" t="str">
        <f t="shared" si="5"/>
        <v/>
      </c>
      <c r="U46" s="187" t="str">
        <f t="shared" si="6"/>
        <v/>
      </c>
      <c r="V46" s="184" t="str">
        <f>IF($E46=0,"",IF(STIG_Metrics!L46=60,0,($E46/STIG_Metrics!L46)/24))</f>
        <v/>
      </c>
      <c r="W46" s="50" t="str">
        <f>IF($E46=0,"",IF(STIG_Metrics!M46=60,0,($E46/STIG_Metrics!M46)/24))</f>
        <v/>
      </c>
      <c r="X46" s="50" t="str">
        <f>IF($E46=0,"",IF(STIG_Metrics!N46=60,0,($E46/STIG_Metrics!N46)/24))</f>
        <v/>
      </c>
      <c r="Y46" s="50" t="str">
        <f t="shared" si="7"/>
        <v/>
      </c>
      <c r="Z46" s="51" t="str">
        <f>IF($E46=0,"",$E46/STIG_Metrics!L46)</f>
        <v/>
      </c>
      <c r="AA46" s="51" t="str">
        <f>IF($E46=0,"",$E46/STIG_Metrics!M46)</f>
        <v/>
      </c>
      <c r="AB46" s="51" t="str">
        <f>IF($E46=0,"",$E46/STIG_Metrics!N46)</f>
        <v/>
      </c>
      <c r="AC46" s="147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94"/>
    </row>
    <row r="47" spans="2:42" ht="15" customHeight="1">
      <c r="B47" s="57"/>
      <c r="C47" s="147"/>
      <c r="D47" s="195" t="str">
        <f>(STIG_Metrics!A47)</f>
        <v>Microsoft Office System 2016</v>
      </c>
      <c r="E47" s="162">
        <v>816</v>
      </c>
      <c r="F47" s="164"/>
      <c r="G47" s="45">
        <f>IF($E47=0,"",(STIG_Metrics!D47)*$E47)</f>
        <v>16320</v>
      </c>
      <c r="H47" s="45">
        <f>IF($E47=0,"",(STIG_Metrics!E47)*$E47)</f>
        <v>0</v>
      </c>
      <c r="I47" s="212">
        <f>IF($E47=0,"",(STIG_Metrics!G47)*$E47)</f>
        <v>16320</v>
      </c>
      <c r="J47" s="215">
        <f>IF($E47=0,"",(STIG_Metrics!D47-STIG_Metrics!E47)*$E47)</f>
        <v>16320</v>
      </c>
      <c r="K47" s="45">
        <f>IF($E47=0,"",(STIG_Metrics!D47-STIG_Metrics!G47)*$E47)</f>
        <v>0</v>
      </c>
      <c r="L47" s="46" t="str">
        <f t="shared" si="0"/>
        <v>153 Days 0 Hrs</v>
      </c>
      <c r="M47" s="46" t="str">
        <f t="shared" si="1"/>
        <v>153 Days 0 Hrs</v>
      </c>
      <c r="N47" s="46" t="str">
        <f t="shared" si="2"/>
        <v>0 Days 0 Hrs</v>
      </c>
      <c r="O47" s="47">
        <f>IF($E47=0,"",STIG_Metrics!O47)</f>
        <v>0</v>
      </c>
      <c r="P47" s="47">
        <f>IF($E47=0,"",STIG_Metrics!P47)</f>
        <v>89.000000000000014</v>
      </c>
      <c r="Q47" s="48">
        <f t="shared" si="3"/>
        <v>122400</v>
      </c>
      <c r="R47" s="48">
        <f t="shared" si="8"/>
        <v>122400</v>
      </c>
      <c r="S47" s="48">
        <f t="shared" si="9"/>
        <v>0</v>
      </c>
      <c r="T47" s="49">
        <f t="shared" si="5"/>
        <v>4896</v>
      </c>
      <c r="U47" s="187">
        <f t="shared" si="6"/>
        <v>489600</v>
      </c>
      <c r="V47" s="184">
        <f>IF($E47=0,"",IF(STIG_Metrics!L47=60,0,($E47/STIG_Metrics!L47)/24))</f>
        <v>51</v>
      </c>
      <c r="W47" s="50">
        <f>IF($E47=0,"",IF(STIG_Metrics!M47=60,0,($E47/STIG_Metrics!M47)/24))</f>
        <v>51</v>
      </c>
      <c r="X47" s="50">
        <f>IF($E47=0,"",IF(STIG_Metrics!N47=60,0,($E47/STIG_Metrics!N47)/24))</f>
        <v>0</v>
      </c>
      <c r="Y47" s="50">
        <f t="shared" si="7"/>
        <v>51</v>
      </c>
      <c r="Z47" s="51">
        <f>IF($E47=0,"",$E47/STIG_Metrics!L47)</f>
        <v>1224</v>
      </c>
      <c r="AA47" s="51">
        <f>IF($E47=0,"",$E47/STIG_Metrics!M47)</f>
        <v>1224</v>
      </c>
      <c r="AB47" s="51">
        <f>IF($E47=0,"",$E47/STIG_Metrics!N47)</f>
        <v>13.6</v>
      </c>
      <c r="AC47" s="147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94"/>
    </row>
    <row r="48" spans="2:42" ht="15" customHeight="1">
      <c r="B48" s="57"/>
      <c r="C48" s="147"/>
      <c r="D48" s="195" t="str">
        <f>(STIG_Metrics!A48)</f>
        <v>Microsoft OneDrive</v>
      </c>
      <c r="E48" s="162">
        <v>882</v>
      </c>
      <c r="F48" s="164"/>
      <c r="G48" s="45">
        <f>IF($E48=0,"",(STIG_Metrics!D48)*$E48)</f>
        <v>10584</v>
      </c>
      <c r="H48" s="45">
        <f>IF($E48=0,"",(STIG_Metrics!E48)*$E48)</f>
        <v>0</v>
      </c>
      <c r="I48" s="212">
        <f>IF($E48=0,"",(STIG_Metrics!G48)*$E48)</f>
        <v>10584</v>
      </c>
      <c r="J48" s="215">
        <f>IF($E48=0,"",(STIG_Metrics!D48-STIG_Metrics!E48)*$E48)</f>
        <v>10584</v>
      </c>
      <c r="K48" s="45">
        <f>IF($E48=0,"",(STIG_Metrics!D48-STIG_Metrics!G48)*$E48)</f>
        <v>0</v>
      </c>
      <c r="L48" s="46" t="str">
        <f t="shared" ref="L48:L81" si="13">IF($E48=0,"",FLOOR($V48*3,1)&amp;" Days"&amp;TEXT(SUM($V48-TIME(8,0,0)*FLOOR($V48*3,1))," h")&amp;" Hrs")</f>
        <v>99 Days 1 Hrs</v>
      </c>
      <c r="M48" s="46" t="str">
        <f t="shared" ref="M48:M81" si="14">IF($E48=0,"",FLOOR($W48*3,1)&amp;" Days"&amp;TEXT(SUM($W48-TIME(8,0,0)*FLOOR($W48*3,1))," h")&amp;" Hrs")</f>
        <v>99 Days 1 Hrs</v>
      </c>
      <c r="N48" s="46" t="str">
        <f t="shared" ref="N48:N81" si="15">IF($E48=0,"",FLOOR($X48*3,1)&amp; " Days"&amp;TEXT(SUM($X48-TIME(8,0,0)*FLOOR($X48*3,1))," h") &amp; " Hrs")</f>
        <v>0 Days 0 Hrs</v>
      </c>
      <c r="O48" s="47">
        <f>IF($E48=0,"",STIG_Metrics!O48)</f>
        <v>0</v>
      </c>
      <c r="P48" s="47">
        <f>IF($E48=0,"",STIG_Metrics!P48)</f>
        <v>52.999999999999993</v>
      </c>
      <c r="Q48" s="48">
        <f t="shared" ref="Q48:Q81" si="16">IF($E48=0,"",((G48*$E$8/60)*$E$7))</f>
        <v>79380</v>
      </c>
      <c r="R48" s="48">
        <f t="shared" si="8"/>
        <v>79380</v>
      </c>
      <c r="S48" s="48">
        <f t="shared" si="9"/>
        <v>0</v>
      </c>
      <c r="T48" s="49">
        <f t="shared" ref="T48:T81" si="17">IF(E48=0,"",(Y48*24)*4)</f>
        <v>3175.2</v>
      </c>
      <c r="U48" s="187">
        <f t="shared" ref="U48:U81" si="18">IF(E48=0,"",PRODUCT(T48,$E$7))</f>
        <v>317520</v>
      </c>
      <c r="V48" s="184">
        <f>IF($E48=0,"",IF(STIG_Metrics!L48=60,0,($E48/STIG_Metrics!L48)/24))</f>
        <v>33.074999999999996</v>
      </c>
      <c r="W48" s="50">
        <f>IF($E48=0,"",IF(STIG_Metrics!M48=60,0,($E48/STIG_Metrics!M48)/24))</f>
        <v>33.074999999999996</v>
      </c>
      <c r="X48" s="50">
        <f>IF($E48=0,"",IF(STIG_Metrics!N48=60,0,($E48/STIG_Metrics!N48)/24))</f>
        <v>0</v>
      </c>
      <c r="Y48" s="50">
        <f t="shared" ref="Y48:Y81" si="19">IF($E48=0,"",$W48-$X48)</f>
        <v>33.074999999999996</v>
      </c>
      <c r="Z48" s="51">
        <f>IF($E48=0,"",$E48/STIG_Metrics!L48)</f>
        <v>793.8</v>
      </c>
      <c r="AA48" s="51">
        <f>IF($E48=0,"",$E48/STIG_Metrics!M48)</f>
        <v>793.8</v>
      </c>
      <c r="AB48" s="51">
        <f>IF($E48=0,"",$E48/STIG_Metrics!N48)</f>
        <v>14.7</v>
      </c>
      <c r="AC48" s="147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94"/>
    </row>
    <row r="49" spans="2:42" ht="15" customHeight="1">
      <c r="B49" s="57"/>
      <c r="C49" s="147"/>
      <c r="D49" s="195" t="str">
        <f>(STIG_Metrics!A49)</f>
        <v>Microsoft OneNote 2013</v>
      </c>
      <c r="E49" s="162">
        <v>0</v>
      </c>
      <c r="F49" s="164"/>
      <c r="G49" s="45" t="str">
        <f>IF($E49=0,"",(STIG_Metrics!D49)*$E49)</f>
        <v/>
      </c>
      <c r="H49" s="45" t="str">
        <f>IF($E49=0,"",(STIG_Metrics!E49)*$E49)</f>
        <v/>
      </c>
      <c r="I49" s="212" t="str">
        <f>IF($E49=0,"",(STIG_Metrics!G49)*$E49)</f>
        <v/>
      </c>
      <c r="J49" s="215" t="str">
        <f>IF($E49=0,"",(STIG_Metrics!D49-STIG_Metrics!E49)*$E49)</f>
        <v/>
      </c>
      <c r="K49" s="45" t="str">
        <f>IF($E49=0,"",(STIG_Metrics!D49-STIG_Metrics!G49)*$E49)</f>
        <v/>
      </c>
      <c r="L49" s="46" t="str">
        <f t="shared" si="13"/>
        <v/>
      </c>
      <c r="M49" s="46" t="str">
        <f t="shared" si="14"/>
        <v/>
      </c>
      <c r="N49" s="46" t="str">
        <f t="shared" si="15"/>
        <v/>
      </c>
      <c r="O49" s="47" t="str">
        <f>IF($E49=0,"",STIG_Metrics!O49)</f>
        <v/>
      </c>
      <c r="P49" s="47" t="str">
        <f>IF($E49=0,"",STIG_Metrics!P49)</f>
        <v/>
      </c>
      <c r="Q49" s="48" t="str">
        <f t="shared" si="16"/>
        <v/>
      </c>
      <c r="R49" s="48" t="str">
        <f t="shared" si="8"/>
        <v/>
      </c>
      <c r="S49" s="48" t="str">
        <f t="shared" si="9"/>
        <v/>
      </c>
      <c r="T49" s="49" t="str">
        <f t="shared" si="17"/>
        <v/>
      </c>
      <c r="U49" s="187" t="str">
        <f t="shared" si="18"/>
        <v/>
      </c>
      <c r="V49" s="184" t="str">
        <f>IF($E49=0,"",IF(STIG_Metrics!L49=60,0,($E49/STIG_Metrics!L49)/24))</f>
        <v/>
      </c>
      <c r="W49" s="50" t="str">
        <f>IF($E49=0,"",IF(STIG_Metrics!M49=60,0,($E49/STIG_Metrics!M49)/24))</f>
        <v/>
      </c>
      <c r="X49" s="50" t="str">
        <f>IF($E49=0,"",IF(STIG_Metrics!N49=60,0,($E49/STIG_Metrics!N49)/24))</f>
        <v/>
      </c>
      <c r="Y49" s="50" t="str">
        <f t="shared" si="19"/>
        <v/>
      </c>
      <c r="Z49" s="51" t="str">
        <f>IF($E49=0,"",$E49/STIG_Metrics!L49)</f>
        <v/>
      </c>
      <c r="AA49" s="51" t="str">
        <f>IF($E49=0,"",$E49/STIG_Metrics!M49)</f>
        <v/>
      </c>
      <c r="AB49" s="51" t="str">
        <f>IF($E49=0,"",$E49/STIG_Metrics!N49)</f>
        <v/>
      </c>
      <c r="AC49" s="147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94"/>
    </row>
    <row r="50" spans="2:42" ht="15" customHeight="1">
      <c r="B50" s="57"/>
      <c r="C50" s="147"/>
      <c r="D50" s="195" t="str">
        <f>(STIG_Metrics!A50)</f>
        <v>Microsoft OneNote 2016</v>
      </c>
      <c r="E50" s="162">
        <v>808</v>
      </c>
      <c r="F50" s="164"/>
      <c r="G50" s="45">
        <f>IF($E50=0,"",(STIG_Metrics!D50)*$E50)</f>
        <v>8080</v>
      </c>
      <c r="H50" s="45">
        <f>IF($E50=0,"",(STIG_Metrics!E50)*$E50)</f>
        <v>0</v>
      </c>
      <c r="I50" s="212">
        <f>IF($E50=0,"",(STIG_Metrics!G50)*$E50)</f>
        <v>8080</v>
      </c>
      <c r="J50" s="215">
        <f>IF($E50=0,"",(STIG_Metrics!D50-STIG_Metrics!E50)*$E50)</f>
        <v>8080</v>
      </c>
      <c r="K50" s="45">
        <f>IF($E50=0,"",(STIG_Metrics!D50-STIG_Metrics!G50)*$E50)</f>
        <v>0</v>
      </c>
      <c r="L50" s="46" t="str">
        <f t="shared" si="13"/>
        <v>75 Days 6 Hrs</v>
      </c>
      <c r="M50" s="46" t="str">
        <f t="shared" si="14"/>
        <v>75 Days 6 Hrs</v>
      </c>
      <c r="N50" s="46" t="str">
        <f t="shared" si="15"/>
        <v>0 Days 0 Hrs</v>
      </c>
      <c r="O50" s="47">
        <f>IF($E50=0,"",STIG_Metrics!O50)</f>
        <v>0</v>
      </c>
      <c r="P50" s="47">
        <f>IF($E50=0,"",STIG_Metrics!P50)</f>
        <v>44</v>
      </c>
      <c r="Q50" s="48">
        <f t="shared" si="16"/>
        <v>60600</v>
      </c>
      <c r="R50" s="48">
        <f t="shared" si="8"/>
        <v>60600</v>
      </c>
      <c r="S50" s="48">
        <f t="shared" si="9"/>
        <v>0</v>
      </c>
      <c r="T50" s="49">
        <f t="shared" si="17"/>
        <v>2424</v>
      </c>
      <c r="U50" s="187">
        <f t="shared" si="18"/>
        <v>242400</v>
      </c>
      <c r="V50" s="184">
        <f>IF($E50=0,"",IF(STIG_Metrics!L50=60,0,($E50/STIG_Metrics!L50)/24))</f>
        <v>25.25</v>
      </c>
      <c r="W50" s="50">
        <f>IF($E50=0,"",IF(STIG_Metrics!M50=60,0,($E50/STIG_Metrics!M50)/24))</f>
        <v>25.25</v>
      </c>
      <c r="X50" s="50">
        <f>IF($E50=0,"",IF(STIG_Metrics!N50=60,0,($E50/STIG_Metrics!N50)/24))</f>
        <v>0</v>
      </c>
      <c r="Y50" s="50">
        <f t="shared" si="19"/>
        <v>25.25</v>
      </c>
      <c r="Z50" s="51">
        <f>IF($E50=0,"",$E50/STIG_Metrics!L50)</f>
        <v>606</v>
      </c>
      <c r="AA50" s="51">
        <f>IF($E50=0,"",$E50/STIG_Metrics!M50)</f>
        <v>606</v>
      </c>
      <c r="AB50" s="51">
        <f>IF($E50=0,"",$E50/STIG_Metrics!N50)</f>
        <v>13.466666666666667</v>
      </c>
      <c r="AC50" s="147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94"/>
    </row>
    <row r="51" spans="2:42" ht="15" customHeight="1">
      <c r="B51" s="57"/>
      <c r="C51" s="147"/>
      <c r="D51" s="195" t="str">
        <f>(STIG_Metrics!A51)</f>
        <v>Microsoft Outlook 2013</v>
      </c>
      <c r="E51" s="162">
        <v>0</v>
      </c>
      <c r="F51" s="164"/>
      <c r="G51" s="45" t="str">
        <f>IF($E51=0,"",(STIG_Metrics!D51)*$E51)</f>
        <v/>
      </c>
      <c r="H51" s="45" t="str">
        <f>IF($E51=0,"",(STIG_Metrics!E51)*$E51)</f>
        <v/>
      </c>
      <c r="I51" s="212" t="str">
        <f>IF($E51=0,"",(STIG_Metrics!G51)*$E51)</f>
        <v/>
      </c>
      <c r="J51" s="215" t="str">
        <f>IF($E51=0,"",(STIG_Metrics!D51-STIG_Metrics!E51)*$E51)</f>
        <v/>
      </c>
      <c r="K51" s="45" t="str">
        <f>IF($E51=0,"",(STIG_Metrics!D51-STIG_Metrics!G51)*$E51)</f>
        <v/>
      </c>
      <c r="L51" s="46" t="str">
        <f t="shared" si="13"/>
        <v/>
      </c>
      <c r="M51" s="46" t="str">
        <f t="shared" si="14"/>
        <v/>
      </c>
      <c r="N51" s="46" t="str">
        <f t="shared" si="15"/>
        <v/>
      </c>
      <c r="O51" s="47" t="str">
        <f>IF($E51=0,"",STIG_Metrics!O51)</f>
        <v/>
      </c>
      <c r="P51" s="47" t="str">
        <f>IF($E51=0,"",STIG_Metrics!P51)</f>
        <v/>
      </c>
      <c r="Q51" s="48" t="str">
        <f t="shared" si="16"/>
        <v/>
      </c>
      <c r="R51" s="48" t="str">
        <f t="shared" si="8"/>
        <v/>
      </c>
      <c r="S51" s="48" t="str">
        <f t="shared" si="9"/>
        <v/>
      </c>
      <c r="T51" s="49" t="str">
        <f t="shared" si="17"/>
        <v/>
      </c>
      <c r="U51" s="187" t="str">
        <f t="shared" si="18"/>
        <v/>
      </c>
      <c r="V51" s="184" t="str">
        <f>IF($E51=0,"",IF(STIG_Metrics!L51=60,0,($E51/STIG_Metrics!L51)/24))</f>
        <v/>
      </c>
      <c r="W51" s="50" t="str">
        <f>IF($E51=0,"",IF(STIG_Metrics!M51=60,0,($E51/STIG_Metrics!M51)/24))</f>
        <v/>
      </c>
      <c r="X51" s="50" t="str">
        <f>IF($E51=0,"",IF(STIG_Metrics!N51=60,0,($E51/STIG_Metrics!N51)/24))</f>
        <v/>
      </c>
      <c r="Y51" s="50" t="str">
        <f t="shared" si="19"/>
        <v/>
      </c>
      <c r="Z51" s="51" t="str">
        <f>IF($E51=0,"",$E51/STIG_Metrics!L51)</f>
        <v/>
      </c>
      <c r="AA51" s="51" t="str">
        <f>IF($E51=0,"",$E51/STIG_Metrics!M51)</f>
        <v/>
      </c>
      <c r="AB51" s="51" t="str">
        <f>IF($E51=0,"",$E51/STIG_Metrics!N51)</f>
        <v/>
      </c>
      <c r="AC51" s="147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94"/>
    </row>
    <row r="52" spans="2:42" ht="15" customHeight="1">
      <c r="B52" s="57"/>
      <c r="C52" s="147"/>
      <c r="D52" s="195" t="str">
        <f>(STIG_Metrics!A52)</f>
        <v>Microsoft Outlook 2016</v>
      </c>
      <c r="E52" s="162">
        <v>798</v>
      </c>
      <c r="F52" s="164"/>
      <c r="G52" s="45">
        <f>IF($E52=0,"",(STIG_Metrics!D52)*$E52)</f>
        <v>50274</v>
      </c>
      <c r="H52" s="45">
        <f>IF($E52=0,"",(STIG_Metrics!E52)*$E52)</f>
        <v>0</v>
      </c>
      <c r="I52" s="212">
        <f>IF($E52=0,"",(STIG_Metrics!G52)*$E52)</f>
        <v>50274</v>
      </c>
      <c r="J52" s="215">
        <f>IF($E52=0,"",(STIG_Metrics!D52-STIG_Metrics!E52)*$E52)</f>
        <v>50274</v>
      </c>
      <c r="K52" s="45">
        <f>IF($E52=0,"",(STIG_Metrics!D52-STIG_Metrics!G52)*$E52)</f>
        <v>0</v>
      </c>
      <c r="L52" s="46" t="str">
        <f t="shared" si="13"/>
        <v>471 Days 2 Hrs</v>
      </c>
      <c r="M52" s="46" t="str">
        <f t="shared" si="14"/>
        <v>471 Days 2 Hrs</v>
      </c>
      <c r="N52" s="46" t="str">
        <f t="shared" si="15"/>
        <v>0 Days 0 Hrs</v>
      </c>
      <c r="O52" s="47">
        <f>IF($E52=0,"",STIG_Metrics!O52)</f>
        <v>0</v>
      </c>
      <c r="P52" s="47">
        <f>IF($E52=0,"",STIG_Metrics!P52)</f>
        <v>282.50000000000006</v>
      </c>
      <c r="Q52" s="48">
        <f t="shared" si="16"/>
        <v>377055</v>
      </c>
      <c r="R52" s="48">
        <f t="shared" si="8"/>
        <v>377055</v>
      </c>
      <c r="S52" s="48">
        <f t="shared" si="9"/>
        <v>0</v>
      </c>
      <c r="T52" s="49">
        <f t="shared" si="17"/>
        <v>15082.2</v>
      </c>
      <c r="U52" s="187">
        <f t="shared" si="18"/>
        <v>1508220</v>
      </c>
      <c r="V52" s="184">
        <f>IF($E52=0,"",IF(STIG_Metrics!L52=60,0,($E52/STIG_Metrics!L52)/24))</f>
        <v>157.10625000000002</v>
      </c>
      <c r="W52" s="50">
        <f>IF($E52=0,"",IF(STIG_Metrics!M52=60,0,($E52/STIG_Metrics!M52)/24))</f>
        <v>157.10625000000002</v>
      </c>
      <c r="X52" s="50">
        <f>IF($E52=0,"",IF(STIG_Metrics!N52=60,0,($E52/STIG_Metrics!N52)/24))</f>
        <v>0</v>
      </c>
      <c r="Y52" s="50">
        <f t="shared" si="19"/>
        <v>157.10625000000002</v>
      </c>
      <c r="Z52" s="51">
        <f>IF($E52=0,"",$E52/STIG_Metrics!L52)</f>
        <v>3770.55</v>
      </c>
      <c r="AA52" s="51">
        <f>IF($E52=0,"",$E52/STIG_Metrics!M52)</f>
        <v>3770.55</v>
      </c>
      <c r="AB52" s="51">
        <f>IF($E52=0,"",$E52/STIG_Metrics!N52)</f>
        <v>13.3</v>
      </c>
      <c r="AC52" s="147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94"/>
    </row>
    <row r="53" spans="2:42" ht="15" customHeight="1">
      <c r="B53" s="57"/>
      <c r="C53" s="147"/>
      <c r="D53" s="195" t="str">
        <f>(STIG_Metrics!A53)</f>
        <v>Microsoft PowerPoint 2013</v>
      </c>
      <c r="E53" s="162">
        <v>0</v>
      </c>
      <c r="F53" s="164"/>
      <c r="G53" s="45" t="str">
        <f>IF($E53=0,"",(STIG_Metrics!D53)*$E53)</f>
        <v/>
      </c>
      <c r="H53" s="45" t="str">
        <f>IF($E53=0,"",(STIG_Metrics!E53)*$E53)</f>
        <v/>
      </c>
      <c r="I53" s="212" t="str">
        <f>IF($E53=0,"",(STIG_Metrics!G53)*$E53)</f>
        <v/>
      </c>
      <c r="J53" s="215" t="str">
        <f>IF($E53=0,"",(STIG_Metrics!D53-STIG_Metrics!E53)*$E53)</f>
        <v/>
      </c>
      <c r="K53" s="45" t="str">
        <f>IF($E53=0,"",(STIG_Metrics!D53-STIG_Metrics!G53)*$E53)</f>
        <v/>
      </c>
      <c r="L53" s="46" t="str">
        <f t="shared" si="13"/>
        <v/>
      </c>
      <c r="M53" s="46" t="str">
        <f t="shared" si="14"/>
        <v/>
      </c>
      <c r="N53" s="46" t="str">
        <f t="shared" si="15"/>
        <v/>
      </c>
      <c r="O53" s="47" t="str">
        <f>IF($E53=0,"",STIG_Metrics!O53)</f>
        <v/>
      </c>
      <c r="P53" s="47" t="str">
        <f>IF($E53=0,"",STIG_Metrics!P53)</f>
        <v/>
      </c>
      <c r="Q53" s="48" t="str">
        <f t="shared" si="16"/>
        <v/>
      </c>
      <c r="R53" s="48" t="str">
        <f t="shared" si="8"/>
        <v/>
      </c>
      <c r="S53" s="48" t="str">
        <f t="shared" si="9"/>
        <v/>
      </c>
      <c r="T53" s="49" t="str">
        <f t="shared" si="17"/>
        <v/>
      </c>
      <c r="U53" s="187" t="str">
        <f t="shared" si="18"/>
        <v/>
      </c>
      <c r="V53" s="184" t="str">
        <f>IF($E53=0,"",IF(STIG_Metrics!L53=60,0,($E53/STIG_Metrics!L53)/24))</f>
        <v/>
      </c>
      <c r="W53" s="50" t="str">
        <f>IF($E53=0,"",IF(STIG_Metrics!M53=60,0,($E53/STIG_Metrics!M53)/24))</f>
        <v/>
      </c>
      <c r="X53" s="50" t="str">
        <f>IF($E53=0,"",IF(STIG_Metrics!N53=60,0,($E53/STIG_Metrics!N53)/24))</f>
        <v/>
      </c>
      <c r="Y53" s="50" t="str">
        <f t="shared" si="19"/>
        <v/>
      </c>
      <c r="Z53" s="51" t="str">
        <f>IF($E53=0,"",$E53/STIG_Metrics!L53)</f>
        <v/>
      </c>
      <c r="AA53" s="51" t="str">
        <f>IF($E53=0,"",$E53/STIG_Metrics!M53)</f>
        <v/>
      </c>
      <c r="AB53" s="51" t="str">
        <f>IF($E53=0,"",$E53/STIG_Metrics!N53)</f>
        <v/>
      </c>
      <c r="AC53" s="148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94"/>
    </row>
    <row r="54" spans="2:42" ht="15" customHeight="1">
      <c r="B54" s="57"/>
      <c r="C54" s="148"/>
      <c r="D54" s="195" t="str">
        <f>(STIG_Metrics!A54)</f>
        <v>Microsoft PowerPoint 2016</v>
      </c>
      <c r="E54" s="162">
        <v>809</v>
      </c>
      <c r="F54" s="164"/>
      <c r="G54" s="45">
        <f>IF($E54=0,"",(STIG_Metrics!D54)*$E54)</f>
        <v>29933</v>
      </c>
      <c r="H54" s="45">
        <f>IF($E54=0,"",(STIG_Metrics!E54)*$E54)</f>
        <v>0</v>
      </c>
      <c r="I54" s="212">
        <f>IF($E54=0,"",(STIG_Metrics!G54)*$E54)</f>
        <v>29933</v>
      </c>
      <c r="J54" s="215">
        <f>IF($E54=0,"",(STIG_Metrics!D54-STIG_Metrics!E54)*$E54)</f>
        <v>29933</v>
      </c>
      <c r="K54" s="45">
        <f>IF($E54=0,"",(STIG_Metrics!D54-STIG_Metrics!G54)*$E54)</f>
        <v>0</v>
      </c>
      <c r="L54" s="46" t="str">
        <f t="shared" si="13"/>
        <v>280 Days 4 Hrs</v>
      </c>
      <c r="M54" s="46" t="str">
        <f t="shared" si="14"/>
        <v>280 Days 4 Hrs</v>
      </c>
      <c r="N54" s="46" t="str">
        <f t="shared" si="15"/>
        <v>0 Days 0 Hrs</v>
      </c>
      <c r="O54" s="47">
        <f>IF($E54=0,"",STIG_Metrics!O54)</f>
        <v>0</v>
      </c>
      <c r="P54" s="47">
        <f>IF($E54=0,"",STIG_Metrics!P54)</f>
        <v>165.5</v>
      </c>
      <c r="Q54" s="48">
        <f t="shared" si="16"/>
        <v>224497.5</v>
      </c>
      <c r="R54" s="48">
        <f t="shared" si="8"/>
        <v>224497.5</v>
      </c>
      <c r="S54" s="48">
        <f t="shared" si="9"/>
        <v>0</v>
      </c>
      <c r="T54" s="49">
        <f t="shared" si="17"/>
        <v>8979.9</v>
      </c>
      <c r="U54" s="187">
        <f t="shared" si="18"/>
        <v>897990</v>
      </c>
      <c r="V54" s="184">
        <f>IF($E54=0,"",IF(STIG_Metrics!L54=60,0,($E54/STIG_Metrics!L54)/24))</f>
        <v>93.540624999999991</v>
      </c>
      <c r="W54" s="50">
        <f>IF($E54=0,"",IF(STIG_Metrics!M54=60,0,($E54/STIG_Metrics!M54)/24))</f>
        <v>93.540624999999991</v>
      </c>
      <c r="X54" s="50">
        <f>IF($E54=0,"",IF(STIG_Metrics!N54=60,0,($E54/STIG_Metrics!N54)/24))</f>
        <v>0</v>
      </c>
      <c r="Y54" s="50">
        <f t="shared" si="19"/>
        <v>93.540624999999991</v>
      </c>
      <c r="Z54" s="51">
        <f>IF($E54=0,"",$E54/STIG_Metrics!L54)</f>
        <v>2244.9749999999999</v>
      </c>
      <c r="AA54" s="51">
        <f>IF($E54=0,"",$E54/STIG_Metrics!M54)</f>
        <v>2244.9749999999999</v>
      </c>
      <c r="AB54" s="51">
        <f>IF($E54=0,"",$E54/STIG_Metrics!N54)</f>
        <v>13.483333333333333</v>
      </c>
      <c r="AC54" s="148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  <c r="AP54" s="94"/>
    </row>
    <row r="55" spans="2:42" ht="15" customHeight="1">
      <c r="B55" s="57"/>
      <c r="C55" s="148"/>
      <c r="D55" s="195" t="str">
        <f>(STIG_Metrics!A55)</f>
        <v>Microsoft Project 2013</v>
      </c>
      <c r="E55" s="162">
        <v>0</v>
      </c>
      <c r="F55" s="164"/>
      <c r="G55" s="45" t="str">
        <f>IF($E55=0,"",(STIG_Metrics!D55)*$E55)</f>
        <v/>
      </c>
      <c r="H55" s="45" t="str">
        <f>IF($E55=0,"",(STIG_Metrics!E55)*$E55)</f>
        <v/>
      </c>
      <c r="I55" s="212" t="str">
        <f>IF($E55=0,"",(STIG_Metrics!G55)*$E55)</f>
        <v/>
      </c>
      <c r="J55" s="215" t="str">
        <f>IF($E55=0,"",(STIG_Metrics!D55-STIG_Metrics!E55)*$E55)</f>
        <v/>
      </c>
      <c r="K55" s="45" t="str">
        <f>IF($E55=0,"",(STIG_Metrics!D55-STIG_Metrics!G55)*$E55)</f>
        <v/>
      </c>
      <c r="L55" s="46" t="str">
        <f t="shared" si="13"/>
        <v/>
      </c>
      <c r="M55" s="46" t="str">
        <f t="shared" si="14"/>
        <v/>
      </c>
      <c r="N55" s="46" t="str">
        <f t="shared" si="15"/>
        <v/>
      </c>
      <c r="O55" s="47" t="str">
        <f>IF($E55=0,"",STIG_Metrics!O55)</f>
        <v/>
      </c>
      <c r="P55" s="47" t="str">
        <f>IF($E55=0,"",STIG_Metrics!P55)</f>
        <v/>
      </c>
      <c r="Q55" s="48" t="str">
        <f t="shared" si="16"/>
        <v/>
      </c>
      <c r="R55" s="48" t="str">
        <f t="shared" si="8"/>
        <v/>
      </c>
      <c r="S55" s="48" t="str">
        <f t="shared" si="9"/>
        <v/>
      </c>
      <c r="T55" s="49" t="str">
        <f t="shared" si="17"/>
        <v/>
      </c>
      <c r="U55" s="187" t="str">
        <f t="shared" si="18"/>
        <v/>
      </c>
      <c r="V55" s="184" t="str">
        <f>IF($E55=0,"",IF(STIG_Metrics!L55=60,0,($E55/STIG_Metrics!L55)/24))</f>
        <v/>
      </c>
      <c r="W55" s="50" t="str">
        <f>IF($E55=0,"",IF(STIG_Metrics!M55=60,0,($E55/STIG_Metrics!M55)/24))</f>
        <v/>
      </c>
      <c r="X55" s="50" t="str">
        <f>IF($E55=0,"",IF(STIG_Metrics!N55=60,0,($E55/STIG_Metrics!N55)/24))</f>
        <v/>
      </c>
      <c r="Y55" s="50" t="str">
        <f t="shared" si="19"/>
        <v/>
      </c>
      <c r="Z55" s="51" t="str">
        <f>IF($E55=0,"",$E55/STIG_Metrics!L55)</f>
        <v/>
      </c>
      <c r="AA55" s="51" t="str">
        <f>IF($E55=0,"",$E55/STIG_Metrics!M55)</f>
        <v/>
      </c>
      <c r="AB55" s="51" t="str">
        <f>IF($E55=0,"",$E55/STIG_Metrics!N55)</f>
        <v/>
      </c>
      <c r="AC55" s="148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94"/>
    </row>
    <row r="56" spans="2:42" ht="15" customHeight="1">
      <c r="B56" s="57"/>
      <c r="C56" s="148"/>
      <c r="D56" s="195" t="str">
        <f>(STIG_Metrics!A56)</f>
        <v>Microsoft Project 2016</v>
      </c>
      <c r="E56" s="162">
        <v>10</v>
      </c>
      <c r="F56" s="164"/>
      <c r="G56" s="45">
        <f>IF($E56=0,"",(STIG_Metrics!D56)*$E56)</f>
        <v>140</v>
      </c>
      <c r="H56" s="45">
        <f>IF($E56=0,"",(STIG_Metrics!E56)*$E56)</f>
        <v>0</v>
      </c>
      <c r="I56" s="212">
        <f>IF($E56=0,"",(STIG_Metrics!G56)*$E56)</f>
        <v>140</v>
      </c>
      <c r="J56" s="215">
        <f>IF($E56=0,"",(STIG_Metrics!D56-STIG_Metrics!E56)*$E56)</f>
        <v>140</v>
      </c>
      <c r="K56" s="45">
        <f>IF($E56=0,"",(STIG_Metrics!D56-STIG_Metrics!G56)*$E56)</f>
        <v>0</v>
      </c>
      <c r="L56" s="46" t="str">
        <f t="shared" si="13"/>
        <v>1 Days 2 Hrs</v>
      </c>
      <c r="M56" s="46" t="str">
        <f t="shared" si="14"/>
        <v>1 Days 2 Hrs</v>
      </c>
      <c r="N56" s="46" t="str">
        <f t="shared" si="15"/>
        <v>0 Days 0 Hrs</v>
      </c>
      <c r="O56" s="47">
        <f>IF($E56=0,"",STIG_Metrics!O56)</f>
        <v>0</v>
      </c>
      <c r="P56" s="47">
        <f>IF($E56=0,"",STIG_Metrics!P56)</f>
        <v>62.000000000000007</v>
      </c>
      <c r="Q56" s="48">
        <f t="shared" si="16"/>
        <v>1050</v>
      </c>
      <c r="R56" s="48">
        <f t="shared" ref="R56:R88" si="20">IF($E56=0,"",((J56*$E$8/60)*$E$7))</f>
        <v>1050</v>
      </c>
      <c r="S56" s="48">
        <f t="shared" ref="S56:S88" si="21">IF($E56=0,"",((K56*$E$8/60)*$E$7))</f>
        <v>0</v>
      </c>
      <c r="T56" s="49">
        <f t="shared" si="17"/>
        <v>42</v>
      </c>
      <c r="U56" s="187">
        <f t="shared" si="18"/>
        <v>4200</v>
      </c>
      <c r="V56" s="184">
        <f>IF($E56=0,"",IF(STIG_Metrics!L56=60,0,($E56/STIG_Metrics!L56)/24))</f>
        <v>0.4375</v>
      </c>
      <c r="W56" s="50">
        <f>IF($E56=0,"",IF(STIG_Metrics!M56=60,0,($E56/STIG_Metrics!M56)/24))</f>
        <v>0.4375</v>
      </c>
      <c r="X56" s="50">
        <f>IF($E56=0,"",IF(STIG_Metrics!N56=60,0,($E56/STIG_Metrics!N56)/24))</f>
        <v>0</v>
      </c>
      <c r="Y56" s="50">
        <f t="shared" si="19"/>
        <v>0.4375</v>
      </c>
      <c r="Z56" s="51">
        <f>IF($E56=0,"",$E56/STIG_Metrics!L56)</f>
        <v>10.5</v>
      </c>
      <c r="AA56" s="51">
        <f>IF($E56=0,"",$E56/STIG_Metrics!M56)</f>
        <v>10.5</v>
      </c>
      <c r="AB56" s="51">
        <f>IF($E56=0,"",$E56/STIG_Metrics!N56)</f>
        <v>0.16666666666666666</v>
      </c>
      <c r="AC56" s="148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  <c r="AP56" s="94"/>
    </row>
    <row r="57" spans="2:42" ht="15" customHeight="1">
      <c r="B57" s="57"/>
      <c r="C57" s="148"/>
      <c r="D57" s="195" t="str">
        <f>(STIG_Metrics!A57)</f>
        <v>Microsoft Publisher 2013</v>
      </c>
      <c r="E57" s="162">
        <v>0</v>
      </c>
      <c r="F57" s="164"/>
      <c r="G57" s="45" t="str">
        <f>IF($E57=0,"",(STIG_Metrics!D57)*$E57)</f>
        <v/>
      </c>
      <c r="H57" s="45" t="str">
        <f>IF($E57=0,"",(STIG_Metrics!E57)*$E57)</f>
        <v/>
      </c>
      <c r="I57" s="212" t="str">
        <f>IF($E57=0,"",(STIG_Metrics!G57)*$E57)</f>
        <v/>
      </c>
      <c r="J57" s="215" t="str">
        <f>IF($E57=0,"",(STIG_Metrics!D57-STIG_Metrics!E57)*$E57)</f>
        <v/>
      </c>
      <c r="K57" s="45" t="str">
        <f>IF($E57=0,"",(STIG_Metrics!D57-STIG_Metrics!G57)*$E57)</f>
        <v/>
      </c>
      <c r="L57" s="46" t="str">
        <f t="shared" si="13"/>
        <v/>
      </c>
      <c r="M57" s="46" t="str">
        <f t="shared" si="14"/>
        <v/>
      </c>
      <c r="N57" s="46" t="str">
        <f t="shared" si="15"/>
        <v/>
      </c>
      <c r="O57" s="47" t="str">
        <f>IF($E57=0,"",STIG_Metrics!O57)</f>
        <v/>
      </c>
      <c r="P57" s="47" t="str">
        <f>IF($E57=0,"",STIG_Metrics!P57)</f>
        <v/>
      </c>
      <c r="Q57" s="48" t="str">
        <f t="shared" si="16"/>
        <v/>
      </c>
      <c r="R57" s="48" t="str">
        <f t="shared" si="20"/>
        <v/>
      </c>
      <c r="S57" s="48" t="str">
        <f t="shared" si="21"/>
        <v/>
      </c>
      <c r="T57" s="49" t="str">
        <f t="shared" si="17"/>
        <v/>
      </c>
      <c r="U57" s="187" t="str">
        <f t="shared" si="18"/>
        <v/>
      </c>
      <c r="V57" s="184" t="str">
        <f>IF($E57=0,"",IF(STIG_Metrics!L57=60,0,($E57/STIG_Metrics!L57)/24))</f>
        <v/>
      </c>
      <c r="W57" s="50" t="str">
        <f>IF($E57=0,"",IF(STIG_Metrics!M57=60,0,($E57/STIG_Metrics!M57)/24))</f>
        <v/>
      </c>
      <c r="X57" s="50" t="str">
        <f>IF($E57=0,"",IF(STIG_Metrics!N57=60,0,($E57/STIG_Metrics!N57)/24))</f>
        <v/>
      </c>
      <c r="Y57" s="50" t="str">
        <f t="shared" si="19"/>
        <v/>
      </c>
      <c r="Z57" s="51" t="str">
        <f>IF($E57=0,"",$E57/STIG_Metrics!L57)</f>
        <v/>
      </c>
      <c r="AA57" s="51" t="str">
        <f>IF($E57=0,"",$E57/STIG_Metrics!M57)</f>
        <v/>
      </c>
      <c r="AB57" s="51" t="str">
        <f>IF($E57=0,"",$E57/STIG_Metrics!N57)</f>
        <v/>
      </c>
      <c r="AC57" s="148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94"/>
    </row>
    <row r="58" spans="2:42" ht="15" customHeight="1">
      <c r="B58" s="57"/>
      <c r="C58" s="148"/>
      <c r="D58" s="195" t="str">
        <f>(STIG_Metrics!A58)</f>
        <v>Microsoft Publisher 2016</v>
      </c>
      <c r="E58" s="162">
        <v>798</v>
      </c>
      <c r="F58" s="164"/>
      <c r="G58" s="45">
        <f>IF($E58=0,"",(STIG_Metrics!D58)*$E58)</f>
        <v>11970</v>
      </c>
      <c r="H58" s="45">
        <f>IF($E58=0,"",(STIG_Metrics!E58)*$E58)</f>
        <v>0</v>
      </c>
      <c r="I58" s="212">
        <f>IF($E58=0,"",(STIG_Metrics!G58)*$E58)</f>
        <v>11970</v>
      </c>
      <c r="J58" s="215">
        <f>IF($E58=0,"",(STIG_Metrics!D58-STIG_Metrics!E58)*$E58)</f>
        <v>11970</v>
      </c>
      <c r="K58" s="45">
        <f>IF($E58=0,"",(STIG_Metrics!D58-STIG_Metrics!G58)*$E58)</f>
        <v>0</v>
      </c>
      <c r="L58" s="46" t="str">
        <f t="shared" si="13"/>
        <v>112 Days 1 Hrs</v>
      </c>
      <c r="M58" s="46" t="str">
        <f t="shared" si="14"/>
        <v>112 Days 1 Hrs</v>
      </c>
      <c r="N58" s="46" t="str">
        <f t="shared" si="15"/>
        <v>0 Days 0 Hrs</v>
      </c>
      <c r="O58" s="47">
        <f>IF($E58=0,"",STIG_Metrics!O58)</f>
        <v>0</v>
      </c>
      <c r="P58" s="47">
        <f>IF($E58=0,"",STIG_Metrics!P58)</f>
        <v>66.500000000000014</v>
      </c>
      <c r="Q58" s="48">
        <f t="shared" si="16"/>
        <v>89775</v>
      </c>
      <c r="R58" s="48">
        <f t="shared" si="20"/>
        <v>89775</v>
      </c>
      <c r="S58" s="48">
        <f t="shared" si="21"/>
        <v>0</v>
      </c>
      <c r="T58" s="49">
        <f t="shared" si="17"/>
        <v>3591</v>
      </c>
      <c r="U58" s="187">
        <f t="shared" si="18"/>
        <v>359100</v>
      </c>
      <c r="V58" s="184">
        <f>IF($E58=0,"",IF(STIG_Metrics!L58=60,0,($E58/STIG_Metrics!L58)/24))</f>
        <v>37.40625</v>
      </c>
      <c r="W58" s="50">
        <f>IF($E58=0,"",IF(STIG_Metrics!M58=60,0,($E58/STIG_Metrics!M58)/24))</f>
        <v>37.40625</v>
      </c>
      <c r="X58" s="50">
        <f>IF($E58=0,"",IF(STIG_Metrics!N58=60,0,($E58/STIG_Metrics!N58)/24))</f>
        <v>0</v>
      </c>
      <c r="Y58" s="50">
        <f t="shared" si="19"/>
        <v>37.40625</v>
      </c>
      <c r="Z58" s="51">
        <f>IF($E58=0,"",$E58/STIG_Metrics!L58)</f>
        <v>897.75</v>
      </c>
      <c r="AA58" s="51">
        <f>IF($E58=0,"",$E58/STIG_Metrics!M58)</f>
        <v>897.75</v>
      </c>
      <c r="AB58" s="51">
        <f>IF($E58=0,"",$E58/STIG_Metrics!N58)</f>
        <v>13.3</v>
      </c>
      <c r="AC58" s="148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94"/>
    </row>
    <row r="59" spans="2:42" ht="15" customHeight="1">
      <c r="B59" s="57"/>
      <c r="C59" s="148"/>
      <c r="D59" s="195" t="str">
        <f>(STIG_Metrics!A59)</f>
        <v>Microsoft SharePoint Designer 2013</v>
      </c>
      <c r="E59" s="162">
        <v>0</v>
      </c>
      <c r="F59" s="164"/>
      <c r="G59" s="45" t="str">
        <f>IF($E59=0,"",(STIG_Metrics!D59)*$E59)</f>
        <v/>
      </c>
      <c r="H59" s="45" t="str">
        <f>IF($E59=0,"",(STIG_Metrics!E59)*$E59)</f>
        <v/>
      </c>
      <c r="I59" s="212" t="str">
        <f>IF($E59=0,"",(STIG_Metrics!G59)*$E59)</f>
        <v/>
      </c>
      <c r="J59" s="215" t="str">
        <f>IF($E59=0,"",(STIG_Metrics!D59-STIG_Metrics!E59)*$E59)</f>
        <v/>
      </c>
      <c r="K59" s="45" t="str">
        <f>IF($E59=0,"",(STIG_Metrics!D59-STIG_Metrics!G59)*$E59)</f>
        <v/>
      </c>
      <c r="L59" s="46" t="str">
        <f t="shared" si="13"/>
        <v/>
      </c>
      <c r="M59" s="46" t="str">
        <f t="shared" si="14"/>
        <v/>
      </c>
      <c r="N59" s="46" t="str">
        <f t="shared" si="15"/>
        <v/>
      </c>
      <c r="O59" s="47" t="str">
        <f>IF($E59=0,"",STIG_Metrics!O59)</f>
        <v/>
      </c>
      <c r="P59" s="47" t="str">
        <f>IF($E59=0,"",STIG_Metrics!P59)</f>
        <v/>
      </c>
      <c r="Q59" s="48" t="str">
        <f t="shared" si="16"/>
        <v/>
      </c>
      <c r="R59" s="48" t="str">
        <f t="shared" si="20"/>
        <v/>
      </c>
      <c r="S59" s="48" t="str">
        <f t="shared" si="21"/>
        <v/>
      </c>
      <c r="T59" s="49" t="str">
        <f t="shared" si="17"/>
        <v/>
      </c>
      <c r="U59" s="187" t="str">
        <f t="shared" si="18"/>
        <v/>
      </c>
      <c r="V59" s="184" t="str">
        <f>IF($E59=0,"",IF(STIG_Metrics!L59=60,0,($E59/STIG_Metrics!L59)/24))</f>
        <v/>
      </c>
      <c r="W59" s="50" t="str">
        <f>IF($E59=0,"",IF(STIG_Metrics!M59=60,0,($E59/STIG_Metrics!M59)/24))</f>
        <v/>
      </c>
      <c r="X59" s="50" t="str">
        <f>IF($E59=0,"",IF(STIG_Metrics!N59=60,0,($E59/STIG_Metrics!N59)/24))</f>
        <v/>
      </c>
      <c r="Y59" s="50" t="str">
        <f t="shared" si="19"/>
        <v/>
      </c>
      <c r="Z59" s="51" t="str">
        <f>IF($E59=0,"",$E59/STIG_Metrics!L59)</f>
        <v/>
      </c>
      <c r="AA59" s="51" t="str">
        <f>IF($E59=0,"",$E59/STIG_Metrics!M59)</f>
        <v/>
      </c>
      <c r="AB59" s="51" t="str">
        <f>IF($E59=0,"",$E59/STIG_Metrics!N59)</f>
        <v/>
      </c>
      <c r="AC59" s="148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94"/>
    </row>
    <row r="60" spans="2:42" ht="15" customHeight="1">
      <c r="B60" s="57"/>
      <c r="C60" s="148"/>
      <c r="D60" s="195" t="str">
        <f>(STIG_Metrics!A60)</f>
        <v>Microsoft Skype for Business 2016</v>
      </c>
      <c r="E60" s="162">
        <v>1</v>
      </c>
      <c r="F60" s="164"/>
      <c r="G60" s="45">
        <f>IF($E60=0,"",(STIG_Metrics!D60)*$E60)</f>
        <v>3</v>
      </c>
      <c r="H60" s="45">
        <f>IF($E60=0,"",(STIG_Metrics!E60)*$E60)</f>
        <v>0</v>
      </c>
      <c r="I60" s="212">
        <f>IF($E60=0,"",(STIG_Metrics!G60)*$E60)</f>
        <v>3</v>
      </c>
      <c r="J60" s="215">
        <f>IF($E60=0,"",(STIG_Metrics!D60-STIG_Metrics!E60)*$E60)</f>
        <v>3</v>
      </c>
      <c r="K60" s="45">
        <f>IF($E60=0,"",(STIG_Metrics!D60-STIG_Metrics!G60)*$E60)</f>
        <v>0</v>
      </c>
      <c r="L60" s="46" t="str">
        <f t="shared" si="13"/>
        <v>0 Days 0 Hrs</v>
      </c>
      <c r="M60" s="46" t="str">
        <f t="shared" si="14"/>
        <v>0 Days 0 Hrs</v>
      </c>
      <c r="N60" s="46" t="str">
        <f t="shared" si="15"/>
        <v>0 Days 0 Hrs</v>
      </c>
      <c r="O60" s="47">
        <f>IF($E60=0,"",STIG_Metrics!O60)</f>
        <v>0</v>
      </c>
      <c r="P60" s="47">
        <f>IF($E60=0,"",STIG_Metrics!P60)</f>
        <v>12.5</v>
      </c>
      <c r="Q60" s="48">
        <f t="shared" si="16"/>
        <v>22.5</v>
      </c>
      <c r="R60" s="48">
        <f t="shared" si="20"/>
        <v>22.5</v>
      </c>
      <c r="S60" s="48">
        <f t="shared" si="21"/>
        <v>0</v>
      </c>
      <c r="T60" s="49">
        <f t="shared" si="17"/>
        <v>0.89999999999999991</v>
      </c>
      <c r="U60" s="187">
        <f t="shared" si="18"/>
        <v>89.999999999999986</v>
      </c>
      <c r="V60" s="184">
        <f>IF($E60=0,"",IF(STIG_Metrics!L60=60,0,($E60/STIG_Metrics!L60)/24))</f>
        <v>9.3749999999999997E-3</v>
      </c>
      <c r="W60" s="50">
        <f>IF($E60=0,"",IF(STIG_Metrics!M60=60,0,($E60/STIG_Metrics!M60)/24))</f>
        <v>9.3749999999999997E-3</v>
      </c>
      <c r="X60" s="50">
        <f>IF($E60=0,"",IF(STIG_Metrics!N60=60,0,($E60/STIG_Metrics!N60)/24))</f>
        <v>0</v>
      </c>
      <c r="Y60" s="50">
        <f t="shared" si="19"/>
        <v>9.3749999999999997E-3</v>
      </c>
      <c r="Z60" s="51">
        <f>IF($E60=0,"",$E60/STIG_Metrics!L60)</f>
        <v>0.22499999999999998</v>
      </c>
      <c r="AA60" s="51">
        <f>IF($E60=0,"",$E60/STIG_Metrics!M60)</f>
        <v>0.22499999999999998</v>
      </c>
      <c r="AB60" s="51">
        <f>IF($E60=0,"",$E60/STIG_Metrics!N60)</f>
        <v>1.6666666666666666E-2</v>
      </c>
      <c r="AC60" s="148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94"/>
    </row>
    <row r="61" spans="2:42" ht="15" customHeight="1">
      <c r="B61" s="57"/>
      <c r="C61" s="148"/>
      <c r="D61" s="195" t="str">
        <f>(STIG_Metrics!A61)</f>
        <v>Microsoft SQL Server 2014 Database</v>
      </c>
      <c r="E61" s="162">
        <v>27</v>
      </c>
      <c r="F61" s="164"/>
      <c r="G61" s="45">
        <f>IF($E61=0,"",(STIG_Metrics!D61)*$E61)</f>
        <v>1134</v>
      </c>
      <c r="H61" s="45">
        <f>IF($E61=0,"",(STIG_Metrics!E61)*$E61)</f>
        <v>0</v>
      </c>
      <c r="I61" s="212">
        <f>IF($E61=0,"",(STIG_Metrics!G61)*$E61)</f>
        <v>594</v>
      </c>
      <c r="J61" s="215">
        <f>IF($E61=0,"",(STIG_Metrics!D61-STIG_Metrics!E61)*$E61)</f>
        <v>1134</v>
      </c>
      <c r="K61" s="45">
        <f>IF($E61=0,"",(STIG_Metrics!D61-STIG_Metrics!G61)*$E61)</f>
        <v>540</v>
      </c>
      <c r="L61" s="46" t="str">
        <f t="shared" si="13"/>
        <v>10 Days 5 Hrs</v>
      </c>
      <c r="M61" s="46" t="str">
        <f t="shared" si="14"/>
        <v>10 Days 5 Hrs</v>
      </c>
      <c r="N61" s="46" t="str">
        <f t="shared" si="15"/>
        <v>5 Days 0 Hrs</v>
      </c>
      <c r="O61" s="47">
        <f>IF($E61=0,"",STIG_Metrics!O61)</f>
        <v>0</v>
      </c>
      <c r="P61" s="47">
        <f>IF($E61=0,"",STIG_Metrics!P61)</f>
        <v>1.1000000000000001</v>
      </c>
      <c r="Q61" s="48">
        <f t="shared" si="16"/>
        <v>8505</v>
      </c>
      <c r="R61" s="48">
        <f t="shared" si="20"/>
        <v>8505</v>
      </c>
      <c r="S61" s="48">
        <f t="shared" si="21"/>
        <v>4050</v>
      </c>
      <c r="T61" s="49">
        <f t="shared" si="17"/>
        <v>178.20000000000005</v>
      </c>
      <c r="U61" s="187">
        <f t="shared" si="18"/>
        <v>17820.000000000004</v>
      </c>
      <c r="V61" s="184">
        <f>IF($E61=0,"",IF(STIG_Metrics!L61=60,0,($E61/STIG_Metrics!L61)/24))</f>
        <v>3.5437500000000006</v>
      </c>
      <c r="W61" s="50">
        <f>IF($E61=0,"",IF(STIG_Metrics!M61=60,0,($E61/STIG_Metrics!M61)/24))</f>
        <v>3.5437500000000006</v>
      </c>
      <c r="X61" s="50">
        <f>IF($E61=0,"",IF(STIG_Metrics!N61=60,0,($E61/STIG_Metrics!N61)/24))</f>
        <v>1.6875</v>
      </c>
      <c r="Y61" s="50">
        <f t="shared" si="19"/>
        <v>1.8562500000000006</v>
      </c>
      <c r="Z61" s="51">
        <f>IF($E61=0,"",$E61/STIG_Metrics!L61)</f>
        <v>85.050000000000011</v>
      </c>
      <c r="AA61" s="51">
        <f>IF($E61=0,"",$E61/STIG_Metrics!M61)</f>
        <v>85.050000000000011</v>
      </c>
      <c r="AB61" s="51">
        <f>IF($E61=0,"",$E61/STIG_Metrics!N61)</f>
        <v>40.5</v>
      </c>
      <c r="AC61" s="148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94"/>
    </row>
    <row r="62" spans="2:42" ht="15" customHeight="1">
      <c r="B62" s="57"/>
      <c r="C62" s="148"/>
      <c r="D62" s="195" t="str">
        <f>(STIG_Metrics!A62)</f>
        <v>Microsoft SQL Server 2014 Instance</v>
      </c>
      <c r="E62" s="162">
        <v>2</v>
      </c>
      <c r="F62" s="164"/>
      <c r="G62" s="45">
        <f>IF($E62=0,"",(STIG_Metrics!D62)*$E62)</f>
        <v>184</v>
      </c>
      <c r="H62" s="45">
        <f>IF($E62=0,"",(STIG_Metrics!E62)*$E62)</f>
        <v>0</v>
      </c>
      <c r="I62" s="212">
        <f>IF($E62=0,"",(STIG_Metrics!G62)*$E62)</f>
        <v>102</v>
      </c>
      <c r="J62" s="215">
        <f>IF($E62=0,"",(STIG_Metrics!D62-STIG_Metrics!E62)*$E62)</f>
        <v>184</v>
      </c>
      <c r="K62" s="45">
        <f>IF($E62=0,"",(STIG_Metrics!D62-STIG_Metrics!G62)*$E62)</f>
        <v>82</v>
      </c>
      <c r="L62" s="46" t="str">
        <f t="shared" si="13"/>
        <v>1 Days 5 Hrs</v>
      </c>
      <c r="M62" s="46" t="str">
        <f t="shared" si="14"/>
        <v>1 Days 5 Hrs</v>
      </c>
      <c r="N62" s="46" t="str">
        <f t="shared" si="15"/>
        <v>0 Days 6 Hrs</v>
      </c>
      <c r="O62" s="47">
        <f>IF($E62=0,"",STIG_Metrics!O62)</f>
        <v>0</v>
      </c>
      <c r="P62" s="47">
        <f>IF($E62=0,"",STIG_Metrics!P62)</f>
        <v>1.24390243902439</v>
      </c>
      <c r="Q62" s="48">
        <f t="shared" si="16"/>
        <v>1380</v>
      </c>
      <c r="R62" s="48">
        <f t="shared" si="20"/>
        <v>1380</v>
      </c>
      <c r="S62" s="48">
        <f t="shared" si="21"/>
        <v>615</v>
      </c>
      <c r="T62" s="49">
        <f t="shared" si="17"/>
        <v>30.599999999999994</v>
      </c>
      <c r="U62" s="187">
        <f t="shared" si="18"/>
        <v>3059.9999999999995</v>
      </c>
      <c r="V62" s="184">
        <f>IF($E62=0,"",IF(STIG_Metrics!L62=60,0,($E62/STIG_Metrics!L62)/24))</f>
        <v>0.57499999999999996</v>
      </c>
      <c r="W62" s="50">
        <f>IF($E62=0,"",IF(STIG_Metrics!M62=60,0,($E62/STIG_Metrics!M62)/24))</f>
        <v>0.57499999999999996</v>
      </c>
      <c r="X62" s="50">
        <f>IF($E62=0,"",IF(STIG_Metrics!N62=60,0,($E62/STIG_Metrics!N62)/24))</f>
        <v>0.25625000000000003</v>
      </c>
      <c r="Y62" s="50">
        <f t="shared" si="19"/>
        <v>0.31874999999999992</v>
      </c>
      <c r="Z62" s="51">
        <f>IF($E62=0,"",$E62/STIG_Metrics!L62)</f>
        <v>13.799999999999999</v>
      </c>
      <c r="AA62" s="51">
        <f>IF($E62=0,"",$E62/STIG_Metrics!M62)</f>
        <v>13.799999999999999</v>
      </c>
      <c r="AB62" s="51">
        <f>IF($E62=0,"",$E62/STIG_Metrics!N62)</f>
        <v>6.15</v>
      </c>
      <c r="AC62" s="148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94"/>
    </row>
    <row r="63" spans="2:42" ht="15" customHeight="1">
      <c r="B63" s="57"/>
      <c r="C63" s="148"/>
      <c r="D63" s="195" t="str">
        <f>(STIG_Metrics!A63)</f>
        <v>Microsoft SQL Server 2016 Database</v>
      </c>
      <c r="E63" s="162">
        <v>210</v>
      </c>
      <c r="F63" s="164"/>
      <c r="G63" s="45">
        <f>IF($E63=0,"",(STIG_Metrics!D63)*$E63)</f>
        <v>5880</v>
      </c>
      <c r="H63" s="45">
        <f>IF($E63=0,"",(STIG_Metrics!E63)*$E63)</f>
        <v>0</v>
      </c>
      <c r="I63" s="212">
        <f>IF($E63=0,"",(STIG_Metrics!G63)*$E63)</f>
        <v>3570</v>
      </c>
      <c r="J63" s="215">
        <f>IF($E63=0,"",(STIG_Metrics!D63-STIG_Metrics!E63)*$E63)</f>
        <v>5880</v>
      </c>
      <c r="K63" s="45">
        <f>IF($E63=0,"",(STIG_Metrics!D63-STIG_Metrics!G63)*$E63)</f>
        <v>2310</v>
      </c>
      <c r="L63" s="46" t="str">
        <f t="shared" si="13"/>
        <v>55 Days 1 Hrs</v>
      </c>
      <c r="M63" s="46" t="str">
        <f t="shared" si="14"/>
        <v>55 Days 1 Hrs</v>
      </c>
      <c r="N63" s="46" t="str">
        <f t="shared" si="15"/>
        <v>21 Days 5 Hrs</v>
      </c>
      <c r="O63" s="47">
        <f>IF($E63=0,"",STIG_Metrics!O63)</f>
        <v>0</v>
      </c>
      <c r="P63" s="47">
        <f>IF($E63=0,"",STIG_Metrics!P63)</f>
        <v>1.5454545454545456</v>
      </c>
      <c r="Q63" s="48">
        <f t="shared" si="16"/>
        <v>44100</v>
      </c>
      <c r="R63" s="48">
        <f t="shared" si="20"/>
        <v>44100</v>
      </c>
      <c r="S63" s="48">
        <f t="shared" si="21"/>
        <v>17325</v>
      </c>
      <c r="T63" s="49">
        <f t="shared" si="17"/>
        <v>1071</v>
      </c>
      <c r="U63" s="187">
        <f t="shared" si="18"/>
        <v>107100</v>
      </c>
      <c r="V63" s="184">
        <f>IF($E63=0,"",IF(STIG_Metrics!L63=60,0,($E63/STIG_Metrics!L63)/24))</f>
        <v>18.375</v>
      </c>
      <c r="W63" s="50">
        <f>IF($E63=0,"",IF(STIG_Metrics!M63=60,0,($E63/STIG_Metrics!M63)/24))</f>
        <v>18.375</v>
      </c>
      <c r="X63" s="50">
        <f>IF($E63=0,"",IF(STIG_Metrics!N63=60,0,($E63/STIG_Metrics!N63)/24))</f>
        <v>7.21875</v>
      </c>
      <c r="Y63" s="50">
        <f t="shared" si="19"/>
        <v>11.15625</v>
      </c>
      <c r="Z63" s="51">
        <f>IF($E63=0,"",$E63/STIG_Metrics!L63)</f>
        <v>441</v>
      </c>
      <c r="AA63" s="51">
        <f>IF($E63=0,"",$E63/STIG_Metrics!M63)</f>
        <v>441</v>
      </c>
      <c r="AB63" s="51">
        <f>IF($E63=0,"",$E63/STIG_Metrics!N63)</f>
        <v>173.25</v>
      </c>
      <c r="AC63" s="148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94"/>
    </row>
    <row r="64" spans="2:42" ht="15" customHeight="1">
      <c r="B64" s="57"/>
      <c r="C64" s="148"/>
      <c r="D64" s="195" t="str">
        <f>(STIG_Metrics!A64)</f>
        <v>Microsoft SQL Server 2016 Instance</v>
      </c>
      <c r="E64" s="162">
        <v>32</v>
      </c>
      <c r="F64" s="164"/>
      <c r="G64" s="45">
        <f>IF($E64=0,"",(STIG_Metrics!D64)*$E64)</f>
        <v>3264</v>
      </c>
      <c r="H64" s="45">
        <f>IF($E64=0,"",(STIG_Metrics!E64)*$E64)</f>
        <v>0</v>
      </c>
      <c r="I64" s="212">
        <f>IF($E64=0,"",(STIG_Metrics!G64)*$E64)</f>
        <v>2624</v>
      </c>
      <c r="J64" s="215">
        <f>IF($E64=0,"",(STIG_Metrics!D64-STIG_Metrics!E64)*$E64)</f>
        <v>3264</v>
      </c>
      <c r="K64" s="45">
        <f>IF($E64=0,"",(STIG_Metrics!D64-STIG_Metrics!G64)*$E64)</f>
        <v>640</v>
      </c>
      <c r="L64" s="46" t="str">
        <f t="shared" si="13"/>
        <v>30 Days 4 Hrs</v>
      </c>
      <c r="M64" s="46" t="str">
        <f t="shared" si="14"/>
        <v>30 Days 4 Hrs</v>
      </c>
      <c r="N64" s="46" t="str">
        <f t="shared" si="15"/>
        <v>6 Days 0 Hrs</v>
      </c>
      <c r="O64" s="47">
        <f>IF($E64=0,"",STIG_Metrics!O64)</f>
        <v>0</v>
      </c>
      <c r="P64" s="47">
        <f>IF($E64=0,"",STIG_Metrics!P64)</f>
        <v>4.0999999999999996</v>
      </c>
      <c r="Q64" s="48">
        <f t="shared" si="16"/>
        <v>24480</v>
      </c>
      <c r="R64" s="48">
        <f t="shared" si="20"/>
        <v>24480</v>
      </c>
      <c r="S64" s="48">
        <f t="shared" si="21"/>
        <v>4800</v>
      </c>
      <c r="T64" s="49">
        <f t="shared" si="17"/>
        <v>787.19999999999993</v>
      </c>
      <c r="U64" s="187">
        <f t="shared" si="18"/>
        <v>78720</v>
      </c>
      <c r="V64" s="184">
        <f>IF($E64=0,"",IF(STIG_Metrics!L64=60,0,($E64/STIG_Metrics!L64)/24))</f>
        <v>10.199999999999999</v>
      </c>
      <c r="W64" s="50">
        <f>IF($E64=0,"",IF(STIG_Metrics!M64=60,0,($E64/STIG_Metrics!M64)/24))</f>
        <v>10.199999999999999</v>
      </c>
      <c r="X64" s="50">
        <f>IF($E64=0,"",IF(STIG_Metrics!N64=60,0,($E64/STIG_Metrics!N64)/24))</f>
        <v>2</v>
      </c>
      <c r="Y64" s="50">
        <f t="shared" si="19"/>
        <v>8.1999999999999993</v>
      </c>
      <c r="Z64" s="51">
        <f>IF($E64=0,"",$E64/STIG_Metrics!L64)</f>
        <v>244.79999999999998</v>
      </c>
      <c r="AA64" s="51">
        <f>IF($E64=0,"",$E64/STIG_Metrics!M64)</f>
        <v>244.79999999999998</v>
      </c>
      <c r="AB64" s="51">
        <f>IF($E64=0,"",$E64/STIG_Metrics!N64)</f>
        <v>48</v>
      </c>
      <c r="AC64" s="148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94"/>
    </row>
    <row r="65" spans="2:42" ht="15" customHeight="1">
      <c r="B65" s="57"/>
      <c r="C65" s="148"/>
      <c r="D65" s="195" t="str">
        <f>(STIG_Metrics!A65)</f>
        <v>Microsoft Visio 2013</v>
      </c>
      <c r="E65" s="162">
        <v>0</v>
      </c>
      <c r="F65" s="164"/>
      <c r="G65" s="45" t="str">
        <f>IF($E65=0,"",(STIG_Metrics!D65)*$E65)</f>
        <v/>
      </c>
      <c r="H65" s="45" t="str">
        <f>IF($E65=0,"",(STIG_Metrics!E65)*$E65)</f>
        <v/>
      </c>
      <c r="I65" s="212" t="str">
        <f>IF($E65=0,"",(STIG_Metrics!G65)*$E65)</f>
        <v/>
      </c>
      <c r="J65" s="215" t="str">
        <f>IF($E65=0,"",(STIG_Metrics!D65-STIG_Metrics!E65)*$E65)</f>
        <v/>
      </c>
      <c r="K65" s="45" t="str">
        <f>IF($E65=0,"",(STIG_Metrics!D65-STIG_Metrics!G65)*$E65)</f>
        <v/>
      </c>
      <c r="L65" s="46" t="str">
        <f t="shared" si="13"/>
        <v/>
      </c>
      <c r="M65" s="46" t="str">
        <f t="shared" si="14"/>
        <v/>
      </c>
      <c r="N65" s="46" t="str">
        <f t="shared" si="15"/>
        <v/>
      </c>
      <c r="O65" s="47" t="str">
        <f>IF($E65=0,"",STIG_Metrics!O65)</f>
        <v/>
      </c>
      <c r="P65" s="47" t="str">
        <f>IF($E65=0,"",STIG_Metrics!P65)</f>
        <v/>
      </c>
      <c r="Q65" s="48" t="str">
        <f t="shared" si="16"/>
        <v/>
      </c>
      <c r="R65" s="48" t="str">
        <f t="shared" si="20"/>
        <v/>
      </c>
      <c r="S65" s="48" t="str">
        <f t="shared" si="21"/>
        <v/>
      </c>
      <c r="T65" s="49" t="str">
        <f t="shared" si="17"/>
        <v/>
      </c>
      <c r="U65" s="187" t="str">
        <f t="shared" si="18"/>
        <v/>
      </c>
      <c r="V65" s="184" t="str">
        <f>IF($E65=0,"",IF(STIG_Metrics!L65=60,0,($E65/STIG_Metrics!L65)/24))</f>
        <v/>
      </c>
      <c r="W65" s="50" t="str">
        <f>IF($E65=0,"",IF(STIG_Metrics!M65=60,0,($E65/STIG_Metrics!M65)/24))</f>
        <v/>
      </c>
      <c r="X65" s="50" t="str">
        <f>IF($E65=0,"",IF(STIG_Metrics!N65=60,0,($E65/STIG_Metrics!N65)/24))</f>
        <v/>
      </c>
      <c r="Y65" s="50" t="str">
        <f t="shared" si="19"/>
        <v/>
      </c>
      <c r="Z65" s="51" t="str">
        <f>IF($E65=0,"",$E65/STIG_Metrics!L65)</f>
        <v/>
      </c>
      <c r="AA65" s="51" t="str">
        <f>IF($E65=0,"",$E65/STIG_Metrics!M65)</f>
        <v/>
      </c>
      <c r="AB65" s="51" t="str">
        <f>IF($E65=0,"",$E65/STIG_Metrics!N65)</f>
        <v/>
      </c>
      <c r="AC65" s="147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94"/>
    </row>
    <row r="66" spans="2:42" ht="15" customHeight="1">
      <c r="B66" s="57"/>
      <c r="C66" s="148"/>
      <c r="D66" s="195" t="str">
        <f>(STIG_Metrics!A66)</f>
        <v>Microsoft Visio 2016</v>
      </c>
      <c r="E66" s="162">
        <v>55</v>
      </c>
      <c r="F66" s="164"/>
      <c r="G66" s="45">
        <f>IF($E66=0,"",(STIG_Metrics!D66)*$E66)</f>
        <v>715</v>
      </c>
      <c r="H66" s="45">
        <f>IF($E66=0,"",(STIG_Metrics!E66)*$E66)</f>
        <v>0</v>
      </c>
      <c r="I66" s="212">
        <f>IF($E66=0,"",(STIG_Metrics!G66)*$E66)</f>
        <v>715</v>
      </c>
      <c r="J66" s="215">
        <f>IF($E66=0,"",(STIG_Metrics!D66-STIG_Metrics!E66)*$E66)</f>
        <v>715</v>
      </c>
      <c r="K66" s="45">
        <f>IF($E66=0,"",(STIG_Metrics!D66-STIG_Metrics!G66)*$E66)</f>
        <v>0</v>
      </c>
      <c r="L66" s="46" t="str">
        <f t="shared" si="13"/>
        <v>6 Days 5 Hrs</v>
      </c>
      <c r="M66" s="46" t="str">
        <f t="shared" si="14"/>
        <v>6 Days 5 Hrs</v>
      </c>
      <c r="N66" s="46" t="str">
        <f t="shared" si="15"/>
        <v>0 Days 0 Hrs</v>
      </c>
      <c r="O66" s="47">
        <f>IF($E66=0,"",STIG_Metrics!O66)</f>
        <v>0</v>
      </c>
      <c r="P66" s="47">
        <f>IF($E66=0,"",STIG_Metrics!P66)</f>
        <v>57.500000000000007</v>
      </c>
      <c r="Q66" s="48">
        <f t="shared" si="16"/>
        <v>5362.5</v>
      </c>
      <c r="R66" s="48">
        <f t="shared" si="20"/>
        <v>5362.5</v>
      </c>
      <c r="S66" s="48">
        <f t="shared" si="21"/>
        <v>0</v>
      </c>
      <c r="T66" s="49">
        <f t="shared" si="17"/>
        <v>214.50000000000006</v>
      </c>
      <c r="U66" s="187">
        <f t="shared" si="18"/>
        <v>21450.000000000007</v>
      </c>
      <c r="V66" s="184">
        <f>IF($E66=0,"",IF(STIG_Metrics!L66=60,0,($E66/STIG_Metrics!L66)/24))</f>
        <v>2.2343750000000004</v>
      </c>
      <c r="W66" s="50">
        <f>IF($E66=0,"",IF(STIG_Metrics!M66=60,0,($E66/STIG_Metrics!M66)/24))</f>
        <v>2.2343750000000004</v>
      </c>
      <c r="X66" s="50">
        <f>IF($E66=0,"",IF(STIG_Metrics!N66=60,0,($E66/STIG_Metrics!N66)/24))</f>
        <v>0</v>
      </c>
      <c r="Y66" s="50">
        <f t="shared" si="19"/>
        <v>2.2343750000000004</v>
      </c>
      <c r="Z66" s="51">
        <f>IF($E66=0,"",$E66/STIG_Metrics!L66)</f>
        <v>53.625000000000007</v>
      </c>
      <c r="AA66" s="51">
        <f>IF($E66=0,"",$E66/STIG_Metrics!M66)</f>
        <v>53.625000000000007</v>
      </c>
      <c r="AB66" s="51">
        <f>IF($E66=0,"",$E66/STIG_Metrics!N66)</f>
        <v>0.91666666666666663</v>
      </c>
      <c r="AC66" s="147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94"/>
    </row>
    <row r="67" spans="2:42" ht="15" customHeight="1">
      <c r="B67" s="57"/>
      <c r="C67" s="148"/>
      <c r="D67" s="195" t="str">
        <f>(STIG_Metrics!A67)</f>
        <v>Microsoft Word 2013</v>
      </c>
      <c r="E67" s="162">
        <v>0</v>
      </c>
      <c r="F67" s="164"/>
      <c r="G67" s="45" t="str">
        <f>IF($E67=0,"",(STIG_Metrics!D67)*$E67)</f>
        <v/>
      </c>
      <c r="H67" s="45" t="str">
        <f>IF($E67=0,"",(STIG_Metrics!E67)*$E67)</f>
        <v/>
      </c>
      <c r="I67" s="212" t="str">
        <f>IF($E67=0,"",(STIG_Metrics!G67)*$E67)</f>
        <v/>
      </c>
      <c r="J67" s="215" t="str">
        <f>IF($E67=0,"",(STIG_Metrics!D67-STIG_Metrics!E67)*$E67)</f>
        <v/>
      </c>
      <c r="K67" s="45" t="str">
        <f>IF($E67=0,"",(STIG_Metrics!D67-STIG_Metrics!G67)*$E67)</f>
        <v/>
      </c>
      <c r="L67" s="46" t="str">
        <f t="shared" si="13"/>
        <v/>
      </c>
      <c r="M67" s="46" t="str">
        <f t="shared" si="14"/>
        <v/>
      </c>
      <c r="N67" s="46" t="str">
        <f t="shared" si="15"/>
        <v/>
      </c>
      <c r="O67" s="47" t="str">
        <f>IF($E67=0,"",STIG_Metrics!O67)</f>
        <v/>
      </c>
      <c r="P67" s="47" t="str">
        <f>IF($E67=0,"",STIG_Metrics!P67)</f>
        <v/>
      </c>
      <c r="Q67" s="48" t="str">
        <f t="shared" si="16"/>
        <v/>
      </c>
      <c r="R67" s="48" t="str">
        <f t="shared" si="20"/>
        <v/>
      </c>
      <c r="S67" s="48" t="str">
        <f t="shared" si="21"/>
        <v/>
      </c>
      <c r="T67" s="49" t="str">
        <f t="shared" si="17"/>
        <v/>
      </c>
      <c r="U67" s="187" t="str">
        <f t="shared" si="18"/>
        <v/>
      </c>
      <c r="V67" s="184" t="str">
        <f>IF($E67=0,"",IF(STIG_Metrics!L67=60,0,($E67/STIG_Metrics!L67)/24))</f>
        <v/>
      </c>
      <c r="W67" s="50" t="str">
        <f>IF($E67=0,"",IF(STIG_Metrics!M67=60,0,($E67/STIG_Metrics!M67)/24))</f>
        <v/>
      </c>
      <c r="X67" s="50" t="str">
        <f>IF($E67=0,"",IF(STIG_Metrics!N67=60,0,($E67/STIG_Metrics!N67)/24))</f>
        <v/>
      </c>
      <c r="Y67" s="50" t="str">
        <f t="shared" si="19"/>
        <v/>
      </c>
      <c r="Z67" s="51" t="str">
        <f>IF($E67=0,"",$E67/STIG_Metrics!L67)</f>
        <v/>
      </c>
      <c r="AA67" s="51" t="str">
        <f>IF($E67=0,"",$E67/STIG_Metrics!M67)</f>
        <v/>
      </c>
      <c r="AB67" s="51" t="str">
        <f>IF($E67=0,"",$E67/STIG_Metrics!N67)</f>
        <v/>
      </c>
      <c r="AC67" s="147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94"/>
    </row>
    <row r="68" spans="2:42" ht="15" customHeight="1">
      <c r="B68" s="57"/>
      <c r="C68" s="148"/>
      <c r="D68" s="195" t="str">
        <f>(STIG_Metrics!A68)</f>
        <v>Microsoft Word 2016</v>
      </c>
      <c r="E68" s="162">
        <v>812</v>
      </c>
      <c r="F68" s="164"/>
      <c r="G68" s="45">
        <f>IF($E68=0,"",(STIG_Metrics!D68)*$E68)</f>
        <v>27608</v>
      </c>
      <c r="H68" s="45">
        <f>IF($E68=0,"",(STIG_Metrics!E68)*$E68)</f>
        <v>0</v>
      </c>
      <c r="I68" s="212">
        <f>IF($E68=0,"",(STIG_Metrics!G68)*$E68)</f>
        <v>27608</v>
      </c>
      <c r="J68" s="215">
        <f>IF($E68=0,"",(STIG_Metrics!D68-STIG_Metrics!E68)*$E68)</f>
        <v>27608</v>
      </c>
      <c r="K68" s="45">
        <f>IF($E68=0,"",(STIG_Metrics!D68-STIG_Metrics!G68)*$E68)</f>
        <v>0</v>
      </c>
      <c r="L68" s="46" t="str">
        <f t="shared" si="13"/>
        <v>258 Days 6 Hrs</v>
      </c>
      <c r="M68" s="46" t="str">
        <f t="shared" si="14"/>
        <v>258 Days 6 Hrs</v>
      </c>
      <c r="N68" s="46" t="str">
        <f t="shared" si="15"/>
        <v>0 Days 0 Hrs</v>
      </c>
      <c r="O68" s="47">
        <f>IF($E68=0,"",STIG_Metrics!O68)</f>
        <v>0</v>
      </c>
      <c r="P68" s="47">
        <f>IF($E68=0,"",STIG_Metrics!P68)</f>
        <v>152</v>
      </c>
      <c r="Q68" s="48">
        <f t="shared" si="16"/>
        <v>207060</v>
      </c>
      <c r="R68" s="48">
        <f>IF($E68=0,"",((J68*$E$8/60)*$E$7))</f>
        <v>207060</v>
      </c>
      <c r="S68" s="48">
        <f>IF($E68=0,"",((K68*$E$8/60)*$E$7))</f>
        <v>0</v>
      </c>
      <c r="T68" s="49">
        <f t="shared" si="17"/>
        <v>8282.4</v>
      </c>
      <c r="U68" s="187">
        <f t="shared" si="18"/>
        <v>828240</v>
      </c>
      <c r="V68" s="184">
        <f>IF($E68=0,"",IF(STIG_Metrics!L68=60,0,($E68/STIG_Metrics!L68)/24))</f>
        <v>86.274999999999991</v>
      </c>
      <c r="W68" s="52">
        <f>IF($E68=0,"",IF(STIG_Metrics!M68=60,0,($E68/STIG_Metrics!M68)/24))</f>
        <v>86.274999999999991</v>
      </c>
      <c r="X68" s="52">
        <f>IF($E68=0,"",IF(STIG_Metrics!N68=60,0,($E68/STIG_Metrics!N68)/24))</f>
        <v>0</v>
      </c>
      <c r="Y68" s="52">
        <f t="shared" si="19"/>
        <v>86.274999999999991</v>
      </c>
      <c r="Z68" s="53">
        <f>IF($E68=0,"",$E68/STIG_Metrics!L68)</f>
        <v>2070.6</v>
      </c>
      <c r="AA68" s="53">
        <f>IF($E68=0,"",$E68/STIG_Metrics!M68)</f>
        <v>2070.6</v>
      </c>
      <c r="AB68" s="53">
        <f>IF($E68=0,"",$E68/STIG_Metrics!N68)</f>
        <v>13.533333333333333</v>
      </c>
      <c r="AC68" s="147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94"/>
    </row>
    <row r="69" spans="2:42" ht="15" customHeight="1">
      <c r="B69" s="57"/>
      <c r="C69" s="148"/>
      <c r="D69" s="195" t="str">
        <f>(STIG_Metrics!A69)</f>
        <v>Mozilla Firefox</v>
      </c>
      <c r="E69" s="162">
        <v>800</v>
      </c>
      <c r="F69" s="164"/>
      <c r="G69" s="45">
        <f>IF($E69=0,"",(STIG_Metrics!D69)*$E69)</f>
        <v>27200</v>
      </c>
      <c r="H69" s="45">
        <f>IF($E69=0,"",(STIG_Metrics!E69)*$E69)</f>
        <v>18400</v>
      </c>
      <c r="I69" s="212">
        <f>IF($E69=0,"",(STIG_Metrics!G69)*$E69)</f>
        <v>26400</v>
      </c>
      <c r="J69" s="215">
        <f>IF($E69=0,"",(STIG_Metrics!D69-STIG_Metrics!E69)*$E69)</f>
        <v>8800</v>
      </c>
      <c r="K69" s="45">
        <f>IF($E69=0,"",(STIG_Metrics!D69-STIG_Metrics!G69)*$E69)</f>
        <v>800</v>
      </c>
      <c r="L69" s="46" t="str">
        <f t="shared" si="13"/>
        <v>255 Days 0 Hrs</v>
      </c>
      <c r="M69" s="46" t="str">
        <f t="shared" si="14"/>
        <v>82 Days 4 Hrs</v>
      </c>
      <c r="N69" s="46" t="str">
        <f t="shared" si="15"/>
        <v>7 Days 4 Hrs</v>
      </c>
      <c r="O69" s="47">
        <f>IF($E69=0,"",STIG_Metrics!O69)</f>
        <v>2.0909090909090913</v>
      </c>
      <c r="P69" s="47">
        <f>IF($E69=0,"",STIG_Metrics!P69)</f>
        <v>33</v>
      </c>
      <c r="Q69" s="48">
        <f t="shared" si="16"/>
        <v>204000</v>
      </c>
      <c r="R69" s="48">
        <f t="shared" si="20"/>
        <v>66000</v>
      </c>
      <c r="S69" s="48">
        <f t="shared" si="21"/>
        <v>6000</v>
      </c>
      <c r="T69" s="49">
        <f t="shared" si="17"/>
        <v>2400</v>
      </c>
      <c r="U69" s="187">
        <f t="shared" si="18"/>
        <v>240000</v>
      </c>
      <c r="V69" s="184">
        <f>IF($E69=0,"",IF(STIG_Metrics!L69=60,0,($E69/STIG_Metrics!L69)/24))</f>
        <v>85</v>
      </c>
      <c r="W69" s="50">
        <f>IF($E69=0,"",IF(STIG_Metrics!M69=60,0,($E69/STIG_Metrics!M69)/24))</f>
        <v>27.5</v>
      </c>
      <c r="X69" s="50">
        <f>IF($E69=0,"",IF(STIG_Metrics!N69=60,0,($E69/STIG_Metrics!N69)/24))</f>
        <v>2.5</v>
      </c>
      <c r="Y69" s="50">
        <f t="shared" si="19"/>
        <v>25</v>
      </c>
      <c r="Z69" s="51">
        <f>IF($E69=0,"",$E69/STIG_Metrics!L69)</f>
        <v>2040</v>
      </c>
      <c r="AA69" s="51">
        <f>IF($E69=0,"",$E69/STIG_Metrics!M69)</f>
        <v>660</v>
      </c>
      <c r="AB69" s="51">
        <f>IF($E69=0,"",$E69/STIG_Metrics!N69)</f>
        <v>60</v>
      </c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94"/>
    </row>
    <row r="70" spans="2:42" ht="15" customHeight="1">
      <c r="B70" s="57"/>
      <c r="C70" s="148"/>
      <c r="D70" s="195" t="str">
        <f>(STIG_Metrics!A70)</f>
        <v>Oracle Java JRE 8 for Unix</v>
      </c>
      <c r="E70" s="162">
        <v>0</v>
      </c>
      <c r="F70" s="164"/>
      <c r="G70" s="45" t="str">
        <f>IF($E70=0,"",(STIG_Metrics!D70)*$E70)</f>
        <v/>
      </c>
      <c r="H70" s="45" t="str">
        <f>IF($E70=0,"",(STIG_Metrics!E70)*$E70)</f>
        <v/>
      </c>
      <c r="I70" s="212" t="str">
        <f>IF($E70=0,"",(STIG_Metrics!G70)*$E70)</f>
        <v/>
      </c>
      <c r="J70" s="215" t="str">
        <f>IF($E70=0,"",(STIG_Metrics!D70-STIG_Metrics!E70)*$E70)</f>
        <v/>
      </c>
      <c r="K70" s="45" t="str">
        <f>IF($E70=0,"",(STIG_Metrics!D70-STIG_Metrics!G70)*$E70)</f>
        <v/>
      </c>
      <c r="L70" s="46" t="str">
        <f t="shared" si="13"/>
        <v/>
      </c>
      <c r="M70" s="46" t="str">
        <f t="shared" si="14"/>
        <v/>
      </c>
      <c r="N70" s="46" t="str">
        <f t="shared" si="15"/>
        <v/>
      </c>
      <c r="O70" s="47" t="str">
        <f>IF($E70=0,"",STIG_Metrics!O70)</f>
        <v/>
      </c>
      <c r="P70" s="47" t="str">
        <f>IF($E70=0,"",STIG_Metrics!P70)</f>
        <v/>
      </c>
      <c r="Q70" s="48" t="str">
        <f t="shared" si="16"/>
        <v/>
      </c>
      <c r="R70" s="48" t="str">
        <f>IF($E70=0,"",((J70*$E$8/60)*$E$7))</f>
        <v/>
      </c>
      <c r="S70" s="48" t="str">
        <f>IF($E70=0,"",((K70*$E$8/60)*$E$7))</f>
        <v/>
      </c>
      <c r="T70" s="49" t="str">
        <f t="shared" si="17"/>
        <v/>
      </c>
      <c r="U70" s="187" t="str">
        <f t="shared" si="18"/>
        <v/>
      </c>
      <c r="V70" s="185" t="str">
        <f>IF($E70=0,"",IF(STIG_Metrics!L70=60,0,($E70/STIG_Metrics!L70)/24))</f>
        <v/>
      </c>
      <c r="W70" s="52" t="str">
        <f>IF($E70=0,"",IF(STIG_Metrics!M70=60,0,($E70/STIG_Metrics!M70)/24))</f>
        <v/>
      </c>
      <c r="X70" s="52" t="str">
        <f>IF($E70=0,"",IF(STIG_Metrics!N70=60,0,($E70/STIG_Metrics!N70)/24))</f>
        <v/>
      </c>
      <c r="Y70" s="52" t="str">
        <f t="shared" si="19"/>
        <v/>
      </c>
      <c r="Z70" s="53" t="str">
        <f>IF($E70=0,"",$E70/STIG_Metrics!L70)</f>
        <v/>
      </c>
      <c r="AA70" s="53" t="str">
        <f>IF($E70=0,"",$E70/STIG_Metrics!M70)</f>
        <v/>
      </c>
      <c r="AB70" s="53" t="str">
        <f>IF($E70=0,"",$E70/STIG_Metrics!N70)</f>
        <v/>
      </c>
      <c r="AC70" s="151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94"/>
    </row>
    <row r="71" spans="2:42" ht="15" customHeight="1">
      <c r="B71" s="57"/>
      <c r="C71" s="148"/>
      <c r="D71" s="195" t="str">
        <f>(STIG_Metrics!A71)</f>
        <v>Oracle Java JRE 8 for Windows</v>
      </c>
      <c r="E71" s="162">
        <v>823</v>
      </c>
      <c r="F71" s="164"/>
      <c r="G71" s="45">
        <f>IF($E71=0,"",(STIG_Metrics!D71)*$E71)</f>
        <v>13168</v>
      </c>
      <c r="H71" s="45">
        <f>IF($E71=0,"",(STIG_Metrics!E71)*$E71)</f>
        <v>0</v>
      </c>
      <c r="I71" s="212">
        <f>IF($E71=0,"",(STIG_Metrics!G71)*$E71)</f>
        <v>12345</v>
      </c>
      <c r="J71" s="215">
        <f>IF($E71=0,"",(STIG_Metrics!D71-STIG_Metrics!E71)*$E71)</f>
        <v>13168</v>
      </c>
      <c r="K71" s="45">
        <f>IF($E71=0,"",(STIG_Metrics!D71-STIG_Metrics!G71)*$E71)</f>
        <v>823</v>
      </c>
      <c r="L71" s="46" t="str">
        <f t="shared" si="13"/>
        <v>123 Days 3 Hrs</v>
      </c>
      <c r="M71" s="46" t="str">
        <f t="shared" si="14"/>
        <v>123 Days 3 Hrs</v>
      </c>
      <c r="N71" s="46" t="str">
        <f t="shared" si="15"/>
        <v>7 Days 5 Hrs</v>
      </c>
      <c r="O71" s="47">
        <f>IF($E71=0,"",STIG_Metrics!O71)</f>
        <v>0</v>
      </c>
      <c r="P71" s="47">
        <f>IF($E71=0,"",STIG_Metrics!P71)</f>
        <v>15</v>
      </c>
      <c r="Q71" s="48">
        <f t="shared" si="16"/>
        <v>98760</v>
      </c>
      <c r="R71" s="48">
        <f t="shared" si="20"/>
        <v>98760</v>
      </c>
      <c r="S71" s="48">
        <f t="shared" si="21"/>
        <v>6172.5</v>
      </c>
      <c r="T71" s="49">
        <f t="shared" si="17"/>
        <v>3703.5</v>
      </c>
      <c r="U71" s="187">
        <f t="shared" si="18"/>
        <v>370350</v>
      </c>
      <c r="V71" s="184">
        <f>IF($E71=0,"",IF(STIG_Metrics!L71=60,0,($E71/STIG_Metrics!L71)/24))</f>
        <v>41.15</v>
      </c>
      <c r="W71" s="50">
        <f>IF($E71=0,"",IF(STIG_Metrics!M71=60,0,($E71/STIG_Metrics!M71)/24))</f>
        <v>41.15</v>
      </c>
      <c r="X71" s="50">
        <f>IF($E71=0,"",IF(STIG_Metrics!N71=60,0,($E71/STIG_Metrics!N71)/24))</f>
        <v>2.5718749999999999</v>
      </c>
      <c r="Y71" s="50">
        <f t="shared" si="19"/>
        <v>38.578125</v>
      </c>
      <c r="Z71" s="51">
        <f>IF($E71=0,"",$E71/STIG_Metrics!L71)</f>
        <v>987.59999999999991</v>
      </c>
      <c r="AA71" s="51">
        <f>IF($E71=0,"",$E71/STIG_Metrics!M71)</f>
        <v>987.59999999999991</v>
      </c>
      <c r="AB71" s="51">
        <f>IF($E71=0,"",$E71/STIG_Metrics!N71)</f>
        <v>61.724999999999994</v>
      </c>
      <c r="AC71" s="151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94"/>
    </row>
    <row r="72" spans="2:42" ht="15" customHeight="1">
      <c r="B72" s="57"/>
      <c r="C72" s="148"/>
      <c r="D72" s="195" t="str">
        <f>(STIG_Metrics!A72)</f>
        <v>Oracle Linux 7</v>
      </c>
      <c r="E72" s="162">
        <v>0</v>
      </c>
      <c r="F72" s="164"/>
      <c r="G72" s="45" t="str">
        <f>IF($E72=0,"",(STIG_Metrics!D72)*$E72)</f>
        <v/>
      </c>
      <c r="H72" s="45" t="str">
        <f>IF($E72=0,"",(STIG_Metrics!E72)*$E72)</f>
        <v/>
      </c>
      <c r="I72" s="212" t="str">
        <f>IF($E72=0,"",(STIG_Metrics!G72)*$E72)</f>
        <v/>
      </c>
      <c r="J72" s="215" t="str">
        <f>IF($E72=0,"",(STIG_Metrics!D72-STIG_Metrics!E72)*$E72)</f>
        <v/>
      </c>
      <c r="K72" s="45" t="str">
        <f>IF($E72=0,"",(STIG_Metrics!D72-STIG_Metrics!G72)*$E72)</f>
        <v/>
      </c>
      <c r="L72" s="46" t="str">
        <f t="shared" si="13"/>
        <v/>
      </c>
      <c r="M72" s="46" t="str">
        <f t="shared" si="14"/>
        <v/>
      </c>
      <c r="N72" s="46" t="str">
        <f t="shared" si="15"/>
        <v/>
      </c>
      <c r="O72" s="47" t="str">
        <f>IF($E72=0,"",STIG_Metrics!O72)</f>
        <v/>
      </c>
      <c r="P72" s="47" t="str">
        <f>IF($E72=0,"",STIG_Metrics!P72)</f>
        <v/>
      </c>
      <c r="Q72" s="48" t="str">
        <f t="shared" si="16"/>
        <v/>
      </c>
      <c r="R72" s="48" t="str">
        <f t="shared" si="20"/>
        <v/>
      </c>
      <c r="S72" s="48" t="str">
        <f t="shared" si="21"/>
        <v/>
      </c>
      <c r="T72" s="49" t="str">
        <f t="shared" si="17"/>
        <v/>
      </c>
      <c r="U72" s="187" t="str">
        <f t="shared" si="18"/>
        <v/>
      </c>
      <c r="V72" s="184" t="str">
        <f>IF($E72=0,"",IF(STIG_Metrics!L72=60,0,($E72/STIG_Metrics!L72)/24))</f>
        <v/>
      </c>
      <c r="W72" s="50" t="str">
        <f>IF($E72=0,"",IF(STIG_Metrics!M72=60,0,($E72/STIG_Metrics!M72)/24))</f>
        <v/>
      </c>
      <c r="X72" s="50" t="str">
        <f>IF($E72=0,"",IF(STIG_Metrics!N72=60,0,($E72/STIG_Metrics!N72)/24))</f>
        <v/>
      </c>
      <c r="Y72" s="50" t="str">
        <f t="shared" si="19"/>
        <v/>
      </c>
      <c r="Z72" s="51" t="str">
        <f>IF($E72=0,"",$E72/STIG_Metrics!L72)</f>
        <v/>
      </c>
      <c r="AA72" s="51" t="str">
        <f>IF($E72=0,"",$E72/STIG_Metrics!M72)</f>
        <v/>
      </c>
      <c r="AB72" s="51" t="str">
        <f>IF($E72=0,"",$E72/STIG_Metrics!N72)</f>
        <v/>
      </c>
      <c r="AC72" s="151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94"/>
    </row>
    <row r="73" spans="2:42" ht="15" customHeight="1">
      <c r="B73" s="57"/>
      <c r="C73" s="149"/>
      <c r="D73" s="195" t="str">
        <f>(STIG_Metrics!A73)</f>
        <v>Oracle Linux 8</v>
      </c>
      <c r="E73" s="162">
        <v>0</v>
      </c>
      <c r="F73" s="164"/>
      <c r="G73" s="45" t="str">
        <f>IF($E73=0,"",(STIG_Metrics!D73)*$E73)</f>
        <v/>
      </c>
      <c r="H73" s="45" t="str">
        <f>IF($E73=0,"",(STIG_Metrics!E73)*$E73)</f>
        <v/>
      </c>
      <c r="I73" s="212" t="str">
        <f>IF($E73=0,"",(STIG_Metrics!G73)*$E73)</f>
        <v/>
      </c>
      <c r="J73" s="215" t="str">
        <f>IF($E73=0,"",(STIG_Metrics!D73-STIG_Metrics!E73)*$E73)</f>
        <v/>
      </c>
      <c r="K73" s="45" t="str">
        <f>IF($E73=0,"",(STIG_Metrics!D73-STIG_Metrics!G73)*$E73)</f>
        <v/>
      </c>
      <c r="L73" s="46" t="str">
        <f t="shared" si="13"/>
        <v/>
      </c>
      <c r="M73" s="46" t="str">
        <f t="shared" si="14"/>
        <v/>
      </c>
      <c r="N73" s="46" t="str">
        <f t="shared" si="15"/>
        <v/>
      </c>
      <c r="O73" s="47" t="str">
        <f>IF($E73=0,"",STIG_Metrics!O73)</f>
        <v/>
      </c>
      <c r="P73" s="47" t="str">
        <f>IF($E73=0,"",STIG_Metrics!P73)</f>
        <v/>
      </c>
      <c r="Q73" s="48" t="str">
        <f t="shared" si="16"/>
        <v/>
      </c>
      <c r="R73" s="48" t="str">
        <f t="shared" si="20"/>
        <v/>
      </c>
      <c r="S73" s="48" t="str">
        <f t="shared" si="21"/>
        <v/>
      </c>
      <c r="T73" s="49" t="str">
        <f t="shared" si="17"/>
        <v/>
      </c>
      <c r="U73" s="187" t="str">
        <f t="shared" si="18"/>
        <v/>
      </c>
      <c r="V73" s="184" t="str">
        <f>IF($E73=0,"",IF(STIG_Metrics!L73=60,0,($E73/STIG_Metrics!L73)/24))</f>
        <v/>
      </c>
      <c r="W73" s="50" t="str">
        <f>IF($E73=0,"",IF(STIG_Metrics!M73=60,0,($E73/STIG_Metrics!M73)/24))</f>
        <v/>
      </c>
      <c r="X73" s="50" t="str">
        <f>IF($E73=0,"",IF(STIG_Metrics!N73=60,0,($E73/STIG_Metrics!N73)/24))</f>
        <v/>
      </c>
      <c r="Y73" s="50" t="str">
        <f t="shared" si="19"/>
        <v/>
      </c>
      <c r="Z73" s="51" t="str">
        <f>IF($E73=0,"",$E73/STIG_Metrics!L73)</f>
        <v/>
      </c>
      <c r="AA73" s="51" t="str">
        <f>IF($E73=0,"",$E73/STIG_Metrics!M73)</f>
        <v/>
      </c>
      <c r="AB73" s="51" t="str">
        <f>IF($E73=0,"",$E73/STIG_Metrics!N73)</f>
        <v/>
      </c>
      <c r="AC73" s="151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94"/>
    </row>
    <row r="74" spans="2:42" ht="15" customHeight="1">
      <c r="B74" s="57"/>
      <c r="C74" s="149"/>
      <c r="D74" s="195" t="str">
        <f>(STIG_Metrics!A74)</f>
        <v>PostgreSQL 9.x</v>
      </c>
      <c r="E74" s="162">
        <v>0</v>
      </c>
      <c r="F74" s="164"/>
      <c r="G74" s="45" t="str">
        <f>IF($E74=0,"",(STIG_Metrics!D74)*$E74)</f>
        <v/>
      </c>
      <c r="H74" s="45" t="str">
        <f>IF($E74=0,"",(STIG_Metrics!E74)*$E74)</f>
        <v/>
      </c>
      <c r="I74" s="212" t="str">
        <f>IF($E74=0,"",(STIG_Metrics!G74)*$E74)</f>
        <v/>
      </c>
      <c r="J74" s="215" t="str">
        <f>IF($E74=0,"",(STIG_Metrics!D74-STIG_Metrics!E74)*$E74)</f>
        <v/>
      </c>
      <c r="K74" s="45" t="str">
        <f>IF($E74=0,"",(STIG_Metrics!D74-STIG_Metrics!G74)*$E74)</f>
        <v/>
      </c>
      <c r="L74" s="46" t="str">
        <f t="shared" si="13"/>
        <v/>
      </c>
      <c r="M74" s="46" t="str">
        <f t="shared" si="14"/>
        <v/>
      </c>
      <c r="N74" s="46" t="str">
        <f t="shared" si="15"/>
        <v/>
      </c>
      <c r="O74" s="47" t="str">
        <f>IF($E74=0,"",STIG_Metrics!O74)</f>
        <v/>
      </c>
      <c r="P74" s="47" t="str">
        <f>IF($E74=0,"",STIG_Metrics!P74)</f>
        <v/>
      </c>
      <c r="Q74" s="48" t="str">
        <f t="shared" si="16"/>
        <v/>
      </c>
      <c r="R74" s="48" t="str">
        <f t="shared" si="20"/>
        <v/>
      </c>
      <c r="S74" s="48" t="str">
        <f t="shared" si="21"/>
        <v/>
      </c>
      <c r="T74" s="49" t="str">
        <f t="shared" si="17"/>
        <v/>
      </c>
      <c r="U74" s="187" t="str">
        <f t="shared" si="18"/>
        <v/>
      </c>
      <c r="V74" s="184" t="str">
        <f>IF($E74=0,"",IF(STIG_Metrics!L74=60,0,($E74/STIG_Metrics!L74)/24))</f>
        <v/>
      </c>
      <c r="W74" s="50" t="str">
        <f>IF($E74=0,"",IF(STIG_Metrics!M74=60,0,($E74/STIG_Metrics!M74)/24))</f>
        <v/>
      </c>
      <c r="X74" s="50" t="str">
        <f>IF($E74=0,"",IF(STIG_Metrics!N74=60,0,($E74/STIG_Metrics!N74)/24))</f>
        <v/>
      </c>
      <c r="Y74" s="50" t="str">
        <f t="shared" si="19"/>
        <v/>
      </c>
      <c r="Z74" s="51" t="str">
        <f>IF($E74=0,"",$E74/STIG_Metrics!L74)</f>
        <v/>
      </c>
      <c r="AA74" s="51" t="str">
        <f>IF($E74=0,"",$E74/STIG_Metrics!M74)</f>
        <v/>
      </c>
      <c r="AB74" s="51" t="str">
        <f>IF($E74=0,"",$E74/STIG_Metrics!N74)</f>
        <v/>
      </c>
      <c r="AC74" s="151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94"/>
    </row>
    <row r="75" spans="2:42" ht="15" customHeight="1">
      <c r="B75" s="79"/>
      <c r="C75" s="149"/>
      <c r="D75" s="195" t="str">
        <f>(STIG_Metrics!A75)</f>
        <v>Red Hat Enterprise Linux 7</v>
      </c>
      <c r="E75" s="162">
        <v>0</v>
      </c>
      <c r="F75" s="164"/>
      <c r="G75" s="45" t="str">
        <f>IF($E75=0,"",(STIG_Metrics!D75)*$E75)</f>
        <v/>
      </c>
      <c r="H75" s="45" t="str">
        <f>IF($E75=0,"",(STIG_Metrics!E75)*$E75)</f>
        <v/>
      </c>
      <c r="I75" s="212" t="str">
        <f>IF($E75=0,"",(STIG_Metrics!G75)*$E75)</f>
        <v/>
      </c>
      <c r="J75" s="215" t="str">
        <f>IF($E75=0,"",(STIG_Metrics!D75-STIG_Metrics!E75)*$E75)</f>
        <v/>
      </c>
      <c r="K75" s="45" t="str">
        <f>IF($E75=0,"",(STIG_Metrics!D75-STIG_Metrics!G75)*$E75)</f>
        <v/>
      </c>
      <c r="L75" s="46" t="str">
        <f t="shared" si="13"/>
        <v/>
      </c>
      <c r="M75" s="46" t="str">
        <f t="shared" si="14"/>
        <v/>
      </c>
      <c r="N75" s="46" t="str">
        <f t="shared" si="15"/>
        <v/>
      </c>
      <c r="O75" s="47" t="str">
        <f>IF($E75=0,"",STIG_Metrics!O75)</f>
        <v/>
      </c>
      <c r="P75" s="47" t="str">
        <f>IF($E75=0,"",STIG_Metrics!P75)</f>
        <v/>
      </c>
      <c r="Q75" s="48" t="str">
        <f t="shared" ref="Q75" si="22">IF($E75=0,"",((G75*$E$8/60)*$E$7))</f>
        <v/>
      </c>
      <c r="R75" s="48" t="str">
        <f t="shared" ref="R75" si="23">IF($E75=0,"",((J75*$E$8/60)*$E$7))</f>
        <v/>
      </c>
      <c r="S75" s="48" t="str">
        <f t="shared" ref="S75" si="24">IF($E75=0,"",((K75*$E$8/60)*$E$7))</f>
        <v/>
      </c>
      <c r="T75" s="49" t="str">
        <f t="shared" ref="T75" si="25">IF(E75=0,"",(Y75*24)*4)</f>
        <v/>
      </c>
      <c r="U75" s="187" t="str">
        <f t="shared" ref="U75" si="26">IF(E75=0,"",PRODUCT(T75,$E$7))</f>
        <v/>
      </c>
      <c r="V75" s="184" t="str">
        <f>IF($E75=0,"",IF(STIG_Metrics!L75=60,0,($E75/STIG_Metrics!L75)/24))</f>
        <v/>
      </c>
      <c r="W75" s="50" t="str">
        <f>IF($E75=0,"",IF(STIG_Metrics!M75=60,0,($E75/STIG_Metrics!M75)/24))</f>
        <v/>
      </c>
      <c r="X75" s="50" t="str">
        <f>IF($E75=0,"",IF(STIG_Metrics!N75=60,0,($E75/STIG_Metrics!N75)/24))</f>
        <v/>
      </c>
      <c r="Y75" s="50" t="str">
        <f t="shared" si="19"/>
        <v/>
      </c>
      <c r="Z75" s="51" t="str">
        <f>IF($E75=0,"",$E75/STIG_Metrics!L75)</f>
        <v/>
      </c>
      <c r="AA75" s="51" t="str">
        <f>IF($E75=0,"",$E75/STIG_Metrics!M75)</f>
        <v/>
      </c>
      <c r="AB75" s="51" t="str">
        <f>IF($E75=0,"",$E75/STIG_Metrics!N75)</f>
        <v/>
      </c>
      <c r="AC75" s="151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94"/>
    </row>
    <row r="76" spans="2:42" ht="15" customHeight="1">
      <c r="B76" s="79"/>
      <c r="C76" s="149"/>
      <c r="D76" s="195" t="str">
        <f>(STIG_Metrics!A76)</f>
        <v>Red Hat Enterprise Linux 8</v>
      </c>
      <c r="E76" s="162">
        <v>0</v>
      </c>
      <c r="F76" s="164"/>
      <c r="G76" s="45" t="str">
        <f>IF($E76=0,"",(STIG_Metrics!D76)*$E76)</f>
        <v/>
      </c>
      <c r="H76" s="45" t="str">
        <f>IF($E76=0,"",(STIG_Metrics!E76)*$E76)</f>
        <v/>
      </c>
      <c r="I76" s="212" t="str">
        <f>IF($E76=0,"",(STIG_Metrics!G76)*$E76)</f>
        <v/>
      </c>
      <c r="J76" s="215" t="str">
        <f>IF($E76=0,"",(STIG_Metrics!D76-STIG_Metrics!E76)*$E76)</f>
        <v/>
      </c>
      <c r="K76" s="45" t="str">
        <f>IF($E76=0,"",(STIG_Metrics!D76-STIG_Metrics!G76)*$E76)</f>
        <v/>
      </c>
      <c r="L76" s="46" t="str">
        <f t="shared" si="13"/>
        <v/>
      </c>
      <c r="M76" s="46" t="str">
        <f t="shared" si="14"/>
        <v/>
      </c>
      <c r="N76" s="46" t="str">
        <f t="shared" si="15"/>
        <v/>
      </c>
      <c r="O76" s="47" t="str">
        <f>IF($E76=0,"",STIG_Metrics!O76)</f>
        <v/>
      </c>
      <c r="P76" s="47" t="str">
        <f>IF($E76=0,"",STIG_Metrics!P76)</f>
        <v/>
      </c>
      <c r="Q76" s="48" t="str">
        <f t="shared" si="16"/>
        <v/>
      </c>
      <c r="R76" s="48" t="str">
        <f t="shared" si="20"/>
        <v/>
      </c>
      <c r="S76" s="48" t="str">
        <f t="shared" si="21"/>
        <v/>
      </c>
      <c r="T76" s="49" t="str">
        <f t="shared" si="17"/>
        <v/>
      </c>
      <c r="U76" s="187" t="str">
        <f t="shared" si="18"/>
        <v/>
      </c>
      <c r="V76" s="184" t="str">
        <f>IF($E76=0,"",IF(STIG_Metrics!L76=60,0,($E76/STIG_Metrics!L76)/24))</f>
        <v/>
      </c>
      <c r="W76" s="50" t="str">
        <f>IF($E76=0,"",IF(STIG_Metrics!M76=60,0,($E76/STIG_Metrics!M76)/24))</f>
        <v/>
      </c>
      <c r="X76" s="50" t="str">
        <f>IF($E76=0,"",IF(STIG_Metrics!N76=60,0,($E76/STIG_Metrics!N76)/24))</f>
        <v/>
      </c>
      <c r="Y76" s="50" t="str">
        <f t="shared" si="19"/>
        <v/>
      </c>
      <c r="Z76" s="51" t="str">
        <f>IF($E76=0,"",$E76/STIG_Metrics!L76)</f>
        <v/>
      </c>
      <c r="AA76" s="51" t="str">
        <f>IF($E76=0,"",$E76/STIG_Metrics!M76)</f>
        <v/>
      </c>
      <c r="AB76" s="51" t="str">
        <f>IF($E76=0,"",$E76/STIG_Metrics!N76)</f>
        <v/>
      </c>
      <c r="AC76" s="151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94"/>
    </row>
    <row r="77" spans="2:42" ht="15" customHeight="1">
      <c r="B77" s="80"/>
      <c r="C77" s="149"/>
      <c r="D77" s="195" t="str">
        <f>(STIG_Metrics!A77)</f>
        <v>Ubuntu 16.04</v>
      </c>
      <c r="E77" s="162">
        <v>0</v>
      </c>
      <c r="F77" s="164"/>
      <c r="G77" s="45" t="str">
        <f>IF($E77=0,"",(STIG_Metrics!D77)*$E77)</f>
        <v/>
      </c>
      <c r="H77" s="45" t="str">
        <f>IF($E77=0,"",(STIG_Metrics!E77)*$E77)</f>
        <v/>
      </c>
      <c r="I77" s="212" t="str">
        <f>IF($E77=0,"",(STIG_Metrics!G77)*$E77)</f>
        <v/>
      </c>
      <c r="J77" s="215" t="str">
        <f>IF($E77=0,"",(STIG_Metrics!D77-STIG_Metrics!E77)*$E77)</f>
        <v/>
      </c>
      <c r="K77" s="45" t="str">
        <f>IF($E77=0,"",(STIG_Metrics!D77-STIG_Metrics!G77)*$E77)</f>
        <v/>
      </c>
      <c r="L77" s="46" t="str">
        <f t="shared" si="13"/>
        <v/>
      </c>
      <c r="M77" s="46" t="str">
        <f t="shared" si="14"/>
        <v/>
      </c>
      <c r="N77" s="46" t="str">
        <f t="shared" si="15"/>
        <v/>
      </c>
      <c r="O77" s="47" t="str">
        <f>IF($E77=0,"",STIG_Metrics!O77)</f>
        <v/>
      </c>
      <c r="P77" s="47" t="str">
        <f>IF($E77=0,"",STIG_Metrics!P77)</f>
        <v/>
      </c>
      <c r="Q77" s="48" t="str">
        <f t="shared" si="16"/>
        <v/>
      </c>
      <c r="R77" s="48" t="str">
        <f t="shared" si="20"/>
        <v/>
      </c>
      <c r="S77" s="48" t="str">
        <f t="shared" si="21"/>
        <v/>
      </c>
      <c r="T77" s="49" t="str">
        <f t="shared" si="17"/>
        <v/>
      </c>
      <c r="U77" s="187" t="str">
        <f t="shared" si="18"/>
        <v/>
      </c>
      <c r="V77" s="184" t="str">
        <f>IF($E77=0,"",IF(STIG_Metrics!L77=60,0,($E77/STIG_Metrics!L77)/24))</f>
        <v/>
      </c>
      <c r="W77" s="50" t="str">
        <f>IF($E77=0,"",IF(STIG_Metrics!M77=60,0,($E77/STIG_Metrics!M77)/24))</f>
        <v/>
      </c>
      <c r="X77" s="50" t="str">
        <f>IF($E77=0,"",IF(STIG_Metrics!N77=60,0,($E77/STIG_Metrics!N77)/24))</f>
        <v/>
      </c>
      <c r="Y77" s="50" t="str">
        <f t="shared" si="19"/>
        <v/>
      </c>
      <c r="Z77" s="51" t="str">
        <f>IF($E77=0,"",$E77/STIG_Metrics!L77)</f>
        <v/>
      </c>
      <c r="AA77" s="51" t="str">
        <f>IF($E77=0,"",$E77/STIG_Metrics!M77)</f>
        <v/>
      </c>
      <c r="AB77" s="51" t="str">
        <f>IF($E77=0,"",$E77/STIG_Metrics!N77)</f>
        <v/>
      </c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94"/>
    </row>
    <row r="78" spans="2:42" ht="15" customHeight="1">
      <c r="B78" s="80"/>
      <c r="C78" s="149"/>
      <c r="D78" s="195" t="str">
        <f>(STIG_Metrics!A78)</f>
        <v>Ubuntu 18.04</v>
      </c>
      <c r="E78" s="162">
        <v>0</v>
      </c>
      <c r="F78" s="164"/>
      <c r="G78" s="45" t="str">
        <f>IF($E78=0,"",(STIG_Metrics!D78)*$E78)</f>
        <v/>
      </c>
      <c r="H78" s="45" t="str">
        <f>IF($E78=0,"",(STIG_Metrics!E78)*$E78)</f>
        <v/>
      </c>
      <c r="I78" s="212" t="str">
        <f>IF($E78=0,"",(STIG_Metrics!G78)*$E78)</f>
        <v/>
      </c>
      <c r="J78" s="215" t="str">
        <f>IF($E78=0,"",(STIG_Metrics!D78-STIG_Metrics!E78)*$E78)</f>
        <v/>
      </c>
      <c r="K78" s="45" t="str">
        <f>IF($E78=0,"",(STIG_Metrics!D78-STIG_Metrics!G78)*$E78)</f>
        <v/>
      </c>
      <c r="L78" s="46" t="str">
        <f t="shared" si="13"/>
        <v/>
      </c>
      <c r="M78" s="46" t="str">
        <f t="shared" si="14"/>
        <v/>
      </c>
      <c r="N78" s="46" t="str">
        <f t="shared" si="15"/>
        <v/>
      </c>
      <c r="O78" s="47" t="str">
        <f>IF($E78=0,"",STIG_Metrics!O78)</f>
        <v/>
      </c>
      <c r="P78" s="47" t="str">
        <f>IF($E78=0,"",STIG_Metrics!P78)</f>
        <v/>
      </c>
      <c r="Q78" s="48" t="str">
        <f t="shared" si="16"/>
        <v/>
      </c>
      <c r="R78" s="48" t="str">
        <f t="shared" si="20"/>
        <v/>
      </c>
      <c r="S78" s="48" t="str">
        <f t="shared" si="21"/>
        <v/>
      </c>
      <c r="T78" s="49" t="str">
        <f t="shared" si="17"/>
        <v/>
      </c>
      <c r="U78" s="187" t="str">
        <f t="shared" si="18"/>
        <v/>
      </c>
      <c r="V78" s="184" t="str">
        <f>IF($E78=0,"",IF(STIG_Metrics!L78=60,0,($E78/STIG_Metrics!L78)/24))</f>
        <v/>
      </c>
      <c r="W78" s="50" t="str">
        <f>IF($E78=0,"",IF(STIG_Metrics!M78=60,0,($E78/STIG_Metrics!M78)/24))</f>
        <v/>
      </c>
      <c r="X78" s="50" t="str">
        <f>IF($E78=0,"",IF(STIG_Metrics!N78=60,0,($E78/STIG_Metrics!N78)/24))</f>
        <v/>
      </c>
      <c r="Y78" s="50" t="str">
        <f t="shared" si="19"/>
        <v/>
      </c>
      <c r="Z78" s="51" t="str">
        <f>IF($E78=0,"",$E78/STIG_Metrics!L78)</f>
        <v/>
      </c>
      <c r="AA78" s="51" t="str">
        <f>IF($E78=0,"",$E78/STIG_Metrics!M78)</f>
        <v/>
      </c>
      <c r="AB78" s="51" t="str">
        <f>IF($E78=0,"",$E78/STIG_Metrics!N78)</f>
        <v/>
      </c>
      <c r="AC78" s="149"/>
      <c r="AD78" s="151"/>
      <c r="AE78" s="151"/>
      <c r="AF78" s="151"/>
      <c r="AG78" s="151"/>
      <c r="AH78" s="151"/>
      <c r="AI78" s="149"/>
      <c r="AJ78" s="149"/>
      <c r="AK78" s="149"/>
      <c r="AL78" s="149"/>
      <c r="AM78" s="149"/>
      <c r="AN78" s="149"/>
      <c r="AO78" s="149"/>
      <c r="AP78" s="94"/>
    </row>
    <row r="79" spans="2:42" ht="15" customHeight="1">
      <c r="B79" s="80"/>
      <c r="C79" s="149"/>
      <c r="D79" s="195" t="str">
        <f>(STIG_Metrics!A79)</f>
        <v>Ubuntu 20.04</v>
      </c>
      <c r="E79" s="162">
        <v>0</v>
      </c>
      <c r="F79" s="164"/>
      <c r="G79" s="45" t="str">
        <f>IF($E79=0,"",(STIG_Metrics!D79)*$E79)</f>
        <v/>
      </c>
      <c r="H79" s="45" t="str">
        <f>IF($E79=0,"",(STIG_Metrics!E79)*$E79)</f>
        <v/>
      </c>
      <c r="I79" s="212" t="str">
        <f>IF($E79=0,"",(STIG_Metrics!G79)*$E79)</f>
        <v/>
      </c>
      <c r="J79" s="215" t="str">
        <f>IF($E79=0,"",(STIG_Metrics!D79-STIG_Metrics!E79)*$E79)</f>
        <v/>
      </c>
      <c r="K79" s="45" t="str">
        <f>IF($E79=0,"",(STIG_Metrics!D79-STIG_Metrics!G79)*$E79)</f>
        <v/>
      </c>
      <c r="L79" s="46" t="str">
        <f>IF($E79=0,"",FLOOR($V79*3,1)&amp;" Days"&amp;TEXT(SUM($V79-TIME(8,0,0)*FLOOR($V79*3,1))," h")&amp;" Hrs")</f>
        <v/>
      </c>
      <c r="M79" s="46" t="str">
        <f>IF($E79=0,"",FLOOR($W79*3,1)&amp;" Days"&amp;TEXT(SUM($W79-TIME(8,0,0)*FLOOR($W79*3,1))," h")&amp;" Hrs")</f>
        <v/>
      </c>
      <c r="N79" s="46" t="str">
        <f>IF($E79=0,"",FLOOR($X79*3,1)&amp; " Days"&amp;TEXT(SUM($X79-TIME(8,0,0)*FLOOR($X79*3,1))," h") &amp; " Hrs")</f>
        <v/>
      </c>
      <c r="O79" s="47" t="str">
        <f>IF($E79=0,"",STIG_Metrics!O79)</f>
        <v/>
      </c>
      <c r="P79" s="47" t="str">
        <f>IF($E79=0,"",STIG_Metrics!P79)</f>
        <v/>
      </c>
      <c r="Q79" s="48" t="str">
        <f>IF($E79=0,"",((G79*$E$8/60)*$E$7))</f>
        <v/>
      </c>
      <c r="R79" s="48" t="str">
        <f>IF($E79=0,"",((J79*$E$8/60)*$E$7))</f>
        <v/>
      </c>
      <c r="S79" s="48" t="str">
        <f>IF($E79=0,"",((K79*$E$8/60)*$E$7))</f>
        <v/>
      </c>
      <c r="T79" s="49" t="str">
        <f>IF(E79=0,"",(Y79*24)*4)</f>
        <v/>
      </c>
      <c r="U79" s="187" t="str">
        <f>IF(E79=0,"",PRODUCT(T79,$E$7))</f>
        <v/>
      </c>
      <c r="V79" s="185" t="str">
        <f>IF($E79=0,"",IF(STIG_Metrics!L79=60,0,($E79/STIG_Metrics!L79)/24))</f>
        <v/>
      </c>
      <c r="W79" s="52" t="str">
        <f>IF($E79=0,"",IF(STIG_Metrics!M79=60,0,($E79/STIG_Metrics!M79)/24))</f>
        <v/>
      </c>
      <c r="X79" s="52" t="str">
        <f>IF($E79=0,"",IF(STIG_Metrics!N79=60,0,($E79/STIG_Metrics!N79)/24))</f>
        <v/>
      </c>
      <c r="Y79" s="52" t="str">
        <f>IF($E79=0,"",$W79-$X79)</f>
        <v/>
      </c>
      <c r="Z79" s="53" t="str">
        <f>IF($E79=0,"",$E79/STIG_Metrics!L79)</f>
        <v/>
      </c>
      <c r="AA79" s="53" t="str">
        <f>IF($E79=0,"",$E79/STIG_Metrics!M79)</f>
        <v/>
      </c>
      <c r="AB79" s="53" t="str">
        <f>IF($E79=0,"",$E79/STIG_Metrics!N79)</f>
        <v/>
      </c>
      <c r="AC79" s="151"/>
      <c r="AD79" s="151"/>
      <c r="AE79" s="151"/>
      <c r="AF79" s="151"/>
      <c r="AG79" s="151"/>
      <c r="AH79" s="151"/>
      <c r="AI79" s="151"/>
      <c r="AJ79" s="149"/>
      <c r="AK79" s="149"/>
      <c r="AL79" s="149"/>
      <c r="AM79" s="149"/>
      <c r="AN79" s="149"/>
      <c r="AO79" s="149"/>
      <c r="AP79" s="94"/>
    </row>
    <row r="80" spans="2:42">
      <c r="B80" s="81"/>
      <c r="C80" s="149"/>
      <c r="D80" s="195" t="str">
        <f>(STIG_Metrics!A80)</f>
        <v>VMware Horizon 7.13 Agent</v>
      </c>
      <c r="E80" s="162">
        <v>0</v>
      </c>
      <c r="F80" s="164"/>
      <c r="G80" s="45" t="str">
        <f>IF($E80=0,"",(STIG_Metrics!D80)*$E80)</f>
        <v/>
      </c>
      <c r="H80" s="45" t="str">
        <f>IF($E80=0,"",(STIG_Metrics!E80)*$E80)</f>
        <v/>
      </c>
      <c r="I80" s="212" t="str">
        <f>IF($E80=0,"",(STIG_Metrics!G80)*$E80)</f>
        <v/>
      </c>
      <c r="J80" s="215" t="str">
        <f>IF($E80=0,"",(STIG_Metrics!D80-STIG_Metrics!E80)*$E80)</f>
        <v/>
      </c>
      <c r="K80" s="45" t="str">
        <f>IF($E80=0,"",(STIG_Metrics!D80-STIG_Metrics!G80)*$E80)</f>
        <v/>
      </c>
      <c r="L80" s="46" t="str">
        <f t="shared" si="13"/>
        <v/>
      </c>
      <c r="M80" s="46" t="str">
        <f t="shared" si="14"/>
        <v/>
      </c>
      <c r="N80" s="46" t="str">
        <f t="shared" si="15"/>
        <v/>
      </c>
      <c r="O80" s="47" t="str">
        <f>IF($E80=0,"",STIG_Metrics!O80)</f>
        <v/>
      </c>
      <c r="P80" s="47" t="str">
        <f>IF($E80=0,"",STIG_Metrics!P80)</f>
        <v/>
      </c>
      <c r="Q80" s="48" t="str">
        <f t="shared" si="16"/>
        <v/>
      </c>
      <c r="R80" s="48" t="str">
        <f t="shared" si="20"/>
        <v/>
      </c>
      <c r="S80" s="48" t="str">
        <f t="shared" si="21"/>
        <v/>
      </c>
      <c r="T80" s="49" t="str">
        <f t="shared" si="17"/>
        <v/>
      </c>
      <c r="U80" s="187" t="str">
        <f t="shared" si="18"/>
        <v/>
      </c>
      <c r="V80" s="184" t="str">
        <f>IF($E80=0,"",IF(STIG_Metrics!L80=60,0,($E80/STIG_Metrics!L80)/24))</f>
        <v/>
      </c>
      <c r="W80" s="50" t="str">
        <f>IF($E80=0,"",IF(STIG_Metrics!M80=60,0,($E80/STIG_Metrics!M80)/24))</f>
        <v/>
      </c>
      <c r="X80" s="50" t="str">
        <f>IF($E80=0,"",IF(STIG_Metrics!N80=60,0,($E80/STIG_Metrics!N80)/24))</f>
        <v/>
      </c>
      <c r="Y80" s="50" t="str">
        <f t="shared" si="19"/>
        <v/>
      </c>
      <c r="Z80" s="51" t="str">
        <f>IF($E80=0,"",$E80/STIG_Metrics!L80)</f>
        <v/>
      </c>
      <c r="AA80" s="51" t="str">
        <f>IF($E80=0,"",$E80/STIG_Metrics!M80)</f>
        <v/>
      </c>
      <c r="AB80" s="51" t="str">
        <f>IF($E80=0,"",$E80/STIG_Metrics!N80)</f>
        <v/>
      </c>
      <c r="AC80" s="151"/>
      <c r="AD80" s="151"/>
      <c r="AE80" s="151"/>
      <c r="AF80" s="151"/>
      <c r="AG80" s="151"/>
      <c r="AH80" s="151"/>
      <c r="AI80" s="151"/>
      <c r="AJ80" s="149"/>
      <c r="AK80" s="149"/>
      <c r="AL80" s="149"/>
      <c r="AM80" s="149"/>
      <c r="AN80" s="149"/>
      <c r="AO80" s="149"/>
      <c r="AP80" s="94"/>
    </row>
    <row r="81" spans="2:42">
      <c r="B81" s="82"/>
      <c r="C81" s="149"/>
      <c r="D81" s="195" t="str">
        <f>(STIG_Metrics!A81)</f>
        <v>VMware Horizon 7.13 Client</v>
      </c>
      <c r="E81" s="162">
        <v>2</v>
      </c>
      <c r="F81" s="164"/>
      <c r="G81" s="45">
        <f>IF($E81=0,"",(STIG_Metrics!D81)*$E81)</f>
        <v>14</v>
      </c>
      <c r="H81" s="45">
        <f>IF($E81=0,"",(STIG_Metrics!E81)*$E81)</f>
        <v>0</v>
      </c>
      <c r="I81" s="212">
        <f>IF($E81=0,"",(STIG_Metrics!G81)*$E81)</f>
        <v>14</v>
      </c>
      <c r="J81" s="215">
        <f>IF($E81=0,"",(STIG_Metrics!D81-STIG_Metrics!E81)*$E81)</f>
        <v>14</v>
      </c>
      <c r="K81" s="45">
        <f>IF($E81=0,"",(STIG_Metrics!D81-STIG_Metrics!G81)*$E81)</f>
        <v>0</v>
      </c>
      <c r="L81" s="46" t="str">
        <f t="shared" si="13"/>
        <v>0 Days 1 Hrs</v>
      </c>
      <c r="M81" s="46" t="str">
        <f t="shared" si="14"/>
        <v>0 Days 1 Hrs</v>
      </c>
      <c r="N81" s="46" t="str">
        <f t="shared" si="15"/>
        <v>0 Days 0 Hrs</v>
      </c>
      <c r="O81" s="47">
        <f>IF($E81=0,"",STIG_Metrics!O81)</f>
        <v>0</v>
      </c>
      <c r="P81" s="47">
        <f>IF($E81=0,"",STIG_Metrics!P81)</f>
        <v>30.5</v>
      </c>
      <c r="Q81" s="48">
        <f t="shared" si="16"/>
        <v>105</v>
      </c>
      <c r="R81" s="48">
        <f t="shared" ref="R81:S82" si="27">IF($E81=0,"",((J81*$E$8/60)*$E$7))</f>
        <v>105</v>
      </c>
      <c r="S81" s="48">
        <f t="shared" si="27"/>
        <v>0</v>
      </c>
      <c r="T81" s="49">
        <f t="shared" si="17"/>
        <v>4.2</v>
      </c>
      <c r="U81" s="187">
        <f t="shared" si="18"/>
        <v>420</v>
      </c>
      <c r="V81" s="185">
        <f>IF($E81=0,"",IF(STIG_Metrics!L81=60,0,($E81/STIG_Metrics!L81)/24))</f>
        <v>4.3750000000000004E-2</v>
      </c>
      <c r="W81" s="52">
        <f>IF($E81=0,"",IF(STIG_Metrics!M81=60,0,($E81/STIG_Metrics!M81)/24))</f>
        <v>4.3750000000000004E-2</v>
      </c>
      <c r="X81" s="52">
        <f>IF($E81=0,"",IF(STIG_Metrics!N81=60,0,($E81/STIG_Metrics!N81)/24))</f>
        <v>0</v>
      </c>
      <c r="Y81" s="52">
        <f t="shared" si="19"/>
        <v>4.3750000000000004E-2</v>
      </c>
      <c r="Z81" s="53">
        <f>IF($E81=0,"",$E81/STIG_Metrics!L81)</f>
        <v>1.05</v>
      </c>
      <c r="AA81" s="53">
        <f>IF($E81=0,"",$E81/STIG_Metrics!M81)</f>
        <v>1.05</v>
      </c>
      <c r="AB81" s="53">
        <f>IF($E81=0,"",$E81/STIG_Metrics!N81)</f>
        <v>3.3333333333333333E-2</v>
      </c>
      <c r="AC81" s="151"/>
      <c r="AD81" s="149"/>
      <c r="AE81" s="149"/>
      <c r="AF81" s="149"/>
      <c r="AG81" s="149"/>
      <c r="AH81" s="149"/>
      <c r="AI81" s="151"/>
      <c r="AJ81" s="149"/>
      <c r="AK81" s="149"/>
      <c r="AL81" s="149"/>
      <c r="AM81" s="149"/>
      <c r="AN81" s="149"/>
      <c r="AO81" s="149"/>
      <c r="AP81" s="94"/>
    </row>
    <row r="82" spans="2:42">
      <c r="B82" s="83"/>
      <c r="C82" s="149"/>
      <c r="D82" s="195" t="str">
        <f>(STIG_Metrics!A82)</f>
        <v>VMware Horizon 7.13 Connection Server</v>
      </c>
      <c r="E82" s="162">
        <v>0</v>
      </c>
      <c r="F82" s="164"/>
      <c r="G82" s="45" t="str">
        <f>IF($E82=0,"",(STIG_Metrics!D82)*$E82)</f>
        <v/>
      </c>
      <c r="H82" s="45" t="str">
        <f>IF($E82=0,"",(STIG_Metrics!E82)*$E82)</f>
        <v/>
      </c>
      <c r="I82" s="212" t="str">
        <f>IF($E82=0,"",(STIG_Metrics!G82)*$E82)</f>
        <v/>
      </c>
      <c r="J82" s="215" t="str">
        <f>IF($E82=0,"",(STIG_Metrics!D82-STIG_Metrics!E82)*$E82)</f>
        <v/>
      </c>
      <c r="K82" s="45" t="str">
        <f>IF($E82=0,"",(STIG_Metrics!D82-STIG_Metrics!G82)*$E82)</f>
        <v/>
      </c>
      <c r="L82" s="46" t="str">
        <f t="shared" ref="L82:L91" si="28">IF($E82=0,"",FLOOR($V82*3,1)&amp;" Days"&amp;TEXT(SUM($V82-TIME(8,0,0)*FLOOR($V82*3,1))," h")&amp;" Hrs")</f>
        <v/>
      </c>
      <c r="M82" s="46" t="str">
        <f t="shared" ref="M82:M91" si="29">IF($E82=0,"",FLOOR($W82*3,1)&amp;" Days"&amp;TEXT(SUM($W82-TIME(8,0,0)*FLOOR($W82*3,1))," h")&amp;" Hrs")</f>
        <v/>
      </c>
      <c r="N82" s="46" t="str">
        <f t="shared" ref="N82:N91" si="30">IF($E82=0,"",FLOOR($X82*3,1)&amp; " Days"&amp;TEXT(SUM($X82-TIME(8,0,0)*FLOOR($X82*3,1))," h") &amp; " Hrs")</f>
        <v/>
      </c>
      <c r="O82" s="47" t="str">
        <f>IF($E82=0,"",STIG_Metrics!O82)</f>
        <v/>
      </c>
      <c r="P82" s="47" t="str">
        <f>IF($E82=0,"",STIG_Metrics!P82)</f>
        <v/>
      </c>
      <c r="Q82" s="48" t="str">
        <f t="shared" ref="Q82:Q91" si="31">IF($E82=0,"",((G82*$E$8/60)*$E$7))</f>
        <v/>
      </c>
      <c r="R82" s="48" t="str">
        <f t="shared" si="27"/>
        <v/>
      </c>
      <c r="S82" s="48" t="str">
        <f t="shared" si="27"/>
        <v/>
      </c>
      <c r="T82" s="49" t="str">
        <f t="shared" ref="T82:T91" si="32">IF(E82=0,"",(Y82*24)*4)</f>
        <v/>
      </c>
      <c r="U82" s="187" t="str">
        <f t="shared" ref="U82:U91" si="33">IF(E82=0,"",PRODUCT(T82,$E$7))</f>
        <v/>
      </c>
      <c r="V82" s="185" t="str">
        <f>IF($E82=0,"",IF(STIG_Metrics!L82=60,0,($E82/STIG_Metrics!L82)/24))</f>
        <v/>
      </c>
      <c r="W82" s="52" t="str">
        <f>IF($E82=0,"",IF(STIG_Metrics!M82=60,0,($E82/STIG_Metrics!M82)/24))</f>
        <v/>
      </c>
      <c r="X82" s="52" t="str">
        <f>IF($E82=0,"",IF(STIG_Metrics!N82=60,0,($E82/STIG_Metrics!N82)/24))</f>
        <v/>
      </c>
      <c r="Y82" s="52" t="str">
        <f t="shared" ref="Y82:Y91" si="34">IF($E82=0,"",$W82-$X82)</f>
        <v/>
      </c>
      <c r="Z82" s="53" t="str">
        <f>IF($E82=0,"",$E82/STIG_Metrics!L82)</f>
        <v/>
      </c>
      <c r="AA82" s="53" t="str">
        <f>IF($E82=0,"",$E82/STIG_Metrics!M82)</f>
        <v/>
      </c>
      <c r="AB82" s="53" t="str">
        <f>IF($E82=0,"",$E82/STIG_Metrics!N82)</f>
        <v/>
      </c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94"/>
    </row>
    <row r="83" spans="2:42">
      <c r="B83" s="83"/>
      <c r="C83" s="149"/>
      <c r="D83" s="195" t="str">
        <f>(STIG_Metrics!A83)</f>
        <v>Windows 10</v>
      </c>
      <c r="E83" s="162">
        <v>1761</v>
      </c>
      <c r="F83" s="164"/>
      <c r="G83" s="45">
        <f>IF($E83=0,"",(STIG_Metrics!D83)*$E83)</f>
        <v>454338</v>
      </c>
      <c r="H83" s="45">
        <f>IF($E83=0,"",(STIG_Metrics!E83)*$E83)</f>
        <v>375093</v>
      </c>
      <c r="I83" s="212">
        <f>IF($E83=0,"",(STIG_Metrics!G83)*$E83)</f>
        <v>443772</v>
      </c>
      <c r="J83" s="215">
        <f>IF($E83=0,"",(STIG_Metrics!D83-STIG_Metrics!E83)*$E83)</f>
        <v>79245</v>
      </c>
      <c r="K83" s="45">
        <f>IF($E83=0,"",(STIG_Metrics!D83-STIG_Metrics!G83)*$E83)</f>
        <v>10566</v>
      </c>
      <c r="L83" s="46" t="str">
        <f t="shared" si="28"/>
        <v>4259 Days 3 Hrs</v>
      </c>
      <c r="M83" s="46" t="str">
        <f t="shared" si="29"/>
        <v>742 Days 7 Hrs</v>
      </c>
      <c r="N83" s="46" t="str">
        <f t="shared" si="30"/>
        <v>99 Days 0 Hrs</v>
      </c>
      <c r="O83" s="47">
        <f>IF($E83=0,"",STIG_Metrics!O83)</f>
        <v>4.7333333333333334</v>
      </c>
      <c r="P83" s="47">
        <f>IF($E83=0,"",STIG_Metrics!P83)</f>
        <v>42.000000000000007</v>
      </c>
      <c r="Q83" s="48">
        <f t="shared" si="31"/>
        <v>3407535</v>
      </c>
      <c r="R83" s="48">
        <f>IF($E83=0,"",((J83*$E$8/60)*$E$7))</f>
        <v>594337.5</v>
      </c>
      <c r="S83" s="48">
        <f>IF($E83=0,"",((K83*$E$8/60)*$E$7))</f>
        <v>79245</v>
      </c>
      <c r="T83" s="49">
        <f t="shared" si="32"/>
        <v>20603.699999999997</v>
      </c>
      <c r="U83" s="187">
        <f t="shared" si="33"/>
        <v>2060369.9999999998</v>
      </c>
      <c r="V83" s="185">
        <f>IF($E83=0,"",IF(STIG_Metrics!L83=60,0,($E83/STIG_Metrics!L83)/24))</f>
        <v>1419.8062499999999</v>
      </c>
      <c r="W83" s="52">
        <f>IF($E83=0,"",IF(STIG_Metrics!M83=60,0,($E83/STIG_Metrics!M83)/24))</f>
        <v>247.640625</v>
      </c>
      <c r="X83" s="52">
        <f>IF($E83=0,"",IF(STIG_Metrics!N83=60,0,($E83/STIG_Metrics!N83)/24))</f>
        <v>33.018749999999997</v>
      </c>
      <c r="Y83" s="52">
        <f t="shared" si="34"/>
        <v>214.62187499999999</v>
      </c>
      <c r="Z83" s="53">
        <f>IF($E83=0,"",$E83/STIG_Metrics!L83)</f>
        <v>34075.35</v>
      </c>
      <c r="AA83" s="53">
        <f>IF($E83=0,"",$E83/STIG_Metrics!M83)</f>
        <v>5943.375</v>
      </c>
      <c r="AB83" s="53">
        <f>IF($E83=0,"",$E83/STIG_Metrics!N83)</f>
        <v>792.44999999999993</v>
      </c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94"/>
    </row>
    <row r="84" spans="2:42">
      <c r="B84" s="84"/>
      <c r="C84" s="149"/>
      <c r="D84" s="195" t="str">
        <f>(STIG_Metrics!A84)</f>
        <v>Windows 11</v>
      </c>
      <c r="E84" s="162">
        <v>0</v>
      </c>
      <c r="F84" s="164"/>
      <c r="G84" s="45" t="str">
        <f>IF($E84=0,"",(STIG_Metrics!D84)*$E84)</f>
        <v/>
      </c>
      <c r="H84" s="45" t="str">
        <f>IF($E84=0,"",(STIG_Metrics!E84)*$E84)</f>
        <v/>
      </c>
      <c r="I84" s="212" t="str">
        <f>IF($E84=0,"",(STIG_Metrics!G84)*$E84)</f>
        <v/>
      </c>
      <c r="J84" s="215" t="str">
        <f>IF($E84=0,"",(STIG_Metrics!D84-STIG_Metrics!E84)*$E84)</f>
        <v/>
      </c>
      <c r="K84" s="45" t="str">
        <f>IF($E84=0,"",(STIG_Metrics!D84-STIG_Metrics!G84)*$E84)</f>
        <v/>
      </c>
      <c r="L84" s="46" t="str">
        <f t="shared" si="28"/>
        <v/>
      </c>
      <c r="M84" s="46" t="str">
        <f t="shared" si="29"/>
        <v/>
      </c>
      <c r="N84" s="46" t="str">
        <f t="shared" si="30"/>
        <v/>
      </c>
      <c r="O84" s="47" t="str">
        <f>IF($E84=0,"",STIG_Metrics!O84)</f>
        <v/>
      </c>
      <c r="P84" s="47" t="str">
        <f>IF($E84=0,"",STIG_Metrics!P84)</f>
        <v/>
      </c>
      <c r="Q84" s="48" t="str">
        <f t="shared" si="31"/>
        <v/>
      </c>
      <c r="R84" s="48" t="str">
        <f t="shared" si="20"/>
        <v/>
      </c>
      <c r="S84" s="48" t="str">
        <f t="shared" si="21"/>
        <v/>
      </c>
      <c r="T84" s="49" t="str">
        <f t="shared" si="32"/>
        <v/>
      </c>
      <c r="U84" s="187" t="str">
        <f t="shared" si="33"/>
        <v/>
      </c>
      <c r="V84" s="184" t="str">
        <f>IF($E84=0,"",IF(STIG_Metrics!L84=60,0,($E84/STIG_Metrics!L84)/24))</f>
        <v/>
      </c>
      <c r="W84" s="50" t="str">
        <f>IF($E84=0,"",IF(STIG_Metrics!M84=60,0,($E84/STIG_Metrics!M84)/24))</f>
        <v/>
      </c>
      <c r="X84" s="50" t="str">
        <f>IF($E84=0,"",IF(STIG_Metrics!N84=60,0,($E84/STIG_Metrics!N84)/24))</f>
        <v/>
      </c>
      <c r="Y84" s="50" t="str">
        <f t="shared" si="34"/>
        <v/>
      </c>
      <c r="Z84" s="51" t="str">
        <f>IF($E84=0,"",$E84/STIG_Metrics!L84)</f>
        <v/>
      </c>
      <c r="AA84" s="51" t="str">
        <f>IF($E84=0,"",$E84/STIG_Metrics!M84)</f>
        <v/>
      </c>
      <c r="AB84" s="51" t="str">
        <f>IF($E84=0,"",$E84/STIG_Metrics!N84)</f>
        <v/>
      </c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94"/>
    </row>
    <row r="85" spans="2:42">
      <c r="B85" s="85"/>
      <c r="C85" s="149"/>
      <c r="D85" s="195" t="str">
        <f>(STIG_Metrics!A85)</f>
        <v>Windows Firewall</v>
      </c>
      <c r="E85" s="162">
        <v>1917</v>
      </c>
      <c r="F85" s="164"/>
      <c r="G85" s="45">
        <f>IF($E85=0,"",(STIG_Metrics!D85)*$E85)</f>
        <v>40257</v>
      </c>
      <c r="H85" s="45">
        <f>IF($E85=0,"",(STIG_Metrics!E85)*$E85)</f>
        <v>38340</v>
      </c>
      <c r="I85" s="212">
        <f>IF($E85=0,"",(STIG_Metrics!G85)*$E85)</f>
        <v>38340</v>
      </c>
      <c r="J85" s="215">
        <f>IF($E85=0,"",(STIG_Metrics!D85-STIG_Metrics!E85)*$E85)</f>
        <v>1917</v>
      </c>
      <c r="K85" s="45">
        <f>IF($E85=0,"",(STIG_Metrics!D85-STIG_Metrics!G85)*$E85)</f>
        <v>1917</v>
      </c>
      <c r="L85" s="46" t="str">
        <f t="shared" si="28"/>
        <v>377 Days 3 Hrs</v>
      </c>
      <c r="M85" s="46" t="str">
        <f t="shared" si="29"/>
        <v>17 Days 7 Hrs</v>
      </c>
      <c r="N85" s="46" t="str">
        <f t="shared" si="30"/>
        <v>17 Days 7 Hrs</v>
      </c>
      <c r="O85" s="47">
        <f>IF($E85=0,"",STIG_Metrics!O85)</f>
        <v>20.000000000000004</v>
      </c>
      <c r="P85" s="47">
        <f>IF($E85=0,"",STIG_Metrics!P85)</f>
        <v>20.000000000000004</v>
      </c>
      <c r="Q85" s="48">
        <f t="shared" si="31"/>
        <v>301927.5</v>
      </c>
      <c r="R85" s="48">
        <f t="shared" si="20"/>
        <v>14377.5</v>
      </c>
      <c r="S85" s="48">
        <f t="shared" si="21"/>
        <v>14377.5</v>
      </c>
      <c r="T85" s="49">
        <f t="shared" si="32"/>
        <v>0</v>
      </c>
      <c r="U85" s="187">
        <f t="shared" si="33"/>
        <v>0</v>
      </c>
      <c r="V85" s="184">
        <f>IF($E85=0,"",IF(STIG_Metrics!L85=60,0,($E85/STIG_Metrics!L85)/24))</f>
        <v>125.80312500000001</v>
      </c>
      <c r="W85" s="50">
        <f>IF($E85=0,"",IF(STIG_Metrics!M85=60,0,($E85/STIG_Metrics!M85)/24))</f>
        <v>5.9906250000000005</v>
      </c>
      <c r="X85" s="50">
        <f>IF($E85=0,"",IF(STIG_Metrics!N85=60,0,($E85/STIG_Metrics!N85)/24))</f>
        <v>5.9906250000000005</v>
      </c>
      <c r="Y85" s="50">
        <f t="shared" si="34"/>
        <v>0</v>
      </c>
      <c r="Z85" s="51">
        <f>IF($E85=0,"",$E85/STIG_Metrics!L85)</f>
        <v>3019.2750000000001</v>
      </c>
      <c r="AA85" s="51">
        <f>IF($E85=0,"",$E85/STIG_Metrics!M85)</f>
        <v>143.77500000000001</v>
      </c>
      <c r="AB85" s="51">
        <f>IF($E85=0,"",$E85/STIG_Metrics!N85)</f>
        <v>143.77500000000001</v>
      </c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94"/>
    </row>
    <row r="86" spans="2:42">
      <c r="B86" s="85"/>
      <c r="C86" s="149"/>
      <c r="D86" s="195" t="str">
        <f>(STIG_Metrics!A86)</f>
        <v>Windows Server 2008 R2 MS</v>
      </c>
      <c r="E86" s="162">
        <v>0</v>
      </c>
      <c r="F86" s="164"/>
      <c r="G86" s="45" t="str">
        <f>IF($E86=0,"",(STIG_Metrics!D86)*$E86)</f>
        <v/>
      </c>
      <c r="H86" s="45" t="str">
        <f>IF($E86=0,"",(STIG_Metrics!E86)*$E86)</f>
        <v/>
      </c>
      <c r="I86" s="212" t="str">
        <f>IF($E86=0,"",(STIG_Metrics!G86)*$E86)</f>
        <v/>
      </c>
      <c r="J86" s="215" t="str">
        <f>IF($E86=0,"",(STIG_Metrics!D86-STIG_Metrics!E86)*$E86)</f>
        <v/>
      </c>
      <c r="K86" s="45" t="str">
        <f>IF($E86=0,"",(STIG_Metrics!D86-STIG_Metrics!G86)*$E86)</f>
        <v/>
      </c>
      <c r="L86" s="46" t="str">
        <f t="shared" si="28"/>
        <v/>
      </c>
      <c r="M86" s="46" t="str">
        <f t="shared" si="29"/>
        <v/>
      </c>
      <c r="N86" s="46" t="str">
        <f t="shared" si="30"/>
        <v/>
      </c>
      <c r="O86" s="47" t="str">
        <f>IF($E86=0,"",STIG_Metrics!O86)</f>
        <v/>
      </c>
      <c r="P86" s="47" t="str">
        <f>IF($E86=0,"",STIG_Metrics!P86)</f>
        <v/>
      </c>
      <c r="Q86" s="48" t="str">
        <f t="shared" si="31"/>
        <v/>
      </c>
      <c r="R86" s="48" t="str">
        <f t="shared" si="20"/>
        <v/>
      </c>
      <c r="S86" s="48" t="str">
        <f t="shared" si="21"/>
        <v/>
      </c>
      <c r="T86" s="49" t="str">
        <f t="shared" si="32"/>
        <v/>
      </c>
      <c r="U86" s="187" t="str">
        <f t="shared" si="33"/>
        <v/>
      </c>
      <c r="V86" s="184" t="str">
        <f>IF($E86=0,"",IF(STIG_Metrics!L86=60,0,($E86/STIG_Metrics!L86)/24))</f>
        <v/>
      </c>
      <c r="W86" s="50" t="str">
        <f>IF($E86=0,"",IF(STIG_Metrics!M86=60,0,($E86/STIG_Metrics!M86)/24))</f>
        <v/>
      </c>
      <c r="X86" s="50" t="str">
        <f>IF($E86=0,"",IF(STIG_Metrics!N86=60,0,($E86/STIG_Metrics!N86)/24))</f>
        <v/>
      </c>
      <c r="Y86" s="50" t="str">
        <f t="shared" si="34"/>
        <v/>
      </c>
      <c r="Z86" s="51" t="str">
        <f>IF($E86=0,"",$E86/STIG_Metrics!L86)</f>
        <v/>
      </c>
      <c r="AA86" s="51" t="str">
        <f>IF($E86=0,"",$E86/STIG_Metrics!M86)</f>
        <v/>
      </c>
      <c r="AB86" s="51" t="str">
        <f>IF($E86=0,"",$E86/STIG_Metrics!N86)</f>
        <v/>
      </c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94"/>
    </row>
    <row r="87" spans="2:42">
      <c r="B87" s="86"/>
      <c r="C87" s="149"/>
      <c r="D87" s="195" t="str">
        <f>(STIG_Metrics!A87)</f>
        <v>Windows Server 2012 DC</v>
      </c>
      <c r="E87" s="162">
        <v>1</v>
      </c>
      <c r="F87" s="164"/>
      <c r="G87" s="45">
        <f>IF($E87=0,"",(STIG_Metrics!D87)*$E87)</f>
        <v>364</v>
      </c>
      <c r="H87" s="45">
        <f>IF($E87=0,"",(STIG_Metrics!E87)*$E87)</f>
        <v>259</v>
      </c>
      <c r="I87" s="212">
        <f>IF($E87=0,"",(STIG_Metrics!G87)*$E87)</f>
        <v>318</v>
      </c>
      <c r="J87" s="215">
        <f>IF($E87=0,"",(STIG_Metrics!D87-STIG_Metrics!E87)*$E87)</f>
        <v>105</v>
      </c>
      <c r="K87" s="45">
        <f>IF($E87=0,"",(STIG_Metrics!D87-STIG_Metrics!G87)*$E87)</f>
        <v>46</v>
      </c>
      <c r="L87" s="46" t="str">
        <f t="shared" si="28"/>
        <v>3 Days 3 Hrs</v>
      </c>
      <c r="M87" s="46" t="str">
        <f t="shared" si="29"/>
        <v>0 Days 7 Hrs</v>
      </c>
      <c r="N87" s="46" t="str">
        <f t="shared" si="30"/>
        <v>0 Days 3 Hrs</v>
      </c>
      <c r="O87" s="47">
        <f>IF($E87=0,"",STIG_Metrics!O87)</f>
        <v>2.4666666666666663</v>
      </c>
      <c r="P87" s="47">
        <f>IF($E87=0,"",STIG_Metrics!P87)</f>
        <v>6.9130434782608701</v>
      </c>
      <c r="Q87" s="48">
        <f t="shared" si="31"/>
        <v>2730</v>
      </c>
      <c r="R87" s="48">
        <f t="shared" si="20"/>
        <v>787.5</v>
      </c>
      <c r="S87" s="48">
        <f t="shared" si="21"/>
        <v>345</v>
      </c>
      <c r="T87" s="49">
        <f t="shared" si="32"/>
        <v>17.700000000000003</v>
      </c>
      <c r="U87" s="187">
        <f t="shared" si="33"/>
        <v>1770.0000000000002</v>
      </c>
      <c r="V87" s="184">
        <f>IF($E87=0,"",IF(STIG_Metrics!L87=60,0,($E87/STIG_Metrics!L87)/24))</f>
        <v>1.1375</v>
      </c>
      <c r="W87" s="50">
        <f>IF($E87=0,"",IF(STIG_Metrics!M87=60,0,($E87/STIG_Metrics!M87)/24))</f>
        <v>0.328125</v>
      </c>
      <c r="X87" s="50">
        <f>IF($E87=0,"",IF(STIG_Metrics!N87=60,0,($E87/STIG_Metrics!N87)/24))</f>
        <v>0.14374999999999999</v>
      </c>
      <c r="Y87" s="50">
        <f t="shared" si="34"/>
        <v>0.18437500000000001</v>
      </c>
      <c r="Z87" s="51">
        <f>IF($E87=0,"",$E87/STIG_Metrics!L87)</f>
        <v>27.299999999999997</v>
      </c>
      <c r="AA87" s="51">
        <f>IF($E87=0,"",$E87/STIG_Metrics!M87)</f>
        <v>7.875</v>
      </c>
      <c r="AB87" s="51">
        <f>IF($E87=0,"",$E87/STIG_Metrics!N87)</f>
        <v>3.4499999999999997</v>
      </c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94"/>
    </row>
    <row r="88" spans="2:42">
      <c r="B88" s="86"/>
      <c r="C88" s="149"/>
      <c r="D88" s="195" t="str">
        <f>(STIG_Metrics!A88)</f>
        <v>Windows Server 2012 MS</v>
      </c>
      <c r="E88" s="162">
        <v>9</v>
      </c>
      <c r="F88" s="164"/>
      <c r="G88" s="45">
        <f>IF($E88=0,"",(STIG_Metrics!D88)*$E88)</f>
        <v>2961</v>
      </c>
      <c r="H88" s="45">
        <f>IF($E88=0,"",(STIG_Metrics!E88)*$E88)</f>
        <v>2232</v>
      </c>
      <c r="I88" s="212">
        <f>IF($E88=0,"",(STIG_Metrics!G88)*$E88)</f>
        <v>2673</v>
      </c>
      <c r="J88" s="215">
        <f>IF($E88=0,"",(STIG_Metrics!D88-STIG_Metrics!E88)*$E88)</f>
        <v>729</v>
      </c>
      <c r="K88" s="45">
        <f>IF($E88=0,"",(STIG_Metrics!D88-STIG_Metrics!G88)*$E88)</f>
        <v>288</v>
      </c>
      <c r="L88" s="46" t="str">
        <f t="shared" si="28"/>
        <v>27 Days 6 Hrs</v>
      </c>
      <c r="M88" s="46" t="str">
        <f t="shared" si="29"/>
        <v>6 Days 6 Hrs</v>
      </c>
      <c r="N88" s="46" t="str">
        <f t="shared" si="30"/>
        <v>2 Days 5 Hrs</v>
      </c>
      <c r="O88" s="47">
        <f>IF($E88=0,"",STIG_Metrics!O88)</f>
        <v>3.0617283950617282</v>
      </c>
      <c r="P88" s="47">
        <f>IF($E88=0,"",STIG_Metrics!P88)</f>
        <v>9.28125</v>
      </c>
      <c r="Q88" s="48">
        <f t="shared" si="31"/>
        <v>22207.5</v>
      </c>
      <c r="R88" s="48">
        <f t="shared" si="20"/>
        <v>5467.5</v>
      </c>
      <c r="S88" s="48">
        <f t="shared" si="21"/>
        <v>2160</v>
      </c>
      <c r="T88" s="49">
        <f t="shared" si="32"/>
        <v>132.29999999999998</v>
      </c>
      <c r="U88" s="187">
        <f t="shared" si="33"/>
        <v>13229.999999999998</v>
      </c>
      <c r="V88" s="184">
        <f>IF($E88=0,"",IF(STIG_Metrics!L88=60,0,($E88/STIG_Metrics!L88)/24))</f>
        <v>9.2531249999999989</v>
      </c>
      <c r="W88" s="50">
        <f>IF($E88=0,"",IF(STIG_Metrics!M88=60,0,($E88/STIG_Metrics!M88)/24))</f>
        <v>2.2781249999999997</v>
      </c>
      <c r="X88" s="50">
        <f>IF($E88=0,"",IF(STIG_Metrics!N88=60,0,($E88/STIG_Metrics!N88)/24))</f>
        <v>0.89999999999999991</v>
      </c>
      <c r="Y88" s="50">
        <f t="shared" si="34"/>
        <v>1.3781249999999998</v>
      </c>
      <c r="Z88" s="51">
        <f>IF($E88=0,"",$E88/STIG_Metrics!L88)</f>
        <v>222.07499999999999</v>
      </c>
      <c r="AA88" s="51">
        <f>IF($E88=0,"",$E88/STIG_Metrics!M88)</f>
        <v>54.674999999999997</v>
      </c>
      <c r="AB88" s="51">
        <f>IF($E88=0,"",$E88/STIG_Metrics!N88)</f>
        <v>21.599999999999998</v>
      </c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94"/>
    </row>
    <row r="89" spans="2:42">
      <c r="B89" s="116"/>
      <c r="C89" s="149"/>
      <c r="D89" s="195" t="str">
        <f>(STIG_Metrics!A89)</f>
        <v>Windows Server 2016</v>
      </c>
      <c r="E89" s="162">
        <v>65</v>
      </c>
      <c r="F89" s="164"/>
      <c r="G89" s="45">
        <f>IF($E89=0,"",(STIG_Metrics!D89)*$E89)</f>
        <v>17615</v>
      </c>
      <c r="H89" s="45">
        <f>IF($E89=0,"",(STIG_Metrics!E89)*$E89)</f>
        <v>13000</v>
      </c>
      <c r="I89" s="212">
        <f>IF($E89=0,"",(STIG_Metrics!G89)*$E89)</f>
        <v>15470</v>
      </c>
      <c r="J89" s="215">
        <f>IF($E89=0,"",(STIG_Metrics!D89-STIG_Metrics!E89)*$E89)</f>
        <v>4615</v>
      </c>
      <c r="K89" s="45">
        <f>IF($E89=0,"",(STIG_Metrics!D89-STIG_Metrics!G89)*$E89)</f>
        <v>2145</v>
      </c>
      <c r="L89" s="46" t="str">
        <f t="shared" si="28"/>
        <v>165 Days 1 Hrs</v>
      </c>
      <c r="M89" s="46" t="str">
        <f t="shared" si="29"/>
        <v>43 Days 2 Hrs</v>
      </c>
      <c r="N89" s="46" t="str">
        <f t="shared" si="30"/>
        <v>20 Days 0 Hrs</v>
      </c>
      <c r="O89" s="47">
        <f>IF($E89=0,"",STIG_Metrics!O89)</f>
        <v>2.816901408450704</v>
      </c>
      <c r="P89" s="47">
        <f>IF($E89=0,"",STIG_Metrics!P89)</f>
        <v>7.2121212121212119</v>
      </c>
      <c r="Q89" s="48">
        <f t="shared" si="31"/>
        <v>132112.5</v>
      </c>
      <c r="R89" s="48">
        <f t="shared" ref="R89:S91" si="35">IF($E89=0,"",((J89*$E$8/60)*$E$7))</f>
        <v>34612.5</v>
      </c>
      <c r="S89" s="48">
        <f t="shared" si="35"/>
        <v>16087.5</v>
      </c>
      <c r="T89" s="49">
        <f t="shared" si="32"/>
        <v>741</v>
      </c>
      <c r="U89" s="187">
        <f t="shared" si="33"/>
        <v>74100</v>
      </c>
      <c r="V89" s="185">
        <f>IF($E89=0,"",IF(STIG_Metrics!L89=60,0,($E89/STIG_Metrics!L89)/24))</f>
        <v>55.046875</v>
      </c>
      <c r="W89" s="52">
        <f>IF($E89=0,"",IF(STIG_Metrics!M89=60,0,($E89/STIG_Metrics!M89)/24))</f>
        <v>14.421875</v>
      </c>
      <c r="X89" s="52">
        <f>IF($E89=0,"",IF(STIG_Metrics!N89=60,0,($E89/STIG_Metrics!N89)/24))</f>
        <v>6.703125</v>
      </c>
      <c r="Y89" s="52">
        <f t="shared" si="34"/>
        <v>7.71875</v>
      </c>
      <c r="Z89" s="53">
        <f>IF($E89=0,"",$E89/STIG_Metrics!L89)</f>
        <v>1321.125</v>
      </c>
      <c r="AA89" s="53">
        <f>IF($E89=0,"",$E89/STIG_Metrics!M89)</f>
        <v>346.125</v>
      </c>
      <c r="AB89" s="53">
        <f>IF($E89=0,"",$E89/STIG_Metrics!N89)</f>
        <v>160.875</v>
      </c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16"/>
    </row>
    <row r="90" spans="2:42">
      <c r="B90" s="117"/>
      <c r="C90" s="149"/>
      <c r="D90" s="195" t="str">
        <f>(STIG_Metrics!A90)</f>
        <v>Windows Server 2019</v>
      </c>
      <c r="E90" s="162">
        <v>81</v>
      </c>
      <c r="F90" s="164"/>
      <c r="G90" s="45">
        <f>IF($E90=0,"",(STIG_Metrics!D90)*$E90)</f>
        <v>22113</v>
      </c>
      <c r="H90" s="45">
        <f>IF($E90=0,"",(STIG_Metrics!E90)*$E90)</f>
        <v>16362</v>
      </c>
      <c r="I90" s="212">
        <f>IF($E90=0,"",(STIG_Metrics!G90)*$E90)</f>
        <v>19440</v>
      </c>
      <c r="J90" s="215">
        <f>IF($E90=0,"",(STIG_Metrics!D90-STIG_Metrics!E90)*$E90)</f>
        <v>5751</v>
      </c>
      <c r="K90" s="45">
        <f>IF($E90=0,"",(STIG_Metrics!D90-STIG_Metrics!G90)*$E90)</f>
        <v>2673</v>
      </c>
      <c r="L90" s="46" t="str">
        <f t="shared" si="28"/>
        <v>207 Days 2 Hrs</v>
      </c>
      <c r="M90" s="46" t="str">
        <f t="shared" si="29"/>
        <v>53 Days 7 Hrs</v>
      </c>
      <c r="N90" s="46" t="str">
        <f t="shared" si="30"/>
        <v>25 Days 0 Hrs</v>
      </c>
      <c r="O90" s="47">
        <f>IF($E90=0,"",STIG_Metrics!O90)</f>
        <v>2.845070422535211</v>
      </c>
      <c r="P90" s="47">
        <f>IF($E90=0,"",STIG_Metrics!P90)</f>
        <v>7.2727272727272725</v>
      </c>
      <c r="Q90" s="48">
        <f t="shared" si="31"/>
        <v>165847.5</v>
      </c>
      <c r="R90" s="48">
        <f t="shared" si="35"/>
        <v>43132.5</v>
      </c>
      <c r="S90" s="48">
        <f t="shared" si="35"/>
        <v>20047.5</v>
      </c>
      <c r="T90" s="49">
        <f t="shared" si="32"/>
        <v>923.40000000000009</v>
      </c>
      <c r="U90" s="187">
        <f t="shared" si="33"/>
        <v>92340.000000000015</v>
      </c>
      <c r="V90" s="185">
        <f>IF($E90=0,"",IF(STIG_Metrics!L90=60,0,($E90/STIG_Metrics!L90)/24))</f>
        <v>69.103124999999991</v>
      </c>
      <c r="W90" s="52">
        <f>IF($E90=0,"",IF(STIG_Metrics!M90=60,0,($E90/STIG_Metrics!M90)/24))</f>
        <v>17.971875000000001</v>
      </c>
      <c r="X90" s="52">
        <f>IF($E90=0,"",IF(STIG_Metrics!N90=60,0,($E90/STIG_Metrics!N90)/24))</f>
        <v>8.3531250000000004</v>
      </c>
      <c r="Y90" s="52">
        <f t="shared" si="34"/>
        <v>9.6187500000000004</v>
      </c>
      <c r="Z90" s="53">
        <f>IF($E90=0,"",$E90/STIG_Metrics!L90)</f>
        <v>1658.4749999999999</v>
      </c>
      <c r="AA90" s="53">
        <f>IF($E90=0,"",$E90/STIG_Metrics!M90)</f>
        <v>431.32500000000005</v>
      </c>
      <c r="AB90" s="53">
        <f>IF($E90=0,"",$E90/STIG_Metrics!N90)</f>
        <v>200.47499999999999</v>
      </c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17"/>
    </row>
    <row r="91" spans="2:42" ht="15" thickBot="1">
      <c r="B91" s="117"/>
      <c r="C91" s="149"/>
      <c r="D91" s="195" t="str">
        <f>(STIG_Metrics!A91)</f>
        <v>Windows Server 2022</v>
      </c>
      <c r="E91" s="162">
        <v>0</v>
      </c>
      <c r="F91" s="165"/>
      <c r="G91" s="45" t="str">
        <f>IF($E91=0,"",(STIG_Metrics!D91)*$E91)</f>
        <v/>
      </c>
      <c r="H91" s="45" t="str">
        <f>IF($E91=0,"",(STIG_Metrics!E91)*$E91)</f>
        <v/>
      </c>
      <c r="I91" s="212" t="str">
        <f>IF($E91=0,"",(STIG_Metrics!G91)*$E91)</f>
        <v/>
      </c>
      <c r="J91" s="215" t="str">
        <f>IF($E91=0,"",(STIG_Metrics!D91-STIG_Metrics!E91)*$E91)</f>
        <v/>
      </c>
      <c r="K91" s="45" t="str">
        <f>IF($E91=0,"",(STIG_Metrics!D91-STIG_Metrics!G91)*$E91)</f>
        <v/>
      </c>
      <c r="L91" s="46" t="str">
        <f t="shared" si="28"/>
        <v/>
      </c>
      <c r="M91" s="46" t="str">
        <f t="shared" si="29"/>
        <v/>
      </c>
      <c r="N91" s="46" t="str">
        <f t="shared" si="30"/>
        <v/>
      </c>
      <c r="O91" s="47" t="str">
        <f>IF($E91=0,"",STIG_Metrics!O91)</f>
        <v/>
      </c>
      <c r="P91" s="47" t="str">
        <f>IF($E91=0,"",STIG_Metrics!P91)</f>
        <v/>
      </c>
      <c r="Q91" s="48" t="str">
        <f t="shared" si="31"/>
        <v/>
      </c>
      <c r="R91" s="48" t="str">
        <f t="shared" si="35"/>
        <v/>
      </c>
      <c r="S91" s="48" t="str">
        <f t="shared" si="35"/>
        <v/>
      </c>
      <c r="T91" s="49" t="str">
        <f t="shared" si="32"/>
        <v/>
      </c>
      <c r="U91" s="187" t="str">
        <f t="shared" si="33"/>
        <v/>
      </c>
      <c r="V91" s="185" t="str">
        <f>IF($E91=0,"",IF(STIG_Metrics!L91=60,0,($E91/STIG_Metrics!L91)/24))</f>
        <v/>
      </c>
      <c r="W91" s="52" t="str">
        <f>IF($E91=0,"",IF(STIG_Metrics!M91=60,0,($E91/STIG_Metrics!M91)/24))</f>
        <v/>
      </c>
      <c r="X91" s="52" t="str">
        <f>IF($E91=0,"",IF(STIG_Metrics!N91=60,0,($E91/STIG_Metrics!N91)/24))</f>
        <v/>
      </c>
      <c r="Y91" s="52" t="str">
        <f t="shared" si="34"/>
        <v/>
      </c>
      <c r="Z91" s="53" t="str">
        <f>IF($E91=0,"",$E91/STIG_Metrics!L91)</f>
        <v/>
      </c>
      <c r="AA91" s="53" t="str">
        <f>IF($E91=0,"",$E91/STIG_Metrics!M91)</f>
        <v/>
      </c>
      <c r="AB91" s="53" t="str">
        <f>IF($E91=0,"",$E91/STIG_Metrics!N91)</f>
        <v/>
      </c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17"/>
    </row>
    <row r="92" spans="2:42" hidden="1">
      <c r="B92" s="118"/>
      <c r="C92" s="149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82" t="s">
        <v>78</v>
      </c>
      <c r="V92" s="77">
        <f t="shared" ref="V92:AB92" si="36">SUM(V11:V91)</f>
        <v>3343.6781250000004</v>
      </c>
      <c r="W92" s="77">
        <f t="shared" si="36"/>
        <v>1177.95</v>
      </c>
      <c r="X92" s="77">
        <f t="shared" si="36"/>
        <v>105.02499999999999</v>
      </c>
      <c r="Y92" s="77">
        <f t="shared" si="36"/>
        <v>1072.9250000000002</v>
      </c>
      <c r="Z92" s="77">
        <f t="shared" si="36"/>
        <v>80248.275000000009</v>
      </c>
      <c r="AA92" s="77">
        <f t="shared" si="36"/>
        <v>28300.98333333333</v>
      </c>
      <c r="AB92" s="77">
        <f t="shared" si="36"/>
        <v>2678.5499999999993</v>
      </c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18"/>
    </row>
    <row r="93" spans="2:42" ht="15" hidden="1" thickBot="1">
      <c r="B93" s="119"/>
      <c r="C93" s="149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82" t="s">
        <v>70</v>
      </c>
      <c r="V93" s="78">
        <f>V92*3</f>
        <v>10031.034375000001</v>
      </c>
      <c r="W93" s="78">
        <f t="shared" ref="W93:X93" si="37">W92*3</f>
        <v>3533.8500000000004</v>
      </c>
      <c r="X93" s="78">
        <f t="shared" si="37"/>
        <v>315.07499999999999</v>
      </c>
      <c r="Y93" s="76"/>
      <c r="Z93" s="76"/>
      <c r="AA93" s="76"/>
      <c r="AB93" s="76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19"/>
    </row>
    <row r="94" spans="2:42" ht="15" thickTop="1">
      <c r="B94" s="119"/>
      <c r="C94" s="149"/>
      <c r="D94" s="166"/>
      <c r="E94" s="166"/>
      <c r="F94" s="147"/>
      <c r="G94" s="147"/>
      <c r="H94" s="147"/>
      <c r="I94" s="147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83"/>
      <c r="V94" s="150"/>
      <c r="W94" s="150"/>
      <c r="X94" s="150"/>
      <c r="Y94" s="151"/>
      <c r="Z94" s="151"/>
      <c r="AA94" s="151"/>
      <c r="AB94" s="151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19"/>
    </row>
    <row r="95" spans="2:42">
      <c r="B95" s="119"/>
      <c r="C95" s="119"/>
      <c r="D95" s="57"/>
      <c r="E95" s="57"/>
      <c r="F95" s="57"/>
      <c r="G95" s="57"/>
      <c r="H95" s="94"/>
      <c r="I95" s="94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</row>
  </sheetData>
  <sheetProtection sheet="1" objects="1" scenarios="1" selectLockedCells="1"/>
  <mergeCells count="11">
    <mergeCell ref="AJ9:AN9"/>
    <mergeCell ref="Z9:AB9"/>
    <mergeCell ref="AD9:AH9"/>
    <mergeCell ref="V9:Y9"/>
    <mergeCell ref="C2:J2"/>
    <mergeCell ref="C3:J3"/>
    <mergeCell ref="J4:U4"/>
    <mergeCell ref="T5:U5"/>
    <mergeCell ref="D9:E9"/>
    <mergeCell ref="D6:E6"/>
    <mergeCell ref="D4:E5"/>
  </mergeCells>
  <conditionalFormatting sqref="E7:E8"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E11:E91">
    <cfRule type="expression" dxfId="11" priority="16">
      <formula>MOD(ROW(),2)=1</formula>
    </cfRule>
    <cfRule type="expression" dxfId="10" priority="17">
      <formula>MOD(ROW(),2)=0</formula>
    </cfRule>
  </conditionalFormatting>
  <conditionalFormatting sqref="G11:K91">
    <cfRule type="expression" dxfId="9" priority="6">
      <formula>MOD(ROW(),2)=0</formula>
    </cfRule>
    <cfRule type="expression" dxfId="8" priority="7">
      <formula>MOD(ROW(),2)=1</formula>
    </cfRule>
  </conditionalFormatting>
  <conditionalFormatting sqref="L11:S91">
    <cfRule type="expression" dxfId="7" priority="4">
      <formula>MOD(ROW(),2)=0</formula>
    </cfRule>
    <cfRule type="expression" dxfId="6" priority="5">
      <formula>MOD(ROW(),2)=1</formula>
    </cfRule>
  </conditionalFormatting>
  <conditionalFormatting sqref="T11:U91">
    <cfRule type="expression" dxfId="5" priority="2">
      <formula>MOD(ROW(),2)=0</formula>
    </cfRule>
    <cfRule type="expression" dxfId="4" priority="3">
      <formula>MOD(ROW(),2)=1</formula>
    </cfRule>
  </conditionalFormatting>
  <dataValidations count="2">
    <dataValidation type="decimal" allowBlank="1" showInputMessage="1" showErrorMessage="1" errorTitle="Data Validation" error="Must be a whole number or decimal." sqref="E7:E8">
      <formula1>0</formula1>
      <formula2>1000000</formula2>
    </dataValidation>
    <dataValidation type="whole" showInputMessage="1" showErrorMessage="1" errorTitle="Data Validation" error="Must be a whole number." sqref="E11:F91">
      <formula1>0</formula1>
      <formula2>1000000</formula2>
    </dataValidation>
  </dataValidations>
  <pageMargins left="0.7" right="0.7" top="0.75" bottom="0.75" header="0.3" footer="0.3"/>
  <pageSetup orientation="portrait" r:id="rId1"/>
  <ignoredErrors>
    <ignoredError sqref="D11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CI2:CO33"/>
  <sheetViews>
    <sheetView showGridLines="0" showRowColHeaders="0" zoomScale="96" zoomScaleNormal="96" workbookViewId="0">
      <selection activeCell="CP14" sqref="CP14"/>
    </sheetView>
  </sheetViews>
  <sheetFormatPr defaultColWidth="9.1796875" defaultRowHeight="14.5"/>
  <cols>
    <col min="1" max="86" width="2.7265625" style="27" customWidth="1"/>
    <col min="87" max="87" width="3.453125" style="27" hidden="1" customWidth="1"/>
    <col min="88" max="89" width="14.453125" style="27" hidden="1" customWidth="1"/>
    <col min="90" max="90" width="20.26953125" style="27" hidden="1" customWidth="1"/>
    <col min="91" max="91" width="18.7265625" style="27" hidden="1" customWidth="1"/>
    <col min="92" max="92" width="15.7265625" style="27" bestFit="1" customWidth="1"/>
    <col min="93" max="93" width="15.7265625" style="105" bestFit="1" customWidth="1"/>
    <col min="94" max="16384" width="9.1796875" style="27"/>
  </cols>
  <sheetData>
    <row r="2" spans="88:93">
      <c r="CJ2" s="133" t="s">
        <v>99</v>
      </c>
      <c r="CK2" s="133"/>
      <c r="CL2" s="133"/>
      <c r="CM2" s="132"/>
      <c r="CO2" s="27"/>
    </row>
    <row r="3" spans="88:93">
      <c r="CJ3" s="106"/>
      <c r="CK3" s="103" t="s">
        <v>78</v>
      </c>
      <c r="CL3" s="103" t="s">
        <v>98</v>
      </c>
      <c r="CM3" s="108" t="s">
        <v>97</v>
      </c>
      <c r="CO3" s="27"/>
    </row>
    <row r="4" spans="88:93">
      <c r="CJ4" s="106" t="s">
        <v>85</v>
      </c>
      <c r="CK4" s="111">
        <f>Calculator!G7</f>
        <v>1069977</v>
      </c>
      <c r="CL4" s="109">
        <f>CK4/CK4</f>
        <v>1</v>
      </c>
      <c r="CM4" s="113">
        <f>CK4</f>
        <v>1069977</v>
      </c>
      <c r="CO4" s="27"/>
    </row>
    <row r="5" spans="88:93">
      <c r="CJ5" s="106" t="s">
        <v>149</v>
      </c>
      <c r="CK5" s="112">
        <f>Calculator!H7</f>
        <v>693033</v>
      </c>
      <c r="CL5" s="110">
        <f>CK5/CK4</f>
        <v>0.64770831522546746</v>
      </c>
      <c r="CM5" s="114" t="str">
        <f t="shared" ref="CM5:CM6" si="0">TEXT(CK5,"#,##")&amp;CHAR(10)&amp;" ("&amp;TEXT(CL5,"0.0%")&amp;")"</f>
        <v>693,033
 (64.8%)</v>
      </c>
      <c r="CO5" s="27"/>
    </row>
    <row r="6" spans="88:93">
      <c r="CJ6" s="106" t="s">
        <v>59</v>
      </c>
      <c r="CK6" s="111">
        <f>Calculator!I7</f>
        <v>1036369</v>
      </c>
      <c r="CL6" s="109">
        <f>CK6/CK4</f>
        <v>0.96858997903693256</v>
      </c>
      <c r="CM6" s="115" t="str">
        <f t="shared" si="0"/>
        <v>1,036,369
 (96.9%)</v>
      </c>
      <c r="CN6" s="105"/>
      <c r="CO6" s="27"/>
    </row>
    <row r="8" spans="88:93">
      <c r="CJ8" s="133" t="s">
        <v>100</v>
      </c>
      <c r="CK8" s="133"/>
      <c r="CL8" s="133"/>
      <c r="CM8" s="132"/>
    </row>
    <row r="9" spans="88:93">
      <c r="CJ9" s="106"/>
      <c r="CK9" s="103" t="s">
        <v>78</v>
      </c>
      <c r="CL9" s="103" t="s">
        <v>98</v>
      </c>
      <c r="CM9" s="108" t="s">
        <v>97</v>
      </c>
    </row>
    <row r="10" spans="88:93">
      <c r="CJ10" s="106" t="s">
        <v>85</v>
      </c>
      <c r="CK10" s="111">
        <f>Calculator!G7</f>
        <v>1069977</v>
      </c>
      <c r="CL10" s="109">
        <f>CK10/CK10</f>
        <v>1</v>
      </c>
      <c r="CM10" s="113">
        <f>CK10</f>
        <v>1069977</v>
      </c>
    </row>
    <row r="11" spans="88:93">
      <c r="CJ11" s="106" t="s">
        <v>149</v>
      </c>
      <c r="CK11" s="112">
        <f>Calculator!J7</f>
        <v>376944</v>
      </c>
      <c r="CL11" s="110">
        <f>CK11/CK10</f>
        <v>0.35229168477453254</v>
      </c>
      <c r="CM11" s="114" t="str">
        <f t="shared" ref="CM11:CM12" si="1">TEXT(CK11,"#,##")&amp;CHAR(10)&amp;" ("&amp;TEXT(CL11,"0.0%")&amp;")"</f>
        <v>376,944
 (35.2%)</v>
      </c>
    </row>
    <row r="12" spans="88:93">
      <c r="CJ12" s="106" t="s">
        <v>59</v>
      </c>
      <c r="CK12" s="111">
        <f>Calculator!K7</f>
        <v>33608</v>
      </c>
      <c r="CL12" s="109">
        <f>CK12/CK10</f>
        <v>3.1410020963067428E-2</v>
      </c>
      <c r="CM12" s="115" t="str">
        <f t="shared" si="1"/>
        <v>33,608
 (3.1%)</v>
      </c>
    </row>
    <row r="26" spans="87:91" ht="15" customHeight="1"/>
    <row r="27" spans="87:91">
      <c r="CI27" s="99"/>
      <c r="CJ27" s="99"/>
      <c r="CK27" s="99"/>
      <c r="CL27" s="99"/>
      <c r="CM27" s="99"/>
    </row>
    <row r="28" spans="87:91">
      <c r="CI28" s="133" t="s">
        <v>96</v>
      </c>
      <c r="CJ28" s="133"/>
      <c r="CK28" s="133"/>
      <c r="CL28" s="132"/>
      <c r="CM28" s="132"/>
    </row>
    <row r="29" spans="87:91">
      <c r="CI29" s="100"/>
      <c r="CJ29" s="103" t="s">
        <v>149</v>
      </c>
      <c r="CK29" s="104" t="s">
        <v>59</v>
      </c>
      <c r="CL29" s="104" t="s">
        <v>150</v>
      </c>
      <c r="CM29" s="107" t="s">
        <v>97</v>
      </c>
    </row>
    <row r="30" spans="87:91">
      <c r="CI30" s="100" t="s">
        <v>54</v>
      </c>
      <c r="CJ30" s="101">
        <f>Calculator!AK11</f>
        <v>5197747.5</v>
      </c>
      <c r="CK30" s="101">
        <f>Calculator!AK12</f>
        <v>7772767.5</v>
      </c>
      <c r="CL30" s="101">
        <f>CJ30+((CK30-CJ30)/2)</f>
        <v>6485257.5</v>
      </c>
      <c r="CM30" s="101">
        <f>CK30-CJ30</f>
        <v>2575020</v>
      </c>
    </row>
    <row r="31" spans="87:91">
      <c r="CI31" s="100" t="s">
        <v>55</v>
      </c>
      <c r="CJ31" s="102">
        <f>Calculator!AL11</f>
        <v>10395495</v>
      </c>
      <c r="CK31" s="102">
        <f>Calculator!AL12</f>
        <v>15545535</v>
      </c>
      <c r="CL31" s="102">
        <f t="shared" ref="CL31:CL33" si="2">CJ31+((CK31-CJ31)/2)</f>
        <v>12970515</v>
      </c>
      <c r="CM31" s="102">
        <f t="shared" ref="CM31:CM33" si="3">CK31-CJ31</f>
        <v>5150040</v>
      </c>
    </row>
    <row r="32" spans="87:91">
      <c r="CI32" s="100" t="s">
        <v>56</v>
      </c>
      <c r="CJ32" s="101">
        <f>Calculator!AM11</f>
        <v>15593242.5</v>
      </c>
      <c r="CK32" s="101">
        <f>Calculator!AM12</f>
        <v>23318302.5</v>
      </c>
      <c r="CL32" s="101">
        <f t="shared" si="2"/>
        <v>19455772.5</v>
      </c>
      <c r="CM32" s="101">
        <f t="shared" si="3"/>
        <v>7725060</v>
      </c>
    </row>
    <row r="33" spans="87:91">
      <c r="CI33" s="100" t="s">
        <v>57</v>
      </c>
      <c r="CJ33" s="102">
        <f>Calculator!AN11</f>
        <v>20790990</v>
      </c>
      <c r="CK33" s="102">
        <f>Calculator!AN12</f>
        <v>31091070</v>
      </c>
      <c r="CL33" s="102">
        <f t="shared" si="2"/>
        <v>25941030</v>
      </c>
      <c r="CM33" s="102">
        <f t="shared" si="3"/>
        <v>10300080</v>
      </c>
    </row>
  </sheetData>
  <sheetProtection sheet="1" objects="1" scenarios="1" selectLockedCells="1" selectUnlockedCells="1"/>
  <mergeCells count="3">
    <mergeCell ref="CJ2:CM2"/>
    <mergeCell ref="CJ8:CM8"/>
    <mergeCell ref="CI28:CM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Y93"/>
  <sheetViews>
    <sheetView showGridLines="0" zoomScaleNormal="100" workbookViewId="0">
      <pane ySplit="10" topLeftCell="A11" activePane="bottomLeft" state="frozen"/>
      <selection pane="bottomLeft" activeCell="A11" sqref="A11"/>
    </sheetView>
  </sheetViews>
  <sheetFormatPr defaultRowHeight="14.5"/>
  <cols>
    <col min="1" max="1" width="43.7265625" style="4" customWidth="1"/>
    <col min="2" max="3" width="11.7265625" style="5" customWidth="1"/>
    <col min="4" max="4" width="18.7265625" style="5" customWidth="1"/>
    <col min="5" max="5" width="18.7265625" customWidth="1"/>
    <col min="6" max="6" width="18.7265625" style="27" customWidth="1"/>
    <col min="7" max="8" width="18.7265625" customWidth="1"/>
    <col min="9" max="9" width="18.7265625" style="27" customWidth="1"/>
    <col min="10" max="14" width="18.7265625" customWidth="1"/>
    <col min="15" max="17" width="18.7265625" style="27" customWidth="1"/>
    <col min="18" max="18" width="30.7265625" customWidth="1"/>
    <col min="19" max="19" width="30.7265625" style="27" customWidth="1"/>
    <col min="20" max="20" width="30.7265625" customWidth="1"/>
  </cols>
  <sheetData>
    <row r="1" spans="1:20" s="27" customFormat="1" ht="67.5" customHeight="1">
      <c r="A1" s="134" t="s">
        <v>164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</row>
    <row r="2" spans="1:20" s="27" customFormat="1" ht="15" hidden="1" customHeight="1">
      <c r="A2" s="44" t="s">
        <v>77</v>
      </c>
      <c r="B2" s="44"/>
      <c r="C2" s="120"/>
      <c r="D2" s="44"/>
      <c r="E2" s="44"/>
      <c r="F2" s="120"/>
      <c r="G2" s="44"/>
      <c r="H2" s="44"/>
      <c r="I2" s="120"/>
      <c r="J2" s="44"/>
      <c r="K2" s="44"/>
      <c r="L2" s="44"/>
      <c r="M2" s="44"/>
      <c r="N2" s="44"/>
      <c r="O2" s="44"/>
      <c r="P2" s="44"/>
      <c r="Q2" s="44"/>
      <c r="R2" s="44"/>
      <c r="S2" s="120"/>
      <c r="T2" s="44"/>
    </row>
    <row r="3" spans="1:20" s="27" customFormat="1" ht="15" hidden="1" customHeight="1">
      <c r="A3" s="44" t="s">
        <v>77</v>
      </c>
      <c r="B3" s="44"/>
      <c r="C3" s="120"/>
      <c r="D3" s="44"/>
      <c r="E3" s="44"/>
      <c r="F3" s="120"/>
      <c r="G3" s="44"/>
      <c r="H3" s="44"/>
      <c r="I3" s="120"/>
      <c r="J3" s="44"/>
      <c r="K3" s="44"/>
      <c r="L3" s="44"/>
      <c r="M3" s="44"/>
      <c r="N3" s="44"/>
      <c r="O3" s="44"/>
      <c r="P3" s="44"/>
      <c r="Q3" s="44"/>
      <c r="R3" s="44"/>
      <c r="S3" s="120"/>
      <c r="T3" s="44"/>
    </row>
    <row r="4" spans="1:20" s="27" customFormat="1" ht="15" hidden="1" customHeight="1">
      <c r="A4" s="44" t="s">
        <v>77</v>
      </c>
      <c r="B4" s="44"/>
      <c r="C4" s="120"/>
      <c r="D4" s="44"/>
      <c r="E4" s="44"/>
      <c r="F4" s="120"/>
      <c r="G4" s="44"/>
      <c r="H4" s="44"/>
      <c r="I4" s="120"/>
      <c r="J4" s="44"/>
      <c r="K4" s="44"/>
      <c r="L4" s="44"/>
      <c r="M4" s="44"/>
      <c r="N4" s="44"/>
      <c r="O4" s="44"/>
      <c r="P4" s="44"/>
      <c r="Q4" s="44"/>
      <c r="R4" s="44"/>
      <c r="S4" s="120"/>
      <c r="T4" s="44"/>
    </row>
    <row r="5" spans="1:20" s="27" customFormat="1" ht="15" hidden="1" customHeight="1">
      <c r="A5" s="44" t="s">
        <v>77</v>
      </c>
      <c r="B5" s="44"/>
      <c r="C5" s="120"/>
      <c r="D5" s="44"/>
      <c r="E5" s="44"/>
      <c r="F5" s="120"/>
      <c r="G5" s="44"/>
      <c r="H5" s="44"/>
      <c r="I5" s="120"/>
      <c r="J5" s="44"/>
      <c r="K5" s="44"/>
      <c r="L5" s="44"/>
      <c r="M5" s="44"/>
      <c r="N5" s="44"/>
      <c r="O5" s="44"/>
      <c r="P5" s="44"/>
      <c r="Q5" s="44"/>
      <c r="R5" s="44"/>
      <c r="S5" s="120"/>
      <c r="T5" s="44"/>
    </row>
    <row r="6" spans="1:20" s="27" customFormat="1" ht="15" hidden="1" customHeight="1">
      <c r="A6" s="44" t="s">
        <v>77</v>
      </c>
      <c r="B6" s="44"/>
      <c r="C6" s="120"/>
      <c r="D6" s="44"/>
      <c r="E6" s="44"/>
      <c r="F6" s="120"/>
      <c r="G6" s="44"/>
      <c r="H6" s="44"/>
      <c r="I6" s="120"/>
      <c r="J6" s="44"/>
      <c r="K6" s="44"/>
      <c r="L6" s="44"/>
      <c r="M6" s="44"/>
      <c r="N6" s="44"/>
      <c r="O6" s="44"/>
      <c r="P6" s="44"/>
      <c r="Q6" s="44"/>
      <c r="R6" s="44"/>
      <c r="S6" s="120"/>
      <c r="T6" s="44"/>
    </row>
    <row r="7" spans="1:20" s="27" customFormat="1" ht="15" hidden="1" customHeight="1">
      <c r="A7" s="44" t="s">
        <v>77</v>
      </c>
      <c r="B7" s="44"/>
      <c r="C7" s="120"/>
      <c r="D7" s="44"/>
      <c r="E7" s="44"/>
      <c r="F7" s="120"/>
      <c r="G7" s="44"/>
      <c r="H7" s="44"/>
      <c r="I7" s="120"/>
      <c r="J7" s="44"/>
      <c r="K7" s="44"/>
      <c r="L7" s="44"/>
      <c r="M7" s="44"/>
      <c r="N7" s="44"/>
      <c r="O7" s="44"/>
      <c r="P7" s="44"/>
      <c r="Q7" s="44"/>
      <c r="R7" s="44"/>
      <c r="S7" s="120"/>
      <c r="T7" s="44"/>
    </row>
    <row r="8" spans="1:20" s="27" customFormat="1" ht="15" hidden="1" customHeight="1">
      <c r="A8" s="44" t="s">
        <v>77</v>
      </c>
      <c r="B8" s="44"/>
      <c r="C8" s="120"/>
      <c r="D8" s="44"/>
      <c r="E8" s="44"/>
      <c r="F8" s="120"/>
      <c r="G8" s="44"/>
      <c r="H8" s="44"/>
      <c r="I8" s="120"/>
      <c r="J8" s="44"/>
      <c r="K8" s="44"/>
      <c r="L8" s="44"/>
      <c r="M8" s="44"/>
      <c r="N8" s="44"/>
      <c r="O8" s="44"/>
      <c r="P8" s="44"/>
      <c r="Q8" s="44"/>
      <c r="R8" s="44"/>
      <c r="S8" s="120"/>
      <c r="T8" s="44"/>
    </row>
    <row r="9" spans="1:20" s="3" customFormat="1" ht="15" hidden="1" customHeight="1">
      <c r="A9" s="44" t="s">
        <v>77</v>
      </c>
    </row>
    <row r="10" spans="1:20" s="3" customFormat="1" ht="60" customHeight="1">
      <c r="A10" s="22" t="s">
        <v>3</v>
      </c>
      <c r="B10" s="23" t="s">
        <v>140</v>
      </c>
      <c r="C10" s="23" t="s">
        <v>141</v>
      </c>
      <c r="D10" s="23" t="s">
        <v>7</v>
      </c>
      <c r="E10" s="23" t="s">
        <v>137</v>
      </c>
      <c r="F10" s="23" t="s">
        <v>139</v>
      </c>
      <c r="G10" s="23" t="s">
        <v>8</v>
      </c>
      <c r="H10" s="23" t="s">
        <v>138</v>
      </c>
      <c r="I10" s="23" t="s">
        <v>142</v>
      </c>
      <c r="J10" s="23" t="s">
        <v>48</v>
      </c>
      <c r="K10" s="23" t="s">
        <v>145</v>
      </c>
      <c r="L10" s="23" t="s">
        <v>9</v>
      </c>
      <c r="M10" s="23" t="s">
        <v>146</v>
      </c>
      <c r="N10" s="23" t="s">
        <v>10</v>
      </c>
      <c r="O10" s="23" t="s">
        <v>147</v>
      </c>
      <c r="P10" s="23" t="s">
        <v>64</v>
      </c>
      <c r="Q10" s="23" t="s">
        <v>148</v>
      </c>
      <c r="R10" s="24" t="s">
        <v>144</v>
      </c>
      <c r="S10" s="24" t="s">
        <v>143</v>
      </c>
      <c r="T10" s="25" t="s">
        <v>11</v>
      </c>
    </row>
    <row r="11" spans="1:20" s="127" customFormat="1" ht="20.149999999999999" customHeight="1">
      <c r="A11" s="7" t="s">
        <v>103</v>
      </c>
      <c r="B11" s="121"/>
      <c r="C11" s="121"/>
      <c r="D11" s="121">
        <v>36</v>
      </c>
      <c r="E11" s="122">
        <v>0</v>
      </c>
      <c r="F11" s="122">
        <v>0</v>
      </c>
      <c r="G11" s="123">
        <v>19</v>
      </c>
      <c r="H11" s="123">
        <f>G11-E11</f>
        <v>19</v>
      </c>
      <c r="I11" s="123">
        <f>G11-F11</f>
        <v>19</v>
      </c>
      <c r="J11" s="124">
        <f>PRODUCT($D11,Calculator!$E$8)</f>
        <v>162</v>
      </c>
      <c r="K11" s="123">
        <f>PRODUCT($H11,Calculator!$E$8)</f>
        <v>85.5</v>
      </c>
      <c r="L11" s="125">
        <f>60/($D11*Calculator!$E$8)</f>
        <v>0.37037037037037035</v>
      </c>
      <c r="M11" s="125">
        <f>IF(($D11=$E11),60,60/(($D11-$E11)*Calculator!$E$8))</f>
        <v>0.37037037037037035</v>
      </c>
      <c r="N11" s="125">
        <f>IF(($D11=$G11),60,60/(($D11-$G11)*Calculator!$E$8))</f>
        <v>0.78431372549019607</v>
      </c>
      <c r="O11" s="126">
        <f>(M11-L11)/L11</f>
        <v>0</v>
      </c>
      <c r="P11" s="126">
        <f>(N11-L11)/L11</f>
        <v>1.1176470588235294</v>
      </c>
      <c r="Q11" s="126">
        <f>(N11-M11)/M11</f>
        <v>1.1176470588235294</v>
      </c>
      <c r="R11" s="31">
        <f t="shared" ref="R11:R12" si="0" xml:space="preserve"> E11/D11</f>
        <v>0</v>
      </c>
      <c r="S11" s="129">
        <f xml:space="preserve"> F11/D11</f>
        <v>0</v>
      </c>
      <c r="T11" s="16">
        <f t="shared" ref="T11:T12" si="1">G11/D11</f>
        <v>0.52777777777777779</v>
      </c>
    </row>
    <row r="12" spans="1:20" s="128" customFormat="1" ht="20.149999999999999" customHeight="1">
      <c r="A12" s="7" t="s">
        <v>104</v>
      </c>
      <c r="B12" s="121"/>
      <c r="C12" s="121"/>
      <c r="D12" s="121">
        <v>5</v>
      </c>
      <c r="E12" s="122">
        <v>0</v>
      </c>
      <c r="F12" s="122">
        <v>0</v>
      </c>
      <c r="G12" s="123">
        <v>3</v>
      </c>
      <c r="H12" s="123">
        <f>G12-E12</f>
        <v>3</v>
      </c>
      <c r="I12" s="123">
        <f t="shared" ref="I12:I75" si="2">G12-F12</f>
        <v>3</v>
      </c>
      <c r="J12" s="124">
        <f>PRODUCT($D12,Calculator!$E$8)</f>
        <v>22.5</v>
      </c>
      <c r="K12" s="123">
        <f>PRODUCT($H12,Calculator!$E$8)</f>
        <v>13.5</v>
      </c>
      <c r="L12" s="125">
        <f>60/($D12*Calculator!$E$8)</f>
        <v>2.6666666666666665</v>
      </c>
      <c r="M12" s="125">
        <f>IF(($D12=$E12),60,60/(($D12-$E12)*Calculator!$E$8))</f>
        <v>2.6666666666666665</v>
      </c>
      <c r="N12" s="125">
        <f>IF(($D12=$G12),60,60/(($D12-$G12)*Calculator!$E$8))</f>
        <v>6.666666666666667</v>
      </c>
      <c r="O12" s="126">
        <f>(M12-L12)/L12</f>
        <v>0</v>
      </c>
      <c r="P12" s="126">
        <f>(N12-L12)/L12</f>
        <v>1.5</v>
      </c>
      <c r="Q12" s="126">
        <f>(N12-M12)/M12</f>
        <v>1.5</v>
      </c>
      <c r="R12" s="31">
        <f t="shared" si="0"/>
        <v>0</v>
      </c>
      <c r="S12" s="129">
        <f t="shared" ref="S12:S75" si="3" xml:space="preserve"> F12/D12</f>
        <v>0</v>
      </c>
      <c r="T12" s="16">
        <f t="shared" si="1"/>
        <v>0.6</v>
      </c>
    </row>
    <row r="13" spans="1:20" ht="20.149999999999999" customHeight="1">
      <c r="A13" s="15" t="s">
        <v>89</v>
      </c>
      <c r="B13" s="9"/>
      <c r="C13" s="9"/>
      <c r="D13" s="10">
        <v>26</v>
      </c>
      <c r="E13" s="10">
        <v>0</v>
      </c>
      <c r="F13" s="10">
        <v>0</v>
      </c>
      <c r="G13" s="10">
        <v>25</v>
      </c>
      <c r="H13" s="10">
        <f t="shared" ref="H13:H53" si="4">G13-E13</f>
        <v>25</v>
      </c>
      <c r="I13" s="123">
        <f t="shared" si="2"/>
        <v>25</v>
      </c>
      <c r="J13" s="10">
        <f>PRODUCT($D13,Calculator!$E$8)</f>
        <v>117</v>
      </c>
      <c r="K13" s="11">
        <f>PRODUCT($H13,Calculator!$E$8)</f>
        <v>112.5</v>
      </c>
      <c r="L13" s="12">
        <f>60/($D13*Calculator!$E$8)</f>
        <v>0.51282051282051277</v>
      </c>
      <c r="M13" s="12">
        <f>IF(($D13=$E13),60,60/(($D13-$E13)*Calculator!$E$8))</f>
        <v>0.51282051282051277</v>
      </c>
      <c r="N13" s="28">
        <f>IF(($D13=$G13),60,60/(($D13-$G13)*Calculator!$E$8))</f>
        <v>13.333333333333334</v>
      </c>
      <c r="O13" s="35">
        <f t="shared" ref="O13:O53" si="5">(M13-L13)/L13</f>
        <v>0</v>
      </c>
      <c r="P13" s="35">
        <f t="shared" ref="P13:P53" si="6">(N13-L13)/L13</f>
        <v>25.000000000000004</v>
      </c>
      <c r="Q13" s="35">
        <f t="shared" ref="Q13:Q53" si="7">(N13-M13)/M13</f>
        <v>25.000000000000004</v>
      </c>
      <c r="R13" s="31">
        <f t="shared" ref="R13:R53" si="8" xml:space="preserve"> E13/D13</f>
        <v>0</v>
      </c>
      <c r="S13" s="129">
        <f t="shared" si="3"/>
        <v>0</v>
      </c>
      <c r="T13" s="16">
        <f t="shared" ref="T13:T53" si="9">G13/D13</f>
        <v>0.96153846153846156</v>
      </c>
    </row>
    <row r="14" spans="1:20" ht="20.149999999999999" customHeight="1">
      <c r="A14" s="15" t="s">
        <v>105</v>
      </c>
      <c r="B14" s="9"/>
      <c r="C14" s="9"/>
      <c r="D14" s="10">
        <v>23</v>
      </c>
      <c r="E14" s="11">
        <v>0</v>
      </c>
      <c r="F14" s="11">
        <v>0</v>
      </c>
      <c r="G14" s="11">
        <v>23</v>
      </c>
      <c r="H14" s="11">
        <f>G14-E14</f>
        <v>23</v>
      </c>
      <c r="I14" s="123">
        <f t="shared" si="2"/>
        <v>23</v>
      </c>
      <c r="J14" s="37">
        <f>PRODUCT($D14,Calculator!$E$8)</f>
        <v>103.5</v>
      </c>
      <c r="K14" s="11">
        <f>PRODUCT($H14,Calculator!$E$8)</f>
        <v>103.5</v>
      </c>
      <c r="L14" s="12">
        <f>60/($D14*Calculator!$E$8)</f>
        <v>0.57971014492753625</v>
      </c>
      <c r="M14" s="12">
        <f>IF(($D14=$E14),60,60/(($D14-$E14)*Calculator!$E$8))</f>
        <v>0.57971014492753625</v>
      </c>
      <c r="N14" s="12">
        <f>IF(($D14=$G14),60,60/(($D14-$G14)*Calculator!$E$8))</f>
        <v>60</v>
      </c>
      <c r="O14" s="35">
        <f>(M14-L14)/L14</f>
        <v>0</v>
      </c>
      <c r="P14" s="35">
        <f>(N14-L14)/L14</f>
        <v>102.49999999999999</v>
      </c>
      <c r="Q14" s="35">
        <f>(N14-M14)/M14</f>
        <v>102.49999999999999</v>
      </c>
      <c r="R14" s="38">
        <f xml:space="preserve"> E14/D14</f>
        <v>0</v>
      </c>
      <c r="S14" s="129">
        <f t="shared" si="3"/>
        <v>0</v>
      </c>
      <c r="T14" s="17">
        <f>G14/D14</f>
        <v>1</v>
      </c>
    </row>
    <row r="15" spans="1:20" ht="20.149999999999999" customHeight="1">
      <c r="A15" s="7" t="s">
        <v>106</v>
      </c>
      <c r="B15" s="9"/>
      <c r="C15" s="9"/>
      <c r="D15" s="10">
        <v>23</v>
      </c>
      <c r="E15" s="11">
        <v>0</v>
      </c>
      <c r="F15" s="11">
        <v>0</v>
      </c>
      <c r="G15" s="13">
        <v>22</v>
      </c>
      <c r="H15" s="10">
        <f t="shared" si="4"/>
        <v>22</v>
      </c>
      <c r="I15" s="123">
        <f t="shared" si="2"/>
        <v>22</v>
      </c>
      <c r="J15" s="10">
        <f>PRODUCT($D15,Calculator!$E$8)</f>
        <v>103.5</v>
      </c>
      <c r="K15" s="13">
        <f>PRODUCT($H15,Calculator!$E$8)</f>
        <v>99</v>
      </c>
      <c r="L15" s="14">
        <f>60/($D15*Calculator!$E$8)</f>
        <v>0.57971014492753625</v>
      </c>
      <c r="M15" s="12">
        <f>IF(($D15=$E15),60,60/(($D15-$E15)*Calculator!$E$8))</f>
        <v>0.57971014492753625</v>
      </c>
      <c r="N15" s="29">
        <f>IF(($D15=$G15),60,60/(($D15-$G15)*Calculator!$E$8))</f>
        <v>13.333333333333334</v>
      </c>
      <c r="O15" s="36">
        <f t="shared" si="5"/>
        <v>0</v>
      </c>
      <c r="P15" s="35">
        <f t="shared" si="6"/>
        <v>22</v>
      </c>
      <c r="Q15" s="36">
        <f t="shared" si="7"/>
        <v>22</v>
      </c>
      <c r="R15" s="32">
        <f t="shared" si="8"/>
        <v>0</v>
      </c>
      <c r="S15" s="129">
        <f t="shared" si="3"/>
        <v>0</v>
      </c>
      <c r="T15" s="17">
        <f t="shared" si="9"/>
        <v>0.95652173913043481</v>
      </c>
    </row>
    <row r="16" spans="1:20" ht="20.149999999999999" customHeight="1">
      <c r="A16" s="7" t="s">
        <v>107</v>
      </c>
      <c r="B16" s="9" t="s">
        <v>12</v>
      </c>
      <c r="C16" s="9"/>
      <c r="D16" s="10">
        <v>26</v>
      </c>
      <c r="E16" s="11">
        <v>22</v>
      </c>
      <c r="F16" s="11">
        <v>0</v>
      </c>
      <c r="G16" s="13">
        <v>26</v>
      </c>
      <c r="H16" s="11">
        <f>G16-E16</f>
        <v>4</v>
      </c>
      <c r="I16" s="123">
        <f t="shared" si="2"/>
        <v>26</v>
      </c>
      <c r="J16" s="37">
        <f>PRODUCT($D16,Calculator!$E$8)</f>
        <v>117</v>
      </c>
      <c r="K16" s="13">
        <f>PRODUCT($H16,Calculator!$E$8)</f>
        <v>18</v>
      </c>
      <c r="L16" s="12">
        <f>60/($D16*Calculator!$E$8)</f>
        <v>0.51282051282051277</v>
      </c>
      <c r="M16" s="12">
        <f>IF(($D16=$E16),60,60/(($D16-$E16)*Calculator!$E$8))</f>
        <v>3.3333333333333335</v>
      </c>
      <c r="N16" s="12">
        <f>IF(($D16=$G16),60,60/(($D16-$G16)*Calculator!$E$8))</f>
        <v>60</v>
      </c>
      <c r="O16" s="35">
        <f>(M16-L16)/L16</f>
        <v>5.5000000000000009</v>
      </c>
      <c r="P16" s="35">
        <f>(N16-L16)/L16</f>
        <v>116.00000000000001</v>
      </c>
      <c r="Q16" s="35">
        <f>(N16-M16)/M16</f>
        <v>17</v>
      </c>
      <c r="R16" s="38">
        <f xml:space="preserve"> E16/D16</f>
        <v>0.84615384615384615</v>
      </c>
      <c r="S16" s="129">
        <f t="shared" si="3"/>
        <v>0</v>
      </c>
      <c r="T16" s="17">
        <f>G16/D16</f>
        <v>1</v>
      </c>
    </row>
    <row r="17" spans="1:25" ht="20.149999999999999" customHeight="1">
      <c r="A17" s="7" t="s">
        <v>108</v>
      </c>
      <c r="B17" s="9" t="s">
        <v>12</v>
      </c>
      <c r="C17" s="9" t="s">
        <v>12</v>
      </c>
      <c r="D17" s="10">
        <v>26</v>
      </c>
      <c r="E17" s="11">
        <v>22</v>
      </c>
      <c r="F17" s="11">
        <v>22</v>
      </c>
      <c r="G17" s="13">
        <v>25</v>
      </c>
      <c r="H17" s="11">
        <f>G17-E17</f>
        <v>3</v>
      </c>
      <c r="I17" s="123">
        <f t="shared" si="2"/>
        <v>3</v>
      </c>
      <c r="J17" s="37">
        <f>PRODUCT($D17,Calculator!$E$8)</f>
        <v>117</v>
      </c>
      <c r="K17" s="13">
        <f>PRODUCT($H17,Calculator!$E$8)</f>
        <v>13.5</v>
      </c>
      <c r="L17" s="12">
        <f>60/($D17*Calculator!$E$8)</f>
        <v>0.51282051282051277</v>
      </c>
      <c r="M17" s="12">
        <f>IF(($D17=$E17),60,60/(($D17-$E17)*Calculator!$E$8))</f>
        <v>3.3333333333333335</v>
      </c>
      <c r="N17" s="12">
        <f>IF(($D17=$G17),60,60/(($D17-$G17)*Calculator!$E$8))</f>
        <v>13.333333333333334</v>
      </c>
      <c r="O17" s="35">
        <f>(M17-L17)/L17</f>
        <v>5.5000000000000009</v>
      </c>
      <c r="P17" s="35">
        <f>(N17-L17)/L17</f>
        <v>25.000000000000004</v>
      </c>
      <c r="Q17" s="35">
        <f>(N17-M17)/M17</f>
        <v>3</v>
      </c>
      <c r="R17" s="38">
        <f xml:space="preserve"> E17/D17</f>
        <v>0.84615384615384615</v>
      </c>
      <c r="S17" s="129">
        <f t="shared" si="3"/>
        <v>0.84615384615384615</v>
      </c>
      <c r="T17" s="17">
        <f>G17/D17</f>
        <v>0.96153846153846156</v>
      </c>
    </row>
    <row r="18" spans="1:25" ht="20.149999999999999" customHeight="1">
      <c r="A18" s="7" t="s">
        <v>109</v>
      </c>
      <c r="B18" s="9"/>
      <c r="C18" s="9"/>
      <c r="D18" s="10">
        <v>47</v>
      </c>
      <c r="E18" s="11">
        <v>0</v>
      </c>
      <c r="F18" s="11">
        <v>0</v>
      </c>
      <c r="G18" s="13">
        <v>22</v>
      </c>
      <c r="H18" s="11">
        <f t="shared" si="4"/>
        <v>22</v>
      </c>
      <c r="I18" s="123">
        <f t="shared" si="2"/>
        <v>22</v>
      </c>
      <c r="J18" s="37">
        <f>PRODUCT($D18,Calculator!$E$8)</f>
        <v>211.5</v>
      </c>
      <c r="K18" s="13">
        <f>PRODUCT($H18,Calculator!$E$8)</f>
        <v>99</v>
      </c>
      <c r="L18" s="12">
        <f>60/($D18*Calculator!$E$8)</f>
        <v>0.28368794326241137</v>
      </c>
      <c r="M18" s="12">
        <f>IF(($D18=$E18),60,60/(($D18-$E18)*Calculator!$E$8))</f>
        <v>0.28368794326241137</v>
      </c>
      <c r="N18" s="12">
        <f>IF(($D18=$G18),60,60/(($D18-$G18)*Calculator!$E$8))</f>
        <v>0.53333333333333333</v>
      </c>
      <c r="O18" s="35">
        <f t="shared" si="5"/>
        <v>0</v>
      </c>
      <c r="P18" s="35">
        <f t="shared" si="6"/>
        <v>0.87999999999999978</v>
      </c>
      <c r="Q18" s="35">
        <f t="shared" si="7"/>
        <v>0.87999999999999978</v>
      </c>
      <c r="R18" s="38">
        <f t="shared" si="8"/>
        <v>0</v>
      </c>
      <c r="S18" s="129">
        <f t="shared" si="3"/>
        <v>0</v>
      </c>
      <c r="T18" s="17">
        <f t="shared" si="9"/>
        <v>0.46808510638297873</v>
      </c>
    </row>
    <row r="19" spans="1:25" ht="20.149999999999999" customHeight="1">
      <c r="A19" s="7" t="s">
        <v>110</v>
      </c>
      <c r="B19" s="9"/>
      <c r="C19" s="9"/>
      <c r="D19" s="10">
        <v>54</v>
      </c>
      <c r="E19" s="11">
        <v>0</v>
      </c>
      <c r="F19" s="11">
        <v>0</v>
      </c>
      <c r="G19" s="13">
        <v>25</v>
      </c>
      <c r="H19" s="11">
        <f t="shared" si="4"/>
        <v>25</v>
      </c>
      <c r="I19" s="123">
        <f t="shared" si="2"/>
        <v>25</v>
      </c>
      <c r="J19" s="37">
        <f>PRODUCT($D19,Calculator!$E$8)</f>
        <v>243</v>
      </c>
      <c r="K19" s="13">
        <f>PRODUCT($H19,Calculator!$E$8)</f>
        <v>112.5</v>
      </c>
      <c r="L19" s="12">
        <f>60/($D19*Calculator!$E$8)</f>
        <v>0.24691358024691357</v>
      </c>
      <c r="M19" s="12">
        <f>IF(($D19=$E19),60,60/(($D19-$E19)*Calculator!$E$8))</f>
        <v>0.24691358024691357</v>
      </c>
      <c r="N19" s="12">
        <f>IF(($D19=$G19),60,60/(($D19-$G19)*Calculator!$E$8))</f>
        <v>0.45977011494252873</v>
      </c>
      <c r="O19" s="35">
        <f t="shared" si="5"/>
        <v>0</v>
      </c>
      <c r="P19" s="35">
        <f t="shared" si="6"/>
        <v>0.86206896551724144</v>
      </c>
      <c r="Q19" s="35">
        <f t="shared" si="7"/>
        <v>0.86206896551724144</v>
      </c>
      <c r="R19" s="38">
        <f t="shared" si="8"/>
        <v>0</v>
      </c>
      <c r="S19" s="129">
        <f t="shared" si="3"/>
        <v>0</v>
      </c>
      <c r="T19" s="17">
        <f t="shared" si="9"/>
        <v>0.46296296296296297</v>
      </c>
    </row>
    <row r="20" spans="1:25" ht="20.149999999999999" customHeight="1">
      <c r="A20" s="15" t="s">
        <v>111</v>
      </c>
      <c r="B20" s="9"/>
      <c r="C20" s="9"/>
      <c r="D20" s="10">
        <v>28</v>
      </c>
      <c r="E20" s="11">
        <v>0</v>
      </c>
      <c r="F20" s="11">
        <v>0</v>
      </c>
      <c r="G20" s="11">
        <v>18</v>
      </c>
      <c r="H20" s="10">
        <f t="shared" si="4"/>
        <v>18</v>
      </c>
      <c r="I20" s="123">
        <f t="shared" si="2"/>
        <v>18</v>
      </c>
      <c r="J20" s="10">
        <f>PRODUCT($D20,Calculator!$E$8)</f>
        <v>126</v>
      </c>
      <c r="K20" s="11">
        <f>PRODUCT($H20,Calculator!$E$8)</f>
        <v>81</v>
      </c>
      <c r="L20" s="12">
        <f>60/($D20*Calculator!$E$8)</f>
        <v>0.47619047619047616</v>
      </c>
      <c r="M20" s="12">
        <f>IF(($D20=$E20),60,60/(($D20-$E20)*Calculator!$E$8))</f>
        <v>0.47619047619047616</v>
      </c>
      <c r="N20" s="28">
        <f>IF(($D20=$G20),60,60/(($D20-$G20)*Calculator!$E$8))</f>
        <v>1.3333333333333333</v>
      </c>
      <c r="O20" s="35">
        <f t="shared" si="5"/>
        <v>0</v>
      </c>
      <c r="P20" s="35">
        <f t="shared" si="6"/>
        <v>1.8</v>
      </c>
      <c r="Q20" s="35">
        <f t="shared" si="7"/>
        <v>1.8</v>
      </c>
      <c r="R20" s="32">
        <f t="shared" si="8"/>
        <v>0</v>
      </c>
      <c r="S20" s="129">
        <f t="shared" si="3"/>
        <v>0</v>
      </c>
      <c r="T20" s="17">
        <f t="shared" si="9"/>
        <v>0.6428571428571429</v>
      </c>
    </row>
    <row r="21" spans="1:25" ht="20.149999999999999" customHeight="1">
      <c r="A21" s="15" t="s">
        <v>112</v>
      </c>
      <c r="B21" s="9"/>
      <c r="C21" s="9"/>
      <c r="D21" s="10">
        <v>36</v>
      </c>
      <c r="E21" s="11">
        <v>0</v>
      </c>
      <c r="F21" s="11">
        <v>0</v>
      </c>
      <c r="G21" s="11">
        <v>21</v>
      </c>
      <c r="H21" s="11">
        <f>G21-E21</f>
        <v>21</v>
      </c>
      <c r="I21" s="123">
        <f t="shared" si="2"/>
        <v>21</v>
      </c>
      <c r="J21" s="37">
        <f>PRODUCT($D21,Calculator!$E$8)</f>
        <v>162</v>
      </c>
      <c r="K21" s="11">
        <f>PRODUCT($H21,Calculator!$E$8)</f>
        <v>94.5</v>
      </c>
      <c r="L21" s="12">
        <f>60/($D21*Calculator!$E$8)</f>
        <v>0.37037037037037035</v>
      </c>
      <c r="M21" s="12">
        <f>IF(($D21=$E21),60,60/(($D21-$E21)*Calculator!$E$8))</f>
        <v>0.37037037037037035</v>
      </c>
      <c r="N21" s="12">
        <f>IF(($D21=$G21),60,60/(($D21-$G21)*Calculator!$E$8))</f>
        <v>0.88888888888888884</v>
      </c>
      <c r="O21" s="35">
        <f>(M21-L21)/L21</f>
        <v>0</v>
      </c>
      <c r="P21" s="35">
        <f>(N21-L21)/L21</f>
        <v>1.4</v>
      </c>
      <c r="Q21" s="35">
        <f>(N21-M21)/M21</f>
        <v>1.4</v>
      </c>
      <c r="R21" s="38">
        <f xml:space="preserve"> E21/D21</f>
        <v>0</v>
      </c>
      <c r="S21" s="129">
        <f t="shared" si="3"/>
        <v>0</v>
      </c>
      <c r="T21" s="17">
        <f>G21/D21</f>
        <v>0.58333333333333337</v>
      </c>
    </row>
    <row r="22" spans="1:25" ht="20.149999999999999" customHeight="1">
      <c r="A22" s="15" t="s">
        <v>113</v>
      </c>
      <c r="B22" s="9" t="s">
        <v>12</v>
      </c>
      <c r="C22" s="9" t="s">
        <v>12</v>
      </c>
      <c r="D22" s="10">
        <v>42</v>
      </c>
      <c r="E22" s="11">
        <v>20</v>
      </c>
      <c r="F22" s="11">
        <v>20</v>
      </c>
      <c r="G22" s="11">
        <v>32</v>
      </c>
      <c r="H22" s="11">
        <f>G22-E22</f>
        <v>12</v>
      </c>
      <c r="I22" s="123">
        <f t="shared" si="2"/>
        <v>12</v>
      </c>
      <c r="J22" s="37">
        <f>PRODUCT($D22,Calculator!$E$8)</f>
        <v>189</v>
      </c>
      <c r="K22" s="11">
        <f>PRODUCT($H22,Calculator!$E$8)</f>
        <v>54</v>
      </c>
      <c r="L22" s="12">
        <f>60/($D22*Calculator!$E$8)</f>
        <v>0.31746031746031744</v>
      </c>
      <c r="M22" s="12">
        <f>IF(($D22=$E22),60,60/(($D22-$E22)*Calculator!$E$8))</f>
        <v>0.60606060606060608</v>
      </c>
      <c r="N22" s="12">
        <f>IF(($D22=$G22),60,60/(($D22-$G22)*Calculator!$E$8))</f>
        <v>1.3333333333333333</v>
      </c>
      <c r="O22" s="35">
        <f>(M22-L22)/L22</f>
        <v>0.90909090909090928</v>
      </c>
      <c r="P22" s="35">
        <f>(N22-L22)/L22</f>
        <v>3.2</v>
      </c>
      <c r="Q22" s="35">
        <f>(N22-M22)/M22</f>
        <v>1.1999999999999997</v>
      </c>
      <c r="R22" s="38">
        <f xml:space="preserve"> E22/D22</f>
        <v>0.47619047619047616</v>
      </c>
      <c r="S22" s="129">
        <f t="shared" si="3"/>
        <v>0.47619047619047616</v>
      </c>
      <c r="T22" s="17">
        <f>G22/D22</f>
        <v>0.76190476190476186</v>
      </c>
    </row>
    <row r="23" spans="1:25" ht="20.149999999999999" customHeight="1">
      <c r="A23" s="15" t="s">
        <v>121</v>
      </c>
      <c r="B23" s="9"/>
      <c r="C23" s="9"/>
      <c r="D23" s="10">
        <v>22</v>
      </c>
      <c r="E23" s="11">
        <v>0</v>
      </c>
      <c r="F23" s="11">
        <v>0</v>
      </c>
      <c r="G23" s="11">
        <v>20</v>
      </c>
      <c r="H23" s="11">
        <f>G23-E23</f>
        <v>20</v>
      </c>
      <c r="I23" s="123">
        <f t="shared" si="2"/>
        <v>20</v>
      </c>
      <c r="J23" s="37">
        <f>PRODUCT($D23,Calculator!$E$8)</f>
        <v>99</v>
      </c>
      <c r="K23" s="11">
        <f>PRODUCT($H23,Calculator!$E$8)</f>
        <v>90</v>
      </c>
      <c r="L23" s="12">
        <f>60/($D23*Calculator!$E$8)</f>
        <v>0.60606060606060608</v>
      </c>
      <c r="M23" s="12">
        <f>IF(($D23=$E23),60,60/(($D23-$E23)*Calculator!$E$8))</f>
        <v>0.60606060606060608</v>
      </c>
      <c r="N23" s="12">
        <f>IF(($D23=$G23),60,60/(($D23-$G23)*Calculator!$E$8))</f>
        <v>6.666666666666667</v>
      </c>
      <c r="O23" s="35">
        <f>(M23-L23)/L23</f>
        <v>0</v>
      </c>
      <c r="P23" s="35">
        <f>(N23-L23)/L23</f>
        <v>10</v>
      </c>
      <c r="Q23" s="35">
        <f>(N23-M23)/M23</f>
        <v>10</v>
      </c>
      <c r="R23" s="38">
        <f xml:space="preserve"> E23/D23</f>
        <v>0</v>
      </c>
      <c r="S23" s="129">
        <f t="shared" si="3"/>
        <v>0</v>
      </c>
      <c r="T23" s="17">
        <f>G23/D23</f>
        <v>0.90909090909090906</v>
      </c>
    </row>
    <row r="24" spans="1:25" ht="20.149999999999999" customHeight="1">
      <c r="A24" s="15" t="s">
        <v>122</v>
      </c>
      <c r="B24" s="9"/>
      <c r="C24" s="9"/>
      <c r="D24" s="10">
        <v>42</v>
      </c>
      <c r="E24" s="11">
        <v>0</v>
      </c>
      <c r="F24" s="11">
        <v>0</v>
      </c>
      <c r="G24" s="11">
        <v>32</v>
      </c>
      <c r="H24" s="11">
        <f>G24-E24</f>
        <v>32</v>
      </c>
      <c r="I24" s="123">
        <f t="shared" si="2"/>
        <v>32</v>
      </c>
      <c r="J24" s="37">
        <f>PRODUCT($D24,Calculator!$E$8)</f>
        <v>189</v>
      </c>
      <c r="K24" s="11">
        <f>PRODUCT($H24,Calculator!$E$8)</f>
        <v>144</v>
      </c>
      <c r="L24" s="12">
        <f>60/($D24*Calculator!$E$8)</f>
        <v>0.31746031746031744</v>
      </c>
      <c r="M24" s="12">
        <f>IF(($D24=$E24),60,60/(($D24-$E24)*Calculator!$E$8))</f>
        <v>0.31746031746031744</v>
      </c>
      <c r="N24" s="12">
        <f>IF(($D24=$G24),60,60/(($D24-$G24)*Calculator!$E$8))</f>
        <v>1.3333333333333333</v>
      </c>
      <c r="O24" s="35">
        <f>(M24-L24)/L24</f>
        <v>0</v>
      </c>
      <c r="P24" s="35">
        <f>(N24-L24)/L24</f>
        <v>3.2</v>
      </c>
      <c r="Q24" s="35">
        <f>(N24-M24)/M24</f>
        <v>3.2</v>
      </c>
      <c r="R24" s="38">
        <f xml:space="preserve"> E24/D24</f>
        <v>0</v>
      </c>
      <c r="S24" s="129">
        <f t="shared" si="3"/>
        <v>0</v>
      </c>
      <c r="T24" s="17">
        <f>G24/D24</f>
        <v>0.76190476190476186</v>
      </c>
      <c r="Y24" s="2"/>
    </row>
    <row r="25" spans="1:25" s="6" customFormat="1" ht="20.149999999999999" customHeight="1">
      <c r="A25" s="7" t="s">
        <v>114</v>
      </c>
      <c r="B25" s="9" t="s">
        <v>12</v>
      </c>
      <c r="C25" s="9" t="s">
        <v>12</v>
      </c>
      <c r="D25" s="10">
        <v>43</v>
      </c>
      <c r="E25" s="11">
        <v>39</v>
      </c>
      <c r="F25" s="11">
        <v>39</v>
      </c>
      <c r="G25" s="13">
        <v>42</v>
      </c>
      <c r="H25" s="10">
        <f t="shared" si="4"/>
        <v>3</v>
      </c>
      <c r="I25" s="123">
        <f t="shared" si="2"/>
        <v>3</v>
      </c>
      <c r="J25" s="10">
        <f>PRODUCT($D25,Calculator!$E$8)</f>
        <v>193.5</v>
      </c>
      <c r="K25" s="13">
        <f>PRODUCT($H25,Calculator!$E$8)</f>
        <v>13.5</v>
      </c>
      <c r="L25" s="14">
        <f>60/($D25*Calculator!$E$8)</f>
        <v>0.31007751937984496</v>
      </c>
      <c r="M25" s="12">
        <f>IF(($D25=$E25),60,60/(($D25-$E25)*Calculator!$E$8))</f>
        <v>3.3333333333333335</v>
      </c>
      <c r="N25" s="29">
        <f>IF(($D25=$G25),60,60/(($D25-$G25)*Calculator!$E$8))</f>
        <v>13.333333333333334</v>
      </c>
      <c r="O25" s="36">
        <f t="shared" si="5"/>
        <v>9.75</v>
      </c>
      <c r="P25" s="35">
        <f t="shared" si="6"/>
        <v>42</v>
      </c>
      <c r="Q25" s="36">
        <f t="shared" si="7"/>
        <v>3</v>
      </c>
      <c r="R25" s="32">
        <f t="shared" si="8"/>
        <v>0.90697674418604646</v>
      </c>
      <c r="S25" s="129">
        <f t="shared" si="3"/>
        <v>0.90697674418604646</v>
      </c>
      <c r="T25" s="17">
        <f t="shared" si="9"/>
        <v>0.97674418604651159</v>
      </c>
    </row>
    <row r="26" spans="1:25" s="6" customFormat="1" ht="20.149999999999999" customHeight="1">
      <c r="A26" s="7" t="s">
        <v>115</v>
      </c>
      <c r="B26" s="9"/>
      <c r="C26" s="9" t="s">
        <v>12</v>
      </c>
      <c r="D26" s="10">
        <v>45</v>
      </c>
      <c r="E26" s="11">
        <v>0</v>
      </c>
      <c r="F26" s="11">
        <v>27</v>
      </c>
      <c r="G26" s="13">
        <v>29</v>
      </c>
      <c r="H26" s="10">
        <f t="shared" si="4"/>
        <v>29</v>
      </c>
      <c r="I26" s="123">
        <f t="shared" si="2"/>
        <v>2</v>
      </c>
      <c r="J26" s="10">
        <f>PRODUCT($D26,Calculator!$E$8)</f>
        <v>202.5</v>
      </c>
      <c r="K26" s="13">
        <f>PRODUCT($H26,Calculator!$E$8)</f>
        <v>130.5</v>
      </c>
      <c r="L26" s="14">
        <f>60/($D26*Calculator!$E$8)</f>
        <v>0.29629629629629628</v>
      </c>
      <c r="M26" s="12">
        <f>IF(($D26=$E26),60,60/(($D26-$E26)*Calculator!$E$8))</f>
        <v>0.29629629629629628</v>
      </c>
      <c r="N26" s="29">
        <f>IF(($D26=$G26),60,60/(($D26-$G26)*Calculator!$E$8))</f>
        <v>0.83333333333333337</v>
      </c>
      <c r="O26" s="36">
        <f t="shared" si="5"/>
        <v>0</v>
      </c>
      <c r="P26" s="35">
        <f t="shared" si="6"/>
        <v>1.8125000000000002</v>
      </c>
      <c r="Q26" s="36">
        <f t="shared" si="7"/>
        <v>1.8125000000000002</v>
      </c>
      <c r="R26" s="32">
        <f t="shared" si="8"/>
        <v>0</v>
      </c>
      <c r="S26" s="129">
        <f t="shared" si="3"/>
        <v>0.6</v>
      </c>
      <c r="T26" s="17">
        <f t="shared" si="9"/>
        <v>0.64444444444444449</v>
      </c>
    </row>
    <row r="27" spans="1:25" s="6" customFormat="1" ht="20.149999999999999" customHeight="1">
      <c r="A27" s="7" t="s">
        <v>116</v>
      </c>
      <c r="B27" s="9"/>
      <c r="C27" s="9" t="s">
        <v>12</v>
      </c>
      <c r="D27" s="10">
        <v>44</v>
      </c>
      <c r="E27" s="11">
        <v>0</v>
      </c>
      <c r="F27" s="11">
        <v>33</v>
      </c>
      <c r="G27" s="13">
        <v>37</v>
      </c>
      <c r="H27" s="10">
        <f t="shared" si="4"/>
        <v>37</v>
      </c>
      <c r="I27" s="123">
        <f t="shared" si="2"/>
        <v>4</v>
      </c>
      <c r="J27" s="10">
        <f>PRODUCT($D27,Calculator!$E$8)</f>
        <v>198</v>
      </c>
      <c r="K27" s="13">
        <f>PRODUCT($H27,Calculator!$E$8)</f>
        <v>166.5</v>
      </c>
      <c r="L27" s="14">
        <f>60/($D27*Calculator!$E$8)</f>
        <v>0.30303030303030304</v>
      </c>
      <c r="M27" s="12">
        <f>IF(($D27=$E27),60,60/(($D27-$E27)*Calculator!$E$8))</f>
        <v>0.30303030303030304</v>
      </c>
      <c r="N27" s="29">
        <f>IF(($D27=$G27),60,60/(($D27-$G27)*Calculator!$E$8))</f>
        <v>1.9047619047619047</v>
      </c>
      <c r="O27" s="36">
        <f t="shared" si="5"/>
        <v>0</v>
      </c>
      <c r="P27" s="35">
        <f t="shared" si="6"/>
        <v>5.2857142857142856</v>
      </c>
      <c r="Q27" s="36">
        <f t="shared" si="7"/>
        <v>5.2857142857142856</v>
      </c>
      <c r="R27" s="33">
        <f t="shared" si="8"/>
        <v>0</v>
      </c>
      <c r="S27" s="129">
        <f t="shared" si="3"/>
        <v>0.75</v>
      </c>
      <c r="T27" s="17">
        <f t="shared" si="9"/>
        <v>0.84090909090909094</v>
      </c>
    </row>
    <row r="28" spans="1:25" s="6" customFormat="1" ht="20.149999999999999" customHeight="1">
      <c r="A28" s="7" t="s">
        <v>117</v>
      </c>
      <c r="B28" s="10"/>
      <c r="C28" s="9" t="s">
        <v>12</v>
      </c>
      <c r="D28" s="10">
        <v>42</v>
      </c>
      <c r="E28" s="11">
        <v>0</v>
      </c>
      <c r="F28" s="11">
        <v>23</v>
      </c>
      <c r="G28" s="13">
        <v>25</v>
      </c>
      <c r="H28" s="10">
        <f t="shared" si="4"/>
        <v>25</v>
      </c>
      <c r="I28" s="123">
        <f t="shared" si="2"/>
        <v>2</v>
      </c>
      <c r="J28" s="10">
        <f>PRODUCT($D28,Calculator!$E$8)</f>
        <v>189</v>
      </c>
      <c r="K28" s="13">
        <f>PRODUCT($H28,Calculator!$E$8)</f>
        <v>112.5</v>
      </c>
      <c r="L28" s="14">
        <f>60/($D28*Calculator!$E$8)</f>
        <v>0.31746031746031744</v>
      </c>
      <c r="M28" s="12">
        <f>IF(($D28=$E28),60,60/(($D28-$E28)*Calculator!$E$8))</f>
        <v>0.31746031746031744</v>
      </c>
      <c r="N28" s="29">
        <f>IF(($D28=$G28),60,60/(($D28-$G28)*Calculator!$E$8))</f>
        <v>0.78431372549019607</v>
      </c>
      <c r="O28" s="36">
        <f t="shared" si="5"/>
        <v>0</v>
      </c>
      <c r="P28" s="35">
        <f t="shared" si="6"/>
        <v>1.4705882352941178</v>
      </c>
      <c r="Q28" s="36">
        <f t="shared" si="7"/>
        <v>1.4705882352941178</v>
      </c>
      <c r="R28" s="32">
        <f t="shared" si="8"/>
        <v>0</v>
      </c>
      <c r="S28" s="129">
        <f t="shared" si="3"/>
        <v>0.54761904761904767</v>
      </c>
      <c r="T28" s="17">
        <f t="shared" si="9"/>
        <v>0.59523809523809523</v>
      </c>
    </row>
    <row r="29" spans="1:25" s="6" customFormat="1" ht="20.149999999999999" customHeight="1">
      <c r="A29" s="7" t="s">
        <v>118</v>
      </c>
      <c r="B29" s="10"/>
      <c r="C29" s="9" t="s">
        <v>12</v>
      </c>
      <c r="D29" s="10">
        <v>48</v>
      </c>
      <c r="E29" s="11">
        <v>0</v>
      </c>
      <c r="F29" s="11">
        <v>37</v>
      </c>
      <c r="G29" s="13">
        <v>42</v>
      </c>
      <c r="H29" s="10">
        <f t="shared" si="4"/>
        <v>42</v>
      </c>
      <c r="I29" s="123">
        <f t="shared" si="2"/>
        <v>5</v>
      </c>
      <c r="J29" s="10">
        <f>PRODUCT($D29,Calculator!$E$8)</f>
        <v>216</v>
      </c>
      <c r="K29" s="13">
        <f>PRODUCT($H29,Calculator!$E$8)</f>
        <v>189</v>
      </c>
      <c r="L29" s="14">
        <f>60/($D29*Calculator!$E$8)</f>
        <v>0.27777777777777779</v>
      </c>
      <c r="M29" s="12">
        <f>IF(($D29=$E29),60,60/(($D29-$E29)*Calculator!$E$8))</f>
        <v>0.27777777777777779</v>
      </c>
      <c r="N29" s="29">
        <f>IF(($D29=$G29),60,60/(($D29-$G29)*Calculator!$E$8))</f>
        <v>2.2222222222222223</v>
      </c>
      <c r="O29" s="36">
        <f t="shared" si="5"/>
        <v>0</v>
      </c>
      <c r="P29" s="35">
        <f t="shared" si="6"/>
        <v>7</v>
      </c>
      <c r="Q29" s="36">
        <f t="shared" si="7"/>
        <v>7</v>
      </c>
      <c r="R29" s="32">
        <f t="shared" si="8"/>
        <v>0</v>
      </c>
      <c r="S29" s="129">
        <f t="shared" si="3"/>
        <v>0.77083333333333337</v>
      </c>
      <c r="T29" s="17">
        <f t="shared" si="9"/>
        <v>0.875</v>
      </c>
    </row>
    <row r="30" spans="1:25" s="6" customFormat="1" ht="20.149999999999999" customHeight="1">
      <c r="A30" s="7" t="s">
        <v>119</v>
      </c>
      <c r="B30" s="9" t="s">
        <v>12</v>
      </c>
      <c r="C30" s="9" t="s">
        <v>12</v>
      </c>
      <c r="D30" s="10">
        <v>137</v>
      </c>
      <c r="E30" s="11">
        <v>134</v>
      </c>
      <c r="F30" s="11">
        <v>132</v>
      </c>
      <c r="G30" s="13">
        <v>137</v>
      </c>
      <c r="H30" s="10">
        <f t="shared" si="4"/>
        <v>3</v>
      </c>
      <c r="I30" s="123">
        <f t="shared" si="2"/>
        <v>5</v>
      </c>
      <c r="J30" s="10">
        <f>PRODUCT($D30,Calculator!$E$8)</f>
        <v>616.5</v>
      </c>
      <c r="K30" s="13">
        <f>PRODUCT($H30,Calculator!$E$8)</f>
        <v>13.5</v>
      </c>
      <c r="L30" s="14">
        <f>60/($D30*Calculator!$E$8)</f>
        <v>9.7323600973236016E-2</v>
      </c>
      <c r="M30" s="12">
        <f>IF(($D30=$E30),60,60/(($D30-$E30)*Calculator!$E$8))</f>
        <v>4.4444444444444446</v>
      </c>
      <c r="N30" s="29">
        <f>IF(($D30=$G30),60,60/(($D30-$G30)*Calculator!$E$8))</f>
        <v>60</v>
      </c>
      <c r="O30" s="36">
        <f t="shared" si="5"/>
        <v>44.666666666666664</v>
      </c>
      <c r="P30" s="35">
        <f t="shared" si="6"/>
        <v>615.5</v>
      </c>
      <c r="Q30" s="36">
        <f t="shared" si="7"/>
        <v>12.5</v>
      </c>
      <c r="R30" s="32">
        <f t="shared" si="8"/>
        <v>0.97810218978102192</v>
      </c>
      <c r="S30" s="129">
        <f t="shared" si="3"/>
        <v>0.96350364963503654</v>
      </c>
      <c r="T30" s="17">
        <f t="shared" si="9"/>
        <v>1</v>
      </c>
    </row>
    <row r="31" spans="1:25" s="6" customFormat="1" ht="20.149999999999999" customHeight="1">
      <c r="A31" s="7" t="s">
        <v>120</v>
      </c>
      <c r="B31" s="9"/>
      <c r="C31" s="9"/>
      <c r="D31" s="10">
        <v>66</v>
      </c>
      <c r="E31" s="11">
        <v>0</v>
      </c>
      <c r="F31" s="11">
        <v>0</v>
      </c>
      <c r="G31" s="13">
        <v>64</v>
      </c>
      <c r="H31" s="10">
        <f t="shared" si="4"/>
        <v>64</v>
      </c>
      <c r="I31" s="123">
        <f t="shared" si="2"/>
        <v>64</v>
      </c>
      <c r="J31" s="10">
        <f>PRODUCT($D31,Calculator!$E$8)</f>
        <v>297</v>
      </c>
      <c r="K31" s="13">
        <f>PRODUCT($H31,Calculator!$E$8)</f>
        <v>288</v>
      </c>
      <c r="L31" s="14">
        <f>60/($D31*Calculator!$E$8)</f>
        <v>0.20202020202020202</v>
      </c>
      <c r="M31" s="14">
        <f>IF(($D31=$E31),60,60/(($D31-$E31)*Calculator!$E$8))</f>
        <v>0.20202020202020202</v>
      </c>
      <c r="N31" s="29">
        <f>IF(($D31=$G31),60,60/(($D31-$G31)*Calculator!$E$8))</f>
        <v>6.666666666666667</v>
      </c>
      <c r="O31" s="36">
        <f t="shared" si="5"/>
        <v>0</v>
      </c>
      <c r="P31" s="35">
        <f t="shared" si="6"/>
        <v>32</v>
      </c>
      <c r="Q31" s="36">
        <f t="shared" si="7"/>
        <v>32</v>
      </c>
      <c r="R31" s="32">
        <f t="shared" si="8"/>
        <v>0</v>
      </c>
      <c r="S31" s="129">
        <f t="shared" si="3"/>
        <v>0</v>
      </c>
      <c r="T31" s="17">
        <f t="shared" si="9"/>
        <v>0.96969696969696972</v>
      </c>
    </row>
    <row r="32" spans="1:25" s="6" customFormat="1" ht="20.149999999999999" customHeight="1">
      <c r="A32" s="7" t="s">
        <v>13</v>
      </c>
      <c r="B32" s="9" t="s">
        <v>12</v>
      </c>
      <c r="C32" s="9"/>
      <c r="D32" s="10">
        <v>88</v>
      </c>
      <c r="E32" s="10">
        <v>67</v>
      </c>
      <c r="F32" s="10">
        <v>0</v>
      </c>
      <c r="G32" s="10">
        <v>75</v>
      </c>
      <c r="H32" s="10">
        <f t="shared" si="4"/>
        <v>8</v>
      </c>
      <c r="I32" s="123">
        <f t="shared" si="2"/>
        <v>75</v>
      </c>
      <c r="J32" s="10">
        <f>PRODUCT($D32,Calculator!$E$8)</f>
        <v>396</v>
      </c>
      <c r="K32" s="11">
        <f>PRODUCT($H32,Calculator!$E$8)</f>
        <v>36</v>
      </c>
      <c r="L32" s="12">
        <f>60/($D32*Calculator!$E$8)</f>
        <v>0.15151515151515152</v>
      </c>
      <c r="M32" s="12">
        <f>IF(($D32=$E32),60,60/(($D32-$E32)*Calculator!$E$8))</f>
        <v>0.63492063492063489</v>
      </c>
      <c r="N32" s="28">
        <f>IF(($D32=$G32),60,60/(($D32-$G32)*Calculator!$E$8))</f>
        <v>1.0256410256410255</v>
      </c>
      <c r="O32" s="35">
        <f t="shared" si="5"/>
        <v>3.1904761904761902</v>
      </c>
      <c r="P32" s="35">
        <f t="shared" si="6"/>
        <v>5.7692307692307683</v>
      </c>
      <c r="Q32" s="35">
        <f t="shared" si="7"/>
        <v>0.61538461538461531</v>
      </c>
      <c r="R32" s="33">
        <f t="shared" si="8"/>
        <v>0.76136363636363635</v>
      </c>
      <c r="S32" s="129">
        <f t="shared" si="3"/>
        <v>0</v>
      </c>
      <c r="T32" s="17">
        <f t="shared" si="9"/>
        <v>0.85227272727272729</v>
      </c>
    </row>
    <row r="33" spans="1:20" ht="20.149999999999999" customHeight="1">
      <c r="A33" s="7" t="s">
        <v>14</v>
      </c>
      <c r="B33" s="9" t="s">
        <v>12</v>
      </c>
      <c r="C33" s="9" t="s">
        <v>12</v>
      </c>
      <c r="D33" s="10">
        <v>16</v>
      </c>
      <c r="E33" s="11">
        <v>4</v>
      </c>
      <c r="F33" s="11">
        <v>2</v>
      </c>
      <c r="G33" s="11">
        <v>13</v>
      </c>
      <c r="H33" s="10">
        <f t="shared" si="4"/>
        <v>9</v>
      </c>
      <c r="I33" s="123">
        <f t="shared" si="2"/>
        <v>11</v>
      </c>
      <c r="J33" s="10">
        <f>PRODUCT($D33,Calculator!$E$8)</f>
        <v>72</v>
      </c>
      <c r="K33" s="11">
        <f>PRODUCT($H33,Calculator!$E$8)</f>
        <v>40.5</v>
      </c>
      <c r="L33" s="12">
        <f>60/($D33*Calculator!$E$8)</f>
        <v>0.83333333333333337</v>
      </c>
      <c r="M33" s="12">
        <f>IF(($D33=$E33),60,60/(($D33-$E33)*Calculator!$E$8))</f>
        <v>1.1111111111111112</v>
      </c>
      <c r="N33" s="28">
        <f>IF(($D33=$G33),60,60/(($D33-$G33)*Calculator!$E$8))</f>
        <v>4.4444444444444446</v>
      </c>
      <c r="O33" s="35">
        <f t="shared" si="5"/>
        <v>0.33333333333333331</v>
      </c>
      <c r="P33" s="35">
        <f t="shared" si="6"/>
        <v>4.333333333333333</v>
      </c>
      <c r="Q33" s="35">
        <f t="shared" si="7"/>
        <v>3</v>
      </c>
      <c r="R33" s="32">
        <f t="shared" si="8"/>
        <v>0.25</v>
      </c>
      <c r="S33" s="129">
        <f t="shared" si="3"/>
        <v>0.125</v>
      </c>
      <c r="T33" s="17">
        <f t="shared" si="9"/>
        <v>0.8125</v>
      </c>
    </row>
    <row r="34" spans="1:20" ht="20.149999999999999" customHeight="1">
      <c r="A34" s="7" t="s">
        <v>15</v>
      </c>
      <c r="B34" s="10"/>
      <c r="C34" s="10"/>
      <c r="D34" s="10">
        <v>17</v>
      </c>
      <c r="E34" s="11">
        <v>0</v>
      </c>
      <c r="F34" s="11">
        <v>0</v>
      </c>
      <c r="G34" s="13">
        <v>17</v>
      </c>
      <c r="H34" s="10">
        <f t="shared" si="4"/>
        <v>17</v>
      </c>
      <c r="I34" s="123">
        <f t="shared" si="2"/>
        <v>17</v>
      </c>
      <c r="J34" s="10">
        <f>PRODUCT($D34,Calculator!$E$8)</f>
        <v>76.5</v>
      </c>
      <c r="K34" s="13">
        <f>PRODUCT($H34,Calculator!$E$8)</f>
        <v>76.5</v>
      </c>
      <c r="L34" s="14">
        <f>60/($D34*Calculator!$E$8)</f>
        <v>0.78431372549019607</v>
      </c>
      <c r="M34" s="12">
        <f>IF(($D34=$E34),60,60/(($D34-$E34)*Calculator!$E$8))</f>
        <v>0.78431372549019607</v>
      </c>
      <c r="N34" s="29">
        <f>IF(($D34=$G34),60,60/(($D34-$G34)*Calculator!$E$8))</f>
        <v>60</v>
      </c>
      <c r="O34" s="36">
        <f t="shared" si="5"/>
        <v>0</v>
      </c>
      <c r="P34" s="35">
        <f t="shared" si="6"/>
        <v>75.5</v>
      </c>
      <c r="Q34" s="36">
        <f t="shared" si="7"/>
        <v>75.5</v>
      </c>
      <c r="R34" s="33">
        <f t="shared" si="8"/>
        <v>0</v>
      </c>
      <c r="S34" s="129">
        <f t="shared" si="3"/>
        <v>0</v>
      </c>
      <c r="T34" s="17">
        <f t="shared" si="9"/>
        <v>1</v>
      </c>
    </row>
    <row r="35" spans="1:20" ht="20.149999999999999" customHeight="1">
      <c r="A35" s="7" t="s">
        <v>16</v>
      </c>
      <c r="B35" s="10"/>
      <c r="C35" s="10"/>
      <c r="D35" s="10">
        <v>16</v>
      </c>
      <c r="E35" s="11">
        <v>0</v>
      </c>
      <c r="F35" s="11">
        <v>0</v>
      </c>
      <c r="G35" s="13">
        <v>16</v>
      </c>
      <c r="H35" s="11">
        <f>G35-E35</f>
        <v>16</v>
      </c>
      <c r="I35" s="123">
        <f t="shared" si="2"/>
        <v>16</v>
      </c>
      <c r="J35" s="37">
        <f>PRODUCT($D35,Calculator!$E$8)</f>
        <v>72</v>
      </c>
      <c r="K35" s="13">
        <f>PRODUCT($H35,Calculator!$E$8)</f>
        <v>72</v>
      </c>
      <c r="L35" s="12">
        <f>60/($D35*Calculator!$E$8)</f>
        <v>0.83333333333333337</v>
      </c>
      <c r="M35" s="12">
        <f>IF(($D35=$E35),60,60/(($D35-$E35)*Calculator!$E$8))</f>
        <v>0.83333333333333337</v>
      </c>
      <c r="N35" s="12">
        <f>IF(($D35=$G35),60,60/(($D35-$G35)*Calculator!$E$8))</f>
        <v>60</v>
      </c>
      <c r="O35" s="35">
        <f>(M35-L35)/L35</f>
        <v>0</v>
      </c>
      <c r="P35" s="35">
        <f>(N35-L35)/L35</f>
        <v>71</v>
      </c>
      <c r="Q35" s="35">
        <f>(N35-M35)/M35</f>
        <v>71</v>
      </c>
      <c r="R35" s="38">
        <f xml:space="preserve"> E35/D35</f>
        <v>0</v>
      </c>
      <c r="S35" s="129">
        <f t="shared" si="3"/>
        <v>0</v>
      </c>
      <c r="T35" s="17">
        <f>G35/D35</f>
        <v>1</v>
      </c>
    </row>
    <row r="36" spans="1:20" ht="20.149999999999999" customHeight="1">
      <c r="A36" s="7" t="s">
        <v>84</v>
      </c>
      <c r="B36" s="9" t="s">
        <v>12</v>
      </c>
      <c r="C36" s="9" t="s">
        <v>12</v>
      </c>
      <c r="D36" s="10">
        <v>41</v>
      </c>
      <c r="E36" s="11">
        <v>41</v>
      </c>
      <c r="F36" s="11">
        <v>41</v>
      </c>
      <c r="G36" s="13">
        <v>41</v>
      </c>
      <c r="H36" s="11">
        <f>G36-E36</f>
        <v>0</v>
      </c>
      <c r="I36" s="123">
        <f t="shared" si="2"/>
        <v>0</v>
      </c>
      <c r="J36" s="37">
        <f>PRODUCT($D36,Calculator!$E$8)</f>
        <v>184.5</v>
      </c>
      <c r="K36" s="13">
        <f>PRODUCT($H36,Calculator!$E$8)</f>
        <v>0</v>
      </c>
      <c r="L36" s="12">
        <f>60/($D36*Calculator!$E$8)</f>
        <v>0.32520325203252032</v>
      </c>
      <c r="M36" s="12">
        <f>IF(($D36=$E36),60,60/(($D36-$E36)*Calculator!$E$8))</f>
        <v>60</v>
      </c>
      <c r="N36" s="12">
        <f>IF(($D36=$G36),60,60/(($D36-$G36)*Calculator!$E$8))</f>
        <v>60</v>
      </c>
      <c r="O36" s="35">
        <f>(M36-L36)/L36</f>
        <v>183.5</v>
      </c>
      <c r="P36" s="35">
        <f>(N36-L36)/L36</f>
        <v>183.5</v>
      </c>
      <c r="Q36" s="35">
        <f>(N36-M36)/M36</f>
        <v>0</v>
      </c>
      <c r="R36" s="38">
        <f xml:space="preserve"> E36/D36</f>
        <v>1</v>
      </c>
      <c r="S36" s="129">
        <f t="shared" si="3"/>
        <v>1</v>
      </c>
      <c r="T36" s="17">
        <f>G36/D36</f>
        <v>1</v>
      </c>
    </row>
    <row r="37" spans="1:20" ht="20.149999999999999" customHeight="1">
      <c r="A37" s="7" t="s">
        <v>17</v>
      </c>
      <c r="B37" s="9" t="s">
        <v>12</v>
      </c>
      <c r="C37" s="9" t="s">
        <v>12</v>
      </c>
      <c r="D37" s="10">
        <v>56</v>
      </c>
      <c r="E37" s="11">
        <v>49</v>
      </c>
      <c r="F37" s="11">
        <v>49</v>
      </c>
      <c r="G37" s="13">
        <v>55</v>
      </c>
      <c r="H37" s="10">
        <f t="shared" si="4"/>
        <v>6</v>
      </c>
      <c r="I37" s="123">
        <f t="shared" si="2"/>
        <v>6</v>
      </c>
      <c r="J37" s="10">
        <f>PRODUCT($D37,Calculator!$E$8)</f>
        <v>252</v>
      </c>
      <c r="K37" s="13">
        <f>PRODUCT($H37,Calculator!$E$8)</f>
        <v>27</v>
      </c>
      <c r="L37" s="14">
        <f>60/($D37*Calculator!$E$8)</f>
        <v>0.23809523809523808</v>
      </c>
      <c r="M37" s="12">
        <f>IF(($D37=$E37),60,60/(($D37-$E37)*Calculator!$E$8))</f>
        <v>1.9047619047619047</v>
      </c>
      <c r="N37" s="29">
        <f>IF(($D37=$G37),60,60/(($D37-$G37)*Calculator!$E$8))</f>
        <v>13.333333333333334</v>
      </c>
      <c r="O37" s="36">
        <f t="shared" si="5"/>
        <v>7</v>
      </c>
      <c r="P37" s="35">
        <f t="shared" si="6"/>
        <v>55.000000000000007</v>
      </c>
      <c r="Q37" s="36">
        <f t="shared" si="7"/>
        <v>6.0000000000000009</v>
      </c>
      <c r="R37" s="32">
        <f t="shared" si="8"/>
        <v>0.875</v>
      </c>
      <c r="S37" s="129">
        <f t="shared" si="3"/>
        <v>0.875</v>
      </c>
      <c r="T37" s="17">
        <f t="shared" si="9"/>
        <v>0.9821428571428571</v>
      </c>
    </row>
    <row r="38" spans="1:20" ht="20.149999999999999" customHeight="1">
      <c r="A38" s="7" t="s">
        <v>18</v>
      </c>
      <c r="B38" s="10"/>
      <c r="C38" s="10"/>
      <c r="D38" s="10">
        <v>47</v>
      </c>
      <c r="E38" s="11">
        <v>0</v>
      </c>
      <c r="F38" s="11">
        <v>0</v>
      </c>
      <c r="G38" s="13">
        <v>47</v>
      </c>
      <c r="H38" s="10">
        <f t="shared" si="4"/>
        <v>47</v>
      </c>
      <c r="I38" s="123">
        <f t="shared" si="2"/>
        <v>47</v>
      </c>
      <c r="J38" s="10">
        <f>PRODUCT($D38,Calculator!$E$8)</f>
        <v>211.5</v>
      </c>
      <c r="K38" s="13">
        <f>PRODUCT($H38,Calculator!$E$8)</f>
        <v>211.5</v>
      </c>
      <c r="L38" s="14">
        <f>60/($D38*Calculator!$E$8)</f>
        <v>0.28368794326241137</v>
      </c>
      <c r="M38" s="12">
        <f>IF(($D38=$E38),60,60/(($D38-$E38)*Calculator!$E$8))</f>
        <v>0.28368794326241137</v>
      </c>
      <c r="N38" s="29">
        <f>IF(($D38=$G38),60,60/(($D38-$G38)*Calculator!$E$8))</f>
        <v>60</v>
      </c>
      <c r="O38" s="36">
        <f t="shared" si="5"/>
        <v>0</v>
      </c>
      <c r="P38" s="35">
        <f t="shared" si="6"/>
        <v>210.49999999999997</v>
      </c>
      <c r="Q38" s="36">
        <f t="shared" si="7"/>
        <v>210.49999999999997</v>
      </c>
      <c r="R38" s="32">
        <f t="shared" si="8"/>
        <v>0</v>
      </c>
      <c r="S38" s="129">
        <f t="shared" si="3"/>
        <v>0</v>
      </c>
      <c r="T38" s="17">
        <f t="shared" si="9"/>
        <v>1</v>
      </c>
    </row>
    <row r="39" spans="1:20" ht="20.149999999999999" customHeight="1">
      <c r="A39" s="7" t="s">
        <v>19</v>
      </c>
      <c r="B39" s="10"/>
      <c r="C39" s="10"/>
      <c r="D39" s="10">
        <v>41</v>
      </c>
      <c r="E39" s="11">
        <v>0</v>
      </c>
      <c r="F39" s="11">
        <v>0</v>
      </c>
      <c r="G39" s="13">
        <v>41</v>
      </c>
      <c r="H39" s="10">
        <f t="shared" si="4"/>
        <v>41</v>
      </c>
      <c r="I39" s="123">
        <f t="shared" si="2"/>
        <v>41</v>
      </c>
      <c r="J39" s="10">
        <f>PRODUCT($D39,Calculator!$E$8)</f>
        <v>184.5</v>
      </c>
      <c r="K39" s="13">
        <f>PRODUCT($H39,Calculator!$E$8)</f>
        <v>184.5</v>
      </c>
      <c r="L39" s="14">
        <f>60/($D39*Calculator!$E$8)</f>
        <v>0.32520325203252032</v>
      </c>
      <c r="M39" s="12">
        <f>IF(($D39=$E39),60,60/(($D39-$E39)*Calculator!$E$8))</f>
        <v>0.32520325203252032</v>
      </c>
      <c r="N39" s="29">
        <f>IF(($D39=$G39),60,60/(($D39-$G39)*Calculator!$E$8))</f>
        <v>60</v>
      </c>
      <c r="O39" s="36">
        <f t="shared" si="5"/>
        <v>0</v>
      </c>
      <c r="P39" s="35">
        <f t="shared" si="6"/>
        <v>183.5</v>
      </c>
      <c r="Q39" s="36">
        <f t="shared" si="7"/>
        <v>183.5</v>
      </c>
      <c r="R39" s="32">
        <f t="shared" si="8"/>
        <v>0</v>
      </c>
      <c r="S39" s="129">
        <f t="shared" si="3"/>
        <v>0</v>
      </c>
      <c r="T39" s="17">
        <f t="shared" si="9"/>
        <v>1</v>
      </c>
    </row>
    <row r="40" spans="1:20" ht="20.149999999999999" customHeight="1">
      <c r="A40" s="7" t="s">
        <v>90</v>
      </c>
      <c r="B40" s="10"/>
      <c r="C40" s="10"/>
      <c r="D40" s="10">
        <v>69</v>
      </c>
      <c r="E40" s="11">
        <v>0</v>
      </c>
      <c r="F40" s="11">
        <v>0</v>
      </c>
      <c r="G40" s="13">
        <v>50</v>
      </c>
      <c r="H40" s="10">
        <f t="shared" si="4"/>
        <v>50</v>
      </c>
      <c r="I40" s="123">
        <f t="shared" si="2"/>
        <v>50</v>
      </c>
      <c r="J40" s="10">
        <f>PRODUCT($D40,Calculator!$E$8)</f>
        <v>310.5</v>
      </c>
      <c r="K40" s="13">
        <f>PRODUCT($H40,Calculator!$E$8)</f>
        <v>225</v>
      </c>
      <c r="L40" s="14">
        <f>60/($D40*Calculator!$E$8)</f>
        <v>0.19323671497584541</v>
      </c>
      <c r="M40" s="12">
        <f>IF(($D40=$E40),60,60/(($D40-$E40)*Calculator!$E$8))</f>
        <v>0.19323671497584541</v>
      </c>
      <c r="N40" s="29">
        <f>IF(($D40=$G40),60,60/(($D40-$G40)*Calculator!$E$8))</f>
        <v>0.70175438596491224</v>
      </c>
      <c r="O40" s="36">
        <f t="shared" si="5"/>
        <v>0</v>
      </c>
      <c r="P40" s="35">
        <f t="shared" si="6"/>
        <v>2.6315789473684212</v>
      </c>
      <c r="Q40" s="36">
        <f t="shared" si="7"/>
        <v>2.6315789473684212</v>
      </c>
      <c r="R40" s="32">
        <f t="shared" si="8"/>
        <v>0</v>
      </c>
      <c r="S40" s="129">
        <f t="shared" si="3"/>
        <v>0</v>
      </c>
      <c r="T40" s="17">
        <f t="shared" si="9"/>
        <v>0.72463768115942029</v>
      </c>
    </row>
    <row r="41" spans="1:20" ht="20.149999999999999" customHeight="1">
      <c r="A41" s="7" t="s">
        <v>91</v>
      </c>
      <c r="B41" s="10"/>
      <c r="C41" s="10"/>
      <c r="D41" s="10">
        <v>64</v>
      </c>
      <c r="E41" s="11">
        <v>0</v>
      </c>
      <c r="F41" s="11">
        <v>0</v>
      </c>
      <c r="G41" s="13">
        <v>47</v>
      </c>
      <c r="H41" s="10">
        <f t="shared" si="4"/>
        <v>47</v>
      </c>
      <c r="I41" s="123">
        <f t="shared" si="2"/>
        <v>47</v>
      </c>
      <c r="J41" s="10">
        <f>PRODUCT($D41,Calculator!$E$8)</f>
        <v>288</v>
      </c>
      <c r="K41" s="13">
        <f>PRODUCT($H41,Calculator!$E$8)</f>
        <v>211.5</v>
      </c>
      <c r="L41" s="14">
        <f>60/($D41*Calculator!$E$8)</f>
        <v>0.20833333333333334</v>
      </c>
      <c r="M41" s="12">
        <f>IF(($D41=$E41),60,60/(($D41-$E41)*Calculator!$E$8))</f>
        <v>0.20833333333333334</v>
      </c>
      <c r="N41" s="29">
        <f>IF(($D41=$G41),60,60/(($D41-$G41)*Calculator!$E$8))</f>
        <v>0.78431372549019607</v>
      </c>
      <c r="O41" s="36">
        <f t="shared" si="5"/>
        <v>0</v>
      </c>
      <c r="P41" s="35">
        <f t="shared" si="6"/>
        <v>2.7647058823529407</v>
      </c>
      <c r="Q41" s="36">
        <f t="shared" si="7"/>
        <v>2.7647058823529407</v>
      </c>
      <c r="R41" s="33">
        <f t="shared" si="8"/>
        <v>0</v>
      </c>
      <c r="S41" s="129">
        <f t="shared" si="3"/>
        <v>0</v>
      </c>
      <c r="T41" s="17">
        <f t="shared" si="9"/>
        <v>0.734375</v>
      </c>
    </row>
    <row r="42" spans="1:20" ht="20.149999999999999" customHeight="1">
      <c r="A42" s="7" t="s">
        <v>20</v>
      </c>
      <c r="B42" s="10"/>
      <c r="C42" s="10"/>
      <c r="D42" s="10">
        <v>10</v>
      </c>
      <c r="E42" s="11">
        <v>0</v>
      </c>
      <c r="F42" s="11">
        <v>0</v>
      </c>
      <c r="G42" s="13">
        <v>10</v>
      </c>
      <c r="H42" s="10">
        <f t="shared" si="4"/>
        <v>10</v>
      </c>
      <c r="I42" s="123">
        <f t="shared" si="2"/>
        <v>10</v>
      </c>
      <c r="J42" s="10">
        <f>PRODUCT($D42,Calculator!$E$8)</f>
        <v>45</v>
      </c>
      <c r="K42" s="13">
        <f>PRODUCT($H42,Calculator!$E$8)</f>
        <v>45</v>
      </c>
      <c r="L42" s="14">
        <f>60/($D42*Calculator!$E$8)</f>
        <v>1.3333333333333333</v>
      </c>
      <c r="M42" s="12">
        <f>IF(($D42=$E42),60,60/(($D42-$E42)*Calculator!$E$8))</f>
        <v>1.3333333333333333</v>
      </c>
      <c r="N42" s="29">
        <f>IF(($D42=$G42),60,60/(($D42-$G42)*Calculator!$E$8))</f>
        <v>60</v>
      </c>
      <c r="O42" s="36">
        <f t="shared" si="5"/>
        <v>0</v>
      </c>
      <c r="P42" s="35">
        <f t="shared" si="6"/>
        <v>44</v>
      </c>
      <c r="Q42" s="36">
        <f t="shared" si="7"/>
        <v>44</v>
      </c>
      <c r="R42" s="32">
        <f t="shared" si="8"/>
        <v>0</v>
      </c>
      <c r="S42" s="129">
        <f t="shared" si="3"/>
        <v>0</v>
      </c>
      <c r="T42" s="17">
        <f t="shared" si="9"/>
        <v>1</v>
      </c>
    </row>
    <row r="43" spans="1:20" ht="20.149999999999999" customHeight="1">
      <c r="A43" s="7" t="s">
        <v>21</v>
      </c>
      <c r="B43" s="9"/>
      <c r="C43" s="9"/>
      <c r="D43" s="10">
        <v>23</v>
      </c>
      <c r="E43" s="11">
        <v>0</v>
      </c>
      <c r="F43" s="11">
        <v>0</v>
      </c>
      <c r="G43" s="13">
        <v>23</v>
      </c>
      <c r="H43" s="10">
        <f t="shared" si="4"/>
        <v>23</v>
      </c>
      <c r="I43" s="123">
        <f t="shared" si="2"/>
        <v>23</v>
      </c>
      <c r="J43" s="10">
        <f>PRODUCT($D43,Calculator!$E$8)</f>
        <v>103.5</v>
      </c>
      <c r="K43" s="13">
        <f>PRODUCT($H43,Calculator!$E$8)</f>
        <v>103.5</v>
      </c>
      <c r="L43" s="14">
        <f>60/($D43*Calculator!$E$8)</f>
        <v>0.57971014492753625</v>
      </c>
      <c r="M43" s="12">
        <f>IF(($D43=$E43),60,60/(($D43-$E43)*Calculator!$E$8))</f>
        <v>0.57971014492753625</v>
      </c>
      <c r="N43" s="29">
        <f>IF(($D43=$G43),60,60/(($D43-$G43)*Calculator!$E$8))</f>
        <v>60</v>
      </c>
      <c r="O43" s="36">
        <f t="shared" si="5"/>
        <v>0</v>
      </c>
      <c r="P43" s="35">
        <f t="shared" si="6"/>
        <v>102.49999999999999</v>
      </c>
      <c r="Q43" s="36">
        <f t="shared" si="7"/>
        <v>102.49999999999999</v>
      </c>
      <c r="R43" s="31">
        <f t="shared" si="8"/>
        <v>0</v>
      </c>
      <c r="S43" s="129">
        <f t="shared" si="3"/>
        <v>0</v>
      </c>
      <c r="T43" s="17">
        <f t="shared" si="9"/>
        <v>1</v>
      </c>
    </row>
    <row r="44" spans="1:20" ht="20.149999999999999" customHeight="1">
      <c r="A44" s="7" t="s">
        <v>22</v>
      </c>
      <c r="B44" s="9"/>
      <c r="C44" s="9"/>
      <c r="D44" s="10">
        <v>3</v>
      </c>
      <c r="E44" s="11">
        <v>0</v>
      </c>
      <c r="F44" s="11">
        <v>0</v>
      </c>
      <c r="G44" s="13">
        <v>3</v>
      </c>
      <c r="H44" s="10">
        <f t="shared" si="4"/>
        <v>3</v>
      </c>
      <c r="I44" s="123">
        <f t="shared" si="2"/>
        <v>3</v>
      </c>
      <c r="J44" s="10">
        <f>PRODUCT($D44,Calculator!$E$8)</f>
        <v>13.5</v>
      </c>
      <c r="K44" s="13">
        <f>PRODUCT($H44,Calculator!$E$8)</f>
        <v>13.5</v>
      </c>
      <c r="L44" s="14">
        <f>60/($D44*Calculator!$E$8)</f>
        <v>4.4444444444444446</v>
      </c>
      <c r="M44" s="12">
        <f>IF(($D44=$E44),60,60/(($D44-$E44)*Calculator!$E$8))</f>
        <v>4.4444444444444446</v>
      </c>
      <c r="N44" s="29">
        <f>IF(($D44=$G44),60,60/(($D44-$G44)*Calculator!$E$8))</f>
        <v>60</v>
      </c>
      <c r="O44" s="36">
        <f t="shared" si="5"/>
        <v>0</v>
      </c>
      <c r="P44" s="35">
        <f t="shared" si="6"/>
        <v>12.5</v>
      </c>
      <c r="Q44" s="36">
        <f t="shared" si="7"/>
        <v>12.5</v>
      </c>
      <c r="R44" s="32">
        <f t="shared" si="8"/>
        <v>0</v>
      </c>
      <c r="S44" s="129">
        <f t="shared" si="3"/>
        <v>0</v>
      </c>
      <c r="T44" s="17">
        <f t="shared" si="9"/>
        <v>1</v>
      </c>
    </row>
    <row r="45" spans="1:20" ht="20.149999999999999" customHeight="1">
      <c r="A45" s="7" t="s">
        <v>123</v>
      </c>
      <c r="B45" s="9"/>
      <c r="C45" s="9" t="s">
        <v>12</v>
      </c>
      <c r="D45" s="10">
        <v>139</v>
      </c>
      <c r="E45" s="11">
        <v>0</v>
      </c>
      <c r="F45" s="11">
        <v>139</v>
      </c>
      <c r="G45" s="13">
        <v>139</v>
      </c>
      <c r="H45" s="10">
        <f t="shared" si="4"/>
        <v>139</v>
      </c>
      <c r="I45" s="123">
        <f t="shared" si="2"/>
        <v>0</v>
      </c>
      <c r="J45" s="10">
        <f>PRODUCT($D45,Calculator!$E$8)</f>
        <v>625.5</v>
      </c>
      <c r="K45" s="13">
        <f>PRODUCT($H45,Calculator!$E$8)</f>
        <v>625.5</v>
      </c>
      <c r="L45" s="14">
        <f>60/($D45*Calculator!$E$8)</f>
        <v>9.5923261390887291E-2</v>
      </c>
      <c r="M45" s="12">
        <f>IF(($D45=$E45),60,60/(($D45-$E45)*Calculator!$E$8))</f>
        <v>9.5923261390887291E-2</v>
      </c>
      <c r="N45" s="29">
        <f>IF(($D45=$G45),60,60/(($D45-$G45)*Calculator!$E$8))</f>
        <v>60</v>
      </c>
      <c r="O45" s="36">
        <f t="shared" si="5"/>
        <v>0</v>
      </c>
      <c r="P45" s="35">
        <f t="shared" si="6"/>
        <v>624.5</v>
      </c>
      <c r="Q45" s="36">
        <f t="shared" si="7"/>
        <v>624.5</v>
      </c>
      <c r="R45" s="34">
        <f t="shared" si="8"/>
        <v>0</v>
      </c>
      <c r="S45" s="129">
        <f t="shared" si="3"/>
        <v>1</v>
      </c>
      <c r="T45" s="17">
        <f t="shared" si="9"/>
        <v>1</v>
      </c>
    </row>
    <row r="46" spans="1:20" ht="20.149999999999999" customHeight="1">
      <c r="A46" s="7" t="s">
        <v>23</v>
      </c>
      <c r="B46" s="9"/>
      <c r="C46" s="9"/>
      <c r="D46" s="10">
        <v>47</v>
      </c>
      <c r="E46" s="11">
        <v>0</v>
      </c>
      <c r="F46" s="11">
        <v>0</v>
      </c>
      <c r="G46" s="13">
        <v>46</v>
      </c>
      <c r="H46" s="10">
        <f t="shared" si="4"/>
        <v>46</v>
      </c>
      <c r="I46" s="123">
        <f t="shared" si="2"/>
        <v>46</v>
      </c>
      <c r="J46" s="10">
        <f>PRODUCT($D46,Calculator!$E$8)</f>
        <v>211.5</v>
      </c>
      <c r="K46" s="13">
        <f>PRODUCT($H46,Calculator!$E$8)</f>
        <v>207</v>
      </c>
      <c r="L46" s="14">
        <f>60/($D46*Calculator!$E$8)</f>
        <v>0.28368794326241137</v>
      </c>
      <c r="M46" s="12">
        <f>IF(($D46=$E46),60,60/(($D46-$E46)*Calculator!$E$8))</f>
        <v>0.28368794326241137</v>
      </c>
      <c r="N46" s="29">
        <f>IF(($D46=$G46),60,60/(($D46-$G46)*Calculator!$E$8))</f>
        <v>13.333333333333334</v>
      </c>
      <c r="O46" s="36">
        <f t="shared" si="5"/>
        <v>0</v>
      </c>
      <c r="P46" s="35">
        <f t="shared" si="6"/>
        <v>46</v>
      </c>
      <c r="Q46" s="36">
        <f t="shared" si="7"/>
        <v>46</v>
      </c>
      <c r="R46" s="32">
        <f t="shared" si="8"/>
        <v>0</v>
      </c>
      <c r="S46" s="129">
        <f t="shared" si="3"/>
        <v>0</v>
      </c>
      <c r="T46" s="17">
        <f t="shared" si="9"/>
        <v>0.97872340425531912</v>
      </c>
    </row>
    <row r="47" spans="1:20" ht="20.149999999999999" customHeight="1">
      <c r="A47" s="7" t="s">
        <v>24</v>
      </c>
      <c r="B47" s="10"/>
      <c r="C47" s="10"/>
      <c r="D47" s="10">
        <v>20</v>
      </c>
      <c r="E47" s="11">
        <v>0</v>
      </c>
      <c r="F47" s="11">
        <v>0</v>
      </c>
      <c r="G47" s="13">
        <v>20</v>
      </c>
      <c r="H47" s="10">
        <f t="shared" si="4"/>
        <v>20</v>
      </c>
      <c r="I47" s="123">
        <f t="shared" si="2"/>
        <v>20</v>
      </c>
      <c r="J47" s="10">
        <f>PRODUCT($D47,Calculator!$E$8)</f>
        <v>90</v>
      </c>
      <c r="K47" s="13">
        <f>PRODUCT($H47,Calculator!$E$8)</f>
        <v>90</v>
      </c>
      <c r="L47" s="14">
        <f>60/($D47*Calculator!$E$8)</f>
        <v>0.66666666666666663</v>
      </c>
      <c r="M47" s="12">
        <f>IF(($D47=$E47),60,60/(($D47-$E47)*Calculator!$E$8))</f>
        <v>0.66666666666666663</v>
      </c>
      <c r="N47" s="29">
        <f>IF(($D47=$G47),60,60/(($D47-$G47)*Calculator!$E$8))</f>
        <v>60</v>
      </c>
      <c r="O47" s="36">
        <f t="shared" si="5"/>
        <v>0</v>
      </c>
      <c r="P47" s="35">
        <f t="shared" si="6"/>
        <v>89.000000000000014</v>
      </c>
      <c r="Q47" s="36">
        <f t="shared" si="7"/>
        <v>89.000000000000014</v>
      </c>
      <c r="R47" s="32">
        <f t="shared" si="8"/>
        <v>0</v>
      </c>
      <c r="S47" s="129">
        <f t="shared" si="3"/>
        <v>0</v>
      </c>
      <c r="T47" s="17">
        <f t="shared" si="9"/>
        <v>1</v>
      </c>
    </row>
    <row r="48" spans="1:20" ht="20.149999999999999" customHeight="1">
      <c r="A48" s="7" t="s">
        <v>25</v>
      </c>
      <c r="B48" s="10"/>
      <c r="C48" s="9" t="s">
        <v>12</v>
      </c>
      <c r="D48" s="10">
        <v>12</v>
      </c>
      <c r="E48" s="11">
        <v>0</v>
      </c>
      <c r="F48" s="11">
        <v>11</v>
      </c>
      <c r="G48" s="13">
        <v>12</v>
      </c>
      <c r="H48" s="10">
        <f t="shared" si="4"/>
        <v>12</v>
      </c>
      <c r="I48" s="123">
        <f t="shared" si="2"/>
        <v>1</v>
      </c>
      <c r="J48" s="10">
        <f>PRODUCT($D48,Calculator!$E$8)</f>
        <v>54</v>
      </c>
      <c r="K48" s="13">
        <f>PRODUCT($H48,Calculator!$E$8)</f>
        <v>54</v>
      </c>
      <c r="L48" s="14">
        <f>60/($D48*Calculator!$E$8)</f>
        <v>1.1111111111111112</v>
      </c>
      <c r="M48" s="12">
        <f>IF(($D48=$E48),60,60/(($D48-$E48)*Calculator!$E$8))</f>
        <v>1.1111111111111112</v>
      </c>
      <c r="N48" s="29">
        <f>IF(($D48=$G48),60,60/(($D48-$G48)*Calculator!$E$8))</f>
        <v>60</v>
      </c>
      <c r="O48" s="36">
        <f t="shared" si="5"/>
        <v>0</v>
      </c>
      <c r="P48" s="35">
        <f t="shared" si="6"/>
        <v>52.999999999999993</v>
      </c>
      <c r="Q48" s="36">
        <f t="shared" si="7"/>
        <v>52.999999999999993</v>
      </c>
      <c r="R48" s="33">
        <f t="shared" si="8"/>
        <v>0</v>
      </c>
      <c r="S48" s="129">
        <f t="shared" si="3"/>
        <v>0.91666666666666663</v>
      </c>
      <c r="T48" s="17">
        <f t="shared" si="9"/>
        <v>1</v>
      </c>
    </row>
    <row r="49" spans="1:20" ht="20.149999999999999" customHeight="1">
      <c r="A49" s="7" t="s">
        <v>26</v>
      </c>
      <c r="B49" s="10"/>
      <c r="C49" s="10"/>
      <c r="D49" s="10">
        <v>10</v>
      </c>
      <c r="E49" s="11">
        <v>0</v>
      </c>
      <c r="F49" s="11">
        <v>0</v>
      </c>
      <c r="G49" s="13">
        <v>10</v>
      </c>
      <c r="H49" s="10">
        <f t="shared" si="4"/>
        <v>10</v>
      </c>
      <c r="I49" s="123">
        <f t="shared" si="2"/>
        <v>10</v>
      </c>
      <c r="J49" s="10">
        <f>PRODUCT($D49,Calculator!$E$8)</f>
        <v>45</v>
      </c>
      <c r="K49" s="13">
        <f>PRODUCT($H49,Calculator!$E$8)</f>
        <v>45</v>
      </c>
      <c r="L49" s="14">
        <f>60/($D49*Calculator!$E$8)</f>
        <v>1.3333333333333333</v>
      </c>
      <c r="M49" s="14">
        <f>IF(($D49=$E49),60,60/(($D49-$E49)*Calculator!$E$8))</f>
        <v>1.3333333333333333</v>
      </c>
      <c r="N49" s="29">
        <f>IF(($D49=$G49),60,60/(($D49-$G49)*Calculator!$E$8))</f>
        <v>60</v>
      </c>
      <c r="O49" s="36">
        <f t="shared" si="5"/>
        <v>0</v>
      </c>
      <c r="P49" s="35">
        <f t="shared" si="6"/>
        <v>44</v>
      </c>
      <c r="Q49" s="36">
        <f t="shared" si="7"/>
        <v>44</v>
      </c>
      <c r="R49" s="32">
        <f t="shared" si="8"/>
        <v>0</v>
      </c>
      <c r="S49" s="129">
        <f t="shared" si="3"/>
        <v>0</v>
      </c>
      <c r="T49" s="17">
        <f t="shared" si="9"/>
        <v>1</v>
      </c>
    </row>
    <row r="50" spans="1:20" ht="20.149999999999999" customHeight="1">
      <c r="A50" s="7" t="s">
        <v>27</v>
      </c>
      <c r="B50" s="10"/>
      <c r="C50" s="10"/>
      <c r="D50" s="10">
        <v>10</v>
      </c>
      <c r="E50" s="11">
        <v>0</v>
      </c>
      <c r="F50" s="11">
        <v>0</v>
      </c>
      <c r="G50" s="13">
        <v>10</v>
      </c>
      <c r="H50" s="10">
        <f t="shared" si="4"/>
        <v>10</v>
      </c>
      <c r="I50" s="123">
        <f t="shared" si="2"/>
        <v>10</v>
      </c>
      <c r="J50" s="10">
        <f>PRODUCT($D50,Calculator!$E$8)</f>
        <v>45</v>
      </c>
      <c r="K50" s="13">
        <f>PRODUCT($H50,Calculator!$E$8)</f>
        <v>45</v>
      </c>
      <c r="L50" s="14">
        <f>60/($D50*Calculator!$E$8)</f>
        <v>1.3333333333333333</v>
      </c>
      <c r="M50" s="14">
        <f>IF(($D50=$E50),60,60/(($D50-$E50)*Calculator!$E$8))</f>
        <v>1.3333333333333333</v>
      </c>
      <c r="N50" s="29">
        <f>IF(($D50=$G50),60,60/(($D50-$G50)*Calculator!$E$8))</f>
        <v>60</v>
      </c>
      <c r="O50" s="36">
        <f t="shared" si="5"/>
        <v>0</v>
      </c>
      <c r="P50" s="35">
        <f t="shared" si="6"/>
        <v>44</v>
      </c>
      <c r="Q50" s="36">
        <f t="shared" si="7"/>
        <v>44</v>
      </c>
      <c r="R50" s="33">
        <f t="shared" si="8"/>
        <v>0</v>
      </c>
      <c r="S50" s="129">
        <f t="shared" si="3"/>
        <v>0</v>
      </c>
      <c r="T50" s="17">
        <f t="shared" si="9"/>
        <v>1</v>
      </c>
    </row>
    <row r="51" spans="1:20" ht="20.149999999999999" customHeight="1">
      <c r="A51" s="7" t="s">
        <v>28</v>
      </c>
      <c r="B51" s="10"/>
      <c r="C51" s="10"/>
      <c r="D51" s="10">
        <v>81</v>
      </c>
      <c r="E51" s="11">
        <v>0</v>
      </c>
      <c r="F51" s="11">
        <v>0</v>
      </c>
      <c r="G51" s="13">
        <v>81</v>
      </c>
      <c r="H51" s="10">
        <f t="shared" si="4"/>
        <v>81</v>
      </c>
      <c r="I51" s="123">
        <f t="shared" si="2"/>
        <v>81</v>
      </c>
      <c r="J51" s="10">
        <f>PRODUCT($D51,Calculator!$E$8)</f>
        <v>364.5</v>
      </c>
      <c r="K51" s="13">
        <f>PRODUCT($H51,Calculator!$E$8)</f>
        <v>364.5</v>
      </c>
      <c r="L51" s="14">
        <f>60/($D51*Calculator!$E$8)</f>
        <v>0.16460905349794239</v>
      </c>
      <c r="M51" s="14">
        <f>IF(($D51=$E51),60,60/(($D51-$E51)*Calculator!$E$8))</f>
        <v>0.16460905349794239</v>
      </c>
      <c r="N51" s="29">
        <f>IF(($D51=$G51),60,60/(($D51-$G51)*Calculator!$E$8))</f>
        <v>60</v>
      </c>
      <c r="O51" s="36">
        <f t="shared" si="5"/>
        <v>0</v>
      </c>
      <c r="P51" s="35">
        <f t="shared" si="6"/>
        <v>363.5</v>
      </c>
      <c r="Q51" s="36">
        <f t="shared" si="7"/>
        <v>363.5</v>
      </c>
      <c r="R51" s="32">
        <f t="shared" si="8"/>
        <v>0</v>
      </c>
      <c r="S51" s="129">
        <f t="shared" si="3"/>
        <v>0</v>
      </c>
      <c r="T51" s="17">
        <f t="shared" si="9"/>
        <v>1</v>
      </c>
    </row>
    <row r="52" spans="1:20" ht="20.149999999999999" customHeight="1">
      <c r="A52" s="7" t="s">
        <v>29</v>
      </c>
      <c r="B52" s="10"/>
      <c r="C52" s="10"/>
      <c r="D52" s="10">
        <v>63</v>
      </c>
      <c r="E52" s="11">
        <v>0</v>
      </c>
      <c r="F52" s="11">
        <v>0</v>
      </c>
      <c r="G52" s="13">
        <v>63</v>
      </c>
      <c r="H52" s="10">
        <f t="shared" si="4"/>
        <v>63</v>
      </c>
      <c r="I52" s="123">
        <f t="shared" si="2"/>
        <v>63</v>
      </c>
      <c r="J52" s="10">
        <f>PRODUCT($D52,Calculator!$E$8)</f>
        <v>283.5</v>
      </c>
      <c r="K52" s="13">
        <f>PRODUCT($H52,Calculator!$E$8)</f>
        <v>283.5</v>
      </c>
      <c r="L52" s="14">
        <f>60/($D52*Calculator!$E$8)</f>
        <v>0.21164021164021163</v>
      </c>
      <c r="M52" s="14">
        <f>IF(($D52=$E52),60,60/(($D52-$E52)*Calculator!$E$8))</f>
        <v>0.21164021164021163</v>
      </c>
      <c r="N52" s="29">
        <f>IF(($D52=$G52),60,60/(($D52-$G52)*Calculator!$E$8))</f>
        <v>60</v>
      </c>
      <c r="O52" s="36">
        <f t="shared" si="5"/>
        <v>0</v>
      </c>
      <c r="P52" s="35">
        <f t="shared" si="6"/>
        <v>282.50000000000006</v>
      </c>
      <c r="Q52" s="36">
        <f t="shared" si="7"/>
        <v>282.50000000000006</v>
      </c>
      <c r="R52" s="33">
        <f t="shared" si="8"/>
        <v>0</v>
      </c>
      <c r="S52" s="129">
        <f t="shared" si="3"/>
        <v>0</v>
      </c>
      <c r="T52" s="17">
        <f t="shared" si="9"/>
        <v>1</v>
      </c>
    </row>
    <row r="53" spans="1:20" ht="20.149999999999999" customHeight="1">
      <c r="A53" s="7" t="s">
        <v>30</v>
      </c>
      <c r="B53" s="10"/>
      <c r="C53" s="10"/>
      <c r="D53" s="10">
        <v>40</v>
      </c>
      <c r="E53" s="11">
        <v>0</v>
      </c>
      <c r="F53" s="11">
        <v>0</v>
      </c>
      <c r="G53" s="13">
        <v>40</v>
      </c>
      <c r="H53" s="10">
        <f t="shared" si="4"/>
        <v>40</v>
      </c>
      <c r="I53" s="123">
        <f t="shared" si="2"/>
        <v>40</v>
      </c>
      <c r="J53" s="10">
        <f>PRODUCT($D53,Calculator!$E$8)</f>
        <v>180</v>
      </c>
      <c r="K53" s="13">
        <f>PRODUCT($H53,Calculator!$E$8)</f>
        <v>180</v>
      </c>
      <c r="L53" s="14">
        <f>60/($D53*Calculator!$E$8)</f>
        <v>0.33333333333333331</v>
      </c>
      <c r="M53" s="14">
        <f>IF(($D53=$E53),60,60/(($D53-$E53)*Calculator!$E$8))</f>
        <v>0.33333333333333331</v>
      </c>
      <c r="N53" s="29">
        <f>IF(($D53=$G53),60,60/(($D53-$G53)*Calculator!$E$8))</f>
        <v>60</v>
      </c>
      <c r="O53" s="36">
        <f t="shared" si="5"/>
        <v>0</v>
      </c>
      <c r="P53" s="35">
        <f t="shared" si="6"/>
        <v>179</v>
      </c>
      <c r="Q53" s="36">
        <f t="shared" si="7"/>
        <v>179</v>
      </c>
      <c r="R53" s="32">
        <f t="shared" si="8"/>
        <v>0</v>
      </c>
      <c r="S53" s="129">
        <f t="shared" si="3"/>
        <v>0</v>
      </c>
      <c r="T53" s="17">
        <f t="shared" si="9"/>
        <v>1</v>
      </c>
    </row>
    <row r="54" spans="1:20" ht="20.149999999999999" customHeight="1">
      <c r="A54" s="7" t="s">
        <v>31</v>
      </c>
      <c r="B54" s="10"/>
      <c r="C54" s="10"/>
      <c r="D54" s="10">
        <v>37</v>
      </c>
      <c r="E54" s="11">
        <v>0</v>
      </c>
      <c r="F54" s="11">
        <v>0</v>
      </c>
      <c r="G54" s="13">
        <v>37</v>
      </c>
      <c r="H54" s="10">
        <f t="shared" ref="H54:H89" si="10">G54-E54</f>
        <v>37</v>
      </c>
      <c r="I54" s="123">
        <f t="shared" si="2"/>
        <v>37</v>
      </c>
      <c r="J54" s="10">
        <f>PRODUCT($D54,Calculator!$E$8)</f>
        <v>166.5</v>
      </c>
      <c r="K54" s="13">
        <f>PRODUCT($H54,Calculator!$E$8)</f>
        <v>166.5</v>
      </c>
      <c r="L54" s="14">
        <f>60/($D54*Calculator!$E$8)</f>
        <v>0.36036036036036034</v>
      </c>
      <c r="M54" s="14">
        <f>IF(($D54=$E54),60,60/(($D54-$E54)*Calculator!$E$8))</f>
        <v>0.36036036036036034</v>
      </c>
      <c r="N54" s="29">
        <f>IF(($D54=$G54),60,60/(($D54-$G54)*Calculator!$E$8))</f>
        <v>60</v>
      </c>
      <c r="O54" s="36">
        <f t="shared" ref="O54:O91" si="11">(M54-L54)/L54</f>
        <v>0</v>
      </c>
      <c r="P54" s="35">
        <f t="shared" ref="P54:P91" si="12">(N54-L54)/L54</f>
        <v>165.5</v>
      </c>
      <c r="Q54" s="36">
        <f t="shared" ref="Q54:Q91" si="13">(N54-M54)/M54</f>
        <v>165.5</v>
      </c>
      <c r="R54" s="33">
        <f t="shared" ref="R54:R91" si="14" xml:space="preserve"> E54/D54</f>
        <v>0</v>
      </c>
      <c r="S54" s="129">
        <f t="shared" si="3"/>
        <v>0</v>
      </c>
      <c r="T54" s="17">
        <f t="shared" ref="T54:T91" si="15">G54/D54</f>
        <v>1</v>
      </c>
    </row>
    <row r="55" spans="1:20" ht="20.149999999999999" customHeight="1">
      <c r="A55" s="7" t="s">
        <v>32</v>
      </c>
      <c r="B55" s="10"/>
      <c r="C55" s="10"/>
      <c r="D55" s="10">
        <v>14</v>
      </c>
      <c r="E55" s="11">
        <v>0</v>
      </c>
      <c r="F55" s="11">
        <v>0</v>
      </c>
      <c r="G55" s="13">
        <v>14</v>
      </c>
      <c r="H55" s="10">
        <f t="shared" si="10"/>
        <v>14</v>
      </c>
      <c r="I55" s="123">
        <f t="shared" si="2"/>
        <v>14</v>
      </c>
      <c r="J55" s="10">
        <f>PRODUCT($D55,Calculator!$E$8)</f>
        <v>63</v>
      </c>
      <c r="K55" s="13">
        <f>PRODUCT($H55,Calculator!$E$8)</f>
        <v>63</v>
      </c>
      <c r="L55" s="14">
        <f>60/($D55*Calculator!$E$8)</f>
        <v>0.95238095238095233</v>
      </c>
      <c r="M55" s="14">
        <f>IF(($D55=$E55),60,60/(($D55-$E55)*Calculator!$E$8))</f>
        <v>0.95238095238095233</v>
      </c>
      <c r="N55" s="29">
        <f>IF(($D55=$G55),60,60/(($D55-$G55)*Calculator!$E$8))</f>
        <v>60</v>
      </c>
      <c r="O55" s="36">
        <f t="shared" si="11"/>
        <v>0</v>
      </c>
      <c r="P55" s="35">
        <f t="shared" si="12"/>
        <v>62.000000000000007</v>
      </c>
      <c r="Q55" s="36">
        <f t="shared" si="13"/>
        <v>62.000000000000007</v>
      </c>
      <c r="R55" s="32">
        <f t="shared" si="14"/>
        <v>0</v>
      </c>
      <c r="S55" s="129">
        <f t="shared" si="3"/>
        <v>0</v>
      </c>
      <c r="T55" s="17">
        <f t="shared" si="15"/>
        <v>1</v>
      </c>
    </row>
    <row r="56" spans="1:20" ht="20.149999999999999" customHeight="1">
      <c r="A56" s="7" t="s">
        <v>33</v>
      </c>
      <c r="B56" s="10"/>
      <c r="C56" s="10"/>
      <c r="D56" s="10">
        <v>14</v>
      </c>
      <c r="E56" s="11">
        <v>0</v>
      </c>
      <c r="F56" s="11">
        <v>0</v>
      </c>
      <c r="G56" s="13">
        <v>14</v>
      </c>
      <c r="H56" s="10">
        <f t="shared" si="10"/>
        <v>14</v>
      </c>
      <c r="I56" s="123">
        <f t="shared" si="2"/>
        <v>14</v>
      </c>
      <c r="J56" s="10">
        <f>PRODUCT($D56,Calculator!$E$8)</f>
        <v>63</v>
      </c>
      <c r="K56" s="13">
        <f>PRODUCT($H56,Calculator!$E$8)</f>
        <v>63</v>
      </c>
      <c r="L56" s="14">
        <f>60/($D56*Calculator!$E$8)</f>
        <v>0.95238095238095233</v>
      </c>
      <c r="M56" s="14">
        <f>IF(($D56=$E56),60,60/(($D56-$E56)*Calculator!$E$8))</f>
        <v>0.95238095238095233</v>
      </c>
      <c r="N56" s="29">
        <f>IF(($D56=$G56),60,60/(($D56-$G56)*Calculator!$E$8))</f>
        <v>60</v>
      </c>
      <c r="O56" s="36">
        <f t="shared" si="11"/>
        <v>0</v>
      </c>
      <c r="P56" s="35">
        <f t="shared" si="12"/>
        <v>62.000000000000007</v>
      </c>
      <c r="Q56" s="36">
        <f t="shared" si="13"/>
        <v>62.000000000000007</v>
      </c>
      <c r="R56" s="33">
        <f t="shared" si="14"/>
        <v>0</v>
      </c>
      <c r="S56" s="129">
        <f t="shared" si="3"/>
        <v>0</v>
      </c>
      <c r="T56" s="17">
        <f t="shared" si="15"/>
        <v>1</v>
      </c>
    </row>
    <row r="57" spans="1:20" ht="20.149999999999999" customHeight="1">
      <c r="A57" s="7" t="s">
        <v>34</v>
      </c>
      <c r="B57" s="10"/>
      <c r="C57" s="10"/>
      <c r="D57" s="10">
        <v>15</v>
      </c>
      <c r="E57" s="11">
        <v>0</v>
      </c>
      <c r="F57" s="11">
        <v>0</v>
      </c>
      <c r="G57" s="13">
        <v>15</v>
      </c>
      <c r="H57" s="10">
        <f t="shared" si="10"/>
        <v>15</v>
      </c>
      <c r="I57" s="123">
        <f t="shared" si="2"/>
        <v>15</v>
      </c>
      <c r="J57" s="10">
        <f>PRODUCT($D57,Calculator!$E$8)</f>
        <v>67.5</v>
      </c>
      <c r="K57" s="13">
        <f>PRODUCT($H57,Calculator!$E$8)</f>
        <v>67.5</v>
      </c>
      <c r="L57" s="14">
        <f>60/($D57*Calculator!$E$8)</f>
        <v>0.88888888888888884</v>
      </c>
      <c r="M57" s="14">
        <f>IF(($D57=$E57),60,60/(($D57-$E57)*Calculator!$E$8))</f>
        <v>0.88888888888888884</v>
      </c>
      <c r="N57" s="29">
        <f>IF(($D57=$G57),60,60/(($D57-$G57)*Calculator!$E$8))</f>
        <v>60</v>
      </c>
      <c r="O57" s="36">
        <f t="shared" si="11"/>
        <v>0</v>
      </c>
      <c r="P57" s="35">
        <f t="shared" si="12"/>
        <v>66.500000000000014</v>
      </c>
      <c r="Q57" s="36">
        <f t="shared" si="13"/>
        <v>66.500000000000014</v>
      </c>
      <c r="R57" s="32">
        <f t="shared" si="14"/>
        <v>0</v>
      </c>
      <c r="S57" s="129">
        <f t="shared" si="3"/>
        <v>0</v>
      </c>
      <c r="T57" s="17">
        <f t="shared" si="15"/>
        <v>1</v>
      </c>
    </row>
    <row r="58" spans="1:20" ht="20.149999999999999" customHeight="1">
      <c r="A58" s="7" t="s">
        <v>35</v>
      </c>
      <c r="B58" s="10"/>
      <c r="C58" s="10"/>
      <c r="D58" s="10">
        <v>15</v>
      </c>
      <c r="E58" s="11">
        <v>0</v>
      </c>
      <c r="F58" s="11">
        <v>0</v>
      </c>
      <c r="G58" s="13">
        <v>15</v>
      </c>
      <c r="H58" s="10">
        <f t="shared" si="10"/>
        <v>15</v>
      </c>
      <c r="I58" s="123">
        <f t="shared" si="2"/>
        <v>15</v>
      </c>
      <c r="J58" s="10">
        <f>PRODUCT($D58,Calculator!$E$8)</f>
        <v>67.5</v>
      </c>
      <c r="K58" s="13">
        <f>PRODUCT($H58,Calculator!$E$8)</f>
        <v>67.5</v>
      </c>
      <c r="L58" s="14">
        <f>60/($D58*Calculator!$E$8)</f>
        <v>0.88888888888888884</v>
      </c>
      <c r="M58" s="14">
        <f>IF(($D58=$E58),60,60/(($D58-$E58)*Calculator!$E$8))</f>
        <v>0.88888888888888884</v>
      </c>
      <c r="N58" s="14">
        <f>IF(($D58=$G58),60,60/(($D58-$G58)*Calculator!$E$8))</f>
        <v>60</v>
      </c>
      <c r="O58" s="36">
        <f t="shared" si="11"/>
        <v>0</v>
      </c>
      <c r="P58" s="35">
        <f t="shared" si="12"/>
        <v>66.500000000000014</v>
      </c>
      <c r="Q58" s="36">
        <f t="shared" si="13"/>
        <v>66.500000000000014</v>
      </c>
      <c r="R58" s="38">
        <f t="shared" si="14"/>
        <v>0</v>
      </c>
      <c r="S58" s="129">
        <f t="shared" si="3"/>
        <v>0</v>
      </c>
      <c r="T58" s="17">
        <f t="shared" si="15"/>
        <v>1</v>
      </c>
    </row>
    <row r="59" spans="1:20" ht="20.149999999999999" customHeight="1">
      <c r="A59" s="7" t="s">
        <v>76</v>
      </c>
      <c r="B59" s="10"/>
      <c r="C59" s="10"/>
      <c r="D59" s="10">
        <v>10</v>
      </c>
      <c r="E59" s="11">
        <v>0</v>
      </c>
      <c r="F59" s="11">
        <v>0</v>
      </c>
      <c r="G59" s="13">
        <v>10</v>
      </c>
      <c r="H59" s="11">
        <f t="shared" si="10"/>
        <v>10</v>
      </c>
      <c r="I59" s="123">
        <f t="shared" si="2"/>
        <v>10</v>
      </c>
      <c r="J59" s="37">
        <f>PRODUCT($D59,Calculator!$E$8)</f>
        <v>45</v>
      </c>
      <c r="K59" s="13">
        <f>PRODUCT($H59,Calculator!$E$8)</f>
        <v>45</v>
      </c>
      <c r="L59" s="12">
        <f>60/($D59*Calculator!$E$8)</f>
        <v>1.3333333333333333</v>
      </c>
      <c r="M59" s="12">
        <f>IF(($D59=$E59),60,60/(($D59-$E59)*Calculator!$E$8))</f>
        <v>1.3333333333333333</v>
      </c>
      <c r="N59" s="28">
        <f>IF(($D59=$G59),60,60/(($D59-$G59)*Calculator!$E$8))</f>
        <v>60</v>
      </c>
      <c r="O59" s="35">
        <f t="shared" si="11"/>
        <v>0</v>
      </c>
      <c r="P59" s="35">
        <f t="shared" si="12"/>
        <v>44</v>
      </c>
      <c r="Q59" s="35">
        <f t="shared" si="13"/>
        <v>44</v>
      </c>
      <c r="R59" s="32">
        <f t="shared" si="14"/>
        <v>0</v>
      </c>
      <c r="S59" s="129">
        <f t="shared" si="3"/>
        <v>0</v>
      </c>
      <c r="T59" s="17">
        <f t="shared" si="15"/>
        <v>1</v>
      </c>
    </row>
    <row r="60" spans="1:20" ht="20.149999999999999" customHeight="1">
      <c r="A60" s="7" t="s">
        <v>36</v>
      </c>
      <c r="B60" s="10"/>
      <c r="C60" s="10"/>
      <c r="D60" s="10">
        <v>3</v>
      </c>
      <c r="E60" s="11">
        <v>0</v>
      </c>
      <c r="F60" s="11">
        <v>0</v>
      </c>
      <c r="G60" s="13">
        <v>3</v>
      </c>
      <c r="H60" s="10">
        <f t="shared" si="10"/>
        <v>3</v>
      </c>
      <c r="I60" s="123">
        <f t="shared" si="2"/>
        <v>3</v>
      </c>
      <c r="J60" s="10">
        <f>PRODUCT($D60,Calculator!$E$8)</f>
        <v>13.5</v>
      </c>
      <c r="K60" s="13">
        <f>PRODUCT($H60,Calculator!$E$8)</f>
        <v>13.5</v>
      </c>
      <c r="L60" s="14">
        <f>60/($D60*Calculator!$E$8)</f>
        <v>4.4444444444444446</v>
      </c>
      <c r="M60" s="14">
        <f>IF(($D60=$E60),60,60/(($D60-$E60)*Calculator!$E$8))</f>
        <v>4.4444444444444446</v>
      </c>
      <c r="N60" s="29">
        <f>IF(($D60=$G60),60,60/(($D60-$G60)*Calculator!$E$8))</f>
        <v>60</v>
      </c>
      <c r="O60" s="36">
        <f t="shared" si="11"/>
        <v>0</v>
      </c>
      <c r="P60" s="35">
        <f t="shared" si="12"/>
        <v>12.5</v>
      </c>
      <c r="Q60" s="36">
        <f t="shared" si="13"/>
        <v>12.5</v>
      </c>
      <c r="R60" s="33">
        <f t="shared" si="14"/>
        <v>0</v>
      </c>
      <c r="S60" s="129">
        <f t="shared" si="3"/>
        <v>0</v>
      </c>
      <c r="T60" s="17">
        <f t="shared" si="15"/>
        <v>1</v>
      </c>
    </row>
    <row r="61" spans="1:20" ht="20.149999999999999" customHeight="1">
      <c r="A61" s="7" t="s">
        <v>37</v>
      </c>
      <c r="B61" s="10"/>
      <c r="C61" s="10"/>
      <c r="D61" s="10">
        <v>42</v>
      </c>
      <c r="E61" s="11">
        <v>0</v>
      </c>
      <c r="F61" s="11">
        <v>0</v>
      </c>
      <c r="G61" s="13">
        <v>22</v>
      </c>
      <c r="H61" s="10">
        <f t="shared" si="10"/>
        <v>22</v>
      </c>
      <c r="I61" s="123">
        <f t="shared" si="2"/>
        <v>22</v>
      </c>
      <c r="J61" s="10">
        <f>PRODUCT($D61,Calculator!$E$8)</f>
        <v>189</v>
      </c>
      <c r="K61" s="13">
        <f>PRODUCT($H61,Calculator!$E$8)</f>
        <v>99</v>
      </c>
      <c r="L61" s="14">
        <f>60/($D61*Calculator!$E$8)</f>
        <v>0.31746031746031744</v>
      </c>
      <c r="M61" s="14">
        <f>IF(($D61=$E61),60,60/(($D61-$E61)*Calculator!$E$8))</f>
        <v>0.31746031746031744</v>
      </c>
      <c r="N61" s="29">
        <f>IF(($D61=$G61),60,60/(($D61-$G61)*Calculator!$E$8))</f>
        <v>0.66666666666666663</v>
      </c>
      <c r="O61" s="36">
        <f t="shared" si="11"/>
        <v>0</v>
      </c>
      <c r="P61" s="35">
        <f t="shared" si="12"/>
        <v>1.1000000000000001</v>
      </c>
      <c r="Q61" s="36">
        <f t="shared" si="13"/>
        <v>1.1000000000000001</v>
      </c>
      <c r="R61" s="33">
        <f t="shared" si="14"/>
        <v>0</v>
      </c>
      <c r="S61" s="129">
        <f t="shared" si="3"/>
        <v>0</v>
      </c>
      <c r="T61" s="17">
        <f t="shared" si="15"/>
        <v>0.52380952380952384</v>
      </c>
    </row>
    <row r="62" spans="1:20" ht="20.149999999999999" customHeight="1">
      <c r="A62" s="7" t="s">
        <v>38</v>
      </c>
      <c r="B62" s="10"/>
      <c r="C62" s="10"/>
      <c r="D62" s="10">
        <v>92</v>
      </c>
      <c r="E62" s="11">
        <v>0</v>
      </c>
      <c r="F62" s="11">
        <v>0</v>
      </c>
      <c r="G62" s="13">
        <v>51</v>
      </c>
      <c r="H62" s="10">
        <f t="shared" si="10"/>
        <v>51</v>
      </c>
      <c r="I62" s="123">
        <f t="shared" si="2"/>
        <v>51</v>
      </c>
      <c r="J62" s="10">
        <f>PRODUCT($D62,Calculator!$E$8)</f>
        <v>414</v>
      </c>
      <c r="K62" s="13">
        <f>PRODUCT($H62,Calculator!$E$8)</f>
        <v>229.5</v>
      </c>
      <c r="L62" s="14">
        <f>60/($D62*Calculator!$E$8)</f>
        <v>0.14492753623188406</v>
      </c>
      <c r="M62" s="14">
        <f>IF(($D62=$E62),60,60/(($D62-$E62)*Calculator!$E$8))</f>
        <v>0.14492753623188406</v>
      </c>
      <c r="N62" s="29">
        <f>IF(($D62=$G62),60,60/(($D62-$G62)*Calculator!$E$8))</f>
        <v>0.32520325203252032</v>
      </c>
      <c r="O62" s="36">
        <f t="shared" si="11"/>
        <v>0</v>
      </c>
      <c r="P62" s="35">
        <f t="shared" si="12"/>
        <v>1.24390243902439</v>
      </c>
      <c r="Q62" s="36">
        <f t="shared" si="13"/>
        <v>1.24390243902439</v>
      </c>
      <c r="R62" s="33">
        <f t="shared" si="14"/>
        <v>0</v>
      </c>
      <c r="S62" s="129">
        <f t="shared" si="3"/>
        <v>0</v>
      </c>
      <c r="T62" s="17">
        <f t="shared" si="15"/>
        <v>0.55434782608695654</v>
      </c>
    </row>
    <row r="63" spans="1:20" ht="20.149999999999999" customHeight="1">
      <c r="A63" s="7" t="s">
        <v>39</v>
      </c>
      <c r="B63" s="10"/>
      <c r="C63" s="10"/>
      <c r="D63" s="10">
        <v>28</v>
      </c>
      <c r="E63" s="11">
        <v>0</v>
      </c>
      <c r="F63" s="11">
        <v>0</v>
      </c>
      <c r="G63" s="13">
        <v>17</v>
      </c>
      <c r="H63" s="10">
        <f t="shared" si="10"/>
        <v>17</v>
      </c>
      <c r="I63" s="123">
        <f t="shared" si="2"/>
        <v>17</v>
      </c>
      <c r="J63" s="10">
        <f>PRODUCT($D63,Calculator!$E$8)</f>
        <v>126</v>
      </c>
      <c r="K63" s="13">
        <f>PRODUCT($H63,Calculator!$E$8)</f>
        <v>76.5</v>
      </c>
      <c r="L63" s="14">
        <f>60/($D63*Calculator!$E$8)</f>
        <v>0.47619047619047616</v>
      </c>
      <c r="M63" s="14">
        <f>IF(($D63=$E63),60,60/(($D63-$E63)*Calculator!$E$8))</f>
        <v>0.47619047619047616</v>
      </c>
      <c r="N63" s="29">
        <f>IF(($D63=$G63),60,60/(($D63-$G63)*Calculator!$E$8))</f>
        <v>1.2121212121212122</v>
      </c>
      <c r="O63" s="36">
        <f t="shared" si="11"/>
        <v>0</v>
      </c>
      <c r="P63" s="35">
        <f t="shared" si="12"/>
        <v>1.5454545454545456</v>
      </c>
      <c r="Q63" s="36">
        <f t="shared" si="13"/>
        <v>1.5454545454545456</v>
      </c>
      <c r="R63" s="31">
        <f t="shared" si="14"/>
        <v>0</v>
      </c>
      <c r="S63" s="129">
        <f t="shared" si="3"/>
        <v>0</v>
      </c>
      <c r="T63" s="17">
        <f t="shared" si="15"/>
        <v>0.6071428571428571</v>
      </c>
    </row>
    <row r="64" spans="1:20" ht="20.149999999999999" customHeight="1">
      <c r="A64" s="7" t="s">
        <v>40</v>
      </c>
      <c r="B64" s="10"/>
      <c r="C64" s="10"/>
      <c r="D64" s="10">
        <v>102</v>
      </c>
      <c r="E64" s="11">
        <v>0</v>
      </c>
      <c r="F64" s="11">
        <v>0</v>
      </c>
      <c r="G64" s="13">
        <v>82</v>
      </c>
      <c r="H64" s="10">
        <f t="shared" si="10"/>
        <v>82</v>
      </c>
      <c r="I64" s="123">
        <f t="shared" si="2"/>
        <v>82</v>
      </c>
      <c r="J64" s="10">
        <f>PRODUCT($D64,Calculator!$E$8)</f>
        <v>459</v>
      </c>
      <c r="K64" s="13">
        <f>PRODUCT($H64,Calculator!$E$8)</f>
        <v>369</v>
      </c>
      <c r="L64" s="14">
        <f>60/($D64*Calculator!$E$8)</f>
        <v>0.13071895424836602</v>
      </c>
      <c r="M64" s="14">
        <f>IF(($D64=$E64),60,60/(($D64-$E64)*Calculator!$E$8))</f>
        <v>0.13071895424836602</v>
      </c>
      <c r="N64" s="29">
        <f>IF(($D64=$G64),60,60/(($D64-$G64)*Calculator!$E$8))</f>
        <v>0.66666666666666663</v>
      </c>
      <c r="O64" s="36">
        <f t="shared" si="11"/>
        <v>0</v>
      </c>
      <c r="P64" s="35">
        <f t="shared" si="12"/>
        <v>4.0999999999999996</v>
      </c>
      <c r="Q64" s="36">
        <f t="shared" si="13"/>
        <v>4.0999999999999996</v>
      </c>
      <c r="R64" s="33">
        <f t="shared" si="14"/>
        <v>0</v>
      </c>
      <c r="S64" s="129">
        <f t="shared" si="3"/>
        <v>0</v>
      </c>
      <c r="T64" s="17">
        <f t="shared" si="15"/>
        <v>0.80392156862745101</v>
      </c>
    </row>
    <row r="65" spans="1:20" ht="20.149999999999999" customHeight="1">
      <c r="A65" s="7" t="s">
        <v>41</v>
      </c>
      <c r="B65" s="10"/>
      <c r="C65" s="10"/>
      <c r="D65" s="10">
        <v>13</v>
      </c>
      <c r="E65" s="11">
        <v>0</v>
      </c>
      <c r="F65" s="11">
        <v>0</v>
      </c>
      <c r="G65" s="13">
        <v>13</v>
      </c>
      <c r="H65" s="10">
        <f t="shared" si="10"/>
        <v>13</v>
      </c>
      <c r="I65" s="123">
        <f t="shared" si="2"/>
        <v>13</v>
      </c>
      <c r="J65" s="10">
        <f>PRODUCT($D65,Calculator!$E$8)</f>
        <v>58.5</v>
      </c>
      <c r="K65" s="13">
        <f>PRODUCT($H65,Calculator!$E$8)</f>
        <v>58.5</v>
      </c>
      <c r="L65" s="14">
        <f>60/($D65*Calculator!$E$8)</f>
        <v>1.0256410256410255</v>
      </c>
      <c r="M65" s="14">
        <f>IF(($D65=$E65),60,60/(($D65-$E65)*Calculator!$E$8))</f>
        <v>1.0256410256410255</v>
      </c>
      <c r="N65" s="29">
        <f>IF(($D65=$G65),60,60/(($D65-$G65)*Calculator!$E$8))</f>
        <v>60</v>
      </c>
      <c r="O65" s="36">
        <f t="shared" si="11"/>
        <v>0</v>
      </c>
      <c r="P65" s="35">
        <f t="shared" si="12"/>
        <v>57.500000000000007</v>
      </c>
      <c r="Q65" s="36">
        <f t="shared" si="13"/>
        <v>57.500000000000007</v>
      </c>
      <c r="R65" s="32">
        <f t="shared" si="14"/>
        <v>0</v>
      </c>
      <c r="S65" s="129">
        <f t="shared" si="3"/>
        <v>0</v>
      </c>
      <c r="T65" s="17">
        <f t="shared" si="15"/>
        <v>1</v>
      </c>
    </row>
    <row r="66" spans="1:20" ht="20.149999999999999" customHeight="1">
      <c r="A66" s="7" t="s">
        <v>42</v>
      </c>
      <c r="B66" s="10"/>
      <c r="C66" s="10"/>
      <c r="D66" s="10">
        <v>13</v>
      </c>
      <c r="E66" s="11">
        <v>0</v>
      </c>
      <c r="F66" s="11">
        <v>0</v>
      </c>
      <c r="G66" s="13">
        <v>13</v>
      </c>
      <c r="H66" s="10">
        <f t="shared" si="10"/>
        <v>13</v>
      </c>
      <c r="I66" s="123">
        <f t="shared" si="2"/>
        <v>13</v>
      </c>
      <c r="J66" s="10">
        <f>PRODUCT($D66,Calculator!$E$8)</f>
        <v>58.5</v>
      </c>
      <c r="K66" s="13">
        <f>PRODUCT($H66,Calculator!$E$8)</f>
        <v>58.5</v>
      </c>
      <c r="L66" s="14">
        <f>60/($D66*Calculator!$E$8)</f>
        <v>1.0256410256410255</v>
      </c>
      <c r="M66" s="14">
        <f>IF(($D66=$E66),60,60/(($D66-$E66)*Calculator!$E$8))</f>
        <v>1.0256410256410255</v>
      </c>
      <c r="N66" s="29">
        <f>IF(($D66=$G66),60,60/(($D66-$G66)*Calculator!$E$8))</f>
        <v>60</v>
      </c>
      <c r="O66" s="36">
        <f t="shared" si="11"/>
        <v>0</v>
      </c>
      <c r="P66" s="35">
        <f t="shared" si="12"/>
        <v>57.500000000000007</v>
      </c>
      <c r="Q66" s="36">
        <f t="shared" si="13"/>
        <v>57.500000000000007</v>
      </c>
      <c r="R66" s="32">
        <f t="shared" si="14"/>
        <v>0</v>
      </c>
      <c r="S66" s="129">
        <f t="shared" si="3"/>
        <v>0</v>
      </c>
      <c r="T66" s="17">
        <f t="shared" si="15"/>
        <v>1</v>
      </c>
    </row>
    <row r="67" spans="1:20" ht="20.149999999999999" customHeight="1">
      <c r="A67" s="7" t="s">
        <v>43</v>
      </c>
      <c r="B67" s="9"/>
      <c r="C67" s="9"/>
      <c r="D67" s="10">
        <v>35</v>
      </c>
      <c r="E67" s="11">
        <v>0</v>
      </c>
      <c r="F67" s="11">
        <v>0</v>
      </c>
      <c r="G67" s="13">
        <v>35</v>
      </c>
      <c r="H67" s="10">
        <f t="shared" si="10"/>
        <v>35</v>
      </c>
      <c r="I67" s="123">
        <f t="shared" si="2"/>
        <v>35</v>
      </c>
      <c r="J67" s="10">
        <f>PRODUCT($D67,Calculator!$E$8)</f>
        <v>157.5</v>
      </c>
      <c r="K67" s="13">
        <f>PRODUCT($H67,Calculator!$E$8)</f>
        <v>157.5</v>
      </c>
      <c r="L67" s="14">
        <f>60/($D67*Calculator!$E$8)</f>
        <v>0.38095238095238093</v>
      </c>
      <c r="M67" s="14">
        <f>IF(($D67=$E67),60,60/(($D67-$E67)*Calculator!$E$8))</f>
        <v>0.38095238095238093</v>
      </c>
      <c r="N67" s="29">
        <f>IF(($D67=$G67),60,60/(($D67-$G67)*Calculator!$E$8))</f>
        <v>60</v>
      </c>
      <c r="O67" s="36">
        <f t="shared" si="11"/>
        <v>0</v>
      </c>
      <c r="P67" s="35">
        <f t="shared" si="12"/>
        <v>156.5</v>
      </c>
      <c r="Q67" s="36">
        <f t="shared" si="13"/>
        <v>156.5</v>
      </c>
      <c r="R67" s="32">
        <f t="shared" si="14"/>
        <v>0</v>
      </c>
      <c r="S67" s="129">
        <f t="shared" si="3"/>
        <v>0</v>
      </c>
      <c r="T67" s="17">
        <f t="shared" si="15"/>
        <v>1</v>
      </c>
    </row>
    <row r="68" spans="1:20" ht="20.149999999999999" customHeight="1">
      <c r="A68" s="7" t="s">
        <v>44</v>
      </c>
      <c r="B68" s="9"/>
      <c r="C68" s="9"/>
      <c r="D68" s="10">
        <v>34</v>
      </c>
      <c r="E68" s="11">
        <v>0</v>
      </c>
      <c r="F68" s="11">
        <v>0</v>
      </c>
      <c r="G68" s="13">
        <v>34</v>
      </c>
      <c r="H68" s="11">
        <f>G68-E68</f>
        <v>34</v>
      </c>
      <c r="I68" s="123">
        <f t="shared" si="2"/>
        <v>34</v>
      </c>
      <c r="J68" s="37">
        <f>PRODUCT($D68,Calculator!$E$8)</f>
        <v>153</v>
      </c>
      <c r="K68" s="13">
        <f>PRODUCT($H68,Calculator!$E$8)</f>
        <v>153</v>
      </c>
      <c r="L68" s="12">
        <f>60/($D68*Calculator!$E$8)</f>
        <v>0.39215686274509803</v>
      </c>
      <c r="M68" s="12">
        <f>IF(($D68=$E68),60,60/(($D68-$E68)*Calculator!$E$8))</f>
        <v>0.39215686274509803</v>
      </c>
      <c r="N68" s="12">
        <f>IF(($D68=$G68),60,60/(($D68-$G68)*Calculator!$E$8))</f>
        <v>60</v>
      </c>
      <c r="O68" s="35">
        <f>(M68-L68)/L68</f>
        <v>0</v>
      </c>
      <c r="P68" s="35">
        <f>(N68-L68)/L68</f>
        <v>152</v>
      </c>
      <c r="Q68" s="35">
        <f>(N68-M68)/M68</f>
        <v>152</v>
      </c>
      <c r="R68" s="38">
        <f xml:space="preserve"> E68/D68</f>
        <v>0</v>
      </c>
      <c r="S68" s="129">
        <f t="shared" si="3"/>
        <v>0</v>
      </c>
      <c r="T68" s="17">
        <f>G68/D68</f>
        <v>1</v>
      </c>
    </row>
    <row r="69" spans="1:20" ht="20.149999999999999" customHeight="1">
      <c r="A69" s="7" t="s">
        <v>124</v>
      </c>
      <c r="B69" s="9" t="s">
        <v>12</v>
      </c>
      <c r="C69" s="9" t="s">
        <v>12</v>
      </c>
      <c r="D69" s="10">
        <v>34</v>
      </c>
      <c r="E69" s="11">
        <v>23</v>
      </c>
      <c r="F69" s="11">
        <v>23</v>
      </c>
      <c r="G69" s="13">
        <v>33</v>
      </c>
      <c r="H69" s="10">
        <f t="shared" si="10"/>
        <v>10</v>
      </c>
      <c r="I69" s="123">
        <f t="shared" si="2"/>
        <v>10</v>
      </c>
      <c r="J69" s="10">
        <f>PRODUCT($D69,Calculator!$E$8)</f>
        <v>153</v>
      </c>
      <c r="K69" s="13">
        <f>PRODUCT($H69,Calculator!$E$8)</f>
        <v>45</v>
      </c>
      <c r="L69" s="14">
        <f>60/($D69*Calculator!$E$8)</f>
        <v>0.39215686274509803</v>
      </c>
      <c r="M69" s="14">
        <f>IF(($D69=$E69),60,60/(($D69-$E69)*Calculator!$E$8))</f>
        <v>1.2121212121212122</v>
      </c>
      <c r="N69" s="29">
        <f>IF(($D69=$G69),60,60/(($D69-$G69)*Calculator!$E$8))</f>
        <v>13.333333333333334</v>
      </c>
      <c r="O69" s="36">
        <f t="shared" si="11"/>
        <v>2.0909090909090913</v>
      </c>
      <c r="P69" s="35">
        <f t="shared" si="12"/>
        <v>33</v>
      </c>
      <c r="Q69" s="36">
        <f t="shared" si="13"/>
        <v>10</v>
      </c>
      <c r="R69" s="32">
        <f t="shared" si="14"/>
        <v>0.67647058823529416</v>
      </c>
      <c r="S69" s="129">
        <f t="shared" si="3"/>
        <v>0.67647058823529416</v>
      </c>
      <c r="T69" s="17">
        <f t="shared" si="15"/>
        <v>0.97058823529411764</v>
      </c>
    </row>
    <row r="70" spans="1:20" ht="20.149999999999999" customHeight="1">
      <c r="A70" s="7" t="s">
        <v>102</v>
      </c>
      <c r="B70" s="9"/>
      <c r="C70" s="9"/>
      <c r="D70" s="10">
        <v>16</v>
      </c>
      <c r="E70" s="11">
        <v>0</v>
      </c>
      <c r="F70" s="11">
        <v>0</v>
      </c>
      <c r="G70" s="13">
        <v>14</v>
      </c>
      <c r="H70" s="11">
        <f>G70-E70</f>
        <v>14</v>
      </c>
      <c r="I70" s="123">
        <f t="shared" si="2"/>
        <v>14</v>
      </c>
      <c r="J70" s="37">
        <f>PRODUCT($D70,Calculator!$E$8)</f>
        <v>72</v>
      </c>
      <c r="K70" s="13">
        <f>PRODUCT($H70,Calculator!$E$8)</f>
        <v>63</v>
      </c>
      <c r="L70" s="12">
        <f>60/($D70*Calculator!$E$8)</f>
        <v>0.83333333333333337</v>
      </c>
      <c r="M70" s="12">
        <f>IF(($D70=$E70),60,60/(($D70-$E70)*Calculator!$E$8))</f>
        <v>0.83333333333333337</v>
      </c>
      <c r="N70" s="12">
        <f>IF(($D70=$G70),60,60/(($D70-$G70)*Calculator!$E$8))</f>
        <v>6.666666666666667</v>
      </c>
      <c r="O70" s="35">
        <f>(M70-L70)/L70</f>
        <v>0</v>
      </c>
      <c r="P70" s="35">
        <f>(N70-L70)/L70</f>
        <v>7</v>
      </c>
      <c r="Q70" s="35">
        <f>(N70-M70)/M70</f>
        <v>7</v>
      </c>
      <c r="R70" s="38">
        <f xml:space="preserve"> E70/D70</f>
        <v>0</v>
      </c>
      <c r="S70" s="129">
        <f t="shared" si="3"/>
        <v>0</v>
      </c>
      <c r="T70" s="17">
        <f>G70/D70</f>
        <v>0.875</v>
      </c>
    </row>
    <row r="71" spans="1:20" ht="20.149999999999999" customHeight="1">
      <c r="A71" s="7" t="s">
        <v>101</v>
      </c>
      <c r="B71" s="9"/>
      <c r="C71" s="9"/>
      <c r="D71" s="10">
        <v>16</v>
      </c>
      <c r="E71" s="11">
        <v>0</v>
      </c>
      <c r="F71" s="11">
        <v>0</v>
      </c>
      <c r="G71" s="13">
        <v>15</v>
      </c>
      <c r="H71" s="10">
        <f t="shared" si="10"/>
        <v>15</v>
      </c>
      <c r="I71" s="123">
        <f t="shared" si="2"/>
        <v>15</v>
      </c>
      <c r="J71" s="10">
        <f>PRODUCT($D71,Calculator!$E$8)</f>
        <v>72</v>
      </c>
      <c r="K71" s="13">
        <f>PRODUCT($H71,Calculator!$E$8)</f>
        <v>67.5</v>
      </c>
      <c r="L71" s="14">
        <f>60/($D71*Calculator!$E$8)</f>
        <v>0.83333333333333337</v>
      </c>
      <c r="M71" s="14">
        <f>IF(($D71=$E71),60,60/(($D71-$E71)*Calculator!$E$8))</f>
        <v>0.83333333333333337</v>
      </c>
      <c r="N71" s="29">
        <f>IF(($D71=$G71),60,60/(($D71-$G71)*Calculator!$E$8))</f>
        <v>13.333333333333334</v>
      </c>
      <c r="O71" s="36">
        <f t="shared" si="11"/>
        <v>0</v>
      </c>
      <c r="P71" s="35">
        <f t="shared" si="12"/>
        <v>15</v>
      </c>
      <c r="Q71" s="36">
        <f t="shared" si="13"/>
        <v>15</v>
      </c>
      <c r="R71" s="32">
        <f t="shared" si="14"/>
        <v>0</v>
      </c>
      <c r="S71" s="129">
        <f t="shared" si="3"/>
        <v>0</v>
      </c>
      <c r="T71" s="17">
        <f t="shared" si="15"/>
        <v>0.9375</v>
      </c>
    </row>
    <row r="72" spans="1:20" ht="20.149999999999999" customHeight="1">
      <c r="A72" s="7" t="s">
        <v>79</v>
      </c>
      <c r="B72" s="9" t="s">
        <v>12</v>
      </c>
      <c r="C72" s="9" t="s">
        <v>12</v>
      </c>
      <c r="D72" s="10">
        <v>245</v>
      </c>
      <c r="E72" s="11">
        <v>158</v>
      </c>
      <c r="F72" s="11">
        <v>158</v>
      </c>
      <c r="G72" s="13">
        <v>227</v>
      </c>
      <c r="H72" s="10">
        <f t="shared" si="10"/>
        <v>69</v>
      </c>
      <c r="I72" s="123">
        <f t="shared" si="2"/>
        <v>69</v>
      </c>
      <c r="J72" s="10">
        <f>PRODUCT($D72,Calculator!$E$8)</f>
        <v>1102.5</v>
      </c>
      <c r="K72" s="13">
        <f>PRODUCT($H72,Calculator!$E$8)</f>
        <v>310.5</v>
      </c>
      <c r="L72" s="14">
        <f>60/($D72*Calculator!$E$8)</f>
        <v>5.4421768707482991E-2</v>
      </c>
      <c r="M72" s="14">
        <f>IF(($D72=$E72),60,60/(($D72-$E72)*Calculator!$E$8))</f>
        <v>0.1532567049808429</v>
      </c>
      <c r="N72" s="29">
        <f>IF(($D72=$G72),60,60/(($D72-$G72)*Calculator!$E$8))</f>
        <v>0.7407407407407407</v>
      </c>
      <c r="O72" s="36">
        <f t="shared" si="11"/>
        <v>1.8160919540229883</v>
      </c>
      <c r="P72" s="35">
        <f t="shared" si="12"/>
        <v>12.611111111111112</v>
      </c>
      <c r="Q72" s="36">
        <f t="shared" si="13"/>
        <v>3.8333333333333335</v>
      </c>
      <c r="R72" s="32">
        <f t="shared" si="14"/>
        <v>0.64489795918367343</v>
      </c>
      <c r="S72" s="129">
        <f t="shared" si="3"/>
        <v>0.64489795918367343</v>
      </c>
      <c r="T72" s="17">
        <f t="shared" si="15"/>
        <v>0.92653061224489797</v>
      </c>
    </row>
    <row r="73" spans="1:20" ht="20.149999999999999" customHeight="1">
      <c r="A73" s="7" t="s">
        <v>80</v>
      </c>
      <c r="B73" s="9" t="s">
        <v>12</v>
      </c>
      <c r="C73" s="9" t="s">
        <v>12</v>
      </c>
      <c r="D73" s="10">
        <v>380</v>
      </c>
      <c r="E73" s="11">
        <v>243</v>
      </c>
      <c r="F73" s="11">
        <v>241</v>
      </c>
      <c r="G73" s="13">
        <v>359</v>
      </c>
      <c r="H73" s="10">
        <f t="shared" si="10"/>
        <v>116</v>
      </c>
      <c r="I73" s="123">
        <f t="shared" si="2"/>
        <v>118</v>
      </c>
      <c r="J73" s="10">
        <f>PRODUCT($D73,Calculator!$E$8)</f>
        <v>1710</v>
      </c>
      <c r="K73" s="13">
        <f>PRODUCT($H73,Calculator!$E$8)</f>
        <v>522</v>
      </c>
      <c r="L73" s="14">
        <f>60/($D73*Calculator!$E$8)</f>
        <v>3.5087719298245612E-2</v>
      </c>
      <c r="M73" s="14">
        <f>IF(($D73=$E73),60,60/(($D73-$E73)*Calculator!$E$8))</f>
        <v>9.7323600973236016E-2</v>
      </c>
      <c r="N73" s="29">
        <f>IF(($D73=$G73),60,60/(($D73-$G73)*Calculator!$E$8))</f>
        <v>0.63492063492063489</v>
      </c>
      <c r="O73" s="36">
        <f t="shared" si="11"/>
        <v>1.7737226277372267</v>
      </c>
      <c r="P73" s="35">
        <f t="shared" si="12"/>
        <v>17.095238095238095</v>
      </c>
      <c r="Q73" s="36">
        <f t="shared" si="13"/>
        <v>5.5238095238095228</v>
      </c>
      <c r="R73" s="32">
        <f t="shared" si="14"/>
        <v>0.63947368421052631</v>
      </c>
      <c r="S73" s="129">
        <f t="shared" si="3"/>
        <v>0.63421052631578945</v>
      </c>
      <c r="T73" s="17">
        <f t="shared" si="15"/>
        <v>0.94473684210526321</v>
      </c>
    </row>
    <row r="74" spans="1:20" ht="20.149999999999999" customHeight="1">
      <c r="A74" s="7" t="s">
        <v>125</v>
      </c>
      <c r="B74" s="9"/>
      <c r="C74" s="9"/>
      <c r="D74" s="10">
        <v>109</v>
      </c>
      <c r="E74" s="11">
        <v>0</v>
      </c>
      <c r="F74" s="11">
        <v>0</v>
      </c>
      <c r="G74" s="13">
        <v>57</v>
      </c>
      <c r="H74" s="10">
        <f t="shared" si="10"/>
        <v>57</v>
      </c>
      <c r="I74" s="123">
        <f t="shared" si="2"/>
        <v>57</v>
      </c>
      <c r="J74" s="10">
        <f>PRODUCT($D74,Calculator!$E$8)</f>
        <v>490.5</v>
      </c>
      <c r="K74" s="13">
        <f>PRODUCT($H74,Calculator!$E$8)</f>
        <v>256.5</v>
      </c>
      <c r="L74" s="14">
        <f>60/($D74*Calculator!$E$8)</f>
        <v>0.12232415902140673</v>
      </c>
      <c r="M74" s="14">
        <f>IF(($D74=$E74),60,60/(($D74-$E74)*Calculator!$E$8))</f>
        <v>0.12232415902140673</v>
      </c>
      <c r="N74" s="29">
        <f>IF(($D74=$G74),60,60/(($D74-$G74)*Calculator!$E$8))</f>
        <v>0.25641025641025639</v>
      </c>
      <c r="O74" s="36">
        <f t="shared" si="11"/>
        <v>0</v>
      </c>
      <c r="P74" s="35">
        <f t="shared" si="12"/>
        <v>1.096153846153846</v>
      </c>
      <c r="Q74" s="36">
        <f t="shared" si="13"/>
        <v>1.096153846153846</v>
      </c>
      <c r="R74" s="32">
        <f t="shared" si="14"/>
        <v>0</v>
      </c>
      <c r="S74" s="129">
        <f t="shared" si="3"/>
        <v>0</v>
      </c>
      <c r="T74" s="17">
        <f t="shared" si="15"/>
        <v>0.52293577981651373</v>
      </c>
    </row>
    <row r="75" spans="1:20" ht="20.149999999999999" customHeight="1">
      <c r="A75" s="7" t="s">
        <v>126</v>
      </c>
      <c r="B75" s="9" t="s">
        <v>12</v>
      </c>
      <c r="C75" s="9" t="s">
        <v>12</v>
      </c>
      <c r="D75" s="10">
        <v>244</v>
      </c>
      <c r="E75" s="11">
        <v>160</v>
      </c>
      <c r="F75" s="11">
        <v>160</v>
      </c>
      <c r="G75" s="13">
        <v>226</v>
      </c>
      <c r="H75" s="11">
        <f>G75-E75</f>
        <v>66</v>
      </c>
      <c r="I75" s="123">
        <f t="shared" si="2"/>
        <v>66</v>
      </c>
      <c r="J75" s="37">
        <f>PRODUCT($D75,Calculator!$E$8)</f>
        <v>1098</v>
      </c>
      <c r="K75" s="13">
        <f>PRODUCT($H75,Calculator!$E$8)</f>
        <v>297</v>
      </c>
      <c r="L75" s="12">
        <f>60/($D75*Calculator!$E$8)</f>
        <v>5.4644808743169397E-2</v>
      </c>
      <c r="M75" s="12">
        <f>IF(($D75=$E75),60,60/(($D75-$E75)*Calculator!$E$8))</f>
        <v>0.15873015873015872</v>
      </c>
      <c r="N75" s="12">
        <f>IF(($D75=$G75),60,60/(($D75-$G75)*Calculator!$E$8))</f>
        <v>0.7407407407407407</v>
      </c>
      <c r="O75" s="35">
        <f>(M75-L75)/L75</f>
        <v>1.9047619047619047</v>
      </c>
      <c r="P75" s="35">
        <f>(N75-L75)/L75</f>
        <v>12.555555555555555</v>
      </c>
      <c r="Q75" s="35">
        <f>(N75-M75)/M75</f>
        <v>3.6666666666666665</v>
      </c>
      <c r="R75" s="38">
        <f xml:space="preserve"> E75/D75</f>
        <v>0.65573770491803274</v>
      </c>
      <c r="S75" s="129">
        <f t="shared" si="3"/>
        <v>0.65573770491803274</v>
      </c>
      <c r="T75" s="17">
        <f>G75/D75</f>
        <v>0.92622950819672134</v>
      </c>
    </row>
    <row r="76" spans="1:20" s="27" customFormat="1" ht="20.149999999999999" customHeight="1">
      <c r="A76" s="7" t="s">
        <v>127</v>
      </c>
      <c r="B76" s="9" t="s">
        <v>12</v>
      </c>
      <c r="C76" s="9" t="s">
        <v>12</v>
      </c>
      <c r="D76" s="10">
        <v>374</v>
      </c>
      <c r="E76" s="11">
        <v>231</v>
      </c>
      <c r="F76" s="11">
        <v>230</v>
      </c>
      <c r="G76" s="13">
        <v>353</v>
      </c>
      <c r="H76" s="10">
        <f t="shared" si="10"/>
        <v>122</v>
      </c>
      <c r="I76" s="123">
        <f t="shared" ref="I76:I91" si="16">G76-F76</f>
        <v>123</v>
      </c>
      <c r="J76" s="10">
        <f>PRODUCT($D76,Calculator!$E$8)</f>
        <v>1683</v>
      </c>
      <c r="K76" s="13">
        <f>PRODUCT($H76,Calculator!$E$8)</f>
        <v>549</v>
      </c>
      <c r="L76" s="14">
        <f>60/($D76*Calculator!$E$8)</f>
        <v>3.5650623885918005E-2</v>
      </c>
      <c r="M76" s="14">
        <f>IF(($D76=$E76),60,60/(($D76-$E76)*Calculator!$E$8))</f>
        <v>9.3240093240093247E-2</v>
      </c>
      <c r="N76" s="29">
        <f>IF(($D76=$G76),60,60/(($D76-$G76)*Calculator!$E$8))</f>
        <v>0.63492063492063489</v>
      </c>
      <c r="O76" s="36">
        <f t="shared" si="11"/>
        <v>1.6153846153846154</v>
      </c>
      <c r="P76" s="35">
        <f t="shared" si="12"/>
        <v>16.809523809523807</v>
      </c>
      <c r="Q76" s="36">
        <f t="shared" si="13"/>
        <v>5.8095238095238093</v>
      </c>
      <c r="R76" s="33">
        <f t="shared" si="14"/>
        <v>0.61764705882352944</v>
      </c>
      <c r="S76" s="129">
        <f t="shared" ref="S76:S91" si="17" xml:space="preserve"> F76/D76</f>
        <v>0.61497326203208558</v>
      </c>
      <c r="T76" s="17">
        <f t="shared" si="15"/>
        <v>0.94385026737967914</v>
      </c>
    </row>
    <row r="77" spans="1:20" ht="20.149999999999999" customHeight="1">
      <c r="A77" s="7" t="s">
        <v>75</v>
      </c>
      <c r="B77" s="9" t="s">
        <v>12</v>
      </c>
      <c r="C77" s="9" t="s">
        <v>12</v>
      </c>
      <c r="D77" s="10">
        <v>229</v>
      </c>
      <c r="E77" s="11">
        <v>109</v>
      </c>
      <c r="F77" s="11">
        <v>109</v>
      </c>
      <c r="G77" s="13">
        <v>216</v>
      </c>
      <c r="H77" s="10">
        <f t="shared" si="10"/>
        <v>107</v>
      </c>
      <c r="I77" s="123">
        <f t="shared" si="16"/>
        <v>107</v>
      </c>
      <c r="J77" s="10">
        <f>PRODUCT($D77,Calculator!$E$8)</f>
        <v>1030.5</v>
      </c>
      <c r="K77" s="13">
        <f>PRODUCT($H77,Calculator!$E$8)</f>
        <v>481.5</v>
      </c>
      <c r="L77" s="14">
        <f>60/($D77*Calculator!$E$8)</f>
        <v>5.8224163027656477E-2</v>
      </c>
      <c r="M77" s="14">
        <f>IF(($D77=$E77),60,60/(($D77-$E77)*Calculator!$E$8))</f>
        <v>0.1111111111111111</v>
      </c>
      <c r="N77" s="29">
        <f>IF(($D77=$G77),60,60/(($D77-$G77)*Calculator!$E$8))</f>
        <v>1.0256410256410255</v>
      </c>
      <c r="O77" s="36">
        <f t="shared" si="11"/>
        <v>0.90833333333333321</v>
      </c>
      <c r="P77" s="35">
        <f t="shared" si="12"/>
        <v>16.615384615384613</v>
      </c>
      <c r="Q77" s="36">
        <f t="shared" si="13"/>
        <v>8.2307692307692299</v>
      </c>
      <c r="R77" s="32">
        <f t="shared" si="14"/>
        <v>0.4759825327510917</v>
      </c>
      <c r="S77" s="129">
        <f t="shared" si="17"/>
        <v>0.4759825327510917</v>
      </c>
      <c r="T77" s="17">
        <f t="shared" si="15"/>
        <v>0.94323144104803491</v>
      </c>
    </row>
    <row r="78" spans="1:20" ht="20.149999999999999" customHeight="1">
      <c r="A78" s="7" t="s">
        <v>45</v>
      </c>
      <c r="B78" s="9" t="s">
        <v>12</v>
      </c>
      <c r="C78" s="9" t="s">
        <v>12</v>
      </c>
      <c r="D78" s="10">
        <v>177</v>
      </c>
      <c r="E78" s="11">
        <v>112</v>
      </c>
      <c r="F78" s="11">
        <v>111</v>
      </c>
      <c r="G78" s="13">
        <v>163</v>
      </c>
      <c r="H78" s="10">
        <f t="shared" si="10"/>
        <v>51</v>
      </c>
      <c r="I78" s="123">
        <f t="shared" si="16"/>
        <v>52</v>
      </c>
      <c r="J78" s="10">
        <f>PRODUCT($D78,Calculator!$E$8)</f>
        <v>796.5</v>
      </c>
      <c r="K78" s="13">
        <f>PRODUCT($H78,Calculator!$E$8)</f>
        <v>229.5</v>
      </c>
      <c r="L78" s="14">
        <f>60/($D78*Calculator!$E$8)</f>
        <v>7.5329566854990579E-2</v>
      </c>
      <c r="M78" s="14">
        <f>IF(($D78=$E78),60,60/(($D78-$E78)*Calculator!$E$8))</f>
        <v>0.20512820512820512</v>
      </c>
      <c r="N78" s="29">
        <f>IF(($D78=$G78),60,60/(($D78-$G78)*Calculator!$E$8))</f>
        <v>0.95238095238095233</v>
      </c>
      <c r="O78" s="36">
        <f t="shared" si="11"/>
        <v>1.723076923076923</v>
      </c>
      <c r="P78" s="35">
        <f t="shared" si="12"/>
        <v>11.642857142857142</v>
      </c>
      <c r="Q78" s="36">
        <f t="shared" si="13"/>
        <v>3.6428571428571432</v>
      </c>
      <c r="R78" s="32">
        <f t="shared" si="14"/>
        <v>0.63276836158192096</v>
      </c>
      <c r="S78" s="129">
        <f t="shared" si="17"/>
        <v>0.6271186440677966</v>
      </c>
      <c r="T78" s="17">
        <f t="shared" si="15"/>
        <v>0.92090395480225984</v>
      </c>
    </row>
    <row r="79" spans="1:20" ht="20.149999999999999" customHeight="1">
      <c r="A79" s="7" t="s">
        <v>69</v>
      </c>
      <c r="B79" s="9" t="s">
        <v>12</v>
      </c>
      <c r="C79" s="9" t="s">
        <v>12</v>
      </c>
      <c r="D79" s="10">
        <v>169</v>
      </c>
      <c r="E79" s="11">
        <v>109</v>
      </c>
      <c r="F79" s="11">
        <v>108</v>
      </c>
      <c r="G79" s="13">
        <v>156</v>
      </c>
      <c r="H79" s="11">
        <f>G79-E79</f>
        <v>47</v>
      </c>
      <c r="I79" s="123">
        <f t="shared" si="16"/>
        <v>48</v>
      </c>
      <c r="J79" s="37">
        <f>PRODUCT($D79,Calculator!$E$8)</f>
        <v>760.5</v>
      </c>
      <c r="K79" s="13">
        <f>PRODUCT($H79,Calculator!$E$8)</f>
        <v>211.5</v>
      </c>
      <c r="L79" s="12">
        <f>60/($D79*Calculator!$E$8)</f>
        <v>7.8895463510848127E-2</v>
      </c>
      <c r="M79" s="12">
        <f>IF(($D79=$E79),60,60/(($D79-$E79)*Calculator!$E$8))</f>
        <v>0.22222222222222221</v>
      </c>
      <c r="N79" s="12">
        <f>IF(($D79=$G79),60,60/(($D79-$G79)*Calculator!$E$8))</f>
        <v>1.0256410256410255</v>
      </c>
      <c r="O79" s="35">
        <f>(M79-L79)/L79</f>
        <v>1.8166666666666662</v>
      </c>
      <c r="P79" s="35">
        <f>(N79-L79)/L79</f>
        <v>12</v>
      </c>
      <c r="Q79" s="35">
        <f>(N79-M79)/M79</f>
        <v>3.6153846153846154</v>
      </c>
      <c r="R79" s="38">
        <f xml:space="preserve"> E79/D79</f>
        <v>0.6449704142011834</v>
      </c>
      <c r="S79" s="129">
        <f t="shared" si="17"/>
        <v>0.63905325443786987</v>
      </c>
      <c r="T79" s="17">
        <f>G79/D79</f>
        <v>0.92307692307692313</v>
      </c>
    </row>
    <row r="80" spans="1:20" ht="20.149999999999999" customHeight="1">
      <c r="A80" s="7" t="s">
        <v>81</v>
      </c>
      <c r="B80" s="10"/>
      <c r="C80" s="10"/>
      <c r="D80" s="10">
        <v>15</v>
      </c>
      <c r="E80" s="10">
        <v>0</v>
      </c>
      <c r="F80" s="10">
        <v>0</v>
      </c>
      <c r="G80" s="10">
        <v>15</v>
      </c>
      <c r="H80" s="10">
        <f t="shared" si="10"/>
        <v>15</v>
      </c>
      <c r="I80" s="123">
        <f t="shared" si="16"/>
        <v>15</v>
      </c>
      <c r="J80" s="10">
        <f>PRODUCT($D80,Calculator!$E$8)</f>
        <v>67.5</v>
      </c>
      <c r="K80" s="11">
        <f>PRODUCT($H80,Calculator!$E$8)</f>
        <v>67.5</v>
      </c>
      <c r="L80" s="12">
        <f>60/($D80*Calculator!$E$8)</f>
        <v>0.88888888888888884</v>
      </c>
      <c r="M80" s="12">
        <f>IF(($D80=$E80),60,60/(($D80-$E80)*Calculator!$E$8))</f>
        <v>0.88888888888888884</v>
      </c>
      <c r="N80" s="28">
        <f>IF(($D80=$G80),60,60/(($D80-$G80)*Calculator!$E$8))</f>
        <v>60</v>
      </c>
      <c r="O80" s="35">
        <f t="shared" si="11"/>
        <v>0</v>
      </c>
      <c r="P80" s="35">
        <f t="shared" si="12"/>
        <v>66.500000000000014</v>
      </c>
      <c r="Q80" s="35">
        <f t="shared" si="13"/>
        <v>66.500000000000014</v>
      </c>
      <c r="R80" s="32">
        <f t="shared" si="14"/>
        <v>0</v>
      </c>
      <c r="S80" s="129">
        <f t="shared" si="17"/>
        <v>0</v>
      </c>
      <c r="T80" s="17">
        <f t="shared" si="15"/>
        <v>1</v>
      </c>
    </row>
    <row r="81" spans="1:20" ht="20.149999999999999" customHeight="1">
      <c r="A81" s="7" t="s">
        <v>82</v>
      </c>
      <c r="B81" s="9"/>
      <c r="C81" s="9"/>
      <c r="D81" s="10">
        <v>7</v>
      </c>
      <c r="E81" s="11">
        <v>0</v>
      </c>
      <c r="F81" s="11">
        <v>0</v>
      </c>
      <c r="G81" s="11">
        <v>7</v>
      </c>
      <c r="H81" s="11">
        <f t="shared" si="10"/>
        <v>7</v>
      </c>
      <c r="I81" s="123">
        <f t="shared" si="16"/>
        <v>7</v>
      </c>
      <c r="J81" s="37">
        <f>PRODUCT($D81,Calculator!$E$8)</f>
        <v>31.5</v>
      </c>
      <c r="K81" s="11">
        <f>PRODUCT($H81,Calculator!$E$8)</f>
        <v>31.5</v>
      </c>
      <c r="L81" s="12">
        <f>60/($D81*Calculator!$E$8)</f>
        <v>1.9047619047619047</v>
      </c>
      <c r="M81" s="12">
        <f>IF(($D81=$E81),60,60/(($D81-$E81)*Calculator!$E$8))</f>
        <v>1.9047619047619047</v>
      </c>
      <c r="N81" s="12">
        <f>IF(($D81=$G81),60,60/(($D81-$G81)*Calculator!$E$8))</f>
        <v>60</v>
      </c>
      <c r="O81" s="35">
        <f t="shared" si="11"/>
        <v>0</v>
      </c>
      <c r="P81" s="35">
        <f t="shared" si="12"/>
        <v>30.5</v>
      </c>
      <c r="Q81" s="35">
        <f t="shared" si="13"/>
        <v>30.5</v>
      </c>
      <c r="R81" s="38">
        <f t="shared" si="14"/>
        <v>0</v>
      </c>
      <c r="S81" s="129">
        <f t="shared" si="17"/>
        <v>0</v>
      </c>
      <c r="T81" s="17">
        <f t="shared" si="15"/>
        <v>1</v>
      </c>
    </row>
    <row r="82" spans="1:20" ht="20.149999999999999" customHeight="1">
      <c r="A82" s="7" t="s">
        <v>83</v>
      </c>
      <c r="B82" s="9"/>
      <c r="C82" s="9"/>
      <c r="D82" s="10">
        <v>35</v>
      </c>
      <c r="E82" s="11">
        <v>0</v>
      </c>
      <c r="F82" s="11">
        <v>0</v>
      </c>
      <c r="G82" s="11">
        <v>30</v>
      </c>
      <c r="H82" s="11">
        <f t="shared" si="10"/>
        <v>30</v>
      </c>
      <c r="I82" s="123">
        <f t="shared" si="16"/>
        <v>30</v>
      </c>
      <c r="J82" s="37">
        <f>PRODUCT($D82,Calculator!$E$8)</f>
        <v>157.5</v>
      </c>
      <c r="K82" s="11">
        <f>PRODUCT($H82,Calculator!$E$8)</f>
        <v>135</v>
      </c>
      <c r="L82" s="12">
        <f>60/($D82*Calculator!$E$8)</f>
        <v>0.38095238095238093</v>
      </c>
      <c r="M82" s="12">
        <f>IF(($D82=$E82),60,60/(($D82-$E82)*Calculator!$E$8))</f>
        <v>0.38095238095238093</v>
      </c>
      <c r="N82" s="12">
        <f>IF(($D82=$G82),60,60/(($D82-$G82)*Calculator!$E$8))</f>
        <v>2.6666666666666665</v>
      </c>
      <c r="O82" s="35">
        <f t="shared" si="11"/>
        <v>0</v>
      </c>
      <c r="P82" s="35">
        <f t="shared" si="12"/>
        <v>6</v>
      </c>
      <c r="Q82" s="35">
        <f t="shared" si="13"/>
        <v>6</v>
      </c>
      <c r="R82" s="38">
        <f t="shared" si="14"/>
        <v>0</v>
      </c>
      <c r="S82" s="129">
        <f t="shared" si="17"/>
        <v>0</v>
      </c>
      <c r="T82" s="17">
        <f t="shared" si="15"/>
        <v>0.8571428571428571</v>
      </c>
    </row>
    <row r="83" spans="1:20" ht="20.149999999999999" customHeight="1">
      <c r="A83" s="7" t="s">
        <v>128</v>
      </c>
      <c r="B83" s="9" t="s">
        <v>12</v>
      </c>
      <c r="C83" s="9" t="s">
        <v>12</v>
      </c>
      <c r="D83" s="10">
        <v>258</v>
      </c>
      <c r="E83" s="11">
        <v>213</v>
      </c>
      <c r="F83" s="11">
        <v>211</v>
      </c>
      <c r="G83" s="11">
        <v>252</v>
      </c>
      <c r="H83" s="11">
        <f t="shared" si="10"/>
        <v>39</v>
      </c>
      <c r="I83" s="123">
        <f t="shared" si="16"/>
        <v>41</v>
      </c>
      <c r="J83" s="37">
        <f>PRODUCT($D83,Calculator!$E$8)</f>
        <v>1161</v>
      </c>
      <c r="K83" s="11">
        <f>PRODUCT($H83,Calculator!$E$8)</f>
        <v>175.5</v>
      </c>
      <c r="L83" s="12">
        <f>60/($D83*Calculator!$E$8)</f>
        <v>5.1679586563307491E-2</v>
      </c>
      <c r="M83" s="12">
        <f>IF(($D83=$E83),60,60/(($D83-$E83)*Calculator!$E$8))</f>
        <v>0.29629629629629628</v>
      </c>
      <c r="N83" s="12">
        <f>IF(($D83=$G83),60,60/(($D83-$G83)*Calculator!$E$8))</f>
        <v>2.2222222222222223</v>
      </c>
      <c r="O83" s="35">
        <f t="shared" si="11"/>
        <v>4.7333333333333334</v>
      </c>
      <c r="P83" s="35">
        <f t="shared" si="12"/>
        <v>42.000000000000007</v>
      </c>
      <c r="Q83" s="35">
        <f t="shared" si="13"/>
        <v>6.5000000000000009</v>
      </c>
      <c r="R83" s="38">
        <f t="shared" si="14"/>
        <v>0.82558139534883723</v>
      </c>
      <c r="S83" s="129">
        <f t="shared" si="17"/>
        <v>0.81782945736434109</v>
      </c>
      <c r="T83" s="17">
        <f t="shared" si="15"/>
        <v>0.97674418604651159</v>
      </c>
    </row>
    <row r="84" spans="1:20" ht="20.149999999999999" customHeight="1">
      <c r="A84" s="7" t="s">
        <v>129</v>
      </c>
      <c r="B84" s="9" t="s">
        <v>12</v>
      </c>
      <c r="C84" s="9" t="s">
        <v>12</v>
      </c>
      <c r="D84" s="10">
        <v>254</v>
      </c>
      <c r="E84" s="11">
        <v>209</v>
      </c>
      <c r="F84" s="11">
        <v>208</v>
      </c>
      <c r="G84" s="11">
        <v>248</v>
      </c>
      <c r="H84" s="10">
        <f t="shared" si="10"/>
        <v>39</v>
      </c>
      <c r="I84" s="123">
        <f t="shared" si="16"/>
        <v>40</v>
      </c>
      <c r="J84" s="10">
        <f>PRODUCT($D84,Calculator!$E$8)</f>
        <v>1143</v>
      </c>
      <c r="K84" s="11">
        <f>PRODUCT($H84,Calculator!$E$8)</f>
        <v>175.5</v>
      </c>
      <c r="L84" s="12">
        <f>60/($D84*Calculator!$E$8)</f>
        <v>5.2493438320209973E-2</v>
      </c>
      <c r="M84" s="12">
        <f>IF(($D84=$E84),60,60/(($D84-$E84)*Calculator!$E$8))</f>
        <v>0.29629629629629628</v>
      </c>
      <c r="N84" s="28">
        <f>IF(($D84=$G84),60,60/(($D84-$G84)*Calculator!$E$8))</f>
        <v>2.2222222222222223</v>
      </c>
      <c r="O84" s="35">
        <f t="shared" si="11"/>
        <v>4.6444444444444439</v>
      </c>
      <c r="P84" s="35">
        <f t="shared" si="12"/>
        <v>41.333333333333336</v>
      </c>
      <c r="Q84" s="35">
        <f t="shared" si="13"/>
        <v>6.5000000000000009</v>
      </c>
      <c r="R84" s="32">
        <f t="shared" si="14"/>
        <v>0.82283464566929132</v>
      </c>
      <c r="S84" s="129">
        <f t="shared" si="17"/>
        <v>0.81889763779527558</v>
      </c>
      <c r="T84" s="17">
        <f t="shared" si="15"/>
        <v>0.97637795275590555</v>
      </c>
    </row>
    <row r="85" spans="1:20" ht="20.149999999999999" customHeight="1">
      <c r="A85" s="7" t="s">
        <v>130</v>
      </c>
      <c r="B85" s="9" t="s">
        <v>12</v>
      </c>
      <c r="C85" s="9" t="s">
        <v>12</v>
      </c>
      <c r="D85" s="10">
        <v>21</v>
      </c>
      <c r="E85" s="11">
        <v>20</v>
      </c>
      <c r="F85" s="11">
        <v>20</v>
      </c>
      <c r="G85" s="13">
        <v>20</v>
      </c>
      <c r="H85" s="10">
        <f t="shared" si="10"/>
        <v>0</v>
      </c>
      <c r="I85" s="123">
        <f t="shared" si="16"/>
        <v>0</v>
      </c>
      <c r="J85" s="10">
        <f>PRODUCT($D85,Calculator!$E$8)</f>
        <v>94.5</v>
      </c>
      <c r="K85" s="11">
        <f>PRODUCT($H85,Calculator!$E$8)</f>
        <v>0</v>
      </c>
      <c r="L85" s="12">
        <f>60/($D85*Calculator!$E$8)</f>
        <v>0.63492063492063489</v>
      </c>
      <c r="M85" s="12">
        <f>IF(($D85=$E85),60,60/(($D85-$E85)*Calculator!$E$8))</f>
        <v>13.333333333333334</v>
      </c>
      <c r="N85" s="28">
        <f>IF(($D85=$G85),60,60/(($D85-$G85)*Calculator!$E$8))</f>
        <v>13.333333333333334</v>
      </c>
      <c r="O85" s="35">
        <f t="shared" si="11"/>
        <v>20.000000000000004</v>
      </c>
      <c r="P85" s="35">
        <f t="shared" si="12"/>
        <v>20.000000000000004</v>
      </c>
      <c r="Q85" s="35">
        <f t="shared" si="13"/>
        <v>0</v>
      </c>
      <c r="R85" s="32">
        <f t="shared" si="14"/>
        <v>0.95238095238095233</v>
      </c>
      <c r="S85" s="129">
        <f t="shared" si="17"/>
        <v>0.95238095238095233</v>
      </c>
      <c r="T85" s="17">
        <f t="shared" si="15"/>
        <v>0.95238095238095233</v>
      </c>
    </row>
    <row r="86" spans="1:20" ht="20.149999999999999" customHeight="1">
      <c r="A86" s="7" t="s">
        <v>131</v>
      </c>
      <c r="B86" s="9" t="s">
        <v>12</v>
      </c>
      <c r="C86" s="9"/>
      <c r="D86" s="10">
        <v>291</v>
      </c>
      <c r="E86" s="11">
        <v>245</v>
      </c>
      <c r="F86" s="11">
        <v>0</v>
      </c>
      <c r="G86" s="13">
        <v>271</v>
      </c>
      <c r="H86" s="11">
        <f t="shared" si="10"/>
        <v>26</v>
      </c>
      <c r="I86" s="123">
        <f t="shared" si="16"/>
        <v>271</v>
      </c>
      <c r="J86" s="37">
        <f>PRODUCT($D86,Calculator!$E$8)</f>
        <v>1309.5</v>
      </c>
      <c r="K86" s="11">
        <f>PRODUCT($H86,Calculator!$E$8)</f>
        <v>117</v>
      </c>
      <c r="L86" s="12">
        <f>60/($D86*Calculator!$E$8)</f>
        <v>4.5819014891179836E-2</v>
      </c>
      <c r="M86" s="12">
        <f>IF(($D86=$E86),60,60/(($D86-$E86)*Calculator!$E$8))</f>
        <v>0.28985507246376813</v>
      </c>
      <c r="N86" s="12">
        <f>IF(($D86=$G86),60,60/(($D86-$G86)*Calculator!$E$8))</f>
        <v>0.66666666666666663</v>
      </c>
      <c r="O86" s="35">
        <f t="shared" si="11"/>
        <v>5.3260869565217392</v>
      </c>
      <c r="P86" s="35">
        <f t="shared" si="12"/>
        <v>13.55</v>
      </c>
      <c r="Q86" s="35">
        <f t="shared" si="13"/>
        <v>1.2999999999999998</v>
      </c>
      <c r="R86" s="38">
        <f t="shared" si="14"/>
        <v>0.84192439862542956</v>
      </c>
      <c r="S86" s="129">
        <f t="shared" si="17"/>
        <v>0</v>
      </c>
      <c r="T86" s="17">
        <f t="shared" si="15"/>
        <v>0.93127147766323026</v>
      </c>
    </row>
    <row r="87" spans="1:20" ht="20.149999999999999" customHeight="1">
      <c r="A87" s="8" t="s">
        <v>132</v>
      </c>
      <c r="B87" s="9" t="s">
        <v>12</v>
      </c>
      <c r="C87" s="9" t="s">
        <v>12</v>
      </c>
      <c r="D87" s="18">
        <v>364</v>
      </c>
      <c r="E87" s="19">
        <v>259</v>
      </c>
      <c r="F87" s="19">
        <v>259</v>
      </c>
      <c r="G87" s="20">
        <v>318</v>
      </c>
      <c r="H87" s="20">
        <f t="shared" si="10"/>
        <v>59</v>
      </c>
      <c r="I87" s="123">
        <f t="shared" si="16"/>
        <v>59</v>
      </c>
      <c r="J87" s="20">
        <f>PRODUCT($D87,Calculator!$E$8)</f>
        <v>1638</v>
      </c>
      <c r="K87" s="20">
        <f>PRODUCT($H87,Calculator!$E$8)</f>
        <v>265.5</v>
      </c>
      <c r="L87" s="21">
        <f>60/($D87*Calculator!$E$8)</f>
        <v>3.6630036630036632E-2</v>
      </c>
      <c r="M87" s="21">
        <f>IF(($D87=$E87),60,60/(($D87-$E87)*Calculator!$E$8))</f>
        <v>0.12698412698412698</v>
      </c>
      <c r="N87" s="30">
        <f>IF(($D87=$G87),60,60/(($D87-$G87)*Calculator!$E$8))</f>
        <v>0.28985507246376813</v>
      </c>
      <c r="O87" s="36">
        <f t="shared" si="11"/>
        <v>2.4666666666666663</v>
      </c>
      <c r="P87" s="35">
        <f t="shared" si="12"/>
        <v>6.9130434782608701</v>
      </c>
      <c r="Q87" s="36">
        <f t="shared" si="13"/>
        <v>1.2826086956521741</v>
      </c>
      <c r="R87" s="32">
        <f t="shared" si="14"/>
        <v>0.71153846153846156</v>
      </c>
      <c r="S87" s="129">
        <f t="shared" si="17"/>
        <v>0.71153846153846156</v>
      </c>
      <c r="T87" s="17">
        <f t="shared" si="15"/>
        <v>0.87362637362637363</v>
      </c>
    </row>
    <row r="88" spans="1:20" ht="20.149999999999999" customHeight="1">
      <c r="A88" s="8" t="s">
        <v>133</v>
      </c>
      <c r="B88" s="9" t="s">
        <v>12</v>
      </c>
      <c r="C88" s="9" t="s">
        <v>12</v>
      </c>
      <c r="D88" s="10">
        <v>329</v>
      </c>
      <c r="E88" s="11">
        <v>248</v>
      </c>
      <c r="F88" s="11">
        <v>248</v>
      </c>
      <c r="G88" s="13">
        <v>297</v>
      </c>
      <c r="H88" s="13">
        <f t="shared" si="10"/>
        <v>49</v>
      </c>
      <c r="I88" s="123">
        <f t="shared" si="16"/>
        <v>49</v>
      </c>
      <c r="J88" s="37">
        <f>PRODUCT($D88,Calculator!$E$8)</f>
        <v>1480.5</v>
      </c>
      <c r="K88" s="13">
        <f>PRODUCT($H88,Calculator!$E$8)</f>
        <v>220.5</v>
      </c>
      <c r="L88" s="12">
        <f>60/($D88*Calculator!$E$8)</f>
        <v>4.0526849037487336E-2</v>
      </c>
      <c r="M88" s="12">
        <f>IF(($D88=$E88),60,60/(($D88-$E88)*Calculator!$E$8))</f>
        <v>0.16460905349794239</v>
      </c>
      <c r="N88" s="12">
        <f>IF(($D88=$G88),60,60/(($D88-$G88)*Calculator!$E$8))</f>
        <v>0.41666666666666669</v>
      </c>
      <c r="O88" s="35">
        <f t="shared" si="11"/>
        <v>3.0617283950617282</v>
      </c>
      <c r="P88" s="35">
        <f t="shared" si="12"/>
        <v>9.28125</v>
      </c>
      <c r="Q88" s="35">
        <f t="shared" si="13"/>
        <v>1.5312500000000002</v>
      </c>
      <c r="R88" s="38">
        <f t="shared" si="14"/>
        <v>0.75379939209726443</v>
      </c>
      <c r="S88" s="129">
        <f t="shared" si="17"/>
        <v>0.75379939209726443</v>
      </c>
      <c r="T88" s="17">
        <f t="shared" si="15"/>
        <v>0.90273556231003038</v>
      </c>
    </row>
    <row r="89" spans="1:20" ht="20.149999999999999" customHeight="1">
      <c r="A89" s="7" t="s">
        <v>134</v>
      </c>
      <c r="B89" s="9" t="s">
        <v>12</v>
      </c>
      <c r="C89" s="9" t="s">
        <v>12</v>
      </c>
      <c r="D89" s="10">
        <v>271</v>
      </c>
      <c r="E89" s="11">
        <v>200</v>
      </c>
      <c r="F89" s="11">
        <v>200</v>
      </c>
      <c r="G89" s="13">
        <v>238</v>
      </c>
      <c r="H89" s="13">
        <f t="shared" si="10"/>
        <v>38</v>
      </c>
      <c r="I89" s="123">
        <f t="shared" si="16"/>
        <v>38</v>
      </c>
      <c r="J89" s="37">
        <f>PRODUCT($D89,Calculator!$E$8)</f>
        <v>1219.5</v>
      </c>
      <c r="K89" s="13">
        <f>PRODUCT($H89,Calculator!$E$8)</f>
        <v>171</v>
      </c>
      <c r="L89" s="12">
        <f>60/($D89*Calculator!$E$8)</f>
        <v>4.9200492004920049E-2</v>
      </c>
      <c r="M89" s="12">
        <f>IF(($D89=$E89),60,60/(($D89-$E89)*Calculator!$E$8))</f>
        <v>0.18779342723004694</v>
      </c>
      <c r="N89" s="12">
        <f>IF(($D89=$G89),60,60/(($D89-$G89)*Calculator!$E$8))</f>
        <v>0.40404040404040403</v>
      </c>
      <c r="O89" s="35">
        <f t="shared" si="11"/>
        <v>2.816901408450704</v>
      </c>
      <c r="P89" s="35">
        <f t="shared" si="12"/>
        <v>7.2121212121212119</v>
      </c>
      <c r="Q89" s="35">
        <f t="shared" si="13"/>
        <v>1.1515151515151516</v>
      </c>
      <c r="R89" s="38">
        <f t="shared" si="14"/>
        <v>0.73800738007380073</v>
      </c>
      <c r="S89" s="129">
        <f t="shared" si="17"/>
        <v>0.73800738007380073</v>
      </c>
      <c r="T89" s="17">
        <f t="shared" si="15"/>
        <v>0.87822878228782286</v>
      </c>
    </row>
    <row r="90" spans="1:20" ht="20.149999999999999" customHeight="1">
      <c r="A90" s="7" t="s">
        <v>135</v>
      </c>
      <c r="B90" s="9" t="s">
        <v>12</v>
      </c>
      <c r="C90" s="9" t="s">
        <v>12</v>
      </c>
      <c r="D90" s="10">
        <v>273</v>
      </c>
      <c r="E90" s="11">
        <v>202</v>
      </c>
      <c r="F90" s="11">
        <v>202</v>
      </c>
      <c r="G90" s="13">
        <v>240</v>
      </c>
      <c r="H90" s="13">
        <f t="shared" ref="H90:H91" si="18">G90-E90</f>
        <v>38</v>
      </c>
      <c r="I90" s="123">
        <f t="shared" si="16"/>
        <v>38</v>
      </c>
      <c r="J90" s="37">
        <f>PRODUCT($D90,Calculator!$E$8)</f>
        <v>1228.5</v>
      </c>
      <c r="K90" s="13">
        <f>PRODUCT($H90,Calculator!$E$8)</f>
        <v>171</v>
      </c>
      <c r="L90" s="12">
        <f>60/($D90*Calculator!$E$8)</f>
        <v>4.884004884004884E-2</v>
      </c>
      <c r="M90" s="12">
        <f>IF(($D90=$E90),60,60/(($D90-$E90)*Calculator!$E$8))</f>
        <v>0.18779342723004694</v>
      </c>
      <c r="N90" s="12">
        <f>IF(($D90=$G90),60,60/(($D90-$G90)*Calculator!$E$8))</f>
        <v>0.40404040404040403</v>
      </c>
      <c r="O90" s="35">
        <f t="shared" si="11"/>
        <v>2.845070422535211</v>
      </c>
      <c r="P90" s="35">
        <f t="shared" si="12"/>
        <v>7.2727272727272725</v>
      </c>
      <c r="Q90" s="35">
        <f t="shared" si="13"/>
        <v>1.1515151515151516</v>
      </c>
      <c r="R90" s="38">
        <f t="shared" si="14"/>
        <v>0.73992673992673996</v>
      </c>
      <c r="S90" s="129">
        <f t="shared" si="17"/>
        <v>0.73992673992673996</v>
      </c>
      <c r="T90" s="17">
        <f t="shared" si="15"/>
        <v>0.87912087912087911</v>
      </c>
    </row>
    <row r="91" spans="1:20" ht="20.149999999999999" customHeight="1">
      <c r="A91" s="7" t="s">
        <v>136</v>
      </c>
      <c r="B91" s="9" t="s">
        <v>12</v>
      </c>
      <c r="C91" s="9" t="s">
        <v>12</v>
      </c>
      <c r="D91" s="10">
        <v>273</v>
      </c>
      <c r="E91" s="11">
        <v>204</v>
      </c>
      <c r="F91" s="11">
        <v>204</v>
      </c>
      <c r="G91" s="13">
        <v>240</v>
      </c>
      <c r="H91" s="13">
        <f t="shared" si="18"/>
        <v>36</v>
      </c>
      <c r="I91" s="123">
        <f t="shared" si="16"/>
        <v>36</v>
      </c>
      <c r="J91" s="37">
        <f>PRODUCT($D91,Calculator!$E$8)</f>
        <v>1228.5</v>
      </c>
      <c r="K91" s="13">
        <f>PRODUCT($H91,Calculator!$E$8)</f>
        <v>162</v>
      </c>
      <c r="L91" s="12">
        <f>60/($D91*Calculator!$E$8)</f>
        <v>4.884004884004884E-2</v>
      </c>
      <c r="M91" s="12">
        <f>IF(($D91=$E91),60,60/(($D91-$E91)*Calculator!$E$8))</f>
        <v>0.19323671497584541</v>
      </c>
      <c r="N91" s="12">
        <f>IF(($D91=$G91),60,60/(($D91-$G91)*Calculator!$E$8))</f>
        <v>0.40404040404040403</v>
      </c>
      <c r="O91" s="35">
        <f t="shared" si="11"/>
        <v>2.956521739130435</v>
      </c>
      <c r="P91" s="35">
        <f t="shared" si="12"/>
        <v>7.2727272727272725</v>
      </c>
      <c r="Q91" s="35">
        <f t="shared" si="13"/>
        <v>1.0909090909090908</v>
      </c>
      <c r="R91" s="38">
        <f t="shared" si="14"/>
        <v>0.74725274725274726</v>
      </c>
      <c r="S91" s="129">
        <f t="shared" si="17"/>
        <v>0.74725274725274726</v>
      </c>
      <c r="T91" s="17">
        <f t="shared" si="15"/>
        <v>0.87912087912087911</v>
      </c>
    </row>
    <row r="93" spans="1:20">
      <c r="R93" s="39"/>
      <c r="S93" s="39"/>
      <c r="T93" s="39"/>
    </row>
  </sheetData>
  <sheetProtection sheet="1" objects="1" scenarios="1"/>
  <mergeCells count="1">
    <mergeCell ref="A1:T1"/>
  </mergeCells>
  <conditionalFormatting sqref="R86:R91 R14:R84">
    <cfRule type="dataBar" priority="10">
      <dataBar>
        <cfvo type="num" val="0"/>
        <cfvo type="num" val="1"/>
        <color rgb="FFEC7320"/>
      </dataBar>
      <extLst>
        <ext xmlns:x14="http://schemas.microsoft.com/office/spreadsheetml/2009/9/main" uri="{B025F937-C7B1-47D3-B67F-A62EFF666E3E}">
          <x14:id>{117FCCBA-D30B-461A-BC49-AD0EA1944DE0}</x14:id>
        </ext>
      </extLst>
    </cfRule>
  </conditionalFormatting>
  <conditionalFormatting sqref="T86:T91 T14:T84">
    <cfRule type="dataBar" priority="9">
      <dataBar>
        <cfvo type="num" val="0"/>
        <cfvo type="num" val="1"/>
        <color rgb="FF6CA644"/>
      </dataBar>
      <extLst>
        <ext xmlns:x14="http://schemas.microsoft.com/office/spreadsheetml/2009/9/main" uri="{B025F937-C7B1-47D3-B67F-A62EFF666E3E}">
          <x14:id>{8B29BCCA-816B-4B53-BA65-131D991B0943}</x14:id>
        </ext>
      </extLst>
    </cfRule>
  </conditionalFormatting>
  <conditionalFormatting sqref="R11:S11 R12:R13 S12:S91">
    <cfRule type="dataBar" priority="4">
      <dataBar>
        <cfvo type="num" val="0"/>
        <cfvo type="num" val="1"/>
        <color theme="7" tint="-0.249977111117893"/>
      </dataBar>
      <extLst>
        <ext xmlns:x14="http://schemas.microsoft.com/office/spreadsheetml/2009/9/main" uri="{B025F937-C7B1-47D3-B67F-A62EFF666E3E}">
          <x14:id>{A3F01DFC-3136-4D7E-ABB4-0F43A95907D6}</x14:id>
        </ext>
      </extLst>
    </cfRule>
  </conditionalFormatting>
  <conditionalFormatting sqref="T11:T13">
    <cfRule type="dataBar" priority="3">
      <dataBar>
        <cfvo type="num" val="0"/>
        <cfvo type="num" val="1"/>
        <color rgb="FF6CA644"/>
      </dataBar>
      <extLst>
        <ext xmlns:x14="http://schemas.microsoft.com/office/spreadsheetml/2009/9/main" uri="{B025F937-C7B1-47D3-B67F-A62EFF666E3E}">
          <x14:id>{93173D2E-DDF7-400B-93A5-1169F53B9445}</x14:id>
        </ext>
      </extLst>
    </cfRule>
  </conditionalFormatting>
  <conditionalFormatting sqref="R85">
    <cfRule type="dataBar" priority="2">
      <dataBar>
        <cfvo type="num" val="0"/>
        <cfvo type="num" val="1"/>
        <color rgb="FFEC7320"/>
      </dataBar>
      <extLst>
        <ext xmlns:x14="http://schemas.microsoft.com/office/spreadsheetml/2009/9/main" uri="{B025F937-C7B1-47D3-B67F-A62EFF666E3E}">
          <x14:id>{62281D7E-49BC-4546-8D1F-F4EE2C6599DE}</x14:id>
        </ext>
      </extLst>
    </cfRule>
  </conditionalFormatting>
  <conditionalFormatting sqref="T85">
    <cfRule type="dataBar" priority="1">
      <dataBar>
        <cfvo type="num" val="0"/>
        <cfvo type="num" val="1"/>
        <color rgb="FF6CA644"/>
      </dataBar>
      <extLst>
        <ext xmlns:x14="http://schemas.microsoft.com/office/spreadsheetml/2009/9/main" uri="{B025F937-C7B1-47D3-B67F-A62EFF666E3E}">
          <x14:id>{571A6580-F3F3-463C-81C2-0C7DAEA091BA}</x14:id>
        </ext>
      </extLs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7FCCBA-D30B-461A-BC49-AD0EA1944D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R86:R91 R14:R84</xm:sqref>
        </x14:conditionalFormatting>
        <x14:conditionalFormatting xmlns:xm="http://schemas.microsoft.com/office/excel/2006/main">
          <x14:cfRule type="dataBar" id="{8B29BCCA-816B-4B53-BA65-131D991B09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T86:T91 T14:T84</xm:sqref>
        </x14:conditionalFormatting>
        <x14:conditionalFormatting xmlns:xm="http://schemas.microsoft.com/office/excel/2006/main">
          <x14:cfRule type="dataBar" id="{A3F01DFC-3136-4D7E-ABB4-0F43A95907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R11:S11 R12:R13 S12:S91</xm:sqref>
        </x14:conditionalFormatting>
        <x14:conditionalFormatting xmlns:xm="http://schemas.microsoft.com/office/excel/2006/main">
          <x14:cfRule type="dataBar" id="{93173D2E-DDF7-400B-93A5-1169F53B94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T11:T13</xm:sqref>
        </x14:conditionalFormatting>
        <x14:conditionalFormatting xmlns:xm="http://schemas.microsoft.com/office/excel/2006/main">
          <x14:cfRule type="dataBar" id="{62281D7E-49BC-4546-8D1F-F4EE2C6599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R85</xm:sqref>
        </x14:conditionalFormatting>
        <x14:conditionalFormatting xmlns:xm="http://schemas.microsoft.com/office/excel/2006/main">
          <x14:cfRule type="dataBar" id="{571A6580-F3F3-463C-81C2-0C7DAEA091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/>
  <cols>
    <col min="1" max="1" width="11.26953125" bestFit="1" customWidth="1"/>
  </cols>
  <sheetData>
    <row r="1" spans="1:1">
      <c r="A1" t="s">
        <v>46</v>
      </c>
    </row>
    <row r="2" spans="1:1">
      <c r="A2" s="1">
        <v>76</v>
      </c>
    </row>
    <row r="3" spans="1:1">
      <c r="A3" s="1">
        <v>88.5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Charts</vt:lpstr>
      <vt:lpstr>STIG_Metrics</vt:lpstr>
      <vt:lpstr>Dropdown Data</vt:lpstr>
    </vt:vector>
  </TitlesOfParts>
  <Manager/>
  <Company>NSWC Crane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daniel.ireland.adm</dc:creator>
  <cp:keywords/>
  <dc:description/>
  <cp:lastModifiedBy>Daniel C. Ireland</cp:lastModifiedBy>
  <cp:revision/>
  <dcterms:created xsi:type="dcterms:W3CDTF">2019-06-13T11:44:07Z</dcterms:created>
  <dcterms:modified xsi:type="dcterms:W3CDTF">2023-05-22T19:39:30Z</dcterms:modified>
  <cp:category/>
  <cp:contentStatus/>
</cp:coreProperties>
</file>