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54" documentId="13_ncr:1_{42CAA3FF-5895-4B99-A4D9-5E2604952CCA}" xr6:coauthVersionLast="45" xr6:coauthVersionMax="45" xr10:uidLastSave="{2E203724-C8CC-45D4-A795-7074B3276480}"/>
  <bookViews>
    <workbookView xWindow="-110" yWindow="-110" windowWidth="22780" windowHeight="14660" tabRatio="959" activeTab="1" xr2:uid="{00000000-000D-0000-FFFF-FFFF00000000}"/>
  </bookViews>
  <sheets>
    <sheet name="General composition" sheetId="1" r:id="rId1"/>
    <sheet name="Biomass equation BG11" sheetId="2" r:id="rId2"/>
    <sheet name="Biomass equation BG11o" sheetId="17" r:id="rId3"/>
    <sheet name="PBP equations" sheetId="13" r:id="rId4"/>
    <sheet name="Cell membrane lipids" sheetId="6" r:id="rId5"/>
    <sheet name="Carbohydrates" sheetId="7" r:id="rId6"/>
    <sheet name="Protein composition" sheetId="9" r:id="rId7"/>
    <sheet name="Phycobiliproteins" sheetId="4" r:id="rId8"/>
    <sheet name="Hydrophobic pigments" sheetId="14" r:id="rId9"/>
    <sheet name="DNA and RNA" sheetId="10" r:id="rId10"/>
    <sheet name="Soluble pool" sheetId="15" r:id="rId11"/>
    <sheet name="Inorganic ions" sheetId="16" r:id="rId12"/>
    <sheet name="Maintenance ATP" sheetId="11" r:id="rId13"/>
  </sheets>
  <definedNames>
    <definedName name="_xlnm._FilterDatabase" localSheetId="6" hidden="1">'Protein composition'!$A$5:$G$704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48" i="17" l="1"/>
  <c r="W148" i="17"/>
  <c r="V149" i="17"/>
  <c r="W149" i="17"/>
  <c r="V150" i="17"/>
  <c r="W150" i="17"/>
  <c r="V151" i="17"/>
  <c r="W151" i="17"/>
  <c r="V152" i="17"/>
  <c r="W152" i="17"/>
  <c r="V153" i="17"/>
  <c r="W153" i="17"/>
  <c r="V154" i="17"/>
  <c r="W154" i="17"/>
  <c r="V155" i="17"/>
  <c r="W155" i="17"/>
  <c r="W147" i="17"/>
  <c r="V147" i="17"/>
  <c r="V141" i="17"/>
  <c r="W141" i="17"/>
  <c r="V142" i="17"/>
  <c r="W142" i="17"/>
  <c r="V143" i="17"/>
  <c r="W143" i="17"/>
  <c r="V144" i="17"/>
  <c r="W144" i="17"/>
  <c r="V145" i="17"/>
  <c r="W145" i="17"/>
  <c r="V127" i="17"/>
  <c r="W127" i="17"/>
  <c r="V128" i="17"/>
  <c r="W128" i="17"/>
  <c r="V129" i="17"/>
  <c r="W129" i="17"/>
  <c r="V130" i="17"/>
  <c r="W130" i="17"/>
  <c r="V131" i="17"/>
  <c r="W131" i="17"/>
  <c r="V132" i="17"/>
  <c r="W132" i="17"/>
  <c r="V133" i="17"/>
  <c r="W133" i="17"/>
  <c r="V134" i="17"/>
  <c r="W134" i="17"/>
  <c r="V135" i="17"/>
  <c r="W135" i="17"/>
  <c r="V136" i="17"/>
  <c r="W136" i="17"/>
  <c r="V137" i="17"/>
  <c r="W137" i="17"/>
  <c r="V138" i="17"/>
  <c r="W138" i="17"/>
  <c r="V139" i="17"/>
  <c r="W139" i="17"/>
  <c r="V140" i="17"/>
  <c r="W140" i="17"/>
  <c r="V97" i="17"/>
  <c r="W97" i="17"/>
  <c r="V98" i="17"/>
  <c r="W98" i="17"/>
  <c r="V99" i="17"/>
  <c r="W99" i="17"/>
  <c r="V100" i="17"/>
  <c r="W100" i="17"/>
  <c r="V101" i="17"/>
  <c r="W101" i="17"/>
  <c r="V102" i="17"/>
  <c r="W102" i="17"/>
  <c r="V103" i="17"/>
  <c r="W103" i="17"/>
  <c r="V104" i="17"/>
  <c r="W104" i="17"/>
  <c r="V105" i="17"/>
  <c r="W105" i="17"/>
  <c r="V106" i="17"/>
  <c r="W106" i="17"/>
  <c r="V107" i="17"/>
  <c r="W107" i="17"/>
  <c r="V108" i="17"/>
  <c r="W108" i="17"/>
  <c r="V109" i="17"/>
  <c r="W109" i="17"/>
  <c r="V110" i="17"/>
  <c r="W110" i="17"/>
  <c r="V111" i="17"/>
  <c r="W111" i="17"/>
  <c r="V112" i="17"/>
  <c r="W112" i="17"/>
  <c r="V113" i="17"/>
  <c r="W113" i="17"/>
  <c r="V114" i="17"/>
  <c r="W114" i="17"/>
  <c r="V115" i="17"/>
  <c r="W115" i="17"/>
  <c r="V116" i="17"/>
  <c r="W116" i="17"/>
  <c r="V117" i="17"/>
  <c r="W117" i="17"/>
  <c r="V118" i="17"/>
  <c r="W118" i="17"/>
  <c r="V119" i="17"/>
  <c r="W119" i="17"/>
  <c r="V120" i="17"/>
  <c r="W120" i="17"/>
  <c r="V121" i="17"/>
  <c r="W121" i="17"/>
  <c r="V122" i="17"/>
  <c r="W122" i="17"/>
  <c r="V123" i="17"/>
  <c r="W123" i="17"/>
  <c r="V124" i="17"/>
  <c r="W124" i="17"/>
  <c r="V125" i="17"/>
  <c r="W125" i="17"/>
  <c r="V126" i="17"/>
  <c r="W126" i="17"/>
  <c r="V93" i="17"/>
  <c r="W93" i="17"/>
  <c r="V94" i="17"/>
  <c r="W94" i="17"/>
  <c r="V95" i="17"/>
  <c r="W95" i="17"/>
  <c r="V96" i="17"/>
  <c r="W96" i="17"/>
  <c r="V49" i="17"/>
  <c r="W49" i="17"/>
  <c r="V50" i="17"/>
  <c r="W50" i="17"/>
  <c r="V51" i="17"/>
  <c r="W51" i="17"/>
  <c r="V52" i="17"/>
  <c r="W52" i="17"/>
  <c r="V53" i="17"/>
  <c r="W53" i="17"/>
  <c r="V54" i="17"/>
  <c r="W54" i="17"/>
  <c r="V55" i="17"/>
  <c r="W55" i="17"/>
  <c r="V56" i="17"/>
  <c r="W56" i="17"/>
  <c r="V57" i="17"/>
  <c r="W57" i="17"/>
  <c r="V58" i="17"/>
  <c r="W58" i="17"/>
  <c r="V59" i="17"/>
  <c r="W59" i="17"/>
  <c r="V60" i="17"/>
  <c r="W60" i="17"/>
  <c r="V61" i="17"/>
  <c r="W61" i="17"/>
  <c r="V62" i="17"/>
  <c r="W62" i="17"/>
  <c r="V63" i="17"/>
  <c r="W63" i="17"/>
  <c r="V64" i="17"/>
  <c r="W64" i="17"/>
  <c r="V65" i="17"/>
  <c r="W65" i="17"/>
  <c r="V66" i="17"/>
  <c r="W66" i="17"/>
  <c r="V67" i="17"/>
  <c r="W67" i="17"/>
  <c r="V68" i="17"/>
  <c r="W68" i="17"/>
  <c r="V69" i="17"/>
  <c r="W69" i="17"/>
  <c r="V70" i="17"/>
  <c r="W70" i="17"/>
  <c r="V71" i="17"/>
  <c r="W71" i="17"/>
  <c r="V72" i="17"/>
  <c r="W72" i="17"/>
  <c r="V73" i="17"/>
  <c r="W73" i="17"/>
  <c r="V74" i="17"/>
  <c r="W74" i="17"/>
  <c r="V75" i="17"/>
  <c r="W75" i="17"/>
  <c r="V76" i="17"/>
  <c r="W76" i="17"/>
  <c r="V77" i="17"/>
  <c r="W77" i="17"/>
  <c r="V78" i="17"/>
  <c r="W78" i="17"/>
  <c r="V79" i="17"/>
  <c r="W79" i="17"/>
  <c r="V80" i="17"/>
  <c r="W80" i="17"/>
  <c r="V81" i="17"/>
  <c r="W81" i="17"/>
  <c r="V82" i="17"/>
  <c r="W82" i="17"/>
  <c r="V83" i="17"/>
  <c r="W83" i="17"/>
  <c r="V84" i="17"/>
  <c r="W84" i="17"/>
  <c r="V85" i="17"/>
  <c r="W85" i="17"/>
  <c r="V86" i="17"/>
  <c r="W86" i="17"/>
  <c r="V87" i="17"/>
  <c r="W87" i="17"/>
  <c r="V88" i="17"/>
  <c r="W88" i="17"/>
  <c r="V89" i="17"/>
  <c r="W89" i="17"/>
  <c r="V90" i="17"/>
  <c r="W90" i="17"/>
  <c r="V91" i="17"/>
  <c r="W91" i="17"/>
  <c r="V92" i="17"/>
  <c r="W92" i="17"/>
  <c r="V37" i="17"/>
  <c r="W37" i="17"/>
  <c r="V38" i="17"/>
  <c r="W38" i="17"/>
  <c r="V39" i="17"/>
  <c r="W39" i="17"/>
  <c r="V40" i="17"/>
  <c r="W40" i="17"/>
  <c r="V41" i="17"/>
  <c r="W41" i="17"/>
  <c r="V42" i="17"/>
  <c r="W42" i="17"/>
  <c r="V43" i="17"/>
  <c r="W43" i="17"/>
  <c r="V44" i="17"/>
  <c r="W44" i="17"/>
  <c r="V45" i="17"/>
  <c r="W45" i="17"/>
  <c r="V46" i="17"/>
  <c r="W46" i="17"/>
  <c r="V47" i="17"/>
  <c r="W47" i="17"/>
  <c r="V48" i="17"/>
  <c r="W48" i="17"/>
  <c r="V34" i="17"/>
  <c r="W34" i="17"/>
  <c r="V35" i="17"/>
  <c r="W35" i="17"/>
  <c r="V36" i="17"/>
  <c r="W36" i="17"/>
  <c r="V26" i="17"/>
  <c r="W26" i="17"/>
  <c r="V27" i="17"/>
  <c r="W27" i="17"/>
  <c r="V28" i="17"/>
  <c r="W28" i="17"/>
  <c r="V29" i="17"/>
  <c r="W29" i="17"/>
  <c r="V30" i="17"/>
  <c r="W30" i="17"/>
  <c r="V31" i="17"/>
  <c r="W31" i="17"/>
  <c r="V32" i="17"/>
  <c r="W32" i="17"/>
  <c r="V33" i="17"/>
  <c r="W33" i="17"/>
  <c r="V25" i="17"/>
  <c r="W25" i="17"/>
  <c r="V6" i="17"/>
  <c r="W6" i="17"/>
  <c r="V7" i="17"/>
  <c r="W7" i="17"/>
  <c r="V8" i="17"/>
  <c r="W8" i="17"/>
  <c r="V9" i="17"/>
  <c r="W9" i="17"/>
  <c r="V10" i="17"/>
  <c r="W10" i="17"/>
  <c r="V11" i="17"/>
  <c r="W11" i="17"/>
  <c r="V12" i="17"/>
  <c r="W12" i="17"/>
  <c r="V13" i="17"/>
  <c r="W13" i="17"/>
  <c r="V14" i="17"/>
  <c r="W14" i="17"/>
  <c r="V15" i="17"/>
  <c r="W15" i="17"/>
  <c r="V16" i="17"/>
  <c r="W16" i="17"/>
  <c r="V17" i="17"/>
  <c r="W17" i="17"/>
  <c r="V18" i="17"/>
  <c r="W18" i="17"/>
  <c r="V19" i="17"/>
  <c r="W19" i="17"/>
  <c r="V20" i="17"/>
  <c r="W20" i="17"/>
  <c r="V21" i="17"/>
  <c r="W21" i="17"/>
  <c r="V22" i="17"/>
  <c r="W22" i="17"/>
  <c r="V23" i="17"/>
  <c r="W23" i="17"/>
  <c r="V24" i="17"/>
  <c r="W24" i="17"/>
  <c r="W5" i="17"/>
  <c r="V5" i="17"/>
  <c r="V3" i="17" l="1"/>
  <c r="Q155" i="17" l="1"/>
  <c r="R155" i="17" s="1"/>
  <c r="O154" i="17"/>
  <c r="Q154" i="17" s="1"/>
  <c r="O153" i="17"/>
  <c r="Q153" i="17" s="1"/>
  <c r="Q152" i="17"/>
  <c r="O152" i="17"/>
  <c r="O151" i="17"/>
  <c r="Q151" i="17" s="1"/>
  <c r="O150" i="17"/>
  <c r="Q150" i="17" s="1"/>
  <c r="O149" i="17"/>
  <c r="Q149" i="17" s="1"/>
  <c r="O148" i="17"/>
  <c r="Q148" i="17" s="1"/>
  <c r="O147" i="17"/>
  <c r="Q147" i="17" s="1"/>
  <c r="O145" i="17"/>
  <c r="Q145" i="17" s="1"/>
  <c r="O144" i="17"/>
  <c r="Q144" i="17" s="1"/>
  <c r="O143" i="17"/>
  <c r="Q143" i="17" s="1"/>
  <c r="O142" i="17"/>
  <c r="Q142" i="17" s="1"/>
  <c r="O141" i="17"/>
  <c r="Q141" i="17" s="1"/>
  <c r="Q140" i="17"/>
  <c r="O139" i="17"/>
  <c r="Q139" i="17" s="1"/>
  <c r="O138" i="17"/>
  <c r="Q138" i="17" s="1"/>
  <c r="Q137" i="17"/>
  <c r="Q136" i="17"/>
  <c r="O135" i="17"/>
  <c r="Q135" i="17" s="1"/>
  <c r="Q134" i="17"/>
  <c r="Q133" i="17"/>
  <c r="Q132" i="17"/>
  <c r="Q131" i="17"/>
  <c r="Q130" i="17"/>
  <c r="Q129" i="17"/>
  <c r="O128" i="17"/>
  <c r="Q128" i="17" s="1"/>
  <c r="Q127" i="17"/>
  <c r="O126" i="17"/>
  <c r="Q126" i="17" s="1"/>
  <c r="O125" i="17"/>
  <c r="Q125" i="17" s="1"/>
  <c r="O124" i="17"/>
  <c r="Q124" i="17" s="1"/>
  <c r="O123" i="17"/>
  <c r="Q123" i="17" s="1"/>
  <c r="O122" i="17"/>
  <c r="Q122" i="17" s="1"/>
  <c r="O121" i="17"/>
  <c r="Q121" i="17" s="1"/>
  <c r="O120" i="17"/>
  <c r="Q120" i="17" s="1"/>
  <c r="O119" i="17"/>
  <c r="Q119" i="17" s="1"/>
  <c r="O118" i="17"/>
  <c r="Q118" i="17" s="1"/>
  <c r="O117" i="17"/>
  <c r="Q117" i="17" s="1"/>
  <c r="O116" i="17"/>
  <c r="Q116" i="17" s="1"/>
  <c r="O115" i="17"/>
  <c r="Q115" i="17" s="1"/>
  <c r="O114" i="17"/>
  <c r="Q114" i="17" s="1"/>
  <c r="O113" i="17"/>
  <c r="Q113" i="17" s="1"/>
  <c r="O112" i="17"/>
  <c r="Q112" i="17" s="1"/>
  <c r="O111" i="17"/>
  <c r="Q111" i="17" s="1"/>
  <c r="O110" i="17"/>
  <c r="Q110" i="17" s="1"/>
  <c r="O109" i="17"/>
  <c r="Q109" i="17" s="1"/>
  <c r="O108" i="17"/>
  <c r="Q108" i="17" s="1"/>
  <c r="O107" i="17"/>
  <c r="Q107" i="17" s="1"/>
  <c r="O106" i="17"/>
  <c r="Q106" i="17" s="1"/>
  <c r="O105" i="17"/>
  <c r="Q105" i="17" s="1"/>
  <c r="O104" i="17"/>
  <c r="Q104" i="17" s="1"/>
  <c r="O103" i="17"/>
  <c r="Q103" i="17" s="1"/>
  <c r="O102" i="17"/>
  <c r="Q102" i="17" s="1"/>
  <c r="O101" i="17"/>
  <c r="Q101" i="17" s="1"/>
  <c r="O100" i="17"/>
  <c r="Q100" i="17" s="1"/>
  <c r="O99" i="17"/>
  <c r="Q99" i="17" s="1"/>
  <c r="O98" i="17"/>
  <c r="Q98" i="17" s="1"/>
  <c r="O97" i="17"/>
  <c r="Q97" i="17" s="1"/>
  <c r="O96" i="17"/>
  <c r="E96" i="17" s="1"/>
  <c r="O95" i="17"/>
  <c r="E95" i="17" s="1"/>
  <c r="O94" i="17"/>
  <c r="O93" i="17"/>
  <c r="O92" i="17"/>
  <c r="Q92" i="17" s="1"/>
  <c r="E92" i="17" s="1"/>
  <c r="O91" i="17"/>
  <c r="Q91" i="17" s="1"/>
  <c r="E91" i="17" s="1"/>
  <c r="O90" i="17"/>
  <c r="Q90" i="17" s="1"/>
  <c r="E90" i="17" s="1"/>
  <c r="O89" i="17"/>
  <c r="Q89" i="17" s="1"/>
  <c r="E89" i="17" s="1"/>
  <c r="O88" i="17"/>
  <c r="Q88" i="17" s="1"/>
  <c r="E88" i="17" s="1"/>
  <c r="O87" i="17"/>
  <c r="Q87" i="17" s="1"/>
  <c r="E87" i="17" s="1"/>
  <c r="O86" i="17"/>
  <c r="Q86" i="17" s="1"/>
  <c r="E86" i="17" s="1"/>
  <c r="O85" i="17"/>
  <c r="Q85" i="17" s="1"/>
  <c r="E85" i="17" s="1"/>
  <c r="O84" i="17"/>
  <c r="Q84" i="17" s="1"/>
  <c r="E84" i="17" s="1"/>
  <c r="O83" i="17"/>
  <c r="Q83" i="17" s="1"/>
  <c r="E83" i="17" s="1"/>
  <c r="O82" i="17"/>
  <c r="Q82" i="17" s="1"/>
  <c r="E82" i="17" s="1"/>
  <c r="O81" i="17"/>
  <c r="Q81" i="17" s="1"/>
  <c r="E81" i="17" s="1"/>
  <c r="O80" i="17"/>
  <c r="Q80" i="17" s="1"/>
  <c r="E80" i="17" s="1"/>
  <c r="O79" i="17"/>
  <c r="Q79" i="17" s="1"/>
  <c r="E79" i="17" s="1"/>
  <c r="O78" i="17"/>
  <c r="Q78" i="17" s="1"/>
  <c r="E78" i="17" s="1"/>
  <c r="O77" i="17"/>
  <c r="Q77" i="17" s="1"/>
  <c r="E77" i="17" s="1"/>
  <c r="O76" i="17"/>
  <c r="Q76" i="17" s="1"/>
  <c r="E76" i="17" s="1"/>
  <c r="O75" i="17"/>
  <c r="Q75" i="17" s="1"/>
  <c r="E75" i="17" s="1"/>
  <c r="O74" i="17"/>
  <c r="Q74" i="17" s="1"/>
  <c r="E74" i="17" s="1"/>
  <c r="O73" i="17"/>
  <c r="Q73" i="17" s="1"/>
  <c r="E73" i="17" s="1"/>
  <c r="O72" i="17"/>
  <c r="Q72" i="17" s="1"/>
  <c r="E72" i="17" s="1"/>
  <c r="O71" i="17"/>
  <c r="Q71" i="17" s="1"/>
  <c r="E71" i="17" s="1"/>
  <c r="O70" i="17"/>
  <c r="Q70" i="17" s="1"/>
  <c r="E70" i="17" s="1"/>
  <c r="O69" i="17"/>
  <c r="Q69" i="17" s="1"/>
  <c r="E69" i="17" s="1"/>
  <c r="O68" i="17"/>
  <c r="Q68" i="17" s="1"/>
  <c r="E68" i="17" s="1"/>
  <c r="O67" i="17"/>
  <c r="Q67" i="17" s="1"/>
  <c r="E67" i="17" s="1"/>
  <c r="O66" i="17"/>
  <c r="Q66" i="17" s="1"/>
  <c r="E66" i="17" s="1"/>
  <c r="O65" i="17"/>
  <c r="Q65" i="17" s="1"/>
  <c r="E65" i="17" s="1"/>
  <c r="O64" i="17"/>
  <c r="Q64" i="17" s="1"/>
  <c r="E64" i="17" s="1"/>
  <c r="O63" i="17"/>
  <c r="Q63" i="17" s="1"/>
  <c r="E63" i="17" s="1"/>
  <c r="O62" i="17"/>
  <c r="Q62" i="17" s="1"/>
  <c r="E62" i="17" s="1"/>
  <c r="O61" i="17"/>
  <c r="Q61" i="17" s="1"/>
  <c r="E61" i="17" s="1"/>
  <c r="O60" i="17"/>
  <c r="Q60" i="17" s="1"/>
  <c r="E60" i="17" s="1"/>
  <c r="O59" i="17"/>
  <c r="Q59" i="17" s="1"/>
  <c r="E59" i="17" s="1"/>
  <c r="O58" i="17"/>
  <c r="Q58" i="17" s="1"/>
  <c r="E58" i="17" s="1"/>
  <c r="O57" i="17"/>
  <c r="Q57" i="17" s="1"/>
  <c r="E57" i="17" s="1"/>
  <c r="O56" i="17"/>
  <c r="Q56" i="17" s="1"/>
  <c r="E56" i="17" s="1"/>
  <c r="O55" i="17"/>
  <c r="Q55" i="17" s="1"/>
  <c r="E55" i="17" s="1"/>
  <c r="O54" i="17"/>
  <c r="Q54" i="17" s="1"/>
  <c r="E54" i="17"/>
  <c r="O53" i="17"/>
  <c r="Q53" i="17" s="1"/>
  <c r="E53" i="17" s="1"/>
  <c r="O52" i="17"/>
  <c r="Q52" i="17" s="1"/>
  <c r="E52" i="17" s="1"/>
  <c r="O51" i="17"/>
  <c r="Q51" i="17" s="1"/>
  <c r="E51" i="17" s="1"/>
  <c r="O50" i="17"/>
  <c r="Q50" i="17" s="1"/>
  <c r="E50" i="17" s="1"/>
  <c r="O49" i="17"/>
  <c r="Q49" i="17" s="1"/>
  <c r="E49" i="17" s="1"/>
  <c r="O48" i="17"/>
  <c r="Q48" i="17" s="1"/>
  <c r="O47" i="17"/>
  <c r="Q47" i="17" s="1"/>
  <c r="O46" i="17"/>
  <c r="Q46" i="17" s="1"/>
  <c r="O45" i="17"/>
  <c r="Q45" i="17" s="1"/>
  <c r="O44" i="17"/>
  <c r="Q44" i="17" s="1"/>
  <c r="O43" i="17"/>
  <c r="Q43" i="17" s="1"/>
  <c r="O42" i="17"/>
  <c r="Q42" i="17" s="1"/>
  <c r="O41" i="17"/>
  <c r="Q41" i="17" s="1"/>
  <c r="O40" i="17"/>
  <c r="Q40" i="17" s="1"/>
  <c r="O39" i="17"/>
  <c r="Q39" i="17" s="1"/>
  <c r="O38" i="17"/>
  <c r="Q38" i="17" s="1"/>
  <c r="O37" i="17"/>
  <c r="Q37" i="17" s="1"/>
  <c r="O36" i="17"/>
  <c r="Q36" i="17" s="1"/>
  <c r="O35" i="17"/>
  <c r="Q35" i="17" s="1"/>
  <c r="O34" i="17"/>
  <c r="Q34" i="17" s="1"/>
  <c r="O33" i="17"/>
  <c r="Q33" i="17" s="1"/>
  <c r="E33" i="17" s="1"/>
  <c r="O32" i="17"/>
  <c r="Q32" i="17" s="1"/>
  <c r="E32" i="17" s="1"/>
  <c r="O31" i="17"/>
  <c r="Q31" i="17" s="1"/>
  <c r="E31" i="17" s="1"/>
  <c r="O30" i="17"/>
  <c r="Q30" i="17" s="1"/>
  <c r="E30" i="17" s="1"/>
  <c r="O29" i="17"/>
  <c r="Q29" i="17" s="1"/>
  <c r="E29" i="17" s="1"/>
  <c r="O28" i="17"/>
  <c r="Q28" i="17" s="1"/>
  <c r="E28" i="17" s="1"/>
  <c r="O27" i="17"/>
  <c r="Q27" i="17" s="1"/>
  <c r="E27" i="17" s="1"/>
  <c r="O26" i="17"/>
  <c r="Q26" i="17" s="1"/>
  <c r="E26" i="17" s="1"/>
  <c r="O25" i="17"/>
  <c r="Q25" i="17" s="1"/>
  <c r="E25" i="17" s="1"/>
  <c r="F25" i="17" s="1"/>
  <c r="P24" i="17"/>
  <c r="O24" i="17"/>
  <c r="Q24" i="17" s="1"/>
  <c r="E24" i="17" s="1"/>
  <c r="P23" i="17"/>
  <c r="O23" i="17"/>
  <c r="Q23" i="17" s="1"/>
  <c r="E23" i="17" s="1"/>
  <c r="P22" i="17"/>
  <c r="O22" i="17"/>
  <c r="P21" i="17"/>
  <c r="O21" i="17"/>
  <c r="Q21" i="17" s="1"/>
  <c r="E21" i="17" s="1"/>
  <c r="P20" i="17"/>
  <c r="O20" i="17"/>
  <c r="P19" i="17"/>
  <c r="O19" i="17"/>
  <c r="Q19" i="17" s="1"/>
  <c r="E19" i="17" s="1"/>
  <c r="P18" i="17"/>
  <c r="O18" i="17"/>
  <c r="P17" i="17"/>
  <c r="O17" i="17"/>
  <c r="Q17" i="17" s="1"/>
  <c r="E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O139" i="2"/>
  <c r="O138" i="2"/>
  <c r="O135" i="2"/>
  <c r="Q135" i="2" s="1"/>
  <c r="O128" i="2"/>
  <c r="Q128" i="2" s="1"/>
  <c r="O117" i="2"/>
  <c r="Q117" i="2" s="1"/>
  <c r="O108" i="2"/>
  <c r="Q108" i="2" s="1"/>
  <c r="Q129" i="2"/>
  <c r="Q130" i="2"/>
  <c r="Q131" i="2"/>
  <c r="Q132" i="2"/>
  <c r="Q133" i="2"/>
  <c r="Q134" i="2"/>
  <c r="O126" i="2"/>
  <c r="O100" i="2"/>
  <c r="Q100" i="2" s="1"/>
  <c r="O112" i="2"/>
  <c r="Q112" i="2" s="1"/>
  <c r="O113" i="2"/>
  <c r="Q113" i="2" s="1"/>
  <c r="O114" i="2"/>
  <c r="Q114" i="2" s="1"/>
  <c r="O115" i="2"/>
  <c r="Q115" i="2" s="1"/>
  <c r="O116" i="2"/>
  <c r="Q116" i="2" s="1"/>
  <c r="O118" i="2"/>
  <c r="Q118" i="2" s="1"/>
  <c r="O119" i="2"/>
  <c r="Q119" i="2" s="1"/>
  <c r="O120" i="2"/>
  <c r="Q120" i="2" s="1"/>
  <c r="O121" i="2"/>
  <c r="Q121" i="2" s="1"/>
  <c r="O122" i="2"/>
  <c r="Q122" i="2" s="1"/>
  <c r="O109" i="2"/>
  <c r="Q109" i="2" s="1"/>
  <c r="O110" i="2"/>
  <c r="Q110" i="2" s="1"/>
  <c r="O99" i="2"/>
  <c r="Q99" i="2" s="1"/>
  <c r="O101" i="2"/>
  <c r="Q101" i="2" s="1"/>
  <c r="O102" i="2"/>
  <c r="Q102" i="2" s="1"/>
  <c r="O103" i="2"/>
  <c r="Q103" i="2" s="1"/>
  <c r="O104" i="2"/>
  <c r="Q104" i="2" s="1"/>
  <c r="O105" i="2"/>
  <c r="Q105" i="2" s="1"/>
  <c r="O111" i="2"/>
  <c r="Q111" i="2" s="1"/>
  <c r="O107" i="2"/>
  <c r="Q107" i="2" s="1"/>
  <c r="O106" i="2"/>
  <c r="Q106" i="2" s="1"/>
  <c r="O95" i="2"/>
  <c r="Q95" i="2" s="1"/>
  <c r="O94" i="2"/>
  <c r="Q94" i="2" s="1"/>
  <c r="O44" i="2"/>
  <c r="Q44" i="2" s="1"/>
  <c r="O43" i="2"/>
  <c r="Q43" i="2" s="1"/>
  <c r="O42" i="2"/>
  <c r="Q42" i="2" s="1"/>
  <c r="O41" i="2"/>
  <c r="Q41" i="2" s="1"/>
  <c r="O40" i="2"/>
  <c r="Q40" i="2" s="1"/>
  <c r="O33" i="2"/>
  <c r="O32" i="2"/>
  <c r="O31" i="2"/>
  <c r="O30" i="2"/>
  <c r="O29" i="2"/>
  <c r="O28" i="2"/>
  <c r="O27" i="2"/>
  <c r="O26" i="2"/>
  <c r="D28" i="7"/>
  <c r="B28" i="7"/>
  <c r="Q13" i="17" l="1"/>
  <c r="E13" i="17" s="1"/>
  <c r="Q8" i="17"/>
  <c r="E8" i="17" s="1"/>
  <c r="Q14" i="17"/>
  <c r="E14" i="17" s="1"/>
  <c r="Q15" i="17"/>
  <c r="E15" i="17" s="1"/>
  <c r="Q12" i="17"/>
  <c r="E12" i="17" s="1"/>
  <c r="Q9" i="17"/>
  <c r="E9" i="17" s="1"/>
  <c r="Q18" i="17"/>
  <c r="E18" i="17" s="1"/>
  <c r="Q96" i="17"/>
  <c r="Q20" i="17"/>
  <c r="E20" i="17" s="1"/>
  <c r="E94" i="17"/>
  <c r="Q94" i="17"/>
  <c r="Q11" i="17"/>
  <c r="E11" i="17" s="1"/>
  <c r="Q5" i="17"/>
  <c r="E5" i="17" s="1"/>
  <c r="Q7" i="17"/>
  <c r="E7" i="17" s="1"/>
  <c r="Q10" i="17"/>
  <c r="E10" i="17" s="1"/>
  <c r="Q16" i="17"/>
  <c r="E16" i="17" s="1"/>
  <c r="Q93" i="17"/>
  <c r="E93" i="17"/>
  <c r="B27" i="17"/>
  <c r="F27" i="17" s="1"/>
  <c r="B31" i="17"/>
  <c r="F30" i="17" s="1"/>
  <c r="B50" i="17"/>
  <c r="F71" i="17" s="1"/>
  <c r="Q95" i="17"/>
  <c r="Q6" i="17"/>
  <c r="E6" i="17" s="1"/>
  <c r="Q22" i="17"/>
  <c r="E22" i="17" s="1"/>
  <c r="E95" i="2"/>
  <c r="E94" i="2"/>
  <c r="D39" i="15"/>
  <c r="C17" i="16"/>
  <c r="C14" i="16"/>
  <c r="C8" i="16"/>
  <c r="C7" i="16"/>
  <c r="C6" i="16"/>
  <c r="C4" i="16"/>
  <c r="D33" i="15"/>
  <c r="D30" i="15"/>
  <c r="D29" i="15"/>
  <c r="D28" i="15"/>
  <c r="D27" i="15"/>
  <c r="D26" i="15"/>
  <c r="D24" i="15"/>
  <c r="D19" i="15"/>
  <c r="D14" i="15"/>
  <c r="D10" i="15"/>
  <c r="D8" i="15"/>
  <c r="B53" i="14"/>
  <c r="B49" i="14"/>
  <c r="C9" i="14" s="1"/>
  <c r="B48" i="14"/>
  <c r="B46" i="14"/>
  <c r="G37" i="14"/>
  <c r="F37" i="14"/>
  <c r="E37" i="14"/>
  <c r="D37" i="14"/>
  <c r="C37" i="14"/>
  <c r="B37" i="14"/>
  <c r="E23" i="14"/>
  <c r="C23" i="14"/>
  <c r="E18" i="14"/>
  <c r="C18" i="14"/>
  <c r="E12" i="14"/>
  <c r="C12" i="14"/>
  <c r="E11" i="14"/>
  <c r="C11" i="14"/>
  <c r="E10" i="14"/>
  <c r="C10" i="14"/>
  <c r="E5" i="14"/>
  <c r="C5" i="14"/>
  <c r="F33" i="17" l="1"/>
  <c r="F31" i="17"/>
  <c r="F26" i="17"/>
  <c r="F89" i="17"/>
  <c r="F62" i="17"/>
  <c r="F80" i="17"/>
  <c r="F32" i="17"/>
  <c r="D35" i="15"/>
  <c r="C18" i="16"/>
  <c r="D8" i="16" s="1"/>
  <c r="F28" i="17"/>
  <c r="F56" i="17"/>
  <c r="F76" i="17"/>
  <c r="D7" i="16"/>
  <c r="F87" i="17"/>
  <c r="F50" i="17"/>
  <c r="F60" i="17"/>
  <c r="B94" i="17"/>
  <c r="F94" i="17" s="1"/>
  <c r="F69" i="17"/>
  <c r="F86" i="17"/>
  <c r="F82" i="17"/>
  <c r="F81" i="17"/>
  <c r="F78" i="17"/>
  <c r="F77" i="17"/>
  <c r="F75" i="17"/>
  <c r="F59" i="17"/>
  <c r="F91" i="17"/>
  <c r="F64" i="17"/>
  <c r="F88" i="17"/>
  <c r="F66" i="17"/>
  <c r="F53" i="17"/>
  <c r="F73" i="17"/>
  <c r="F57" i="17"/>
  <c r="F49" i="17"/>
  <c r="F70" i="17"/>
  <c r="F51" i="17"/>
  <c r="F84" i="17"/>
  <c r="F61" i="17"/>
  <c r="F79" i="17"/>
  <c r="F63" i="17"/>
  <c r="F90" i="17"/>
  <c r="F68" i="17"/>
  <c r="F55" i="17"/>
  <c r="F83" i="17"/>
  <c r="F92" i="17"/>
  <c r="F67" i="17"/>
  <c r="F29" i="17"/>
  <c r="F72" i="17"/>
  <c r="F54" i="17"/>
  <c r="F74" i="17"/>
  <c r="F58" i="17"/>
  <c r="F85" i="17"/>
  <c r="F65" i="17"/>
  <c r="F52" i="17"/>
  <c r="B6" i="17"/>
  <c r="F22" i="17" s="1"/>
  <c r="E9" i="14"/>
  <c r="H37" i="14"/>
  <c r="F38" i="14" s="1"/>
  <c r="E8" i="14" s="1"/>
  <c r="D15" i="16"/>
  <c r="D10" i="16"/>
  <c r="D5" i="16"/>
  <c r="D9" i="16"/>
  <c r="D4" i="16"/>
  <c r="D17" i="16"/>
  <c r="E25" i="15"/>
  <c r="E9" i="15"/>
  <c r="E21" i="15"/>
  <c r="E20" i="15"/>
  <c r="E16" i="15"/>
  <c r="E29" i="15"/>
  <c r="E14" i="15"/>
  <c r="D6" i="16" l="1"/>
  <c r="D13" i="16"/>
  <c r="D11" i="16"/>
  <c r="D14" i="16"/>
  <c r="D16" i="16"/>
  <c r="D12" i="16"/>
  <c r="J44" i="1"/>
  <c r="F44" i="1"/>
  <c r="O44" i="1"/>
  <c r="B44" i="1"/>
  <c r="E8" i="15"/>
  <c r="E30" i="15"/>
  <c r="E24" i="15"/>
  <c r="E19" i="15"/>
  <c r="E5" i="15"/>
  <c r="E31" i="15"/>
  <c r="E12" i="15"/>
  <c r="E32" i="15"/>
  <c r="E33" i="15"/>
  <c r="E26" i="15"/>
  <c r="E7" i="15"/>
  <c r="E23" i="15"/>
  <c r="E11" i="15"/>
  <c r="E34" i="15"/>
  <c r="E15" i="15"/>
  <c r="F93" i="17"/>
  <c r="F95" i="17"/>
  <c r="F96" i="17"/>
  <c r="E27" i="15"/>
  <c r="E10" i="15"/>
  <c r="E13" i="15"/>
  <c r="E17" i="15"/>
  <c r="E18" i="15"/>
  <c r="E6" i="15"/>
  <c r="E22" i="15"/>
  <c r="J45" i="1"/>
  <c r="B45" i="1"/>
  <c r="O45" i="1"/>
  <c r="F45" i="1"/>
  <c r="E28" i="15"/>
  <c r="F10" i="17"/>
  <c r="F14" i="17"/>
  <c r="F5" i="17"/>
  <c r="F18" i="17"/>
  <c r="F9" i="17"/>
  <c r="F19" i="17"/>
  <c r="F7" i="17"/>
  <c r="F24" i="17"/>
  <c r="F13" i="17"/>
  <c r="F21" i="17"/>
  <c r="F16" i="17"/>
  <c r="F12" i="17"/>
  <c r="F15" i="17"/>
  <c r="F23" i="17"/>
  <c r="F11" i="17"/>
  <c r="F17" i="17"/>
  <c r="F8" i="17"/>
  <c r="F20" i="17"/>
  <c r="F6" i="17"/>
  <c r="C8" i="14"/>
  <c r="B38" i="14"/>
  <c r="C6" i="14" s="1"/>
  <c r="D38" i="14"/>
  <c r="E38" i="14"/>
  <c r="E17" i="14" s="1"/>
  <c r="G38" i="14"/>
  <c r="C38" i="14"/>
  <c r="C17" i="14" l="1"/>
  <c r="E6" i="14"/>
  <c r="E7" i="14"/>
  <c r="C7" i="14"/>
  <c r="C20" i="14"/>
  <c r="E20" i="14"/>
  <c r="C19" i="14"/>
  <c r="E19" i="14"/>
  <c r="C21" i="14" l="1"/>
  <c r="E21" i="14"/>
  <c r="F18" i="14" l="1"/>
  <c r="F13" i="14"/>
  <c r="F15" i="14"/>
  <c r="F14" i="14"/>
  <c r="F16" i="14"/>
  <c r="F40" i="1"/>
  <c r="D13" i="14"/>
  <c r="D15" i="14"/>
  <c r="D14" i="14"/>
  <c r="D16" i="14"/>
  <c r="D8" i="14"/>
  <c r="D9" i="14"/>
  <c r="D11" i="14"/>
  <c r="D19" i="14"/>
  <c r="B40" i="1"/>
  <c r="D6" i="14"/>
  <c r="D10" i="14"/>
  <c r="J40" i="1"/>
  <c r="F8" i="14"/>
  <c r="F7" i="14"/>
  <c r="D7" i="14"/>
  <c r="D5" i="14"/>
  <c r="D18" i="14"/>
  <c r="F6" i="14"/>
  <c r="F10" i="14"/>
  <c r="D20" i="14"/>
  <c r="D12" i="14"/>
  <c r="D17" i="14"/>
  <c r="O40" i="1"/>
  <c r="F20" i="14"/>
  <c r="F12" i="14"/>
  <c r="F11" i="14"/>
  <c r="F17" i="14"/>
  <c r="F19" i="14"/>
  <c r="F5" i="14"/>
  <c r="F9" i="14"/>
  <c r="C49" i="9" l="1"/>
  <c r="B54" i="9"/>
  <c r="C38" i="9" s="1"/>
  <c r="B31" i="9"/>
  <c r="C14" i="9" s="1"/>
  <c r="C45" i="9" l="1"/>
  <c r="C41" i="9"/>
  <c r="C53" i="9"/>
  <c r="C37" i="9"/>
  <c r="C29" i="9"/>
  <c r="C25" i="9"/>
  <c r="C21" i="9"/>
  <c r="C17" i="9"/>
  <c r="C13" i="9"/>
  <c r="C28" i="9"/>
  <c r="C24" i="9"/>
  <c r="C20" i="9"/>
  <c r="C16" i="9"/>
  <c r="C12" i="9"/>
  <c r="C52" i="9"/>
  <c r="C48" i="9"/>
  <c r="C44" i="9"/>
  <c r="C40" i="9"/>
  <c r="C36" i="9"/>
  <c r="C11" i="9"/>
  <c r="C27" i="9"/>
  <c r="C23" i="9"/>
  <c r="C19" i="9"/>
  <c r="C15" i="9"/>
  <c r="C51" i="9"/>
  <c r="C47" i="9"/>
  <c r="C43" i="9"/>
  <c r="C39" i="9"/>
  <c r="C35" i="9"/>
  <c r="C30" i="9"/>
  <c r="C26" i="9"/>
  <c r="C22" i="9"/>
  <c r="C18" i="9"/>
  <c r="C34" i="9"/>
  <c r="C50" i="9"/>
  <c r="C46" i="9"/>
  <c r="C42" i="9"/>
  <c r="F24" i="10"/>
  <c r="E24" i="10"/>
  <c r="D24" i="10"/>
  <c r="C24" i="10"/>
  <c r="F23" i="10"/>
  <c r="E23" i="10"/>
  <c r="D23" i="10"/>
  <c r="C23" i="10"/>
  <c r="F22" i="10"/>
  <c r="F25" i="10" s="1"/>
  <c r="E22" i="10"/>
  <c r="E25" i="10" s="1"/>
  <c r="D22" i="10"/>
  <c r="D25" i="10" s="1"/>
  <c r="C22" i="10"/>
  <c r="C25" i="10" s="1"/>
  <c r="G25" i="10" l="1"/>
  <c r="C31" i="9"/>
  <c r="C54" i="9"/>
  <c r="Y63" i="13"/>
  <c r="Y34" i="13"/>
  <c r="Y5" i="13"/>
  <c r="F85" i="13"/>
  <c r="F56" i="13"/>
  <c r="F27" i="13"/>
  <c r="O35" i="2" l="1"/>
  <c r="Q35" i="2" s="1"/>
  <c r="O34" i="2" l="1"/>
  <c r="V84" i="13"/>
  <c r="U84" i="13"/>
  <c r="T84" i="13"/>
  <c r="S84" i="13"/>
  <c r="R84" i="13"/>
  <c r="Q84" i="13"/>
  <c r="V83" i="13"/>
  <c r="U83" i="13"/>
  <c r="T83" i="13"/>
  <c r="S83" i="13"/>
  <c r="R83" i="13"/>
  <c r="Q83" i="13"/>
  <c r="V82" i="13"/>
  <c r="U82" i="13"/>
  <c r="T82" i="13"/>
  <c r="S82" i="13"/>
  <c r="R82" i="13"/>
  <c r="Q82" i="13"/>
  <c r="V81" i="13"/>
  <c r="U81" i="13"/>
  <c r="T81" i="13"/>
  <c r="S81" i="13"/>
  <c r="R81" i="13"/>
  <c r="Q81" i="13"/>
  <c r="V80" i="13"/>
  <c r="U80" i="13"/>
  <c r="T80" i="13"/>
  <c r="S80" i="13"/>
  <c r="R80" i="13"/>
  <c r="Q80" i="13"/>
  <c r="V79" i="13"/>
  <c r="U79" i="13"/>
  <c r="T79" i="13"/>
  <c r="S79" i="13"/>
  <c r="R79" i="13"/>
  <c r="Q79" i="13"/>
  <c r="V78" i="13"/>
  <c r="U78" i="13"/>
  <c r="T78" i="13"/>
  <c r="S78" i="13"/>
  <c r="R78" i="13"/>
  <c r="Q78" i="13"/>
  <c r="V77" i="13"/>
  <c r="U77" i="13"/>
  <c r="T77" i="13"/>
  <c r="S77" i="13"/>
  <c r="R77" i="13"/>
  <c r="Q77" i="13"/>
  <c r="V76" i="13"/>
  <c r="U76" i="13"/>
  <c r="T76" i="13"/>
  <c r="S76" i="13"/>
  <c r="R76" i="13"/>
  <c r="Q76" i="13"/>
  <c r="V75" i="13"/>
  <c r="U75" i="13"/>
  <c r="T75" i="13"/>
  <c r="S75" i="13"/>
  <c r="R75" i="13"/>
  <c r="Q75" i="13"/>
  <c r="V74" i="13"/>
  <c r="U74" i="13"/>
  <c r="T74" i="13"/>
  <c r="S74" i="13"/>
  <c r="R74" i="13"/>
  <c r="Q74" i="13"/>
  <c r="V73" i="13"/>
  <c r="U73" i="13"/>
  <c r="T73" i="13"/>
  <c r="S73" i="13"/>
  <c r="R73" i="13"/>
  <c r="Q73" i="13"/>
  <c r="V72" i="13"/>
  <c r="U72" i="13"/>
  <c r="T72" i="13"/>
  <c r="S72" i="13"/>
  <c r="R72" i="13"/>
  <c r="Q72" i="13"/>
  <c r="V71" i="13"/>
  <c r="U71" i="13"/>
  <c r="T71" i="13"/>
  <c r="S71" i="13"/>
  <c r="R71" i="13"/>
  <c r="Q71" i="13"/>
  <c r="V70" i="13"/>
  <c r="U70" i="13"/>
  <c r="T70" i="13"/>
  <c r="S70" i="13"/>
  <c r="R70" i="13"/>
  <c r="Q70" i="13"/>
  <c r="V69" i="13"/>
  <c r="U69" i="13"/>
  <c r="T69" i="13"/>
  <c r="S69" i="13"/>
  <c r="R69" i="13"/>
  <c r="Q69" i="13"/>
  <c r="V68" i="13"/>
  <c r="U68" i="13"/>
  <c r="T68" i="13"/>
  <c r="S68" i="13"/>
  <c r="R68" i="13"/>
  <c r="Q68" i="13"/>
  <c r="V67" i="13"/>
  <c r="U67" i="13"/>
  <c r="T67" i="13"/>
  <c r="S67" i="13"/>
  <c r="R67" i="13"/>
  <c r="Q67" i="13"/>
  <c r="V66" i="13"/>
  <c r="U66" i="13"/>
  <c r="T66" i="13"/>
  <c r="S66" i="13"/>
  <c r="R66" i="13"/>
  <c r="Q66" i="13"/>
  <c r="V65" i="13"/>
  <c r="U65" i="13"/>
  <c r="T65" i="13"/>
  <c r="S65" i="13"/>
  <c r="R65" i="13"/>
  <c r="Q65" i="13"/>
  <c r="V64" i="13"/>
  <c r="U64" i="13"/>
  <c r="T64" i="13"/>
  <c r="S64" i="13"/>
  <c r="R64" i="13"/>
  <c r="Q64" i="13"/>
  <c r="V63" i="13"/>
  <c r="U63" i="13"/>
  <c r="T63" i="13"/>
  <c r="S63" i="13"/>
  <c r="R63" i="13"/>
  <c r="Q63" i="13"/>
  <c r="V55" i="13"/>
  <c r="U55" i="13"/>
  <c r="T55" i="13"/>
  <c r="S55" i="13"/>
  <c r="R55" i="13"/>
  <c r="Q55" i="13"/>
  <c r="V54" i="13"/>
  <c r="U54" i="13"/>
  <c r="T54" i="13"/>
  <c r="S54" i="13"/>
  <c r="R54" i="13"/>
  <c r="Q54" i="13"/>
  <c r="V53" i="13"/>
  <c r="U53" i="13"/>
  <c r="T53" i="13"/>
  <c r="S53" i="13"/>
  <c r="R53" i="13"/>
  <c r="Q53" i="13"/>
  <c r="V52" i="13"/>
  <c r="U52" i="13"/>
  <c r="T52" i="13"/>
  <c r="S52" i="13"/>
  <c r="R52" i="13"/>
  <c r="Q52" i="13"/>
  <c r="V51" i="13"/>
  <c r="U51" i="13"/>
  <c r="T51" i="13"/>
  <c r="S51" i="13"/>
  <c r="R51" i="13"/>
  <c r="Q51" i="13"/>
  <c r="V50" i="13"/>
  <c r="U50" i="13"/>
  <c r="T50" i="13"/>
  <c r="S50" i="13"/>
  <c r="R50" i="13"/>
  <c r="Q50" i="13"/>
  <c r="V49" i="13"/>
  <c r="U49" i="13"/>
  <c r="T49" i="13"/>
  <c r="S49" i="13"/>
  <c r="R49" i="13"/>
  <c r="Q49" i="13"/>
  <c r="V48" i="13"/>
  <c r="U48" i="13"/>
  <c r="T48" i="13"/>
  <c r="S48" i="13"/>
  <c r="R48" i="13"/>
  <c r="Q48" i="13"/>
  <c r="V47" i="13"/>
  <c r="U47" i="13"/>
  <c r="T47" i="13"/>
  <c r="S47" i="13"/>
  <c r="R47" i="13"/>
  <c r="Q47" i="13"/>
  <c r="V46" i="13"/>
  <c r="U46" i="13"/>
  <c r="T46" i="13"/>
  <c r="S46" i="13"/>
  <c r="R46" i="13"/>
  <c r="Q46" i="13"/>
  <c r="V45" i="13"/>
  <c r="U45" i="13"/>
  <c r="T45" i="13"/>
  <c r="S45" i="13"/>
  <c r="R45" i="13"/>
  <c r="Q45" i="13"/>
  <c r="V44" i="13"/>
  <c r="U44" i="13"/>
  <c r="T44" i="13"/>
  <c r="S44" i="13"/>
  <c r="R44" i="13"/>
  <c r="Q44" i="13"/>
  <c r="V43" i="13"/>
  <c r="U43" i="13"/>
  <c r="T43" i="13"/>
  <c r="S43" i="13"/>
  <c r="R43" i="13"/>
  <c r="Q43" i="13"/>
  <c r="V42" i="13"/>
  <c r="U42" i="13"/>
  <c r="T42" i="13"/>
  <c r="S42" i="13"/>
  <c r="R42" i="13"/>
  <c r="Q42" i="13"/>
  <c r="V41" i="13"/>
  <c r="U41" i="13"/>
  <c r="T41" i="13"/>
  <c r="S41" i="13"/>
  <c r="R41" i="13"/>
  <c r="Q41" i="13"/>
  <c r="V40" i="13"/>
  <c r="U40" i="13"/>
  <c r="T40" i="13"/>
  <c r="S40" i="13"/>
  <c r="R40" i="13"/>
  <c r="Q40" i="13"/>
  <c r="V39" i="13"/>
  <c r="U39" i="13"/>
  <c r="T39" i="13"/>
  <c r="S39" i="13"/>
  <c r="R39" i="13"/>
  <c r="Q39" i="13"/>
  <c r="V38" i="13"/>
  <c r="U38" i="13"/>
  <c r="T38" i="13"/>
  <c r="S38" i="13"/>
  <c r="R38" i="13"/>
  <c r="Q38" i="13"/>
  <c r="V37" i="13"/>
  <c r="U37" i="13"/>
  <c r="T37" i="13"/>
  <c r="S37" i="13"/>
  <c r="R37" i="13"/>
  <c r="Q37" i="13"/>
  <c r="V36" i="13"/>
  <c r="U36" i="13"/>
  <c r="T36" i="13"/>
  <c r="S36" i="13"/>
  <c r="R36" i="13"/>
  <c r="Q36" i="13"/>
  <c r="V35" i="13"/>
  <c r="U35" i="13"/>
  <c r="T35" i="13"/>
  <c r="S35" i="13"/>
  <c r="R35" i="13"/>
  <c r="Q35" i="13"/>
  <c r="V34" i="13"/>
  <c r="V56" i="13" s="1"/>
  <c r="U34" i="13"/>
  <c r="T34" i="13"/>
  <c r="S34" i="13"/>
  <c r="R34" i="13"/>
  <c r="Q34" i="13"/>
  <c r="Q6" i="13"/>
  <c r="R6" i="13"/>
  <c r="S6" i="13"/>
  <c r="T6" i="13"/>
  <c r="U6" i="13"/>
  <c r="V6" i="13"/>
  <c r="Q7" i="13"/>
  <c r="R7" i="13"/>
  <c r="S7" i="13"/>
  <c r="T7" i="13"/>
  <c r="U7" i="13"/>
  <c r="V7" i="13"/>
  <c r="Q8" i="13"/>
  <c r="R8" i="13"/>
  <c r="S8" i="13"/>
  <c r="T8" i="13"/>
  <c r="U8" i="13"/>
  <c r="V8" i="13"/>
  <c r="Q9" i="13"/>
  <c r="R9" i="13"/>
  <c r="S9" i="13"/>
  <c r="T9" i="13"/>
  <c r="U9" i="13"/>
  <c r="V9" i="13"/>
  <c r="Q10" i="13"/>
  <c r="R10" i="13"/>
  <c r="S10" i="13"/>
  <c r="T10" i="13"/>
  <c r="U10" i="13"/>
  <c r="V10" i="13"/>
  <c r="Q11" i="13"/>
  <c r="R11" i="13"/>
  <c r="S11" i="13"/>
  <c r="T11" i="13"/>
  <c r="U11" i="13"/>
  <c r="V11" i="13"/>
  <c r="Q12" i="13"/>
  <c r="R12" i="13"/>
  <c r="S12" i="13"/>
  <c r="T12" i="13"/>
  <c r="U12" i="13"/>
  <c r="V12" i="13"/>
  <c r="Q13" i="13"/>
  <c r="R13" i="13"/>
  <c r="S13" i="13"/>
  <c r="T13" i="13"/>
  <c r="U13" i="13"/>
  <c r="V13" i="13"/>
  <c r="Q14" i="13"/>
  <c r="R14" i="13"/>
  <c r="S14" i="13"/>
  <c r="T14" i="13"/>
  <c r="U14" i="13"/>
  <c r="V14" i="13"/>
  <c r="Q15" i="13"/>
  <c r="R15" i="13"/>
  <c r="S15" i="13"/>
  <c r="T15" i="13"/>
  <c r="U15" i="13"/>
  <c r="V15" i="13"/>
  <c r="Q16" i="13"/>
  <c r="R16" i="13"/>
  <c r="S16" i="13"/>
  <c r="T16" i="13"/>
  <c r="U16" i="13"/>
  <c r="V16" i="13"/>
  <c r="Q17" i="13"/>
  <c r="R17" i="13"/>
  <c r="S17" i="13"/>
  <c r="T17" i="13"/>
  <c r="U17" i="13"/>
  <c r="V17" i="13"/>
  <c r="Q18" i="13"/>
  <c r="R18" i="13"/>
  <c r="S18" i="13"/>
  <c r="T18" i="13"/>
  <c r="U18" i="13"/>
  <c r="V18" i="13"/>
  <c r="Q19" i="13"/>
  <c r="R19" i="13"/>
  <c r="S19" i="13"/>
  <c r="T19" i="13"/>
  <c r="U19" i="13"/>
  <c r="V19" i="13"/>
  <c r="Q20" i="13"/>
  <c r="R20" i="13"/>
  <c r="S20" i="13"/>
  <c r="T20" i="13"/>
  <c r="U20" i="13"/>
  <c r="V20" i="13"/>
  <c r="Q21" i="13"/>
  <c r="R21" i="13"/>
  <c r="S21" i="13"/>
  <c r="T21" i="13"/>
  <c r="U21" i="13"/>
  <c r="V21" i="13"/>
  <c r="Q22" i="13"/>
  <c r="R22" i="13"/>
  <c r="S22" i="13"/>
  <c r="T22" i="13"/>
  <c r="U22" i="13"/>
  <c r="V22" i="13"/>
  <c r="Q23" i="13"/>
  <c r="R23" i="13"/>
  <c r="S23" i="13"/>
  <c r="T23" i="13"/>
  <c r="U23" i="13"/>
  <c r="V23" i="13"/>
  <c r="Q24" i="13"/>
  <c r="R24" i="13"/>
  <c r="S24" i="13"/>
  <c r="T24" i="13"/>
  <c r="U24" i="13"/>
  <c r="V24" i="13"/>
  <c r="Q25" i="13"/>
  <c r="R25" i="13"/>
  <c r="S25" i="13"/>
  <c r="T25" i="13"/>
  <c r="U25" i="13"/>
  <c r="V25" i="13"/>
  <c r="Q26" i="13"/>
  <c r="R26" i="13"/>
  <c r="S26" i="13"/>
  <c r="T26" i="13"/>
  <c r="U26" i="13"/>
  <c r="V26" i="13"/>
  <c r="R5" i="13"/>
  <c r="S5" i="13"/>
  <c r="T5" i="13"/>
  <c r="U5" i="13"/>
  <c r="V5" i="13"/>
  <c r="Q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34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5" i="13"/>
  <c r="V27" i="13" l="1"/>
  <c r="S56" i="13"/>
  <c r="T85" i="13"/>
  <c r="U27" i="13"/>
  <c r="Q27" i="13"/>
  <c r="S27" i="13"/>
  <c r="Q85" i="13"/>
  <c r="U85" i="13"/>
  <c r="R85" i="13"/>
  <c r="V85" i="13"/>
  <c r="S85" i="13"/>
  <c r="T56" i="13"/>
  <c r="R56" i="13"/>
  <c r="Q56" i="13"/>
  <c r="U56" i="13"/>
  <c r="T27" i="13"/>
  <c r="R27" i="13"/>
  <c r="H26" i="13"/>
  <c r="H84" i="13"/>
  <c r="H55" i="13"/>
  <c r="H25" i="13"/>
  <c r="H83" i="13"/>
  <c r="H54" i="13"/>
  <c r="H24" i="13"/>
  <c r="H82" i="13"/>
  <c r="H53" i="13"/>
  <c r="H23" i="13"/>
  <c r="H81" i="13"/>
  <c r="H52" i="13"/>
  <c r="H22" i="13"/>
  <c r="H80" i="13"/>
  <c r="H51" i="13"/>
  <c r="H21" i="13"/>
  <c r="H79" i="13"/>
  <c r="H50" i="13"/>
  <c r="H20" i="13"/>
  <c r="H78" i="13"/>
  <c r="H49" i="13"/>
  <c r="H19" i="13"/>
  <c r="H77" i="13"/>
  <c r="H48" i="13"/>
  <c r="H18" i="13"/>
  <c r="H76" i="13"/>
  <c r="H47" i="13"/>
  <c r="H17" i="13"/>
  <c r="H75" i="13"/>
  <c r="H46" i="13"/>
  <c r="H16" i="13"/>
  <c r="H74" i="13"/>
  <c r="H45" i="13"/>
  <c r="H15" i="13"/>
  <c r="H73" i="13"/>
  <c r="H44" i="13"/>
  <c r="H14" i="13"/>
  <c r="H72" i="13"/>
  <c r="H43" i="13"/>
  <c r="H13" i="13"/>
  <c r="H71" i="13"/>
  <c r="H42" i="13"/>
  <c r="H12" i="13"/>
  <c r="H70" i="13"/>
  <c r="H41" i="13"/>
  <c r="H11" i="13"/>
  <c r="H69" i="13"/>
  <c r="H40" i="13"/>
  <c r="H10" i="13"/>
  <c r="H68" i="13"/>
  <c r="H39" i="13"/>
  <c r="H9" i="13"/>
  <c r="H67" i="13"/>
  <c r="H38" i="13"/>
  <c r="H8" i="13"/>
  <c r="H66" i="13"/>
  <c r="H37" i="13"/>
  <c r="H7" i="13"/>
  <c r="H65" i="13"/>
  <c r="H36" i="13"/>
  <c r="H6" i="13"/>
  <c r="H64" i="13"/>
  <c r="H35" i="13"/>
  <c r="H5" i="13"/>
  <c r="H63" i="13"/>
  <c r="H34" i="13"/>
  <c r="G1" i="13"/>
  <c r="G59" i="13"/>
  <c r="G30" i="13"/>
  <c r="W56" i="13" l="1"/>
  <c r="E37" i="4" s="1"/>
  <c r="E44" i="4" s="1"/>
  <c r="W27" i="13"/>
  <c r="E36" i="4" s="1"/>
  <c r="E43" i="4" s="1"/>
  <c r="W85" i="13"/>
  <c r="E38" i="4" s="1"/>
  <c r="E45" i="4" s="1"/>
  <c r="O154" i="2" l="1"/>
  <c r="Q154" i="2" s="1"/>
  <c r="O149" i="2"/>
  <c r="Q149" i="2" s="1"/>
  <c r="O143" i="2"/>
  <c r="Q143" i="2" s="1"/>
  <c r="Q155" i="2" l="1"/>
  <c r="R155" i="2" s="1"/>
  <c r="O153" i="2"/>
  <c r="Q153" i="2" s="1"/>
  <c r="O152" i="2"/>
  <c r="Q152" i="2" s="1"/>
  <c r="O151" i="2"/>
  <c r="Q151" i="2" s="1"/>
  <c r="O150" i="2"/>
  <c r="Q150" i="2" s="1"/>
  <c r="O148" i="2"/>
  <c r="Q148" i="2" s="1"/>
  <c r="O147" i="2"/>
  <c r="Q147" i="2" s="1"/>
  <c r="O145" i="2"/>
  <c r="Q145" i="2" s="1"/>
  <c r="O144" i="2"/>
  <c r="Q144" i="2" s="1"/>
  <c r="O142" i="2"/>
  <c r="Q142" i="2" s="1"/>
  <c r="O141" i="2" l="1"/>
  <c r="Q141" i="2" s="1"/>
  <c r="F10" i="11" l="1"/>
  <c r="F8" i="11"/>
  <c r="F9" i="11" s="1"/>
  <c r="F19" i="11" l="1"/>
  <c r="M31" i="11" s="1"/>
  <c r="R142" i="17" s="1"/>
  <c r="R148" i="17" s="1"/>
  <c r="F26" i="11"/>
  <c r="M32" i="11" s="1"/>
  <c r="R141" i="17" s="1"/>
  <c r="F11" i="11"/>
  <c r="F18" i="11"/>
  <c r="B9" i="10"/>
  <c r="D7" i="10" s="1"/>
  <c r="D5" i="10" l="1"/>
  <c r="D8" i="10"/>
  <c r="R151" i="17"/>
  <c r="R147" i="17"/>
  <c r="R149" i="17" s="1"/>
  <c r="R150" i="17"/>
  <c r="R141" i="2"/>
  <c r="R142" i="2"/>
  <c r="R148" i="2" s="1"/>
  <c r="M33" i="11"/>
  <c r="D6" i="10"/>
  <c r="D9" i="10"/>
  <c r="R151" i="2" l="1"/>
  <c r="R150" i="2"/>
  <c r="R147" i="2"/>
  <c r="R149" i="2" s="1"/>
  <c r="J35" i="9"/>
  <c r="J36" i="9" s="1"/>
  <c r="J30" i="9"/>
  <c r="J31" i="9" l="1"/>
  <c r="O25" i="2" l="1"/>
  <c r="Q25" i="2" s="1"/>
  <c r="E25" i="2" l="1"/>
  <c r="F25" i="2" s="1"/>
  <c r="Q140" i="2"/>
  <c r="Q139" i="2"/>
  <c r="Q138" i="2"/>
  <c r="Q137" i="2"/>
  <c r="Q136" i="2"/>
  <c r="Q127" i="2"/>
  <c r="Q126" i="2"/>
  <c r="O125" i="2"/>
  <c r="Q125" i="2" s="1"/>
  <c r="O124" i="2"/>
  <c r="Q124" i="2" s="1"/>
  <c r="O123" i="2"/>
  <c r="Q123" i="2" s="1"/>
  <c r="O98" i="2"/>
  <c r="Q98" i="2" s="1"/>
  <c r="O97" i="2"/>
  <c r="Q97" i="2" s="1"/>
  <c r="O96" i="2"/>
  <c r="O93" i="2"/>
  <c r="O92" i="2"/>
  <c r="Q92" i="2" s="1"/>
  <c r="E92" i="2" s="1"/>
  <c r="O91" i="2"/>
  <c r="Q91" i="2" s="1"/>
  <c r="E91" i="2" s="1"/>
  <c r="O90" i="2"/>
  <c r="Q90" i="2" s="1"/>
  <c r="E90" i="2" s="1"/>
  <c r="O89" i="2"/>
  <c r="Q89" i="2" s="1"/>
  <c r="E89" i="2" s="1"/>
  <c r="O88" i="2"/>
  <c r="Q88" i="2" s="1"/>
  <c r="E88" i="2" s="1"/>
  <c r="O87" i="2"/>
  <c r="Q87" i="2" s="1"/>
  <c r="E87" i="2" s="1"/>
  <c r="O86" i="2"/>
  <c r="Q86" i="2" s="1"/>
  <c r="E86" i="2" s="1"/>
  <c r="O85" i="2"/>
  <c r="Q85" i="2" s="1"/>
  <c r="E85" i="2" s="1"/>
  <c r="O84" i="2"/>
  <c r="Q84" i="2" s="1"/>
  <c r="E84" i="2" s="1"/>
  <c r="O83" i="2"/>
  <c r="Q83" i="2" s="1"/>
  <c r="E83" i="2" s="1"/>
  <c r="O82" i="2"/>
  <c r="Q82" i="2" s="1"/>
  <c r="E82" i="2" s="1"/>
  <c r="O81" i="2"/>
  <c r="Q81" i="2" s="1"/>
  <c r="E81" i="2" s="1"/>
  <c r="O80" i="2"/>
  <c r="Q80" i="2" s="1"/>
  <c r="E80" i="2" s="1"/>
  <c r="O79" i="2"/>
  <c r="Q79" i="2" s="1"/>
  <c r="E79" i="2" s="1"/>
  <c r="O78" i="2"/>
  <c r="Q78" i="2" s="1"/>
  <c r="E78" i="2" s="1"/>
  <c r="O77" i="2"/>
  <c r="Q77" i="2" s="1"/>
  <c r="E77" i="2" s="1"/>
  <c r="O76" i="2"/>
  <c r="Q76" i="2" s="1"/>
  <c r="E76" i="2" s="1"/>
  <c r="O75" i="2"/>
  <c r="Q75" i="2" s="1"/>
  <c r="E75" i="2" s="1"/>
  <c r="O74" i="2"/>
  <c r="Q74" i="2" s="1"/>
  <c r="E74" i="2" s="1"/>
  <c r="O73" i="2"/>
  <c r="Q73" i="2" s="1"/>
  <c r="E73" i="2" s="1"/>
  <c r="O72" i="2"/>
  <c r="Q72" i="2" s="1"/>
  <c r="E72" i="2" s="1"/>
  <c r="O71" i="2"/>
  <c r="Q71" i="2" s="1"/>
  <c r="E71" i="2" s="1"/>
  <c r="O70" i="2"/>
  <c r="Q70" i="2" s="1"/>
  <c r="E70" i="2" s="1"/>
  <c r="O69" i="2"/>
  <c r="Q69" i="2" s="1"/>
  <c r="E69" i="2" s="1"/>
  <c r="O68" i="2"/>
  <c r="Q68" i="2" s="1"/>
  <c r="E68" i="2" s="1"/>
  <c r="O67" i="2"/>
  <c r="Q67" i="2" s="1"/>
  <c r="E67" i="2" s="1"/>
  <c r="O66" i="2"/>
  <c r="Q66" i="2" s="1"/>
  <c r="E66" i="2" s="1"/>
  <c r="O65" i="2"/>
  <c r="Q65" i="2" s="1"/>
  <c r="E65" i="2" s="1"/>
  <c r="O64" i="2"/>
  <c r="Q64" i="2" s="1"/>
  <c r="E64" i="2" s="1"/>
  <c r="O63" i="2"/>
  <c r="Q63" i="2" s="1"/>
  <c r="E63" i="2" s="1"/>
  <c r="O62" i="2"/>
  <c r="Q62" i="2" s="1"/>
  <c r="E62" i="2" s="1"/>
  <c r="O61" i="2"/>
  <c r="Q61" i="2" s="1"/>
  <c r="E61" i="2" s="1"/>
  <c r="O60" i="2"/>
  <c r="Q60" i="2" s="1"/>
  <c r="E60" i="2" s="1"/>
  <c r="O59" i="2"/>
  <c r="Q59" i="2" s="1"/>
  <c r="E59" i="2" s="1"/>
  <c r="O58" i="2"/>
  <c r="Q58" i="2" s="1"/>
  <c r="E58" i="2" s="1"/>
  <c r="O57" i="2"/>
  <c r="Q57" i="2" s="1"/>
  <c r="E57" i="2" s="1"/>
  <c r="O56" i="2"/>
  <c r="Q56" i="2" s="1"/>
  <c r="E56" i="2" s="1"/>
  <c r="O55" i="2"/>
  <c r="Q55" i="2" s="1"/>
  <c r="E55" i="2" s="1"/>
  <c r="O54" i="2"/>
  <c r="Q54" i="2" s="1"/>
  <c r="E54" i="2" s="1"/>
  <c r="O53" i="2"/>
  <c r="Q53" i="2" s="1"/>
  <c r="E53" i="2" s="1"/>
  <c r="O52" i="2"/>
  <c r="Q52" i="2" s="1"/>
  <c r="E52" i="2" s="1"/>
  <c r="O51" i="2"/>
  <c r="Q51" i="2" s="1"/>
  <c r="E51" i="2" s="1"/>
  <c r="O50" i="2"/>
  <c r="Q50" i="2" s="1"/>
  <c r="E50" i="2" s="1"/>
  <c r="O49" i="2"/>
  <c r="Q49" i="2" s="1"/>
  <c r="E49" i="2" s="1"/>
  <c r="O48" i="2"/>
  <c r="Q48" i="2" s="1"/>
  <c r="O47" i="2"/>
  <c r="Q47" i="2" s="1"/>
  <c r="O46" i="2"/>
  <c r="Q46" i="2" s="1"/>
  <c r="O45" i="2"/>
  <c r="Q45" i="2" s="1"/>
  <c r="O39" i="2"/>
  <c r="Q39" i="2" s="1"/>
  <c r="O38" i="2"/>
  <c r="Q38" i="2" s="1"/>
  <c r="O37" i="2"/>
  <c r="Q37" i="2" s="1"/>
  <c r="O36" i="2"/>
  <c r="Q36" i="2" s="1"/>
  <c r="Q34" i="2"/>
  <c r="Q33" i="2"/>
  <c r="E33" i="2" s="1"/>
  <c r="Q32" i="2"/>
  <c r="E32" i="2" s="1"/>
  <c r="Q31" i="2"/>
  <c r="E31" i="2" s="1"/>
  <c r="Q30" i="2"/>
  <c r="E30" i="2" s="1"/>
  <c r="Q29" i="2"/>
  <c r="E29" i="2" s="1"/>
  <c r="Q28" i="2"/>
  <c r="E28" i="2" s="1"/>
  <c r="Q27" i="2"/>
  <c r="E27" i="2" s="1"/>
  <c r="Q26" i="2"/>
  <c r="E26" i="2" s="1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B14" i="7"/>
  <c r="W98" i="6"/>
  <c r="V98" i="6"/>
  <c r="U98" i="6"/>
  <c r="T98" i="6"/>
  <c r="Q98" i="6"/>
  <c r="P98" i="6"/>
  <c r="O98" i="6"/>
  <c r="N98" i="6"/>
  <c r="K98" i="6"/>
  <c r="J98" i="6"/>
  <c r="I98" i="6"/>
  <c r="H98" i="6"/>
  <c r="E98" i="6"/>
  <c r="D98" i="6"/>
  <c r="C98" i="6"/>
  <c r="B98" i="6"/>
  <c r="B89" i="6"/>
  <c r="V65" i="6"/>
  <c r="V64" i="6"/>
  <c r="V63" i="6"/>
  <c r="V62" i="6"/>
  <c r="V61" i="6"/>
  <c r="V60" i="6"/>
  <c r="V59" i="6"/>
  <c r="V58" i="6"/>
  <c r="V57" i="6"/>
  <c r="V56" i="6"/>
  <c r="V55" i="6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2" i="6"/>
  <c r="J42" i="6"/>
  <c r="F42" i="6"/>
  <c r="B42" i="6"/>
  <c r="N41" i="6"/>
  <c r="J41" i="6"/>
  <c r="F41" i="6"/>
  <c r="B41" i="6"/>
  <c r="N39" i="6"/>
  <c r="N50" i="6" s="1"/>
  <c r="N56" i="6" s="1"/>
  <c r="J39" i="6"/>
  <c r="F39" i="6"/>
  <c r="B39" i="6"/>
  <c r="B45" i="4"/>
  <c r="B44" i="4"/>
  <c r="B43" i="4"/>
  <c r="B38" i="4"/>
  <c r="F38" i="4" s="1"/>
  <c r="B37" i="4"/>
  <c r="B36" i="4"/>
  <c r="F36" i="4" s="1"/>
  <c r="O43" i="1"/>
  <c r="J43" i="1"/>
  <c r="F43" i="1"/>
  <c r="B43" i="1"/>
  <c r="O42" i="1"/>
  <c r="J42" i="1"/>
  <c r="F42" i="1"/>
  <c r="B42" i="1"/>
  <c r="O37" i="1"/>
  <c r="J37" i="1"/>
  <c r="D31" i="7" s="1"/>
  <c r="F37" i="1"/>
  <c r="B37" i="1"/>
  <c r="B31" i="7" s="1"/>
  <c r="O36" i="1"/>
  <c r="J36" i="1"/>
  <c r="F36" i="1"/>
  <c r="B36" i="1"/>
  <c r="C30" i="7" l="1"/>
  <c r="C28" i="7"/>
  <c r="D29" i="7"/>
  <c r="E29" i="7" s="1"/>
  <c r="B29" i="7"/>
  <c r="C29" i="7" s="1"/>
  <c r="E30" i="7"/>
  <c r="E28" i="7"/>
  <c r="N71" i="6"/>
  <c r="Q93" i="2"/>
  <c r="E93" i="2"/>
  <c r="Q96" i="2"/>
  <c r="E96" i="2"/>
  <c r="Q24" i="2"/>
  <c r="E24" i="2" s="1"/>
  <c r="I36" i="4"/>
  <c r="K36" i="4" s="1"/>
  <c r="M36" i="4" s="1"/>
  <c r="K50" i="4"/>
  <c r="N57" i="6"/>
  <c r="N72" i="6" s="1"/>
  <c r="N58" i="6"/>
  <c r="N73" i="6" s="1"/>
  <c r="N59" i="6"/>
  <c r="N74" i="6" s="1"/>
  <c r="N60" i="6"/>
  <c r="N75" i="6" s="1"/>
  <c r="N62" i="6"/>
  <c r="N77" i="6" s="1"/>
  <c r="N63" i="6"/>
  <c r="N78" i="6" s="1"/>
  <c r="N65" i="6"/>
  <c r="N80" i="6" s="1"/>
  <c r="B50" i="6"/>
  <c r="B61" i="6" s="1"/>
  <c r="B76" i="6" s="1"/>
  <c r="I38" i="4"/>
  <c r="K38" i="4" s="1"/>
  <c r="M38" i="4" s="1"/>
  <c r="K52" i="4"/>
  <c r="N61" i="6"/>
  <c r="N76" i="6" s="1"/>
  <c r="N64" i="6"/>
  <c r="N79" i="6" s="1"/>
  <c r="N55" i="6"/>
  <c r="N70" i="6" s="1"/>
  <c r="F50" i="6"/>
  <c r="F60" i="6" s="1"/>
  <c r="F75" i="6" s="1"/>
  <c r="J50" i="6"/>
  <c r="J57" i="6" s="1"/>
  <c r="J72" i="6" s="1"/>
  <c r="Q5" i="2"/>
  <c r="E5" i="2" s="1"/>
  <c r="Q7" i="2"/>
  <c r="E7" i="2" s="1"/>
  <c r="Q11" i="2"/>
  <c r="E11" i="2" s="1"/>
  <c r="Q15" i="2"/>
  <c r="E15" i="2" s="1"/>
  <c r="Q17" i="2"/>
  <c r="E17" i="2" s="1"/>
  <c r="Q19" i="2"/>
  <c r="E19" i="2" s="1"/>
  <c r="Q12" i="2"/>
  <c r="E12" i="2" s="1"/>
  <c r="B39" i="4"/>
  <c r="D37" i="4" s="1"/>
  <c r="F45" i="4"/>
  <c r="O52" i="4" s="1"/>
  <c r="F37" i="4"/>
  <c r="F44" i="4"/>
  <c r="O51" i="4" s="1"/>
  <c r="D36" i="4"/>
  <c r="D38" i="4"/>
  <c r="F43" i="4"/>
  <c r="O50" i="4" s="1"/>
  <c r="B46" i="4"/>
  <c r="O36" i="4"/>
  <c r="Q36" i="4" s="1"/>
  <c r="O38" i="4"/>
  <c r="Q38" i="4" s="1"/>
  <c r="S38" i="4" s="1"/>
  <c r="Q9" i="2"/>
  <c r="E9" i="2" s="1"/>
  <c r="Q21" i="2"/>
  <c r="E21" i="2" s="1"/>
  <c r="Q8" i="2"/>
  <c r="E8" i="2" s="1"/>
  <c r="Q10" i="2"/>
  <c r="E10" i="2" s="1"/>
  <c r="Q16" i="2"/>
  <c r="E16" i="2" s="1"/>
  <c r="Q20" i="2"/>
  <c r="E20" i="2" s="1"/>
  <c r="Q13" i="2"/>
  <c r="E13" i="2" s="1"/>
  <c r="Q18" i="2"/>
  <c r="E18" i="2" s="1"/>
  <c r="Q23" i="2"/>
  <c r="E23" i="2" s="1"/>
  <c r="B31" i="2"/>
  <c r="F33" i="2" s="1"/>
  <c r="Q6" i="2"/>
  <c r="E6" i="2" s="1"/>
  <c r="Q14" i="2"/>
  <c r="E14" i="2" s="1"/>
  <c r="Q22" i="2"/>
  <c r="E22" i="2" s="1"/>
  <c r="B27" i="2"/>
  <c r="B50" i="2"/>
  <c r="F91" i="2" s="1"/>
  <c r="F63" i="6" l="1"/>
  <c r="F78" i="6" s="1"/>
  <c r="B64" i="6"/>
  <c r="B79" i="6" s="1"/>
  <c r="F61" i="6"/>
  <c r="F76" i="6" s="1"/>
  <c r="J65" i="6"/>
  <c r="J80" i="6" s="1"/>
  <c r="F59" i="6"/>
  <c r="F74" i="6" s="1"/>
  <c r="B63" i="6"/>
  <c r="B78" i="6" s="1"/>
  <c r="J64" i="6"/>
  <c r="J79" i="6" s="1"/>
  <c r="D27" i="7"/>
  <c r="E27" i="7" s="1"/>
  <c r="J62" i="6"/>
  <c r="J77" i="6" s="1"/>
  <c r="B27" i="7"/>
  <c r="C27" i="7" s="1"/>
  <c r="B94" i="2"/>
  <c r="F96" i="2" s="1"/>
  <c r="J63" i="6"/>
  <c r="J78" i="6" s="1"/>
  <c r="J61" i="6"/>
  <c r="J76" i="6" s="1"/>
  <c r="F56" i="6"/>
  <c r="F71" i="6" s="1"/>
  <c r="F57" i="6"/>
  <c r="F72" i="6" s="1"/>
  <c r="B60" i="6"/>
  <c r="B75" i="6" s="1"/>
  <c r="B65" i="6"/>
  <c r="B80" i="6" s="1"/>
  <c r="F65" i="6"/>
  <c r="F80" i="6" s="1"/>
  <c r="F58" i="6"/>
  <c r="F73" i="6" s="1"/>
  <c r="O53" i="4"/>
  <c r="P51" i="4" s="1"/>
  <c r="I37" i="4"/>
  <c r="K37" i="4" s="1"/>
  <c r="M37" i="4" s="1"/>
  <c r="K51" i="4"/>
  <c r="K53" i="4" s="1"/>
  <c r="J60" i="6"/>
  <c r="J75" i="6" s="1"/>
  <c r="J58" i="6"/>
  <c r="J73" i="6" s="1"/>
  <c r="J56" i="6"/>
  <c r="J71" i="6" s="1"/>
  <c r="J59" i="6"/>
  <c r="J74" i="6" s="1"/>
  <c r="F62" i="6"/>
  <c r="F77" i="6" s="1"/>
  <c r="N81" i="6"/>
  <c r="O71" i="6" s="1"/>
  <c r="B62" i="6"/>
  <c r="B77" i="6" s="1"/>
  <c r="B56" i="6"/>
  <c r="B71" i="6" s="1"/>
  <c r="B58" i="6"/>
  <c r="B73" i="6" s="1"/>
  <c r="B57" i="6"/>
  <c r="B72" i="6" s="1"/>
  <c r="J55" i="6"/>
  <c r="J70" i="6" s="1"/>
  <c r="B55" i="6"/>
  <c r="B70" i="6" s="1"/>
  <c r="F64" i="6"/>
  <c r="F79" i="6" s="1"/>
  <c r="F55" i="6"/>
  <c r="F70" i="6" s="1"/>
  <c r="B59" i="6"/>
  <c r="B74" i="6" s="1"/>
  <c r="O37" i="4"/>
  <c r="Q37" i="4" s="1"/>
  <c r="S37" i="4" s="1"/>
  <c r="J39" i="1"/>
  <c r="O39" i="1"/>
  <c r="F35" i="2"/>
  <c r="O43" i="4"/>
  <c r="Q43" i="4" s="1"/>
  <c r="I43" i="4"/>
  <c r="K43" i="4" s="1"/>
  <c r="O44" i="4"/>
  <c r="Q44" i="4" s="1"/>
  <c r="S44" i="4" s="1"/>
  <c r="I44" i="4"/>
  <c r="K44" i="4" s="1"/>
  <c r="M44" i="4" s="1"/>
  <c r="O45" i="4"/>
  <c r="Q45" i="4" s="1"/>
  <c r="S45" i="4" s="1"/>
  <c r="I45" i="4"/>
  <c r="K45" i="4" s="1"/>
  <c r="M45" i="4" s="1"/>
  <c r="F36" i="2"/>
  <c r="D43" i="4"/>
  <c r="F34" i="17" s="1"/>
  <c r="D44" i="4"/>
  <c r="F35" i="17" s="1"/>
  <c r="D45" i="4"/>
  <c r="F36" i="17" s="1"/>
  <c r="F34" i="2"/>
  <c r="F39" i="1"/>
  <c r="B39" i="1"/>
  <c r="B38" i="1" s="1"/>
  <c r="S36" i="4"/>
  <c r="F56" i="2"/>
  <c r="F71" i="2"/>
  <c r="F32" i="2"/>
  <c r="F31" i="2"/>
  <c r="F30" i="2"/>
  <c r="F64" i="2"/>
  <c r="F26" i="2"/>
  <c r="F27" i="2"/>
  <c r="F62" i="2"/>
  <c r="B6" i="2"/>
  <c r="F14" i="2" s="1"/>
  <c r="F61" i="2"/>
  <c r="F81" i="2"/>
  <c r="F86" i="2"/>
  <c r="F50" i="2"/>
  <c r="F52" i="2"/>
  <c r="F84" i="2"/>
  <c r="F75" i="2"/>
  <c r="F82" i="2"/>
  <c r="F58" i="2"/>
  <c r="F59" i="2"/>
  <c r="F73" i="2"/>
  <c r="F49" i="2"/>
  <c r="F70" i="2"/>
  <c r="F57" i="2"/>
  <c r="F76" i="2"/>
  <c r="F92" i="2"/>
  <c r="F78" i="2"/>
  <c r="F87" i="2"/>
  <c r="F66" i="2"/>
  <c r="F55" i="2"/>
  <c r="F68" i="2"/>
  <c r="F67" i="2"/>
  <c r="F54" i="2"/>
  <c r="F85" i="2"/>
  <c r="F80" i="2"/>
  <c r="F69" i="2"/>
  <c r="F28" i="2"/>
  <c r="F29" i="2"/>
  <c r="F90" i="2"/>
  <c r="F72" i="2"/>
  <c r="F88" i="2"/>
  <c r="F74" i="2"/>
  <c r="F79" i="2"/>
  <c r="F63" i="2"/>
  <c r="F53" i="2"/>
  <c r="F77" i="2"/>
  <c r="F89" i="2"/>
  <c r="F60" i="2"/>
  <c r="F83" i="2"/>
  <c r="F65" i="2"/>
  <c r="F51" i="2"/>
  <c r="T39" i="4" l="1"/>
  <c r="V39" i="4" s="1"/>
  <c r="F93" i="2"/>
  <c r="F94" i="2"/>
  <c r="F95" i="2"/>
  <c r="L51" i="4"/>
  <c r="L50" i="4"/>
  <c r="L52" i="4"/>
  <c r="O77" i="6"/>
  <c r="O78" i="6"/>
  <c r="O74" i="6"/>
  <c r="O70" i="6"/>
  <c r="O75" i="6"/>
  <c r="F81" i="6"/>
  <c r="G72" i="6" s="1"/>
  <c r="V100" i="6"/>
  <c r="T100" i="6"/>
  <c r="U100" i="6"/>
  <c r="W100" i="6"/>
  <c r="O80" i="6"/>
  <c r="P52" i="4"/>
  <c r="B81" i="6"/>
  <c r="C80" i="6" s="1"/>
  <c r="O79" i="6"/>
  <c r="O76" i="6"/>
  <c r="J81" i="6"/>
  <c r="K78" i="6" s="1"/>
  <c r="K70" i="6"/>
  <c r="P50" i="4"/>
  <c r="O73" i="6"/>
  <c r="O72" i="6"/>
  <c r="U39" i="4"/>
  <c r="V40" i="4" s="1"/>
  <c r="B47" i="1"/>
  <c r="B55" i="1" s="1"/>
  <c r="B5" i="2" s="1"/>
  <c r="F38" i="1"/>
  <c r="T46" i="4"/>
  <c r="M43" i="4"/>
  <c r="O38" i="1"/>
  <c r="S43" i="4"/>
  <c r="U46" i="4"/>
  <c r="J38" i="1"/>
  <c r="F6" i="2"/>
  <c r="F20" i="2"/>
  <c r="F12" i="2"/>
  <c r="F15" i="2"/>
  <c r="F23" i="2"/>
  <c r="F7" i="2"/>
  <c r="F9" i="2"/>
  <c r="F5" i="2"/>
  <c r="F21" i="2"/>
  <c r="F24" i="2"/>
  <c r="F17" i="2"/>
  <c r="F11" i="2"/>
  <c r="F19" i="2"/>
  <c r="F8" i="2"/>
  <c r="F16" i="2"/>
  <c r="F13" i="2"/>
  <c r="F18" i="2"/>
  <c r="F10" i="2"/>
  <c r="F22" i="2"/>
  <c r="C72" i="6" l="1"/>
  <c r="C77" i="6"/>
  <c r="C70" i="6"/>
  <c r="D99" i="6" s="1"/>
  <c r="K76" i="6"/>
  <c r="N105" i="6" s="1"/>
  <c r="C75" i="6"/>
  <c r="K73" i="6"/>
  <c r="C74" i="6"/>
  <c r="D103" i="6" s="1"/>
  <c r="C71" i="6"/>
  <c r="C100" i="6" s="1"/>
  <c r="G80" i="6"/>
  <c r="C73" i="6"/>
  <c r="D102" i="6" s="1"/>
  <c r="G77" i="6"/>
  <c r="K106" i="6" s="1"/>
  <c r="E109" i="6"/>
  <c r="D109" i="6"/>
  <c r="B109" i="6"/>
  <c r="C109" i="6"/>
  <c r="K101" i="6"/>
  <c r="H101" i="6"/>
  <c r="J101" i="6"/>
  <c r="I101" i="6"/>
  <c r="K109" i="6"/>
  <c r="J109" i="6"/>
  <c r="I109" i="6"/>
  <c r="H109" i="6"/>
  <c r="E99" i="6"/>
  <c r="V102" i="6"/>
  <c r="W102" i="6"/>
  <c r="T102" i="6"/>
  <c r="U102" i="6"/>
  <c r="E102" i="6"/>
  <c r="B102" i="6"/>
  <c r="C102" i="6"/>
  <c r="W105" i="6"/>
  <c r="T105" i="6"/>
  <c r="U105" i="6"/>
  <c r="V105" i="6"/>
  <c r="E106" i="6"/>
  <c r="D106" i="6"/>
  <c r="B106" i="6"/>
  <c r="C106" i="6"/>
  <c r="V106" i="6"/>
  <c r="T106" i="6"/>
  <c r="U106" i="6"/>
  <c r="W106" i="6"/>
  <c r="W101" i="6"/>
  <c r="T101" i="6"/>
  <c r="U101" i="6"/>
  <c r="V101" i="6"/>
  <c r="C103" i="6"/>
  <c r="H106" i="6"/>
  <c r="G75" i="6"/>
  <c r="G78" i="6"/>
  <c r="G74" i="6"/>
  <c r="G76" i="6"/>
  <c r="W107" i="6"/>
  <c r="T107" i="6"/>
  <c r="U107" i="6"/>
  <c r="V107" i="6"/>
  <c r="G71" i="6"/>
  <c r="Q99" i="6"/>
  <c r="N99" i="6"/>
  <c r="O99" i="6"/>
  <c r="P99" i="6"/>
  <c r="E101" i="6"/>
  <c r="D101" i="6"/>
  <c r="B101" i="6"/>
  <c r="C101" i="6"/>
  <c r="G73" i="6"/>
  <c r="T109" i="6"/>
  <c r="W109" i="6"/>
  <c r="U109" i="6"/>
  <c r="V109" i="6"/>
  <c r="V104" i="6"/>
  <c r="W104" i="6"/>
  <c r="T104" i="6"/>
  <c r="U104" i="6"/>
  <c r="T103" i="6"/>
  <c r="U103" i="6"/>
  <c r="V103" i="6"/>
  <c r="W103" i="6"/>
  <c r="Q107" i="6"/>
  <c r="N107" i="6"/>
  <c r="O107" i="6"/>
  <c r="P107" i="6"/>
  <c r="T99" i="6"/>
  <c r="U99" i="6"/>
  <c r="V99" i="6"/>
  <c r="W99" i="6"/>
  <c r="B100" i="6"/>
  <c r="E104" i="6"/>
  <c r="D104" i="6"/>
  <c r="B104" i="6"/>
  <c r="C104" i="6"/>
  <c r="Q102" i="6"/>
  <c r="P102" i="6"/>
  <c r="N102" i="6"/>
  <c r="O102" i="6"/>
  <c r="K80" i="6"/>
  <c r="K79" i="6"/>
  <c r="K72" i="6"/>
  <c r="K77" i="6"/>
  <c r="V108" i="6"/>
  <c r="T108" i="6"/>
  <c r="U108" i="6"/>
  <c r="W108" i="6"/>
  <c r="K71" i="6"/>
  <c r="C76" i="6"/>
  <c r="C78" i="6"/>
  <c r="C79" i="6"/>
  <c r="G70" i="6"/>
  <c r="K74" i="6"/>
  <c r="G79" i="6"/>
  <c r="K75" i="6"/>
  <c r="W40" i="4"/>
  <c r="W39" i="4"/>
  <c r="B41" i="1" s="1"/>
  <c r="W46" i="4"/>
  <c r="W47" i="4"/>
  <c r="R24" i="2"/>
  <c r="S24" i="2" s="1"/>
  <c r="B25" i="2"/>
  <c r="R25" i="2" s="1"/>
  <c r="S25" i="2" s="1"/>
  <c r="O47" i="1"/>
  <c r="J47" i="1"/>
  <c r="J55" i="1" s="1"/>
  <c r="V47" i="4"/>
  <c r="V46" i="4"/>
  <c r="F47" i="1"/>
  <c r="F55" i="1" s="1"/>
  <c r="B56" i="1"/>
  <c r="B34" i="2" s="1"/>
  <c r="R35" i="2" s="1"/>
  <c r="S35" i="2" s="1"/>
  <c r="B57" i="1"/>
  <c r="B37" i="2" s="1"/>
  <c r="B62" i="1"/>
  <c r="B54" i="1"/>
  <c r="B93" i="2" s="1"/>
  <c r="B60" i="1"/>
  <c r="B97" i="2" s="1"/>
  <c r="B61" i="1"/>
  <c r="B127" i="2" s="1"/>
  <c r="B53" i="1"/>
  <c r="B58" i="1"/>
  <c r="B26" i="2" s="1"/>
  <c r="B59" i="1"/>
  <c r="B30" i="2" s="1"/>
  <c r="E103" i="6" l="1"/>
  <c r="I106" i="6"/>
  <c r="Q105" i="6"/>
  <c r="C99" i="6"/>
  <c r="P105" i="6"/>
  <c r="R134" i="2"/>
  <c r="S134" i="2" s="1"/>
  <c r="R131" i="2"/>
  <c r="S131" i="2" s="1"/>
  <c r="R130" i="2"/>
  <c r="S130" i="2" s="1"/>
  <c r="R129" i="2"/>
  <c r="S129" i="2" s="1"/>
  <c r="R135" i="2"/>
  <c r="S135" i="2" s="1"/>
  <c r="R133" i="2"/>
  <c r="S133" i="2" s="1"/>
  <c r="R132" i="2"/>
  <c r="S132" i="2" s="1"/>
  <c r="R128" i="2"/>
  <c r="S128" i="2" s="1"/>
  <c r="E100" i="6"/>
  <c r="J106" i="6"/>
  <c r="B103" i="6"/>
  <c r="O105" i="6"/>
  <c r="B99" i="6"/>
  <c r="D100" i="6"/>
  <c r="R107" i="2"/>
  <c r="S107" i="2" s="1"/>
  <c r="R116" i="2"/>
  <c r="S116" i="2" s="1"/>
  <c r="R111" i="2"/>
  <c r="S111" i="2" s="1"/>
  <c r="R117" i="2"/>
  <c r="S117" i="2" s="1"/>
  <c r="R115" i="2"/>
  <c r="S115" i="2" s="1"/>
  <c r="R122" i="2"/>
  <c r="S122" i="2" s="1"/>
  <c r="R103" i="2"/>
  <c r="S103" i="2" s="1"/>
  <c r="R112" i="2"/>
  <c r="S112" i="2" s="1"/>
  <c r="R102" i="2"/>
  <c r="S102" i="2" s="1"/>
  <c r="R113" i="2"/>
  <c r="S113" i="2" s="1"/>
  <c r="R106" i="2"/>
  <c r="S106" i="2" s="1"/>
  <c r="R105" i="2"/>
  <c r="S105" i="2" s="1"/>
  <c r="R118" i="2"/>
  <c r="S118" i="2" s="1"/>
  <c r="R110" i="2"/>
  <c r="S110" i="2" s="1"/>
  <c r="R109" i="2"/>
  <c r="S109" i="2" s="1"/>
  <c r="R119" i="2"/>
  <c r="S119" i="2" s="1"/>
  <c r="R120" i="2"/>
  <c r="S120" i="2" s="1"/>
  <c r="R121" i="2"/>
  <c r="S121" i="2" s="1"/>
  <c r="R99" i="2"/>
  <c r="S99" i="2" s="1"/>
  <c r="R100" i="2"/>
  <c r="S100" i="2" s="1"/>
  <c r="R101" i="2"/>
  <c r="S101" i="2" s="1"/>
  <c r="R114" i="2"/>
  <c r="S114" i="2" s="1"/>
  <c r="R108" i="2"/>
  <c r="S108" i="2" s="1"/>
  <c r="R104" i="2"/>
  <c r="S104" i="2" s="1"/>
  <c r="B25" i="17"/>
  <c r="R25" i="17" s="1"/>
  <c r="S25" i="17" s="1"/>
  <c r="B5" i="17"/>
  <c r="R96" i="2"/>
  <c r="S96" i="2" s="1"/>
  <c r="R95" i="2"/>
  <c r="S95" i="2" s="1"/>
  <c r="R94" i="2"/>
  <c r="S94" i="2" s="1"/>
  <c r="R41" i="2"/>
  <c r="S41" i="2" s="1"/>
  <c r="R43" i="2"/>
  <c r="S43" i="2" s="1"/>
  <c r="R40" i="2"/>
  <c r="S40" i="2" s="1"/>
  <c r="R42" i="2"/>
  <c r="S42" i="2" s="1"/>
  <c r="R44" i="2"/>
  <c r="S44" i="2" s="1"/>
  <c r="Q103" i="6"/>
  <c r="N103" i="6"/>
  <c r="O103" i="6"/>
  <c r="P103" i="6"/>
  <c r="E105" i="6"/>
  <c r="D105" i="6"/>
  <c r="B105" i="6"/>
  <c r="C105" i="6"/>
  <c r="Q108" i="6"/>
  <c r="P108" i="6"/>
  <c r="N108" i="6"/>
  <c r="O108" i="6"/>
  <c r="J100" i="6"/>
  <c r="H100" i="6"/>
  <c r="I100" i="6"/>
  <c r="K100" i="6"/>
  <c r="K104" i="6"/>
  <c r="I104" i="6"/>
  <c r="J104" i="6"/>
  <c r="H104" i="6"/>
  <c r="H108" i="6"/>
  <c r="J108" i="6"/>
  <c r="K108" i="6"/>
  <c r="I108" i="6"/>
  <c r="Q101" i="6"/>
  <c r="N101" i="6"/>
  <c r="O101" i="6"/>
  <c r="P101" i="6"/>
  <c r="J102" i="6"/>
  <c r="I102" i="6"/>
  <c r="K102" i="6"/>
  <c r="H102" i="6"/>
  <c r="H99" i="6"/>
  <c r="J99" i="6"/>
  <c r="K99" i="6"/>
  <c r="I99" i="6"/>
  <c r="Q100" i="6"/>
  <c r="P100" i="6"/>
  <c r="N100" i="6"/>
  <c r="O100" i="6"/>
  <c r="Q109" i="6"/>
  <c r="O109" i="6"/>
  <c r="N109" i="6"/>
  <c r="P109" i="6"/>
  <c r="K105" i="6"/>
  <c r="J105" i="6"/>
  <c r="H105" i="6"/>
  <c r="I105" i="6"/>
  <c r="E107" i="6"/>
  <c r="D107" i="6"/>
  <c r="B107" i="6"/>
  <c r="C107" i="6"/>
  <c r="K107" i="6"/>
  <c r="I107" i="6"/>
  <c r="J107" i="6"/>
  <c r="H107" i="6"/>
  <c r="Q104" i="6"/>
  <c r="P104" i="6"/>
  <c r="N104" i="6"/>
  <c r="O104" i="6"/>
  <c r="E108" i="6"/>
  <c r="B108" i="6"/>
  <c r="C108" i="6"/>
  <c r="D108" i="6"/>
  <c r="Q106" i="6"/>
  <c r="P106" i="6"/>
  <c r="N106" i="6"/>
  <c r="O106" i="6"/>
  <c r="H103" i="6"/>
  <c r="J103" i="6"/>
  <c r="K103" i="6"/>
  <c r="I103" i="6"/>
  <c r="R21" i="2"/>
  <c r="S21" i="2" s="1"/>
  <c r="R93" i="2"/>
  <c r="S93" i="2" s="1"/>
  <c r="F41" i="1"/>
  <c r="R26" i="2"/>
  <c r="R27" i="2"/>
  <c r="S27" i="2" s="1"/>
  <c r="R29" i="2"/>
  <c r="S29" i="2" s="1"/>
  <c r="R28" i="2"/>
  <c r="S28" i="2" s="1"/>
  <c r="O54" i="1"/>
  <c r="O59" i="1"/>
  <c r="O61" i="1"/>
  <c r="O62" i="1"/>
  <c r="O53" i="1"/>
  <c r="O58" i="1"/>
  <c r="O60" i="1"/>
  <c r="O57" i="1"/>
  <c r="O56" i="1"/>
  <c r="R5" i="2"/>
  <c r="R14" i="2"/>
  <c r="S14" i="2" s="1"/>
  <c r="R12" i="2"/>
  <c r="S12" i="2" s="1"/>
  <c r="R22" i="2"/>
  <c r="S22" i="2" s="1"/>
  <c r="B63" i="1"/>
  <c r="B65" i="1"/>
  <c r="B49" i="2"/>
  <c r="R136" i="2"/>
  <c r="S136" i="2" s="1"/>
  <c r="R138" i="2"/>
  <c r="S138" i="2" s="1"/>
  <c r="R140" i="2"/>
  <c r="S140" i="2" s="1"/>
  <c r="R139" i="2"/>
  <c r="S139" i="2" s="1"/>
  <c r="R137" i="2"/>
  <c r="S137" i="2" s="1"/>
  <c r="R127" i="2"/>
  <c r="S127" i="2" s="1"/>
  <c r="F58" i="1"/>
  <c r="F60" i="1"/>
  <c r="F57" i="1"/>
  <c r="F54" i="1"/>
  <c r="F61" i="1"/>
  <c r="F59" i="1"/>
  <c r="F62" i="1"/>
  <c r="F53" i="1"/>
  <c r="F56" i="1"/>
  <c r="J62" i="1"/>
  <c r="J53" i="1"/>
  <c r="B49" i="17" s="1"/>
  <c r="J60" i="1"/>
  <c r="B97" i="17" s="1"/>
  <c r="J58" i="1"/>
  <c r="B26" i="17" s="1"/>
  <c r="J59" i="1"/>
  <c r="B30" i="17" s="1"/>
  <c r="J54" i="1"/>
  <c r="B93" i="17" s="1"/>
  <c r="J57" i="1"/>
  <c r="B37" i="17" s="1"/>
  <c r="J61" i="1"/>
  <c r="B127" i="17" s="1"/>
  <c r="J56" i="1"/>
  <c r="B34" i="17" s="1"/>
  <c r="R19" i="2"/>
  <c r="S19" i="2" s="1"/>
  <c r="R8" i="2"/>
  <c r="S8" i="2" s="1"/>
  <c r="R9" i="2"/>
  <c r="S9" i="2" s="1"/>
  <c r="R15" i="2"/>
  <c r="S15" i="2" s="1"/>
  <c r="R124" i="2"/>
  <c r="S124" i="2" s="1"/>
  <c r="R126" i="2"/>
  <c r="S126" i="2" s="1"/>
  <c r="R97" i="2"/>
  <c r="S97" i="2" s="1"/>
  <c r="R125" i="2"/>
  <c r="S125" i="2" s="1"/>
  <c r="R123" i="2"/>
  <c r="S123" i="2" s="1"/>
  <c r="R98" i="2"/>
  <c r="S98" i="2" s="1"/>
  <c r="R39" i="2"/>
  <c r="S39" i="2" s="1"/>
  <c r="R45" i="2"/>
  <c r="S45" i="2" s="1"/>
  <c r="R47" i="2"/>
  <c r="S47" i="2" s="1"/>
  <c r="R38" i="2"/>
  <c r="S38" i="2" s="1"/>
  <c r="R37" i="2"/>
  <c r="S37" i="2" s="1"/>
  <c r="R48" i="2"/>
  <c r="S48" i="2" s="1"/>
  <c r="R46" i="2"/>
  <c r="S46" i="2" s="1"/>
  <c r="J41" i="1"/>
  <c r="O41" i="1"/>
  <c r="R6" i="2"/>
  <c r="S6" i="2" s="1"/>
  <c r="R18" i="2"/>
  <c r="S18" i="2" s="1"/>
  <c r="R20" i="2"/>
  <c r="S20" i="2" s="1"/>
  <c r="R10" i="2"/>
  <c r="S10" i="2" s="1"/>
  <c r="R17" i="2"/>
  <c r="S17" i="2" s="1"/>
  <c r="R11" i="2"/>
  <c r="S11" i="2" s="1"/>
  <c r="R33" i="2"/>
  <c r="S33" i="2" s="1"/>
  <c r="R30" i="2"/>
  <c r="R31" i="2"/>
  <c r="S31" i="2" s="1"/>
  <c r="R32" i="2"/>
  <c r="S32" i="2" s="1"/>
  <c r="B64" i="1"/>
  <c r="R36" i="2"/>
  <c r="S36" i="2" s="1"/>
  <c r="R34" i="2"/>
  <c r="S34" i="2" s="1"/>
  <c r="R23" i="2"/>
  <c r="S23" i="2" s="1"/>
  <c r="R7" i="2"/>
  <c r="S7" i="2" s="1"/>
  <c r="O55" i="1"/>
  <c r="R16" i="2"/>
  <c r="S16" i="2" s="1"/>
  <c r="R13" i="2"/>
  <c r="S13" i="2" s="1"/>
  <c r="R36" i="17" l="1"/>
  <c r="S36" i="17" s="1"/>
  <c r="R34" i="17"/>
  <c r="S34" i="17" s="1"/>
  <c r="R35" i="17"/>
  <c r="S35" i="17" s="1"/>
  <c r="R26" i="17"/>
  <c r="R27" i="17"/>
  <c r="S27" i="17" s="1"/>
  <c r="R29" i="17"/>
  <c r="S29" i="17" s="1"/>
  <c r="R28" i="17"/>
  <c r="S28" i="17" s="1"/>
  <c r="R41" i="17"/>
  <c r="S41" i="17" s="1"/>
  <c r="R38" i="17"/>
  <c r="S38" i="17" s="1"/>
  <c r="R40" i="17"/>
  <c r="S40" i="17" s="1"/>
  <c r="R45" i="17"/>
  <c r="S45" i="17" s="1"/>
  <c r="R48" i="17"/>
  <c r="S48" i="17" s="1"/>
  <c r="R43" i="17"/>
  <c r="S43" i="17" s="1"/>
  <c r="R47" i="17"/>
  <c r="S47" i="17" s="1"/>
  <c r="R39" i="17"/>
  <c r="S39" i="17" s="1"/>
  <c r="R46" i="17"/>
  <c r="S46" i="17" s="1"/>
  <c r="R37" i="17"/>
  <c r="S37" i="17" s="1"/>
  <c r="R44" i="17"/>
  <c r="S44" i="17" s="1"/>
  <c r="R42" i="17"/>
  <c r="S42" i="17" s="1"/>
  <c r="R107" i="17"/>
  <c r="S107" i="17" s="1"/>
  <c r="R102" i="17"/>
  <c r="S102" i="17" s="1"/>
  <c r="R112" i="17"/>
  <c r="S112" i="17" s="1"/>
  <c r="R100" i="17"/>
  <c r="S100" i="17" s="1"/>
  <c r="R113" i="17"/>
  <c r="S113" i="17" s="1"/>
  <c r="R122" i="17"/>
  <c r="S122" i="17" s="1"/>
  <c r="R117" i="17"/>
  <c r="S117" i="17" s="1"/>
  <c r="R111" i="17"/>
  <c r="S111" i="17" s="1"/>
  <c r="R108" i="17"/>
  <c r="S108" i="17" s="1"/>
  <c r="R115" i="17"/>
  <c r="S115" i="17" s="1"/>
  <c r="R110" i="17"/>
  <c r="S110" i="17" s="1"/>
  <c r="R121" i="17"/>
  <c r="S121" i="17" s="1"/>
  <c r="R98" i="17"/>
  <c r="S98" i="17" s="1"/>
  <c r="R125" i="17"/>
  <c r="S125" i="17" s="1"/>
  <c r="R120" i="17"/>
  <c r="S120" i="17" s="1"/>
  <c r="R118" i="17"/>
  <c r="S118" i="17" s="1"/>
  <c r="R99" i="17"/>
  <c r="S99" i="17" s="1"/>
  <c r="R119" i="17"/>
  <c r="S119" i="17" s="1"/>
  <c r="R116" i="17"/>
  <c r="S116" i="17" s="1"/>
  <c r="R97" i="17"/>
  <c r="S97" i="17" s="1"/>
  <c r="R106" i="17"/>
  <c r="S106" i="17" s="1"/>
  <c r="R101" i="17"/>
  <c r="S101" i="17" s="1"/>
  <c r="R124" i="17"/>
  <c r="S124" i="17" s="1"/>
  <c r="R105" i="17"/>
  <c r="S105" i="17" s="1"/>
  <c r="R114" i="17"/>
  <c r="S114" i="17" s="1"/>
  <c r="R109" i="17"/>
  <c r="S109" i="17" s="1"/>
  <c r="R104" i="17"/>
  <c r="S104" i="17" s="1"/>
  <c r="R123" i="17"/>
  <c r="S123" i="17" s="1"/>
  <c r="R103" i="17"/>
  <c r="S103" i="17" s="1"/>
  <c r="R126" i="17"/>
  <c r="S126" i="17" s="1"/>
  <c r="R32" i="17"/>
  <c r="S32" i="17" s="1"/>
  <c r="R33" i="17"/>
  <c r="S33" i="17" s="1"/>
  <c r="R31" i="17"/>
  <c r="S31" i="17" s="1"/>
  <c r="R30" i="17"/>
  <c r="R143" i="2"/>
  <c r="R153" i="2"/>
  <c r="R134" i="17"/>
  <c r="S134" i="17" s="1"/>
  <c r="R140" i="17"/>
  <c r="S140" i="17" s="1"/>
  <c r="R131" i="17"/>
  <c r="S131" i="17" s="1"/>
  <c r="R129" i="17"/>
  <c r="S129" i="17" s="1"/>
  <c r="R128" i="17"/>
  <c r="S128" i="17" s="1"/>
  <c r="R138" i="17"/>
  <c r="S138" i="17" s="1"/>
  <c r="R139" i="17"/>
  <c r="S139" i="17" s="1"/>
  <c r="R133" i="17"/>
  <c r="S133" i="17" s="1"/>
  <c r="R135" i="17"/>
  <c r="S135" i="17" s="1"/>
  <c r="R130" i="17"/>
  <c r="S130" i="17" s="1"/>
  <c r="R136" i="17"/>
  <c r="S136" i="17" s="1"/>
  <c r="R132" i="17"/>
  <c r="S132" i="17" s="1"/>
  <c r="R127" i="17"/>
  <c r="S127" i="17" s="1"/>
  <c r="R137" i="17"/>
  <c r="S137" i="17" s="1"/>
  <c r="R96" i="17"/>
  <c r="S96" i="17" s="1"/>
  <c r="R93" i="17"/>
  <c r="S93" i="17" s="1"/>
  <c r="R95" i="17"/>
  <c r="S95" i="17" s="1"/>
  <c r="R94" i="17"/>
  <c r="S94" i="17" s="1"/>
  <c r="R62" i="17"/>
  <c r="S62" i="17" s="1"/>
  <c r="R71" i="17"/>
  <c r="S71" i="17" s="1"/>
  <c r="R89" i="17"/>
  <c r="S89" i="17" s="1"/>
  <c r="R80" i="17"/>
  <c r="S80" i="17" s="1"/>
  <c r="R79" i="17"/>
  <c r="S79" i="17" s="1"/>
  <c r="R77" i="17"/>
  <c r="S77" i="17" s="1"/>
  <c r="R74" i="17"/>
  <c r="S74" i="17" s="1"/>
  <c r="R53" i="17"/>
  <c r="S53" i="17" s="1"/>
  <c r="R50" i="17"/>
  <c r="S50" i="17" s="1"/>
  <c r="R90" i="17"/>
  <c r="S90" i="17" s="1"/>
  <c r="R59" i="17"/>
  <c r="S59" i="17" s="1"/>
  <c r="R83" i="17"/>
  <c r="S83" i="17" s="1"/>
  <c r="R88" i="17"/>
  <c r="S88" i="17" s="1"/>
  <c r="R58" i="17"/>
  <c r="S58" i="17" s="1"/>
  <c r="R70" i="17"/>
  <c r="S70" i="17" s="1"/>
  <c r="R86" i="17"/>
  <c r="S86" i="17" s="1"/>
  <c r="R67" i="17"/>
  <c r="S67" i="17" s="1"/>
  <c r="R91" i="17"/>
  <c r="S91" i="17" s="1"/>
  <c r="R56" i="17"/>
  <c r="S56" i="17" s="1"/>
  <c r="R65" i="17"/>
  <c r="S65" i="17" s="1"/>
  <c r="R84" i="17"/>
  <c r="S84" i="17" s="1"/>
  <c r="R81" i="17"/>
  <c r="S81" i="17" s="1"/>
  <c r="R87" i="17"/>
  <c r="S87" i="17" s="1"/>
  <c r="R63" i="17"/>
  <c r="S63" i="17" s="1"/>
  <c r="R75" i="17"/>
  <c r="S75" i="17" s="1"/>
  <c r="R73" i="17"/>
  <c r="S73" i="17" s="1"/>
  <c r="R76" i="17"/>
  <c r="S76" i="17" s="1"/>
  <c r="R68" i="17"/>
  <c r="S68" i="17" s="1"/>
  <c r="R78" i="17"/>
  <c r="S78" i="17" s="1"/>
  <c r="R54" i="17"/>
  <c r="S54" i="17" s="1"/>
  <c r="R49" i="17"/>
  <c r="S49" i="17" s="1"/>
  <c r="R85" i="17"/>
  <c r="S85" i="17" s="1"/>
  <c r="R51" i="17"/>
  <c r="S51" i="17" s="1"/>
  <c r="R82" i="17"/>
  <c r="S82" i="17" s="1"/>
  <c r="R55" i="17"/>
  <c r="S55" i="17" s="1"/>
  <c r="R64" i="17"/>
  <c r="S64" i="17" s="1"/>
  <c r="R52" i="17"/>
  <c r="S52" i="17" s="1"/>
  <c r="R61" i="17"/>
  <c r="S61" i="17" s="1"/>
  <c r="R69" i="17"/>
  <c r="S69" i="17" s="1"/>
  <c r="R92" i="17"/>
  <c r="S92" i="17" s="1"/>
  <c r="R66" i="17"/>
  <c r="S66" i="17" s="1"/>
  <c r="R72" i="17"/>
  <c r="S72" i="17" s="1"/>
  <c r="R57" i="17"/>
  <c r="S57" i="17" s="1"/>
  <c r="R60" i="17"/>
  <c r="S60" i="17" s="1"/>
  <c r="R22" i="17"/>
  <c r="S22" i="17" s="1"/>
  <c r="R20" i="17"/>
  <c r="S20" i="17" s="1"/>
  <c r="R14" i="17"/>
  <c r="S14" i="17" s="1"/>
  <c r="R9" i="17"/>
  <c r="S9" i="17" s="1"/>
  <c r="R24" i="17"/>
  <c r="S24" i="17" s="1"/>
  <c r="R16" i="17"/>
  <c r="S16" i="17" s="1"/>
  <c r="R23" i="17"/>
  <c r="S23" i="17" s="1"/>
  <c r="R8" i="17"/>
  <c r="S8" i="17" s="1"/>
  <c r="R10" i="17"/>
  <c r="S10" i="17" s="1"/>
  <c r="R18" i="17"/>
  <c r="S18" i="17" s="1"/>
  <c r="R7" i="17"/>
  <c r="S7" i="17" s="1"/>
  <c r="R21" i="17"/>
  <c r="S21" i="17" s="1"/>
  <c r="R15" i="17"/>
  <c r="S15" i="17" s="1"/>
  <c r="R17" i="17"/>
  <c r="S17" i="17" s="1"/>
  <c r="R6" i="17"/>
  <c r="S6" i="17" s="1"/>
  <c r="R5" i="17"/>
  <c r="R19" i="17"/>
  <c r="S19" i="17" s="1"/>
  <c r="R13" i="17"/>
  <c r="S13" i="17" s="1"/>
  <c r="R12" i="17"/>
  <c r="S12" i="17" s="1"/>
  <c r="R11" i="17"/>
  <c r="S11" i="17" s="1"/>
  <c r="F64" i="1"/>
  <c r="R78" i="2"/>
  <c r="S78" i="2" s="1"/>
  <c r="R62" i="2"/>
  <c r="S62" i="2" s="1"/>
  <c r="R91" i="2"/>
  <c r="S91" i="2" s="1"/>
  <c r="R75" i="2"/>
  <c r="S75" i="2" s="1"/>
  <c r="R59" i="2"/>
  <c r="S59" i="2" s="1"/>
  <c r="R80" i="2"/>
  <c r="S80" i="2" s="1"/>
  <c r="R77" i="2"/>
  <c r="S77" i="2" s="1"/>
  <c r="R52" i="2"/>
  <c r="S52" i="2" s="1"/>
  <c r="R84" i="2"/>
  <c r="S84" i="2" s="1"/>
  <c r="R81" i="2"/>
  <c r="S81" i="2" s="1"/>
  <c r="R49" i="2"/>
  <c r="S49" i="2" s="1"/>
  <c r="R90" i="2"/>
  <c r="S90" i="2" s="1"/>
  <c r="R74" i="2"/>
  <c r="S74" i="2" s="1"/>
  <c r="R58" i="2"/>
  <c r="S58" i="2" s="1"/>
  <c r="R87" i="2"/>
  <c r="S87" i="2" s="1"/>
  <c r="R71" i="2"/>
  <c r="S71" i="2" s="1"/>
  <c r="R55" i="2"/>
  <c r="S55" i="2" s="1"/>
  <c r="R72" i="2"/>
  <c r="S72" i="2" s="1"/>
  <c r="R69" i="2"/>
  <c r="S69" i="2" s="1"/>
  <c r="R85" i="2"/>
  <c r="S85" i="2" s="1"/>
  <c r="R68" i="2"/>
  <c r="S68" i="2" s="1"/>
  <c r="R73" i="2"/>
  <c r="S73" i="2" s="1"/>
  <c r="R86" i="2"/>
  <c r="S86" i="2" s="1"/>
  <c r="R70" i="2"/>
  <c r="S70" i="2" s="1"/>
  <c r="R54" i="2"/>
  <c r="S54" i="2" s="1"/>
  <c r="R83" i="2"/>
  <c r="S83" i="2" s="1"/>
  <c r="R67" i="2"/>
  <c r="S67" i="2" s="1"/>
  <c r="R51" i="2"/>
  <c r="S51" i="2" s="1"/>
  <c r="R64" i="2"/>
  <c r="S64" i="2" s="1"/>
  <c r="R53" i="2"/>
  <c r="S53" i="2" s="1"/>
  <c r="R61" i="2"/>
  <c r="S61" i="2" s="1"/>
  <c r="R60" i="2"/>
  <c r="S60" i="2" s="1"/>
  <c r="R65" i="2"/>
  <c r="S65" i="2" s="1"/>
  <c r="R66" i="2"/>
  <c r="S66" i="2" s="1"/>
  <c r="R88" i="2"/>
  <c r="S88" i="2" s="1"/>
  <c r="R89" i="2"/>
  <c r="S89" i="2" s="1"/>
  <c r="R50" i="2"/>
  <c r="S50" i="2" s="1"/>
  <c r="R56" i="2"/>
  <c r="S56" i="2" s="1"/>
  <c r="R57" i="2"/>
  <c r="S57" i="2" s="1"/>
  <c r="R79" i="2"/>
  <c r="S79" i="2" s="1"/>
  <c r="R76" i="2"/>
  <c r="S76" i="2" s="1"/>
  <c r="R82" i="2"/>
  <c r="S82" i="2" s="1"/>
  <c r="R63" i="2"/>
  <c r="S63" i="2" s="1"/>
  <c r="R92" i="2"/>
  <c r="S92" i="2" s="1"/>
  <c r="O64" i="1"/>
  <c r="S30" i="2"/>
  <c r="J64" i="1"/>
  <c r="F65" i="1"/>
  <c r="F63" i="1"/>
  <c r="R144" i="2"/>
  <c r="R145" i="2" s="1"/>
  <c r="S5" i="2"/>
  <c r="J63" i="1"/>
  <c r="J65" i="1"/>
  <c r="O63" i="1"/>
  <c r="O65" i="1"/>
  <c r="S26" i="2"/>
  <c r="R152" i="2"/>
  <c r="R152" i="17" l="1"/>
  <c r="S26" i="17"/>
  <c r="S5" i="17"/>
  <c r="R144" i="17"/>
  <c r="R145" i="17" s="1"/>
  <c r="R153" i="17"/>
  <c r="S30" i="17"/>
  <c r="R143" i="17"/>
  <c r="R154" i="2"/>
  <c r="R15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H2O</t>
        </r>
      </text>
    </comment>
    <comment ref="P2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HO7P2</t>
        </r>
      </text>
    </comment>
    <comment ref="B9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g/mol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H2O</t>
        </r>
      </text>
    </comment>
    <comment ref="P2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HO7P2</t>
        </r>
      </text>
    </comment>
    <comment ref="B9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g/mol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Include 2 H from terminal amino acid</t>
        </r>
      </text>
    </comment>
    <comment ref="T2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Includes 1 O from terminal amino acid</t>
        </r>
      </text>
    </comment>
    <comment ref="R5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Include 2 H from terminal amino acid</t>
        </r>
      </text>
    </comment>
    <comment ref="T5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Includes 1 O from terminal amino acid</t>
        </r>
      </text>
    </comment>
    <comment ref="R8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Include 2 H from terminal amino acid</t>
        </r>
      </text>
    </comment>
    <comment ref="T8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Includes 1 O from terminal amino acid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Glucose equivalents of other sugars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Considers 0.5 mg protein/ mg DW</t>
        </r>
      </text>
    </comment>
    <comment ref="D2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Considers 0.5 mg protein/ mg DW</t>
        </r>
      </text>
    </comment>
    <comment ref="D30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Considers 0.5 mg protein/ mg DW</t>
        </r>
      </text>
    </comment>
  </commentList>
</comments>
</file>

<file path=xl/sharedStrings.xml><?xml version="1.0" encoding="utf-8"?>
<sst xmlns="http://schemas.openxmlformats.org/spreadsheetml/2006/main" count="2780" uniqueCount="829">
  <si>
    <t>NaNO3 BG-11</t>
  </si>
  <si>
    <t>Total Lipid</t>
  </si>
  <si>
    <t>Total carbohydrate</t>
  </si>
  <si>
    <t>Total protein</t>
  </si>
  <si>
    <t>Total DNA</t>
  </si>
  <si>
    <t>Total RNA</t>
  </si>
  <si>
    <t>S</t>
  </si>
  <si>
    <t>E</t>
  </si>
  <si>
    <t>Anova</t>
  </si>
  <si>
    <t>Lipid</t>
  </si>
  <si>
    <t>Carbohydrate</t>
  </si>
  <si>
    <t>DNA</t>
  </si>
  <si>
    <t>RNA</t>
  </si>
  <si>
    <t>Phase</t>
  </si>
  <si>
    <t>Source</t>
  </si>
  <si>
    <t>NaNO3</t>
  </si>
  <si>
    <t>N2</t>
  </si>
  <si>
    <t>Protein</t>
  </si>
  <si>
    <t>Category</t>
  </si>
  <si>
    <t>Mass fraction (g/gDW)</t>
  </si>
  <si>
    <t>Type</t>
  </si>
  <si>
    <t>Formula</t>
  </si>
  <si>
    <t>C</t>
  </si>
  <si>
    <t>H</t>
  </si>
  <si>
    <t>N</t>
  </si>
  <si>
    <t>O</t>
  </si>
  <si>
    <t>P</t>
  </si>
  <si>
    <t>MW (mg/mmol)</t>
  </si>
  <si>
    <t>MW correction</t>
  </si>
  <si>
    <t>MW corrected (mg/mmol)</t>
  </si>
  <si>
    <t>Mass composition</t>
  </si>
  <si>
    <t>Molar composition</t>
  </si>
  <si>
    <t>mmol/gDW</t>
  </si>
  <si>
    <t>NaNO3-Exponential</t>
  </si>
  <si>
    <t>NaNO3-Stationary</t>
  </si>
  <si>
    <t>N2-Exponential</t>
  </si>
  <si>
    <t>N2-Stationary</t>
  </si>
  <si>
    <t>g/gDW</t>
  </si>
  <si>
    <t>Average</t>
  </si>
  <si>
    <t>Normalized fractions</t>
  </si>
  <si>
    <t>https://www.uniprot.org/proteomes/UP000002483</t>
  </si>
  <si>
    <t>Kaneko</t>
  </si>
  <si>
    <t>Amino-acid</t>
  </si>
  <si>
    <t>C3H7NO2</t>
  </si>
  <si>
    <t>C6H15N4O2</t>
  </si>
  <si>
    <t>C4H8N2O3</t>
  </si>
  <si>
    <t>C4H6NO4</t>
  </si>
  <si>
    <t>C3H7NO2S</t>
  </si>
  <si>
    <t>C5H8NO4</t>
  </si>
  <si>
    <t>C5H10N2O3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</si>
  <si>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</si>
  <si>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</si>
  <si>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</si>
  <si>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</si>
  <si>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</si>
  <si>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</si>
  <si>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</si>
  <si>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L-Glycine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</si>
  <si>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</si>
  <si>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</si>
  <si>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</si>
  <si>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</si>
  <si>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</si>
  <si>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</si>
  <si>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</si>
  <si>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</si>
  <si>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</si>
  <si>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</si>
  <si>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</si>
  <si>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</si>
  <si>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C2H5NO2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</si>
  <si>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</si>
  <si>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</si>
  <si>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</si>
  <si>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</si>
  <si>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</si>
  <si>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</si>
  <si>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</si>
  <si>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</si>
  <si>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</si>
  <si>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</si>
  <si>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</si>
  <si>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Weight per mole</t>
  </si>
  <si>
    <t>g/mole</t>
  </si>
  <si>
    <t>dATP</t>
  </si>
  <si>
    <t>dCTP</t>
  </si>
  <si>
    <t>dGTP</t>
  </si>
  <si>
    <t>dTTP</t>
  </si>
  <si>
    <t>Nucleotide</t>
  </si>
  <si>
    <t>ATP</t>
  </si>
  <si>
    <t>CTP</t>
  </si>
  <si>
    <t>GTP</t>
  </si>
  <si>
    <t>UTP</t>
  </si>
  <si>
    <t>Phycoerythrocyanin</t>
  </si>
  <si>
    <t>C-Phycocyanin</t>
  </si>
  <si>
    <t>Allophycocyanin</t>
  </si>
  <si>
    <t>Characterization and Structural Properties of the Major Biliproteins of Anabaena sp.</t>
  </si>
  <si>
    <t>Author</t>
  </si>
  <si>
    <t>Complete genomic sequence of the filamentous nitrogen-fixing cyanobacterium Anabaena sp. strain PCC 7120</t>
  </si>
  <si>
    <t>Title</t>
  </si>
  <si>
    <t>Bryant</t>
  </si>
  <si>
    <t>https://link.springer.com/article/10.1007/BF00416970</t>
  </si>
  <si>
    <t>Phycobiliproteins</t>
  </si>
  <si>
    <t>Amount</t>
  </si>
  <si>
    <t>Phycobiliprotein</t>
  </si>
  <si>
    <t>MW (Da)</t>
  </si>
  <si>
    <t>mass fraction</t>
  </si>
  <si>
    <t>mole fraction</t>
  </si>
  <si>
    <t>mole/gDW</t>
  </si>
  <si>
    <t>PCB</t>
  </si>
  <si>
    <t>PVB</t>
  </si>
  <si>
    <t>Da</t>
  </si>
  <si>
    <t>PCB content</t>
  </si>
  <si>
    <t>PVB content</t>
  </si>
  <si>
    <t>PCB mass fraction</t>
  </si>
  <si>
    <t>%PCB (w/w)</t>
  </si>
  <si>
    <t>PVB mass fraction</t>
  </si>
  <si>
    <t>%PVB (w/w)</t>
  </si>
  <si>
    <t>Pigment</t>
  </si>
  <si>
    <t>β-carotene</t>
  </si>
  <si>
    <t>Echinenone</t>
  </si>
  <si>
    <t>Hydrophobic pigments</t>
  </si>
  <si>
    <t>Total hydrophobic pigments</t>
  </si>
  <si>
    <t>Canthaxanthin</t>
  </si>
  <si>
    <t>Chlorophyll-a</t>
  </si>
  <si>
    <t>Vitamin-K1</t>
  </si>
  <si>
    <t>beta-Carotene</t>
  </si>
  <si>
    <t>Zeaxanthin</t>
  </si>
  <si>
    <t>Vitamin-E</t>
  </si>
  <si>
    <t>Reference</t>
  </si>
  <si>
    <t>C55H72MgN4O5</t>
  </si>
  <si>
    <t>C31H46O2</t>
  </si>
  <si>
    <t>C29H50O2</t>
  </si>
  <si>
    <t>C40H56</t>
  </si>
  <si>
    <t>C40H52O2</t>
  </si>
  <si>
    <t>C40H54O</t>
  </si>
  <si>
    <t>C40H56O2</t>
  </si>
  <si>
    <t>Hexanoic acid</t>
  </si>
  <si>
    <t>Octanoic acid</t>
  </si>
  <si>
    <t>Decanoic acid</t>
  </si>
  <si>
    <t>Lauric acid</t>
  </si>
  <si>
    <t>Myristic acid</t>
  </si>
  <si>
    <t>Palmitic acid</t>
  </si>
  <si>
    <t>Palmitoleic acid</t>
  </si>
  <si>
    <t>Stearic acid</t>
  </si>
  <si>
    <t>Oleic acid</t>
  </si>
  <si>
    <t>Linoleic acid</t>
  </si>
  <si>
    <t>Linolenic acid</t>
  </si>
  <si>
    <t>N2 BG-11o</t>
  </si>
  <si>
    <t>C6:0</t>
  </si>
  <si>
    <t>C8:0</t>
  </si>
  <si>
    <t>C10:0</t>
  </si>
  <si>
    <t>C12:0</t>
  </si>
  <si>
    <t>C14:0</t>
  </si>
  <si>
    <t>C16:0</t>
  </si>
  <si>
    <t>C16:1</t>
  </si>
  <si>
    <t>C18:0</t>
  </si>
  <si>
    <t>C18:1</t>
  </si>
  <si>
    <t>C18:2</t>
  </si>
  <si>
    <t>C18:3</t>
  </si>
  <si>
    <t>Source/ Phase</t>
  </si>
  <si>
    <t>Normalized mass fractions</t>
  </si>
  <si>
    <t>MW (g/mol)</t>
  </si>
  <si>
    <t>C12H24O2</t>
  </si>
  <si>
    <t>C10H20O2</t>
  </si>
  <si>
    <t>C8H16O2</t>
  </si>
  <si>
    <t>C6H12O2</t>
  </si>
  <si>
    <t>C14H28O2</t>
  </si>
  <si>
    <t>C16H32O2</t>
  </si>
  <si>
    <t>C16H30O2</t>
  </si>
  <si>
    <t>C18H36O2</t>
  </si>
  <si>
    <t>C18H34O2</t>
  </si>
  <si>
    <t>C18H32O2</t>
  </si>
  <si>
    <t>C18H30O2</t>
  </si>
  <si>
    <t>CH2</t>
  </si>
  <si>
    <t>Correction (g/mol)</t>
  </si>
  <si>
    <t>FAME MW (g/mol)</t>
  </si>
  <si>
    <t>Total moles</t>
  </si>
  <si>
    <t>Normalized mole fractions</t>
  </si>
  <si>
    <t>Species</t>
  </si>
  <si>
    <t>PG</t>
  </si>
  <si>
    <t>MGDG</t>
  </si>
  <si>
    <t>DGDG</t>
  </si>
  <si>
    <t>SGDG</t>
  </si>
  <si>
    <t>Anabaena sp. 7120</t>
  </si>
  <si>
    <t>Impaired Photosynthesis in Phosphatidylglycerol-Deficient Mutant of Cyanobacterium Anabaena sp. PCC7120 with a Disrupted Gene Encoding a Putative Phosphatidylglycerophosphatase</t>
  </si>
  <si>
    <t>author</t>
  </si>
  <si>
    <t>year</t>
  </si>
  <si>
    <t>Wu et al</t>
  </si>
  <si>
    <t>Membrane Lipids in Cyanobacteria</t>
  </si>
  <si>
    <t>Wada et al</t>
  </si>
  <si>
    <t>Synechocystis sp. PCC 6803</t>
  </si>
  <si>
    <t>Glycerolipids in photosynthesis: Composition, synthesis and trafficking</t>
  </si>
  <si>
    <t>Boudiere et al</t>
  </si>
  <si>
    <t>Characterization of thylakoid lipid membranes from cyanobacteria andhigher plants by molecular dynamics simulations</t>
  </si>
  <si>
    <t>Van Eerden et al</t>
  </si>
  <si>
    <t>Thylakoid general</t>
  </si>
  <si>
    <t>Cyanobacterial membrane</t>
  </si>
  <si>
    <t>Sakurai et al</t>
  </si>
  <si>
    <t>Lipids in Oxygen-Evolving Photosystem II Complexes of Cyanobacteria and Higher Plants</t>
  </si>
  <si>
    <t>Lipid composition of Thylakoids and cell membranes (mole fraction)</t>
  </si>
  <si>
    <t>mgdg60</t>
  </si>
  <si>
    <t>mgdg80</t>
  </si>
  <si>
    <t>mgdg100</t>
  </si>
  <si>
    <t>mgdg120</t>
  </si>
  <si>
    <t>mgdg140</t>
  </si>
  <si>
    <t>mgdg160</t>
  </si>
  <si>
    <t>mgdg161</t>
  </si>
  <si>
    <t>mgdg180</t>
  </si>
  <si>
    <t>mgdg181_9</t>
  </si>
  <si>
    <t>mgdg182_9_12</t>
  </si>
  <si>
    <t>mgdg183_9_12_15</t>
  </si>
  <si>
    <t>dgdg60</t>
  </si>
  <si>
    <t>dgdg80</t>
  </si>
  <si>
    <t>dgdg100</t>
  </si>
  <si>
    <t>dgdg120</t>
  </si>
  <si>
    <t>dgdg140</t>
  </si>
  <si>
    <t>dgdg160</t>
  </si>
  <si>
    <t>dgdg161</t>
  </si>
  <si>
    <t>dgdg180</t>
  </si>
  <si>
    <t>dgdg181_9</t>
  </si>
  <si>
    <t>dgdg182_9_12</t>
  </si>
  <si>
    <t>dgdg183_9_12_15</t>
  </si>
  <si>
    <t>sqdg60</t>
  </si>
  <si>
    <t>sqdg80</t>
  </si>
  <si>
    <t>sqdg100</t>
  </si>
  <si>
    <t>sqdg120</t>
  </si>
  <si>
    <t>sqdg140</t>
  </si>
  <si>
    <t>sqdg160</t>
  </si>
  <si>
    <t>sqdg161</t>
  </si>
  <si>
    <t>sqdg180</t>
  </si>
  <si>
    <t>sqdg181_9</t>
  </si>
  <si>
    <t>sqdg182_9_12</t>
  </si>
  <si>
    <t>sqdg183_9_12_15</t>
  </si>
  <si>
    <t>pg60</t>
  </si>
  <si>
    <t>pg80</t>
  </si>
  <si>
    <t>pg100</t>
  </si>
  <si>
    <t>pg120</t>
  </si>
  <si>
    <t>pg140</t>
  </si>
  <si>
    <t>pg160</t>
  </si>
  <si>
    <t>pg161</t>
  </si>
  <si>
    <t>pg180</t>
  </si>
  <si>
    <t>pg183_9_12_15</t>
  </si>
  <si>
    <t>pg182_9_12</t>
  </si>
  <si>
    <t>pg181_9</t>
  </si>
  <si>
    <t>C21H38O10</t>
  </si>
  <si>
    <t>C25H46O10</t>
  </si>
  <si>
    <t>C29H54O10</t>
  </si>
  <si>
    <t>C33H62O10</t>
  </si>
  <si>
    <t>C37H70O10</t>
  </si>
  <si>
    <t>C41H78O10</t>
  </si>
  <si>
    <t>C41H74O10</t>
  </si>
  <si>
    <t>C45H86O10</t>
  </si>
  <si>
    <t>C45H82O10</t>
  </si>
  <si>
    <t>C45H78O10</t>
  </si>
  <si>
    <t>C45H74O10</t>
  </si>
  <si>
    <t>C27H48O15</t>
  </si>
  <si>
    <t>C31H56O15</t>
  </si>
  <si>
    <t>C35H64O15</t>
  </si>
  <si>
    <t>C39H72O15</t>
  </si>
  <si>
    <t>C43H80O15</t>
  </si>
  <si>
    <t>C47H88O15</t>
  </si>
  <si>
    <t>C47H84O15</t>
  </si>
  <si>
    <t>C51H96O15</t>
  </si>
  <si>
    <t>C51H92O15</t>
  </si>
  <si>
    <t>C51H88O15</t>
  </si>
  <si>
    <t>C51H84O15</t>
  </si>
  <si>
    <t>C21H37O12S</t>
  </si>
  <si>
    <t>C25H45O12S</t>
  </si>
  <si>
    <t>C29H53O12S</t>
  </si>
  <si>
    <t>C33H61O12S</t>
  </si>
  <si>
    <t>C37H69O12S</t>
  </si>
  <si>
    <t>C41H77O12S</t>
  </si>
  <si>
    <t>C41H73O12S</t>
  </si>
  <si>
    <t>C45H85O12S</t>
  </si>
  <si>
    <t>C45H81O12S</t>
  </si>
  <si>
    <t>C45H77O12S</t>
  </si>
  <si>
    <t>C45H73O12S</t>
  </si>
  <si>
    <t>C18H34O10P</t>
  </si>
  <si>
    <t>C22H42O10P</t>
  </si>
  <si>
    <t>C26H50O10P</t>
  </si>
  <si>
    <t>C30H58O10P</t>
  </si>
  <si>
    <t>C34H66O10P</t>
  </si>
  <si>
    <t>C38H74O10P</t>
  </si>
  <si>
    <t>C38H70O10P</t>
  </si>
  <si>
    <t>C42H82O10P</t>
  </si>
  <si>
    <t>C42H78O10P</t>
  </si>
  <si>
    <t>C42H74O10P</t>
  </si>
  <si>
    <t>C42H70O10P</t>
  </si>
  <si>
    <t>Cell Wall</t>
  </si>
  <si>
    <t>Peptidoglycan</t>
  </si>
  <si>
    <t>fraction</t>
  </si>
  <si>
    <t>Component</t>
  </si>
  <si>
    <t xml:space="preserve">Physiology of the bacterial cell : a molecular approach.
</t>
  </si>
  <si>
    <t>Neidhardt FC et al.</t>
  </si>
  <si>
    <t>Outer Membrane</t>
  </si>
  <si>
    <t>Lipid-IV(A)</t>
  </si>
  <si>
    <t>Phycobiliproteins (Hydrophilic pigments)</t>
  </si>
  <si>
    <r>
      <t xml:space="preserve">General Biomass composition of </t>
    </r>
    <r>
      <rPr>
        <b/>
        <i/>
        <sz val="16"/>
        <color theme="1"/>
        <rFont val="Calibri"/>
        <family val="2"/>
        <scheme val="minor"/>
      </rPr>
      <t>Anabaena</t>
    </r>
    <r>
      <rPr>
        <b/>
        <sz val="16"/>
        <color theme="1"/>
        <rFont val="Calibri"/>
        <family val="2"/>
        <scheme val="minor"/>
      </rPr>
      <t xml:space="preserve"> sp. UTEX 2576</t>
    </r>
  </si>
  <si>
    <t>Lipid composition of inner cell membrane</t>
  </si>
  <si>
    <t>Experimentally determined</t>
  </si>
  <si>
    <t>From literature</t>
  </si>
  <si>
    <t>C40H62N8O21</t>
  </si>
  <si>
    <t>Metabolite in model</t>
  </si>
  <si>
    <t>mol/mol carb</t>
  </si>
  <si>
    <t xml:space="preserve">An Improved Genome-Scale Metabolic Model of Arthrospira platensis C1 (iAK888) and Its Application in Glycogen Overproduction
</t>
  </si>
  <si>
    <t>Klanchui et al.</t>
  </si>
  <si>
    <t>Riboflavin (B2)</t>
  </si>
  <si>
    <t>Thiamin (B1)</t>
  </si>
  <si>
    <t>Microalgae : Biotechnology and microbiology</t>
  </si>
  <si>
    <t>Anabaena cylindrica</t>
  </si>
  <si>
    <t>Spirulina platensis</t>
  </si>
  <si>
    <t>Total</t>
  </si>
  <si>
    <t>C12H17N4OS</t>
  </si>
  <si>
    <t>C72H102CoN18O17P</t>
  </si>
  <si>
    <t>Hydrophilic pigments</t>
  </si>
  <si>
    <t>Total PCB</t>
  </si>
  <si>
    <t>Total PVB</t>
  </si>
  <si>
    <t>%PCB</t>
  </si>
  <si>
    <t>%PVB</t>
  </si>
  <si>
    <t>K+</t>
  </si>
  <si>
    <t>K</t>
  </si>
  <si>
    <t>Mg</t>
  </si>
  <si>
    <t>Ca</t>
  </si>
  <si>
    <t>Ca2+</t>
  </si>
  <si>
    <t>Na+</t>
  </si>
  <si>
    <t>Fe2+</t>
  </si>
  <si>
    <t>Na</t>
  </si>
  <si>
    <t>Fe</t>
  </si>
  <si>
    <t>Zn2+</t>
  </si>
  <si>
    <t>Zn</t>
  </si>
  <si>
    <t>Cyanophycin</t>
  </si>
  <si>
    <t>C20H36N10O9</t>
  </si>
  <si>
    <t>Proteome analysis</t>
  </si>
  <si>
    <t>Correction for cyanophycin</t>
  </si>
  <si>
    <t>A</t>
  </si>
  <si>
    <t>G</t>
  </si>
  <si>
    <t>T</t>
  </si>
  <si>
    <t>Anova indicates only Source is important</t>
  </si>
  <si>
    <t>Other protein</t>
  </si>
  <si>
    <t>Cyanophycin is an aminoacid polymer. Cynophycin mass should be discounted from total protein fraction</t>
  </si>
  <si>
    <t>bp</t>
  </si>
  <si>
    <t>U</t>
  </si>
  <si>
    <t>Genome analysis</t>
  </si>
  <si>
    <t>Generation of biomass requires ATP. This is called the biosynthesis ATP cost and should be included in the biomass equation formulation.</t>
  </si>
  <si>
    <t>However, cells use ATP for other metabolic functions like motility, maintaining cellular osmolarity, formation of macromolecules and maintenance of transmembrane gradients.</t>
  </si>
  <si>
    <t>Metabolic capabilities of Escherichia coli. Optimal growth Patterns</t>
  </si>
  <si>
    <t>Varma and Palsson</t>
  </si>
  <si>
    <t>ATP for Biosynthesis</t>
  </si>
  <si>
    <t>Flux Balance Analysis of Photoautotrophic Metabolism</t>
  </si>
  <si>
    <t>Shastri and Morgan</t>
  </si>
  <si>
    <t>Metabolic Flux Analysis in Synechocystis Using Isotope Distribution from 13C-Labeled Glucose</t>
  </si>
  <si>
    <t>Yang et al</t>
  </si>
  <si>
    <t>Glucose required to produce 1 kg of biomass</t>
  </si>
  <si>
    <t>mmol glucose/gDW</t>
  </si>
  <si>
    <t>mol glucose/ kgDW</t>
  </si>
  <si>
    <t>(For E. coli)</t>
  </si>
  <si>
    <r>
      <rPr>
        <i/>
        <sz val="11"/>
        <color theme="1"/>
        <rFont val="Calibri"/>
        <family val="2"/>
        <scheme val="minor"/>
      </rPr>
      <t>E. coli</t>
    </r>
    <r>
      <rPr>
        <sz val="11"/>
        <color theme="1"/>
        <rFont val="Calibri"/>
        <family val="2"/>
        <scheme val="minor"/>
      </rPr>
      <t xml:space="preserve"> is more efficient transforming glucose into biomass than Synechocystis</t>
    </r>
  </si>
  <si>
    <t>Glucose consumption during heterotrophic growth</t>
  </si>
  <si>
    <t>ATP required for Biosynthesis during heterotrophic growth</t>
  </si>
  <si>
    <r>
      <t xml:space="preserve">(For </t>
    </r>
    <r>
      <rPr>
        <i/>
        <sz val="11"/>
        <color theme="1"/>
        <rFont val="Calibri"/>
        <family val="2"/>
        <scheme val="minor"/>
      </rPr>
      <t>Synechocystis sp.</t>
    </r>
    <r>
      <rPr>
        <sz val="11"/>
        <color theme="1"/>
        <rFont val="Calibri"/>
        <family val="2"/>
        <scheme val="minor"/>
      </rPr>
      <t xml:space="preserve"> PCC 6803)</t>
    </r>
  </si>
  <si>
    <r>
      <t xml:space="preserve">ATP for Biosynthesis in </t>
    </r>
    <r>
      <rPr>
        <i/>
        <sz val="11"/>
        <color theme="1"/>
        <rFont val="Calibri"/>
        <family val="2"/>
        <scheme val="minor"/>
      </rPr>
      <t>Synechocystis sp.</t>
    </r>
    <r>
      <rPr>
        <sz val="11"/>
        <color theme="1"/>
        <rFont val="Calibri"/>
        <family val="2"/>
        <scheme val="minor"/>
      </rPr>
      <t xml:space="preserve"> PCC 6803</t>
    </r>
  </si>
  <si>
    <t>mol ATP/mol glucose consumed</t>
  </si>
  <si>
    <t>ATP required for Biosynthesis during mixotrophic growth</t>
  </si>
  <si>
    <t>ATP for Biosynthesis for model</t>
  </si>
  <si>
    <t>mmol ATP/gDW</t>
  </si>
  <si>
    <t>Heterotrophy</t>
  </si>
  <si>
    <t>Mixotrophy</t>
  </si>
  <si>
    <t>ATP required for the Calvin cycle</t>
  </si>
  <si>
    <t>ATP for maintenance and cellular growth</t>
  </si>
  <si>
    <t>ATP for Maintenance</t>
  </si>
  <si>
    <r>
      <t xml:space="preserve">ATP for maintenance in </t>
    </r>
    <r>
      <rPr>
        <i/>
        <sz val="11"/>
        <color theme="1"/>
        <rFont val="Calibri"/>
        <family val="2"/>
        <scheme val="minor"/>
      </rPr>
      <t>Synechocystis sp.</t>
    </r>
    <r>
      <rPr>
        <sz val="11"/>
        <color theme="1"/>
        <rFont val="Calibri"/>
        <family val="2"/>
        <scheme val="minor"/>
      </rPr>
      <t xml:space="preserve"> PCC 6803</t>
    </r>
  </si>
  <si>
    <t>ATP required for Maintenance during heterotrophic growth</t>
  </si>
  <si>
    <t>Maintenance ATP for model</t>
  </si>
  <si>
    <r>
      <t xml:space="preserve">ATP for Biosynthesis is the same in mixotrophic and autotrophic modes (use </t>
    </r>
    <r>
      <rPr>
        <i/>
        <sz val="11"/>
        <color theme="1"/>
        <rFont val="Calibri"/>
        <family val="2"/>
        <scheme val="minor"/>
      </rPr>
      <t>Synechocystis sp.</t>
    </r>
    <r>
      <rPr>
        <sz val="11"/>
        <color theme="1"/>
        <rFont val="Calibri"/>
        <family val="2"/>
        <scheme val="minor"/>
      </rPr>
      <t xml:space="preserve"> PCC 6803 as reference)</t>
    </r>
  </si>
  <si>
    <r>
      <t xml:space="preserve">Assumptions for Autotrophic growth in </t>
    </r>
    <r>
      <rPr>
        <b/>
        <i/>
        <sz val="11"/>
        <color theme="8"/>
        <rFont val="Calibri"/>
        <family val="2"/>
        <scheme val="minor"/>
      </rPr>
      <t>Anabaena sp.</t>
    </r>
    <r>
      <rPr>
        <b/>
        <sz val="11"/>
        <color theme="8"/>
        <rFont val="Calibri"/>
        <family val="2"/>
        <scheme val="minor"/>
      </rPr>
      <t xml:space="preserve"> UTEX 2576</t>
    </r>
  </si>
  <si>
    <r>
      <t xml:space="preserve">ATP for maintenance is the same in hetrotrophic and autotrophic modes (use </t>
    </r>
    <r>
      <rPr>
        <i/>
        <sz val="11"/>
        <color theme="1"/>
        <rFont val="Calibri"/>
        <family val="2"/>
        <scheme val="minor"/>
      </rPr>
      <t xml:space="preserve">Synechocystis sp. </t>
    </r>
    <r>
      <rPr>
        <sz val="11"/>
        <color theme="1"/>
        <rFont val="Calibri"/>
        <family val="2"/>
        <scheme val="minor"/>
      </rPr>
      <t>PCC 6803 as reference)</t>
    </r>
  </si>
  <si>
    <t>Reconstruction and Comparison of the Metabolic Potential of Cyanobacteria Cyanothece sp. ATCC 51142 and Synechocystis sp. PCC 6803</t>
  </si>
  <si>
    <t>Saha</t>
  </si>
  <si>
    <t>Detailing the optimality of photosynthesis in cyanobacteria through systems biology analysis</t>
  </si>
  <si>
    <t>Nogales</t>
  </si>
  <si>
    <t>In agreement with Saha, 2012 and Nogales, 2012</t>
  </si>
  <si>
    <t>Reactants</t>
  </si>
  <si>
    <t>Maintenance ATP</t>
  </si>
  <si>
    <t>Maintenance</t>
  </si>
  <si>
    <t>Biosynthesis ATP</t>
  </si>
  <si>
    <t>Biosynthesis</t>
  </si>
  <si>
    <t>Water lost AA</t>
  </si>
  <si>
    <t>H2O</t>
  </si>
  <si>
    <t>Water</t>
  </si>
  <si>
    <t>Products</t>
  </si>
  <si>
    <t>Maintenance ADP</t>
  </si>
  <si>
    <t>ADP</t>
  </si>
  <si>
    <t>C10H13N5O10P2</t>
  </si>
  <si>
    <t>Biosynthesis ADP</t>
  </si>
  <si>
    <t>Proton from ATP Hydrolyis</t>
  </si>
  <si>
    <t>H+</t>
  </si>
  <si>
    <t>Proton</t>
  </si>
  <si>
    <t>Phosphate from ATP Hydrolysis</t>
  </si>
  <si>
    <t>Phosphate</t>
  </si>
  <si>
    <t>HO4P</t>
  </si>
  <si>
    <t>Diphosphate lost DNA synthesis</t>
  </si>
  <si>
    <t>Diphosphate lost RNA synthesis</t>
  </si>
  <si>
    <t xml:space="preserve">PPi </t>
  </si>
  <si>
    <t>HO7P2</t>
  </si>
  <si>
    <t>Biomass</t>
  </si>
  <si>
    <r>
      <t xml:space="preserve">Biomass of </t>
    </r>
    <r>
      <rPr>
        <b/>
        <i/>
        <sz val="11"/>
        <color theme="1"/>
        <rFont val="Calibri"/>
        <family val="2"/>
        <scheme val="minor"/>
      </rPr>
      <t>Anabaena</t>
    </r>
    <r>
      <rPr>
        <b/>
        <sz val="11"/>
        <color theme="1"/>
        <rFont val="Calibri"/>
        <family val="2"/>
        <scheme val="minor"/>
      </rPr>
      <t xml:space="preserve"> sp. UTEX 2576</t>
    </r>
  </si>
  <si>
    <t>Total ATP needed</t>
  </si>
  <si>
    <t>Total water for ATP hydrolysis</t>
  </si>
  <si>
    <t>Total ADP produced</t>
  </si>
  <si>
    <t>Total PPi  produced</t>
  </si>
  <si>
    <t>PEC</t>
  </si>
  <si>
    <t>APC</t>
  </si>
  <si>
    <t>CPC</t>
  </si>
  <si>
    <t>PBP</t>
  </si>
  <si>
    <t>Exp</t>
  </si>
  <si>
    <t>Ref</t>
  </si>
  <si>
    <t>BG11</t>
  </si>
  <si>
    <t>BG11o</t>
  </si>
  <si>
    <t>PBP moles</t>
  </si>
  <si>
    <t>PCB mole fraction</t>
  </si>
  <si>
    <t>R</t>
  </si>
  <si>
    <t>D</t>
  </si>
  <si>
    <t>Q</t>
  </si>
  <si>
    <t>I</t>
  </si>
  <si>
    <t>L</t>
  </si>
  <si>
    <t>M</t>
  </si>
  <si>
    <t>F</t>
  </si>
  <si>
    <t>W</t>
  </si>
  <si>
    <t>Y</t>
  </si>
  <si>
    <t>V</t>
  </si>
  <si>
    <t>α</t>
  </si>
  <si>
    <t>β</t>
  </si>
  <si>
    <t xml:space="preserve"> </t>
  </si>
  <si>
    <t>alr0529</t>
  </si>
  <si>
    <t>alr0528</t>
  </si>
  <si>
    <t>alr0021</t>
  </si>
  <si>
    <t>alr0022</t>
  </si>
  <si>
    <t>alr0524</t>
  </si>
  <si>
    <t xml:space="preserve">alr0523 </t>
  </si>
  <si>
    <t>MVKTPITEAIAAADTQGRFLGNTELQSARGRYERAAASLEAARGLTSNAQRLIDGATQAV
YQKFPYTTQTPGPQFAADSRGKSKCARDVGHYLRIITYSLVAGGTGPLDEYLIAGLAEIN
STFDLSPSWYVEALKHIKANHGLSGQAANEANTYIDYAINALS</t>
  </si>
  <si>
    <t>MTLDVFTKVVSQADSRGEFLSNEQLDALANVVKEGNKRLDVVNRITSNASAIVTNAARAL
FEEQPQLIAPGGNAYTNRRMAACLRDMEIILRYVTYAILAGDASVLDDRCLNGLRETYQA
LGTPGSSVAVGVQKMKDAAVGIANDPNGITKGDCSQLISEVASYFDRAAAAVG</t>
  </si>
  <si>
    <t>MSIVTKSIVNADAEARYLSPGELDRIKSFVAGGQQRLRIAQALTDNRERLVKQAGDQLFQ
KRPDVVSPGGNAYGQEMTATCLRDLDYYLRLVTYGIVAGDVTPIEEIGVIGVREMYKSLG
TPIEAVGEGVRALKNAASTLLSAEDAAEAGSYFDYVVGALQ</t>
  </si>
  <si>
    <t>MAQDAITAVINSADVQGKYLDTAALEKLKAYFSTGELRVRAATTISANAAAIVKEAVAKS
LLYSDITRPGGNMYTTRRYAACIRDLDYYLRYATYAMLAGDPSILDERVLNGLKETYNSL
GVPVGATVQAIQAIKEVTASLVGADAGKEMGIYLDYISSGLS</t>
  </si>
  <si>
    <t>MKTPLTEAISAADVRGSYLSNTEMQAVFGRFNRARAGLAAAQAFSNNGKKWAEAAANHVY
QKFPYTTQMSGPQYASTPEGKSKCVRDIDHYLRTISYCCVVGGTGPLDEYVVSGLSELNS
ALGLSPSWYVAALEFVRDNHGLNGDVAGEANIYLNYAINALS</t>
  </si>
  <si>
    <t>MLDAFSKVVEQADRKGNYLSGDEINALSALVADSNKRLDIVNRLTSNASSIVANAYRALV
AERPQIFNAGGACFHNRNQAACIRDLGFILRYVTYSVLAGDGSVMDDRCLNGLRETYQAL
GTPGDAVASGIQKMKDAAIAIANDSKGITKGDCSQLIAELASYFDRAASAVV</t>
  </si>
  <si>
    <t>%n/n</t>
  </si>
  <si>
    <t>L-Alanine[c]</t>
  </si>
  <si>
    <t>L-Arginine[c]</t>
  </si>
  <si>
    <t>L-Asparagine[c]</t>
  </si>
  <si>
    <t>L-Aspartate[c]</t>
  </si>
  <si>
    <t>L-Cysteine[c]</t>
  </si>
  <si>
    <t>L-Glutamate[c]</t>
  </si>
  <si>
    <t>L-Glutamine[c]</t>
  </si>
  <si>
    <t>Glycine[c]</t>
  </si>
  <si>
    <t>L-Histidine[c]</t>
  </si>
  <si>
    <t>L-Isoleucine[c]</t>
  </si>
  <si>
    <t>L-Leucine[c]</t>
  </si>
  <si>
    <t>L-Lysine[c]</t>
  </si>
  <si>
    <t>L-Methionine[c]</t>
  </si>
  <si>
    <t>L-Phenylalanine[c]</t>
  </si>
  <si>
    <t>L-Proline[c]</t>
  </si>
  <si>
    <t>L-Serine[c]</t>
  </si>
  <si>
    <t>L-Threonine[c]</t>
  </si>
  <si>
    <t>L-Tryptophan[c]</t>
  </si>
  <si>
    <t>L-Tyrosine[c]</t>
  </si>
  <si>
    <t>L-Valine[c]</t>
  </si>
  <si>
    <t>(3Z)-Phycocyanobilin[c]</t>
  </si>
  <si>
    <t>(15Z)-Phycoviolobilin[c]</t>
  </si>
  <si>
    <t>MW (g/mole)</t>
  </si>
  <si>
    <t>MW</t>
  </si>
  <si>
    <r>
      <t xml:space="preserve">Biomass equation of </t>
    </r>
    <r>
      <rPr>
        <b/>
        <i/>
        <sz val="18"/>
        <color theme="1"/>
        <rFont val="Calibri"/>
        <family val="2"/>
        <scheme val="minor"/>
      </rPr>
      <t>Anabaena</t>
    </r>
    <r>
      <rPr>
        <b/>
        <sz val="18"/>
        <color theme="1"/>
        <rFont val="Calibri"/>
        <family val="2"/>
        <scheme val="minor"/>
      </rPr>
      <t xml:space="preserve"> Photoautotrophic cultures in BG11</t>
    </r>
  </si>
  <si>
    <t>49 ala__L_c</t>
  </si>
  <si>
    <t>18 arg__L_c</t>
  </si>
  <si>
    <t>22 asn__L_c</t>
  </si>
  <si>
    <t>20 asp__L_c</t>
  </si>
  <si>
    <t>7 cys__L_c</t>
  </si>
  <si>
    <t>13 glu__L_c</t>
  </si>
  <si>
    <t>11 gln__L_c</t>
  </si>
  <si>
    <t>27 gly_c</t>
  </si>
  <si>
    <t>4 his__L_c</t>
  </si>
  <si>
    <t>16 ile__L_c</t>
  </si>
  <si>
    <t>28 leu__L_c</t>
  </si>
  <si>
    <t>13 lys__L_c</t>
  </si>
  <si>
    <t>6 met__L_c</t>
  </si>
  <si>
    <t>10 phe__L_c</t>
  </si>
  <si>
    <t>8 pro__L_c</t>
  </si>
  <si>
    <t>28 ser__L_c</t>
  </si>
  <si>
    <t>13 thr__L_c</t>
  </si>
  <si>
    <t>2 trp__L_c</t>
  </si>
  <si>
    <t>16 tyr__L_c</t>
  </si>
  <si>
    <t>23 val__L_c</t>
  </si>
  <si>
    <t>2 phycy_c</t>
  </si>
  <si>
    <t>phyvi_c</t>
  </si>
  <si>
    <t>333 h2o_c</t>
  </si>
  <si>
    <t>51 ala__L_c</t>
  </si>
  <si>
    <t>20 arg__L_c</t>
  </si>
  <si>
    <t>18 asn__L_c</t>
  </si>
  <si>
    <t>19 asp__L_c</t>
  </si>
  <si>
    <t>4 cys__L_c</t>
  </si>
  <si>
    <t>16 glu__L_c</t>
  </si>
  <si>
    <t>15 gln__L_c</t>
  </si>
  <si>
    <t>3 his__L_c</t>
  </si>
  <si>
    <t>19 ile__L_c</t>
  </si>
  <si>
    <t>29 leu__L_c</t>
  </si>
  <si>
    <t>12 lys__L_c</t>
  </si>
  <si>
    <t>5 met__L_c</t>
  </si>
  <si>
    <t>8 phe__L_c</t>
  </si>
  <si>
    <t>10 pro__L_c</t>
  </si>
  <si>
    <t>22 ser__L_c</t>
  </si>
  <si>
    <t>22 thr__L_c</t>
  </si>
  <si>
    <t>14 tyr__L_c</t>
  </si>
  <si>
    <t>21 val__L_c</t>
  </si>
  <si>
    <t>3 phycy_c</t>
  </si>
  <si>
    <t>trp__L_c</t>
  </si>
  <si>
    <t>pecpbp_c</t>
  </si>
  <si>
    <t>335 h2o_c</t>
  </si>
  <si>
    <t>cpcpbp_c</t>
  </si>
  <si>
    <t>45 ala__L_c</t>
  </si>
  <si>
    <t>19 arg__L_c</t>
  </si>
  <si>
    <t>9 asn__L_c</t>
  </si>
  <si>
    <t>2 cys__L_c</t>
  </si>
  <si>
    <t>18 glu__L_c</t>
  </si>
  <si>
    <t>12 gln__L_c</t>
  </si>
  <si>
    <t>28 gly_c</t>
  </si>
  <si>
    <t>0 his__L_c</t>
  </si>
  <si>
    <t>20 ile__L_c</t>
  </si>
  <si>
    <t>31 leu__L_c</t>
  </si>
  <si>
    <t>14 lys__L_c</t>
  </si>
  <si>
    <t>7 met__L_c</t>
  </si>
  <si>
    <t>4 phe__L_c</t>
  </si>
  <si>
    <t>20 ser__L_c</t>
  </si>
  <si>
    <t>20 thr__L_c</t>
  </si>
  <si>
    <t>0 trp__L_c</t>
  </si>
  <si>
    <t>20 tyr__L_c</t>
  </si>
  <si>
    <t>26 val__L_c</t>
  </si>
  <si>
    <t>apcpbp_c</t>
  </si>
  <si>
    <t>322 h2o_c</t>
  </si>
  <si>
    <t>39 h_c + 49 ala__L_c + 18 arg__L_c + 22 asn__L_c + 20 asp__L_c + 7 cys__L_c + 13 glu__L_c + 11 gln__L_c + 27 gly_c + 4 his__L_c + 16 ile__L_c + 28 leu__L_c + 13 lys__L_c + 6 met__L_c + 10 phe__L_c + 8 pro__L_c + 28 ser__L_c + 13 thr__L_c + 2 trp__L_c + 16 tyr__L_c + 23 val__L_c + 2 phycy_c + phyvi_c &lt;-&gt; pecpbp_c + 333 h2o_c</t>
  </si>
  <si>
    <t>41 h_c + 51 ala__L_c + 20 arg__L_c + 18 asn__L_c + 19 asp__L_c + 4 cys__L_c + 16 glu__L_c + 15 gln__L_c + 27 gly_c + 3 his__L_c + 19 ile__L_c + 29 leu__L_c + 12 lys__L_c + 5 met__L_c + 8 phe__L_c + 10 pro__L_c + 22 ser__L_c + 22 thr__L_c + trp__L_c + 14 tyr__L_c + 21 val__L_c + 3 phycy_c &lt;-&gt; cpcpbp_c + 335 h2o_c</t>
  </si>
  <si>
    <t>42 h_c + 45 ala__L_c + 19 arg__L_c + 9 asn__L_c + 20 asp__L_c + 2 cys__L_c + 18 glu__L_c + 12 gln__L_c + 28 gly_c + 20 ile__L_c + 31 leu__L_c + 14 lys__L_c + 7 met__L_c + 4 phe__L_c + 8 pro__L_c + 20 ser__L_c + 20 thr__L_c + 20 tyr__L_c + 26 val__L_c + 2 phycy_c &lt;=&gt; apcpbp_c + 322 h2o_c</t>
  </si>
  <si>
    <t>Global composition of DNA based on bp counts</t>
  </si>
  <si>
    <t>Global RNA composition</t>
  </si>
  <si>
    <t>%A</t>
  </si>
  <si>
    <t>%U</t>
  </si>
  <si>
    <t>%G</t>
  </si>
  <si>
    <t>%C</t>
  </si>
  <si>
    <t>rRNA</t>
  </si>
  <si>
    <t>tRNA</t>
  </si>
  <si>
    <t>mRNA</t>
  </si>
  <si>
    <t>Fraction</t>
  </si>
  <si>
    <t>Global Composition</t>
  </si>
  <si>
    <t>TOTAL</t>
  </si>
  <si>
    <t>RNA Seq Data</t>
  </si>
  <si>
    <t>Flaherty et al. (2011)</t>
  </si>
  <si>
    <t>Kaneko et al. (2001)</t>
  </si>
  <si>
    <t>https://www.ncbi.nlm.nih.gov/pubmed/21711558</t>
  </si>
  <si>
    <t>Considering composition of 5951 proteins out of 6148 reported in RNASeq study (96.8%)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</si>
  <si>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</si>
  <si>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</si>
  <si>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</si>
  <si>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</si>
  <si>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</si>
  <si>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</si>
  <si>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</si>
  <si>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</si>
  <si>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</si>
  <si>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</si>
  <si>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</si>
  <si>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</si>
  <si>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</si>
  <si>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</si>
  <si>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</si>
  <si>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</si>
  <si>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</si>
  <si>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</si>
  <si>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</si>
  <si>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</si>
  <si>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Amino acid</t>
  </si>
  <si>
    <t>Photautotrophic molar fraction</t>
  </si>
  <si>
    <t>Photdiazotrophic molar fraction</t>
  </si>
  <si>
    <t>Normalized</t>
  </si>
  <si>
    <r>
      <t xml:space="preserve">Composition of Hydrophobic pigments for the biomass equations of </t>
    </r>
    <r>
      <rPr>
        <b/>
        <i/>
        <sz val="14"/>
        <color theme="1"/>
        <rFont val="Calibri"/>
        <family val="2"/>
        <scheme val="minor"/>
      </rPr>
      <t>Anabaena.</t>
    </r>
    <r>
      <rPr>
        <b/>
        <sz val="14"/>
        <color theme="1"/>
        <rFont val="Calibri"/>
        <family val="2"/>
        <scheme val="minor"/>
      </rPr>
      <t xml:space="preserve"> sp UTEX 2576</t>
    </r>
  </si>
  <si>
    <t>Photoautotrophic</t>
  </si>
  <si>
    <t>Photodiazotrophic</t>
  </si>
  <si>
    <t>Compound</t>
  </si>
  <si>
    <t>Model name</t>
  </si>
  <si>
    <t>Normalized fraction</t>
  </si>
  <si>
    <t>URL</t>
  </si>
  <si>
    <t>cholphya[c]</t>
  </si>
  <si>
    <t>This study</t>
  </si>
  <si>
    <t>Experimental measurements</t>
  </si>
  <si>
    <t>caro[c]</t>
  </si>
  <si>
    <t>zeax[c]</t>
  </si>
  <si>
    <t>Xanthophylls and carotenoids (g/gDW)</t>
  </si>
  <si>
    <t>Chlorophyll a (g/gDW)</t>
  </si>
  <si>
    <t>echin[c]</t>
  </si>
  <si>
    <t>Photoautotrophic (NaNO3)</t>
  </si>
  <si>
    <t>atocophe[c]</t>
  </si>
  <si>
    <t>Schledz, 2001</t>
  </si>
  <si>
    <t>https://www.sciencedirect.com/science/article/pii/S001457930102508X</t>
  </si>
  <si>
    <t>btocophe[c]</t>
  </si>
  <si>
    <t>Asuncao, 2017</t>
  </si>
  <si>
    <t>https://link.springer.com/article/10.1007/s10811-016-0980-7</t>
  </si>
  <si>
    <t>gtocophe[c]</t>
  </si>
  <si>
    <t>dtocophe[c]</t>
  </si>
  <si>
    <t>atocotri[c]</t>
  </si>
  <si>
    <t>Photodiazotrophic (N2)</t>
  </si>
  <si>
    <t>btocotri[c]</t>
  </si>
  <si>
    <t>gtocotri[c]</t>
  </si>
  <si>
    <t>dtocotri[c]</t>
  </si>
  <si>
    <t>cantxan[c]</t>
  </si>
  <si>
    <t>phllqne[c]</t>
  </si>
  <si>
    <t>Tarento, 2018</t>
  </si>
  <si>
    <t>https://www.sciencedirect.com/science/article/pii/S2211926418304697</t>
  </si>
  <si>
    <t>(3S,2'S)-4-Ketomyxol 2'-alpha-L-fucoside</t>
  </si>
  <si>
    <t>kmyxlfuc[c]</t>
  </si>
  <si>
    <t>(3R,2'S)-Myxol 2'-alpha-L-fucoside</t>
  </si>
  <si>
    <t>myxlfuc[c]</t>
  </si>
  <si>
    <t>Total Xanthophylls and Carotenes</t>
  </si>
  <si>
    <t>Average composition of Xanthophylls and Carotenes from literature</t>
  </si>
  <si>
    <t>Organism</t>
  </si>
  <si>
    <t>Nostoc sp.</t>
  </si>
  <si>
    <t>Deli, 2014</t>
  </si>
  <si>
    <t>https://www.sciencedirect.com/science/article/pii/S0963996914003251</t>
  </si>
  <si>
    <t>Anabaena sp. PCC 7120</t>
  </si>
  <si>
    <t>Mochimaru, 2005</t>
  </si>
  <si>
    <t>https://www.ncbi.nlm.nih.gov/pubmed/16242129</t>
  </si>
  <si>
    <t>Takaichi, 2005</t>
  </si>
  <si>
    <t>https://academic.oup.com/pcp/article/46/3/497/1817353</t>
  </si>
  <si>
    <t>Nostoc commune NIES-24</t>
  </si>
  <si>
    <t>Takaichi, 2009</t>
  </si>
  <si>
    <t>Goodwin, 1957</t>
  </si>
  <si>
    <t>https://www.microbiologyresearch.org/content/journal/micro/10.1099/00221287-17-2-467?crawler=true</t>
  </si>
  <si>
    <t>Anabaena variabilis</t>
  </si>
  <si>
    <t>Average composition of Vitamin E from literature</t>
  </si>
  <si>
    <t>Fraction (mg/gDW)</t>
  </si>
  <si>
    <t xml:space="preserve">a-tocopherol </t>
  </si>
  <si>
    <t>Isik, 2006</t>
  </si>
  <si>
    <t>http://www.egejfas.org/en/download/article-file/57624</t>
  </si>
  <si>
    <t>Gomez-Coronado, 2004</t>
  </si>
  <si>
    <t>https://www.sciencedirect.com/science/article/pii/S0021967304014244?via%3Dihub</t>
  </si>
  <si>
    <t>Yasar, 2006</t>
  </si>
  <si>
    <t>https://scialert.net/fulltextmobile/?doi=pjbs.2006.2901.2904</t>
  </si>
  <si>
    <t>Nostoc punctiforme</t>
  </si>
  <si>
    <t>Trolox</t>
  </si>
  <si>
    <t xml:space="preserve">b-tocopherol </t>
  </si>
  <si>
    <t xml:space="preserve">g-tocopherol </t>
  </si>
  <si>
    <t xml:space="preserve">d-tocopherol </t>
  </si>
  <si>
    <t>Saini, 2016</t>
  </si>
  <si>
    <t>https://www.sciencedirect.com/science/article/pii/S0963996916300278</t>
  </si>
  <si>
    <t>Conclusion: Use Vitamin-E composition reported for Synechocystis sp. PCC 6803, which is more similar to the reported for Nostoc punctiforme. Vitamin-E composition of Spirulina seems to be much lower.</t>
  </si>
  <si>
    <t>Glycogen</t>
  </si>
  <si>
    <t>Characterization of cyanobacterial glycogen isolated from the wild type and from a mutant lacking of branching enzyme</t>
  </si>
  <si>
    <t>Yoo</t>
  </si>
  <si>
    <t>Soluble pool</t>
  </si>
  <si>
    <t>Inorganic ions</t>
  </si>
  <si>
    <r>
      <t xml:space="preserve">Composition of soluble pool for the biomass equations of </t>
    </r>
    <r>
      <rPr>
        <b/>
        <i/>
        <sz val="14"/>
        <color theme="1"/>
        <rFont val="Calibri"/>
        <family val="2"/>
        <scheme val="minor"/>
      </rPr>
      <t>Anabaena.</t>
    </r>
    <r>
      <rPr>
        <b/>
        <sz val="14"/>
        <color theme="1"/>
        <rFont val="Calibri"/>
        <family val="2"/>
        <scheme val="minor"/>
      </rPr>
      <t xml:space="preserve"> sp UTEX 2576</t>
    </r>
  </si>
  <si>
    <t>Neidhardt, 1990</t>
  </si>
  <si>
    <t>Becker, 1994</t>
  </si>
  <si>
    <t>10-Formyltetrahydrofolate</t>
  </si>
  <si>
    <t>10fthf[c]</t>
  </si>
  <si>
    <t>Cofactor</t>
  </si>
  <si>
    <t>Synechocystis sp. 6803
E. coli</t>
  </si>
  <si>
    <t>Nogales, 2012
Neidhardt, 1990</t>
  </si>
  <si>
    <t>https://www.ncbi.nlm.nih.gov/pubmed/22308420</t>
  </si>
  <si>
    <t>5-Methyltetrahydrofolate</t>
  </si>
  <si>
    <t>5mthf[c]</t>
  </si>
  <si>
    <t>Acetyl-CoA</t>
  </si>
  <si>
    <t>accoa[c]</t>
  </si>
  <si>
    <t>Adenosylcobalamin (B12)</t>
  </si>
  <si>
    <t>adocbl[c]</t>
  </si>
  <si>
    <t>Vitamin</t>
  </si>
  <si>
    <t>S-Adenosyl-L-methionine</t>
  </si>
  <si>
    <t>amet[c]</t>
  </si>
  <si>
    <t>Biotin (B7)</t>
  </si>
  <si>
    <t>btn[c]</t>
  </si>
  <si>
    <t>Chorismate</t>
  </si>
  <si>
    <t>chor[c]</t>
  </si>
  <si>
    <t>Coenzyme A</t>
  </si>
  <si>
    <t>coa[c]</t>
  </si>
  <si>
    <t>Flavin adenine dinucleotide oxidized</t>
  </si>
  <si>
    <t>fad[c]</t>
  </si>
  <si>
    <t>Folate (B9)</t>
  </si>
  <si>
    <t>fol[c]</t>
  </si>
  <si>
    <t>Aaronson, 1977</t>
  </si>
  <si>
    <t>https://link.springer.com/content/pdf/10.1007%2FBF00446654.pdf</t>
  </si>
  <si>
    <t>Reduced glutathione</t>
  </si>
  <si>
    <t>gthrd[c]</t>
  </si>
  <si>
    <t>Heme O</t>
  </si>
  <si>
    <t>hemeO[c]</t>
  </si>
  <si>
    <t xml:space="preserve">Malonyl CoA </t>
  </si>
  <si>
    <t>malcoa[c]</t>
  </si>
  <si>
    <t>5,10-Methylenetetrahydrofolate</t>
  </si>
  <si>
    <t>mlthf[c]</t>
  </si>
  <si>
    <t>Nicotinate (B3)</t>
  </si>
  <si>
    <t>nac[c]</t>
  </si>
  <si>
    <t>Becker, 1994
Aaronson, 1977</t>
  </si>
  <si>
    <t>Nicotinamide adenine dinucleotide</t>
  </si>
  <si>
    <t>nad[c]</t>
  </si>
  <si>
    <t>Nicotinamide adenine dinucleotide - reduced</t>
  </si>
  <si>
    <t>nadh[c]</t>
  </si>
  <si>
    <t>Nicotinamide adenine dinucleotide phosphate</t>
  </si>
  <si>
    <t>nadp[c]</t>
  </si>
  <si>
    <t>Nicotinamide adenine dinucleotide phosphate - reduced</t>
  </si>
  <si>
    <t>nadph[c]</t>
  </si>
  <si>
    <t>(R)-Pantothenate (B5)</t>
  </si>
  <si>
    <t>pnto__R[c]</t>
  </si>
  <si>
    <t>Protoheme</t>
  </si>
  <si>
    <t>pheme[c]</t>
  </si>
  <si>
    <t>Putrescine</t>
  </si>
  <si>
    <t>ptrc[c]</t>
  </si>
  <si>
    <t>Polyamine</t>
  </si>
  <si>
    <t>Synechocystis sp. 6803</t>
  </si>
  <si>
    <t>Jantaro, 2003
Nogales, 2012</t>
  </si>
  <si>
    <t>https://academic.oup.com/femsle/article/228/1/129/570944</t>
  </si>
  <si>
    <t>Pyridoxal 5'-phosphate (B6)</t>
  </si>
  <si>
    <t>pydx5p[c]</t>
  </si>
  <si>
    <t>ribflv[c]</t>
  </si>
  <si>
    <t>Spermine</t>
  </si>
  <si>
    <t>spm[c]</t>
  </si>
  <si>
    <t>Jantaro, 2003</t>
  </si>
  <si>
    <t>Spermidine</t>
  </si>
  <si>
    <t>spmd[c]</t>
  </si>
  <si>
    <t>Succinyl-CoA</t>
  </si>
  <si>
    <t>succoa[c]</t>
  </si>
  <si>
    <t>5,6,7,8-Tetrahydrofolate</t>
  </si>
  <si>
    <t>thf[c]</t>
  </si>
  <si>
    <t>thm[c]</t>
  </si>
  <si>
    <t>Undecaprenyl diphosphate</t>
  </si>
  <si>
    <t>udcpdp[c]</t>
  </si>
  <si>
    <r>
      <t xml:space="preserve">Composition of inorganic ions for the biomass equations of </t>
    </r>
    <r>
      <rPr>
        <b/>
        <i/>
        <sz val="14"/>
        <color theme="1"/>
        <rFont val="Calibri"/>
        <family val="2"/>
        <scheme val="minor"/>
      </rPr>
      <t>Anabaena.</t>
    </r>
    <r>
      <rPr>
        <b/>
        <sz val="14"/>
        <color theme="1"/>
        <rFont val="Calibri"/>
        <family val="2"/>
        <scheme val="minor"/>
      </rPr>
      <t xml:space="preserve"> sp UTEX 2576</t>
    </r>
  </si>
  <si>
    <t>Name model</t>
  </si>
  <si>
    <t>Concentration (g/gDW)</t>
  </si>
  <si>
    <t>k[c]</t>
  </si>
  <si>
    <t>nh4[c]</t>
  </si>
  <si>
    <t>NH4+</t>
  </si>
  <si>
    <t>Nogales, 2012</t>
  </si>
  <si>
    <t>mg2[c]</t>
  </si>
  <si>
    <t>Mg2+</t>
  </si>
  <si>
    <t>ca2[c]</t>
  </si>
  <si>
    <t>fe2[c]</t>
  </si>
  <si>
    <t>Fe3+</t>
  </si>
  <si>
    <t>cu2[c]</t>
  </si>
  <si>
    <t>Cu2+</t>
  </si>
  <si>
    <t>mn2[c]</t>
  </si>
  <si>
    <t>Mn2+</t>
  </si>
  <si>
    <t>mobd[c]</t>
  </si>
  <si>
    <t>Mobd</t>
  </si>
  <si>
    <t>cobalt2[c]</t>
  </si>
  <si>
    <t>Co2+</t>
  </si>
  <si>
    <t>zn2[c]</t>
  </si>
  <si>
    <t>so4[c]</t>
  </si>
  <si>
    <t>so4</t>
  </si>
  <si>
    <t>pi[c]</t>
  </si>
  <si>
    <t>Pi</t>
  </si>
  <si>
    <t>na1[c]</t>
  </si>
  <si>
    <t>Lipid-IV(A) - Lipopolysaccharide</t>
  </si>
  <si>
    <t>Peptidoglycan makes up to 10% of dry weight in gramm negative bacteria</t>
  </si>
  <si>
    <t>Lipid IV</t>
  </si>
  <si>
    <t>Glucose</t>
  </si>
  <si>
    <t>Total carb</t>
  </si>
  <si>
    <t>Carbohydrate analysis</t>
  </si>
  <si>
    <t>Carbohydrates are present in the cell wall, in the outer membrane, forming the protective layer of heterocysts and as glycogen. The Phenol sulfuric acid method determines total carbohydrates</t>
  </si>
  <si>
    <t>The composition of the total carbohydrate can be estimated from reported values for Gramm-negative bacteria</t>
  </si>
  <si>
    <t>Fraction (g/g/DW)</t>
  </si>
  <si>
    <t>C18H30O15</t>
  </si>
  <si>
    <t>C68H130N2O23P2</t>
  </si>
  <si>
    <t>C10H16N5O12P3</t>
  </si>
  <si>
    <t>C9H16N3O13P3</t>
  </si>
  <si>
    <t>C10H16N5O13P3</t>
  </si>
  <si>
    <t>C10H17N2O14P3</t>
  </si>
  <si>
    <t>C9H16N3O14P3</t>
  </si>
  <si>
    <t>C10H16N5O14P3</t>
  </si>
  <si>
    <t>C9H15N2O15P3</t>
  </si>
  <si>
    <t>C1660H2574N456O509S13</t>
  </si>
  <si>
    <t>C1662H2616N460O516S9</t>
  </si>
  <si>
    <t>C1594H2539N423O493S9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</si>
  <si>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-tocopherol</t>
    </r>
  </si>
  <si>
    <r>
      <rPr>
        <sz val="11"/>
        <color theme="1"/>
        <rFont val="Calibri"/>
        <family val="2"/>
      </rPr>
      <t>β</t>
    </r>
    <r>
      <rPr>
        <sz val="9.35"/>
        <color theme="1"/>
        <rFont val="Calibri"/>
        <family val="2"/>
      </rPr>
      <t>-tocopherol</t>
    </r>
  </si>
  <si>
    <r>
      <t>γ</t>
    </r>
    <r>
      <rPr>
        <sz val="9.35"/>
        <color theme="1"/>
        <rFont val="Calibri"/>
        <family val="2"/>
      </rPr>
      <t>-tocopherol</t>
    </r>
  </si>
  <si>
    <r>
      <t>δ</t>
    </r>
    <r>
      <rPr>
        <sz val="9.35"/>
        <color theme="1"/>
        <rFont val="Calibri"/>
        <family val="2"/>
      </rPr>
      <t>-tocopherol</t>
    </r>
  </si>
  <si>
    <t>C28H48O2</t>
  </si>
  <si>
    <t>C27H46O2</t>
  </si>
  <si>
    <t>C46H64O8</t>
  </si>
  <si>
    <t>C46H66O7</t>
  </si>
  <si>
    <t>Standard Formula</t>
  </si>
  <si>
    <t>C17H20N4O6</t>
  </si>
  <si>
    <t>C6H5NO2</t>
  </si>
  <si>
    <t>C8H10NO6P</t>
  </si>
  <si>
    <t>Molybdate</t>
  </si>
  <si>
    <t>SO4</t>
  </si>
  <si>
    <t>C20H23N7O7</t>
  </si>
  <si>
    <t>C20H25N7O6</t>
  </si>
  <si>
    <t>C23H38N7O17P3S</t>
  </si>
  <si>
    <t>C15H22N6O5S</t>
  </si>
  <si>
    <t>C10H16N2O3S</t>
  </si>
  <si>
    <t>C10H10O6</t>
  </si>
  <si>
    <t>C9H17NO5</t>
  </si>
  <si>
    <t>C21H36N7O16P3S</t>
  </si>
  <si>
    <t>C27H33N9O15P2</t>
  </si>
  <si>
    <t>C19H19N7O6</t>
  </si>
  <si>
    <t>C10H17N3O6S</t>
  </si>
  <si>
    <t>C49H58FeN4O5</t>
  </si>
  <si>
    <t>C24H38N7O19P3S</t>
  </si>
  <si>
    <t>C20H23N7O6</t>
  </si>
  <si>
    <t>C21H28N7O14P2</t>
  </si>
  <si>
    <t>C21H29N7O14P2</t>
  </si>
  <si>
    <t>C21H30N7O17P3</t>
  </si>
  <si>
    <t>C21H29N7O17P3</t>
  </si>
  <si>
    <t>C34H32FeN4O4</t>
  </si>
  <si>
    <t>C4H12N2</t>
  </si>
  <si>
    <t>C10H26N4</t>
  </si>
  <si>
    <t>C7H19N3</t>
  </si>
  <si>
    <t>C25H40N7O19P3S</t>
  </si>
  <si>
    <t>C19H23N7O6</t>
  </si>
  <si>
    <t>C55H92O7P2</t>
  </si>
  <si>
    <t>NH4</t>
  </si>
  <si>
    <t>Cu</t>
  </si>
  <si>
    <t>Mn</t>
  </si>
  <si>
    <t>Co</t>
  </si>
  <si>
    <t>MoO4</t>
  </si>
  <si>
    <t>HPO4</t>
  </si>
  <si>
    <t>fe3[c]</t>
  </si>
  <si>
    <t>Sucrose</t>
  </si>
  <si>
    <t>C12H22O11</t>
  </si>
  <si>
    <r>
      <t xml:space="preserve">Biomass equation of </t>
    </r>
    <r>
      <rPr>
        <b/>
        <i/>
        <sz val="18"/>
        <color theme="1"/>
        <rFont val="Calibri"/>
        <family val="2"/>
        <scheme val="minor"/>
      </rPr>
      <t>Anabaena</t>
    </r>
    <r>
      <rPr>
        <b/>
        <sz val="18"/>
        <color theme="1"/>
        <rFont val="Calibri"/>
        <family val="2"/>
        <scheme val="minor"/>
      </rPr>
      <t xml:space="preserve"> Photodiazotrophic cultures in BG11o</t>
    </r>
  </si>
  <si>
    <t>Vegetative cell</t>
  </si>
  <si>
    <t>Heterocyst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</si>
</sst>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"/>
    <numFmt numFmtId="165" formatCode="0.0000"/>
    <numFmt numFmtId="166" formatCode="0.000"/>
    <numFmt numFmtId="167" formatCode="0.000000"/>
    <numFmt numFmtId="168" formatCode="0.0E+00"/>
    <numFmt numFmtId="169" formatCode="0.0%"/>
    <numFmt numFmtId="170" formatCode="0.000E+00"/>
    <numFmt numFmtId="171" formatCode="0.000%"/>
    <numFmt numFmtId="172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.35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FEAFF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rgb="FFFFB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FFA3"/>
        <bgColor indexed="64"/>
      </patternFill>
    </fill>
    <fill>
      <patternFill patternType="solid">
        <fgColor rgb="FFFFABA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2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169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9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right"/>
    </xf>
    <xf numFmtId="0" fontId="8" fillId="5" borderId="9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vertical="center" wrapText="1"/>
    </xf>
    <xf numFmtId="0" fontId="8" fillId="5" borderId="11" xfId="0" applyFont="1" applyFill="1" applyBorder="1" applyAlignment="1">
      <alignment vertical="center" wrapText="1"/>
    </xf>
    <xf numFmtId="165" fontId="0" fillId="7" borderId="2" xfId="0" applyNumberFormat="1" applyFill="1" applyBorder="1" applyAlignment="1">
      <alignment horizontal="center"/>
    </xf>
    <xf numFmtId="165" fontId="0" fillId="7" borderId="2" xfId="0" applyNumberFormat="1" applyFill="1" applyBorder="1" applyAlignment="1"/>
    <xf numFmtId="0" fontId="0" fillId="7" borderId="2" xfId="0" applyFill="1" applyBorder="1"/>
    <xf numFmtId="166" fontId="0" fillId="7" borderId="2" xfId="0" applyNumberFormat="1" applyFill="1" applyBorder="1"/>
    <xf numFmtId="167" fontId="0" fillId="7" borderId="3" xfId="0" applyNumberFormat="1" applyFill="1" applyBorder="1" applyAlignment="1">
      <alignment horizontal="right"/>
    </xf>
    <xf numFmtId="0" fontId="0" fillId="7" borderId="4" xfId="0" applyFill="1" applyBorder="1"/>
    <xf numFmtId="165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/>
    <xf numFmtId="0" fontId="0" fillId="7" borderId="0" xfId="0" applyFill="1" applyBorder="1"/>
    <xf numFmtId="166" fontId="0" fillId="7" borderId="0" xfId="0" applyNumberFormat="1" applyFill="1" applyBorder="1"/>
    <xf numFmtId="167" fontId="0" fillId="7" borderId="5" xfId="0" applyNumberForma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0" fontId="0" fillId="6" borderId="10" xfId="0" applyFill="1" applyBorder="1" applyAlignment="1"/>
    <xf numFmtId="0" fontId="0" fillId="6" borderId="10" xfId="0" applyFill="1" applyBorder="1"/>
    <xf numFmtId="166" fontId="0" fillId="6" borderId="10" xfId="0" applyNumberFormat="1" applyFill="1" applyBorder="1"/>
    <xf numFmtId="167" fontId="0" fillId="6" borderId="11" xfId="0" applyNumberFormat="1" applyFill="1" applyBorder="1" applyAlignment="1">
      <alignment horizontal="right"/>
    </xf>
    <xf numFmtId="0" fontId="2" fillId="7" borderId="1" xfId="0" applyFont="1" applyFill="1" applyBorder="1"/>
    <xf numFmtId="0" fontId="2" fillId="6" borderId="9" xfId="0" applyFont="1" applyFill="1" applyBorder="1"/>
    <xf numFmtId="0" fontId="0" fillId="8" borderId="4" xfId="0" applyFill="1" applyBorder="1"/>
    <xf numFmtId="165" fontId="0" fillId="8" borderId="0" xfId="0" applyNumberFormat="1" applyFill="1" applyBorder="1" applyAlignment="1">
      <alignment horizontal="center"/>
    </xf>
    <xf numFmtId="0" fontId="0" fillId="8" borderId="0" xfId="0" applyFill="1" applyBorder="1"/>
    <xf numFmtId="166" fontId="0" fillId="8" borderId="0" xfId="0" applyNumberFormat="1" applyFill="1" applyBorder="1"/>
    <xf numFmtId="167" fontId="0" fillId="8" borderId="5" xfId="0" applyNumberFormat="1" applyFill="1" applyBorder="1" applyAlignment="1">
      <alignment horizontal="right"/>
    </xf>
    <xf numFmtId="0" fontId="0" fillId="8" borderId="0" xfId="0" applyFill="1" applyBorder="1" applyAlignment="1">
      <alignment horizontal="center"/>
    </xf>
    <xf numFmtId="0" fontId="0" fillId="8" borderId="6" xfId="0" applyFill="1" applyBorder="1"/>
    <xf numFmtId="0" fontId="0" fillId="8" borderId="7" xfId="0" applyFill="1" applyBorder="1"/>
    <xf numFmtId="165" fontId="0" fillId="8" borderId="7" xfId="0" applyNumberFormat="1" applyFill="1" applyBorder="1" applyAlignment="1">
      <alignment horizontal="center"/>
    </xf>
    <xf numFmtId="166" fontId="0" fillId="8" borderId="7" xfId="0" applyNumberFormat="1" applyFill="1" applyBorder="1"/>
    <xf numFmtId="167" fontId="0" fillId="8" borderId="8" xfId="0" applyNumberFormat="1" applyFill="1" applyBorder="1" applyAlignment="1">
      <alignment horizontal="right"/>
    </xf>
    <xf numFmtId="165" fontId="0" fillId="8" borderId="2" xfId="0" applyNumberFormat="1" applyFill="1" applyBorder="1" applyAlignment="1">
      <alignment horizontal="center"/>
    </xf>
    <xf numFmtId="0" fontId="0" fillId="8" borderId="2" xfId="0" applyFill="1" applyBorder="1"/>
    <xf numFmtId="166" fontId="0" fillId="8" borderId="2" xfId="0" applyNumberFormat="1" applyFill="1" applyBorder="1"/>
    <xf numFmtId="167" fontId="0" fillId="8" borderId="3" xfId="0" applyNumberFormat="1" applyFill="1" applyBorder="1" applyAlignment="1">
      <alignment horizontal="right"/>
    </xf>
    <xf numFmtId="0" fontId="2" fillId="8" borderId="4" xfId="0" applyFont="1" applyFill="1" applyBorder="1"/>
    <xf numFmtId="0" fontId="2" fillId="8" borderId="1" xfId="0" applyFont="1" applyFill="1" applyBorder="1"/>
    <xf numFmtId="165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166" fontId="0" fillId="3" borderId="2" xfId="0" applyNumberFormat="1" applyFill="1" applyBorder="1"/>
    <xf numFmtId="167" fontId="0" fillId="3" borderId="3" xfId="0" applyNumberFormat="1" applyFill="1" applyBorder="1" applyAlignment="1">
      <alignment horizontal="right"/>
    </xf>
    <xf numFmtId="165" fontId="0" fillId="9" borderId="2" xfId="0" applyNumberFormat="1" applyFill="1" applyBorder="1" applyAlignment="1">
      <alignment horizontal="center"/>
    </xf>
    <xf numFmtId="0" fontId="0" fillId="9" borderId="2" xfId="0" applyFill="1" applyBorder="1"/>
    <xf numFmtId="167" fontId="0" fillId="9" borderId="3" xfId="0" applyNumberFormat="1" applyFill="1" applyBorder="1" applyAlignment="1">
      <alignment horizontal="right"/>
    </xf>
    <xf numFmtId="0" fontId="0" fillId="9" borderId="4" xfId="0" applyFill="1" applyBorder="1"/>
    <xf numFmtId="0" fontId="0" fillId="9" borderId="0" xfId="0" applyFill="1" applyBorder="1"/>
    <xf numFmtId="165" fontId="0" fillId="9" borderId="0" xfId="0" applyNumberFormat="1" applyFill="1" applyBorder="1" applyAlignment="1">
      <alignment horizontal="center"/>
    </xf>
    <xf numFmtId="167" fontId="0" fillId="9" borderId="5" xfId="0" applyNumberFormat="1" applyFill="1" applyBorder="1" applyAlignment="1">
      <alignment horizontal="right"/>
    </xf>
    <xf numFmtId="165" fontId="0" fillId="10" borderId="2" xfId="0" applyNumberFormat="1" applyFill="1" applyBorder="1" applyAlignment="1">
      <alignment horizontal="center"/>
    </xf>
    <xf numFmtId="0" fontId="0" fillId="10" borderId="2" xfId="0" applyFill="1" applyBorder="1"/>
    <xf numFmtId="166" fontId="0" fillId="10" borderId="2" xfId="0" applyNumberFormat="1" applyFill="1" applyBorder="1"/>
    <xf numFmtId="167" fontId="0" fillId="10" borderId="3" xfId="0" applyNumberFormat="1" applyFill="1" applyBorder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165" fontId="0" fillId="10" borderId="0" xfId="0" applyNumberFormat="1" applyFill="1" applyBorder="1" applyAlignment="1">
      <alignment horizontal="center"/>
    </xf>
    <xf numFmtId="166" fontId="0" fillId="10" borderId="0" xfId="0" applyNumberFormat="1" applyFill="1" applyBorder="1"/>
    <xf numFmtId="167" fontId="0" fillId="10" borderId="5" xfId="0" applyNumberFormat="1" applyFill="1" applyBorder="1" applyAlignment="1">
      <alignment horizontal="right"/>
    </xf>
    <xf numFmtId="0" fontId="0" fillId="10" borderId="6" xfId="0" applyFill="1" applyBorder="1"/>
    <xf numFmtId="0" fontId="0" fillId="10" borderId="7" xfId="0" applyFill="1" applyBorder="1"/>
    <xf numFmtId="165" fontId="0" fillId="10" borderId="7" xfId="0" applyNumberFormat="1" applyFill="1" applyBorder="1" applyAlignment="1">
      <alignment horizontal="center"/>
    </xf>
    <xf numFmtId="166" fontId="0" fillId="10" borderId="7" xfId="0" applyNumberFormat="1" applyFill="1" applyBorder="1"/>
    <xf numFmtId="167" fontId="0" fillId="10" borderId="8" xfId="0" applyNumberFormat="1" applyFill="1" applyBorder="1" applyAlignment="1">
      <alignment horizontal="right"/>
    </xf>
    <xf numFmtId="167" fontId="0" fillId="11" borderId="5" xfId="0" applyNumberFormat="1" applyFill="1" applyBorder="1" applyAlignment="1">
      <alignment horizontal="right"/>
    </xf>
    <xf numFmtId="0" fontId="0" fillId="11" borderId="4" xfId="0" applyFill="1" applyBorder="1"/>
    <xf numFmtId="166" fontId="0" fillId="11" borderId="0" xfId="0" applyNumberFormat="1" applyFill="1" applyBorder="1" applyAlignment="1">
      <alignment horizontal="center"/>
    </xf>
    <xf numFmtId="0" fontId="0" fillId="11" borderId="0" xfId="0" applyFill="1" applyBorder="1"/>
    <xf numFmtId="165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0" fontId="0" fillId="11" borderId="0" xfId="0" applyFill="1" applyBorder="1" applyAlignment="1">
      <alignment horizontal="center"/>
    </xf>
    <xf numFmtId="0" fontId="2" fillId="9" borderId="1" xfId="0" applyFont="1" applyFill="1" applyBorder="1"/>
    <xf numFmtId="0" fontId="2" fillId="10" borderId="1" xfId="0" applyFont="1" applyFill="1" applyBorder="1"/>
    <xf numFmtId="0" fontId="2" fillId="3" borderId="1" xfId="0" applyFont="1" applyFill="1" applyBorder="1"/>
    <xf numFmtId="0" fontId="0" fillId="3" borderId="6" xfId="0" applyFill="1" applyBorder="1"/>
    <xf numFmtId="2" fontId="0" fillId="3" borderId="7" xfId="0" applyNumberFormat="1" applyFill="1" applyBorder="1" applyAlignment="1">
      <alignment horizontal="center"/>
    </xf>
    <xf numFmtId="0" fontId="0" fillId="3" borderId="7" xfId="0" applyFill="1" applyBorder="1"/>
    <xf numFmtId="165" fontId="0" fillId="3" borderId="7" xfId="0" applyNumberFormat="1" applyFill="1" applyBorder="1" applyAlignment="1">
      <alignment horizontal="center"/>
    </xf>
    <xf numFmtId="166" fontId="0" fillId="3" borderId="7" xfId="0" applyNumberFormat="1" applyFill="1" applyBorder="1"/>
    <xf numFmtId="167" fontId="0" fillId="3" borderId="8" xfId="0" applyNumberFormat="1" applyFill="1" applyBorder="1" applyAlignment="1">
      <alignment horizontal="right"/>
    </xf>
    <xf numFmtId="165" fontId="0" fillId="12" borderId="2" xfId="0" applyNumberFormat="1" applyFill="1" applyBorder="1" applyAlignment="1">
      <alignment horizontal="center"/>
    </xf>
    <xf numFmtId="0" fontId="0" fillId="12" borderId="2" xfId="0" applyFill="1" applyBorder="1"/>
    <xf numFmtId="166" fontId="0" fillId="12" borderId="2" xfId="0" applyNumberFormat="1" applyFill="1" applyBorder="1"/>
    <xf numFmtId="0" fontId="0" fillId="12" borderId="4" xfId="0" applyFill="1" applyBorder="1"/>
    <xf numFmtId="0" fontId="0" fillId="12" borderId="0" xfId="0" applyFill="1" applyBorder="1"/>
    <xf numFmtId="165" fontId="0" fillId="12" borderId="0" xfId="0" applyNumberFormat="1" applyFill="1" applyBorder="1" applyAlignment="1">
      <alignment horizontal="center"/>
    </xf>
    <xf numFmtId="166" fontId="0" fillId="12" borderId="0" xfId="0" applyNumberFormat="1" applyFill="1" applyBorder="1"/>
    <xf numFmtId="167" fontId="0" fillId="12" borderId="3" xfId="0" applyNumberFormat="1" applyFill="1" applyBorder="1"/>
    <xf numFmtId="167" fontId="0" fillId="12" borderId="5" xfId="0" applyNumberFormat="1" applyFill="1" applyBorder="1"/>
    <xf numFmtId="0" fontId="2" fillId="12" borderId="1" xfId="0" applyFont="1" applyFill="1" applyBorder="1"/>
    <xf numFmtId="0" fontId="8" fillId="0" borderId="0" xfId="0" applyFont="1"/>
    <xf numFmtId="0" fontId="0" fillId="0" borderId="0" xfId="0" applyFill="1"/>
    <xf numFmtId="0" fontId="0" fillId="14" borderId="0" xfId="0" applyFill="1" applyBorder="1"/>
    <xf numFmtId="166" fontId="0" fillId="14" borderId="0" xfId="0" applyNumberFormat="1" applyFill="1" applyBorder="1"/>
    <xf numFmtId="167" fontId="0" fillId="14" borderId="0" xfId="0" applyNumberFormat="1" applyFill="1" applyBorder="1"/>
    <xf numFmtId="0" fontId="2" fillId="14" borderId="1" xfId="0" applyFont="1" applyFill="1" applyBorder="1"/>
    <xf numFmtId="0" fontId="0" fillId="14" borderId="2" xfId="0" applyFill="1" applyBorder="1"/>
    <xf numFmtId="166" fontId="0" fillId="14" borderId="2" xfId="0" applyNumberFormat="1" applyFill="1" applyBorder="1"/>
    <xf numFmtId="167" fontId="0" fillId="14" borderId="2" xfId="0" applyNumberFormat="1" applyFill="1" applyBorder="1"/>
    <xf numFmtId="0" fontId="2" fillId="14" borderId="4" xfId="0" applyFont="1" applyFill="1" applyBorder="1"/>
    <xf numFmtId="0" fontId="0" fillId="14" borderId="7" xfId="0" applyFill="1" applyBorder="1"/>
    <xf numFmtId="167" fontId="0" fillId="14" borderId="12" xfId="0" applyNumberFormat="1" applyFill="1" applyBorder="1"/>
    <xf numFmtId="0" fontId="0" fillId="14" borderId="13" xfId="0" applyFill="1" applyBorder="1"/>
    <xf numFmtId="0" fontId="0" fillId="14" borderId="14" xfId="0" applyFill="1" applyBorder="1"/>
    <xf numFmtId="0" fontId="2" fillId="15" borderId="1" xfId="0" applyFont="1" applyFill="1" applyBorder="1"/>
    <xf numFmtId="0" fontId="0" fillId="15" borderId="2" xfId="0" applyFill="1" applyBorder="1"/>
    <xf numFmtId="167" fontId="0" fillId="15" borderId="2" xfId="0" applyNumberFormat="1" applyFill="1" applyBorder="1"/>
    <xf numFmtId="0" fontId="2" fillId="15" borderId="4" xfId="0" applyFont="1" applyFill="1" applyBorder="1"/>
    <xf numFmtId="0" fontId="0" fillId="15" borderId="0" xfId="0" applyFill="1" applyBorder="1"/>
    <xf numFmtId="167" fontId="0" fillId="15" borderId="0" xfId="0" applyNumberFormat="1" applyFill="1" applyBorder="1"/>
    <xf numFmtId="0" fontId="2" fillId="15" borderId="6" xfId="0" applyFont="1" applyFill="1" applyBorder="1"/>
    <xf numFmtId="0" fontId="0" fillId="15" borderId="7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13" fillId="0" borderId="0" xfId="0" applyFont="1"/>
    <xf numFmtId="0" fontId="14" fillId="0" borderId="0" xfId="0" applyFont="1"/>
    <xf numFmtId="0" fontId="12" fillId="14" borderId="4" xfId="0" applyFont="1" applyFill="1" applyBorder="1"/>
    <xf numFmtId="0" fontId="12" fillId="14" borderId="6" xfId="0" applyFont="1" applyFill="1" applyBorder="1"/>
    <xf numFmtId="167" fontId="2" fillId="14" borderId="0" xfId="0" applyNumberFormat="1" applyFont="1" applyFill="1" applyBorder="1"/>
    <xf numFmtId="167" fontId="2" fillId="14" borderId="7" xfId="0" applyNumberFormat="1" applyFont="1" applyFill="1" applyBorder="1"/>
    <xf numFmtId="0" fontId="12" fillId="15" borderId="4" xfId="0" applyFont="1" applyFill="1" applyBorder="1"/>
    <xf numFmtId="167" fontId="2" fillId="15" borderId="0" xfId="0" applyNumberFormat="1" applyFont="1" applyFill="1" applyBorder="1"/>
    <xf numFmtId="167" fontId="2" fillId="15" borderId="7" xfId="0" applyNumberFormat="1" applyFont="1" applyFill="1" applyBorder="1"/>
    <xf numFmtId="167" fontId="2" fillId="7" borderId="3" xfId="0" applyNumberFormat="1" applyFont="1" applyFill="1" applyBorder="1" applyAlignment="1">
      <alignment horizontal="right"/>
    </xf>
    <xf numFmtId="167" fontId="2" fillId="7" borderId="5" xfId="0" applyNumberFormat="1" applyFont="1" applyFill="1" applyBorder="1" applyAlignment="1">
      <alignment horizontal="right"/>
    </xf>
    <xf numFmtId="167" fontId="2" fillId="6" borderId="11" xfId="0" applyNumberFormat="1" applyFont="1" applyFill="1" applyBorder="1" applyAlignment="1">
      <alignment horizontal="right"/>
    </xf>
    <xf numFmtId="167" fontId="2" fillId="8" borderId="5" xfId="0" applyNumberFormat="1" applyFont="1" applyFill="1" applyBorder="1" applyAlignment="1">
      <alignment horizontal="right"/>
    </xf>
    <xf numFmtId="167" fontId="2" fillId="8" borderId="8" xfId="0" applyNumberFormat="1" applyFont="1" applyFill="1" applyBorder="1" applyAlignment="1">
      <alignment horizontal="right"/>
    </xf>
    <xf numFmtId="167" fontId="2" fillId="9" borderId="3" xfId="0" applyNumberFormat="1" applyFont="1" applyFill="1" applyBorder="1" applyAlignment="1">
      <alignment horizontal="right"/>
    </xf>
    <xf numFmtId="167" fontId="2" fillId="9" borderId="5" xfId="0" applyNumberFormat="1" applyFont="1" applyFill="1" applyBorder="1" applyAlignment="1">
      <alignment horizontal="right"/>
    </xf>
    <xf numFmtId="167" fontId="2" fillId="10" borderId="3" xfId="0" applyNumberFormat="1" applyFont="1" applyFill="1" applyBorder="1" applyAlignment="1">
      <alignment horizontal="right"/>
    </xf>
    <xf numFmtId="167" fontId="2" fillId="10" borderId="5" xfId="0" applyNumberFormat="1" applyFont="1" applyFill="1" applyBorder="1" applyAlignment="1">
      <alignment horizontal="right"/>
    </xf>
    <xf numFmtId="167" fontId="2" fillId="10" borderId="8" xfId="0" applyNumberFormat="1" applyFont="1" applyFill="1" applyBorder="1" applyAlignment="1">
      <alignment horizontal="right"/>
    </xf>
    <xf numFmtId="167" fontId="2" fillId="11" borderId="5" xfId="0" applyNumberFormat="1" applyFont="1" applyFill="1" applyBorder="1" applyAlignment="1">
      <alignment horizontal="right"/>
    </xf>
    <xf numFmtId="167" fontId="2" fillId="3" borderId="3" xfId="0" applyNumberFormat="1" applyFont="1" applyFill="1" applyBorder="1" applyAlignment="1">
      <alignment horizontal="right"/>
    </xf>
    <xf numFmtId="167" fontId="2" fillId="3" borderId="8" xfId="0" applyNumberFormat="1" applyFont="1" applyFill="1" applyBorder="1" applyAlignment="1">
      <alignment horizontal="right"/>
    </xf>
    <xf numFmtId="167" fontId="2" fillId="12" borderId="3" xfId="0" applyNumberFormat="1" applyFont="1" applyFill="1" applyBorder="1"/>
    <xf numFmtId="167" fontId="2" fillId="12" borderId="5" xfId="0" applyNumberFormat="1" applyFont="1" applyFill="1" applyBorder="1"/>
    <xf numFmtId="167" fontId="0" fillId="8" borderId="3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16" borderId="10" xfId="0" applyFont="1" applyFill="1" applyBorder="1" applyAlignment="1">
      <alignment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vertical="center" wrapText="1"/>
    </xf>
    <xf numFmtId="0" fontId="0" fillId="17" borderId="2" xfId="0" applyFill="1" applyBorder="1"/>
    <xf numFmtId="0" fontId="0" fillId="17" borderId="2" xfId="0" applyFill="1" applyBorder="1" applyAlignment="1">
      <alignment horizontal="center"/>
    </xf>
    <xf numFmtId="10" fontId="0" fillId="17" borderId="2" xfId="1" applyNumberFormat="1" applyFont="1" applyFill="1" applyBorder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0" fontId="0" fillId="17" borderId="0" xfId="1" applyNumberFormat="1" applyFont="1" applyFill="1" applyBorder="1" applyAlignment="1">
      <alignment horizontal="center"/>
    </xf>
    <xf numFmtId="0" fontId="0" fillId="17" borderId="7" xfId="0" applyFill="1" applyBorder="1"/>
    <xf numFmtId="0" fontId="0" fillId="17" borderId="7" xfId="0" applyFill="1" applyBorder="1" applyAlignment="1">
      <alignment horizontal="center"/>
    </xf>
    <xf numFmtId="10" fontId="0" fillId="17" borderId="7" xfId="1" applyNumberFormat="1" applyFont="1" applyFill="1" applyBorder="1" applyAlignment="1">
      <alignment horizontal="center"/>
    </xf>
    <xf numFmtId="0" fontId="0" fillId="17" borderId="0" xfId="0" applyFill="1"/>
    <xf numFmtId="0" fontId="0" fillId="3" borderId="0" xfId="0" applyFill="1" applyBorder="1"/>
    <xf numFmtId="165" fontId="0" fillId="17" borderId="0" xfId="0" applyNumberFormat="1" applyFill="1" applyBorder="1"/>
    <xf numFmtId="0" fontId="0" fillId="4" borderId="7" xfId="0" applyFill="1" applyBorder="1"/>
    <xf numFmtId="165" fontId="0" fillId="17" borderId="7" xfId="0" applyNumberFormat="1" applyFill="1" applyBorder="1"/>
    <xf numFmtId="0" fontId="0" fillId="17" borderId="10" xfId="0" applyFill="1" applyBorder="1"/>
    <xf numFmtId="9" fontId="0" fillId="17" borderId="10" xfId="1" applyFont="1" applyFill="1" applyBorder="1"/>
    <xf numFmtId="10" fontId="0" fillId="17" borderId="0" xfId="1" applyNumberFormat="1" applyFont="1" applyFill="1"/>
    <xf numFmtId="171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9" borderId="4" xfId="0" applyFont="1" applyFill="1" applyBorder="1"/>
    <xf numFmtId="0" fontId="2" fillId="0" borderId="0" xfId="0" applyFont="1" applyAlignment="1"/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9" borderId="2" xfId="0" applyNumberFormat="1" applyFill="1" applyBorder="1"/>
    <xf numFmtId="172" fontId="0" fillId="0" borderId="2" xfId="0" applyNumberFormat="1" applyBorder="1" applyAlignment="1">
      <alignment horizontal="center"/>
    </xf>
    <xf numFmtId="2" fontId="0" fillId="9" borderId="0" xfId="0" applyNumberFormat="1" applyFill="1" applyBorder="1"/>
    <xf numFmtId="164" fontId="0" fillId="9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/>
    <xf numFmtId="0" fontId="12" fillId="0" borderId="0" xfId="0" applyFont="1"/>
    <xf numFmtId="0" fontId="9" fillId="0" borderId="0" xfId="0" applyFont="1"/>
    <xf numFmtId="0" fontId="2" fillId="3" borderId="4" xfId="0" applyFont="1" applyFill="1" applyBorder="1"/>
    <xf numFmtId="165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3" fillId="0" borderId="0" xfId="2" applyAlignment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Border="1" applyAlignment="1">
      <alignment vertical="center"/>
    </xf>
    <xf numFmtId="165" fontId="0" fillId="3" borderId="0" xfId="0" applyNumberFormat="1" applyFill="1" applyBorder="1" applyAlignment="1">
      <alignment horizontal="center" vertical="center"/>
    </xf>
    <xf numFmtId="166" fontId="0" fillId="3" borderId="0" xfId="0" applyNumberFormat="1" applyFill="1" applyBorder="1" applyAlignment="1">
      <alignment vertical="center"/>
    </xf>
    <xf numFmtId="167" fontId="2" fillId="3" borderId="5" xfId="0" applyNumberFormat="1" applyFont="1" applyFill="1" applyBorder="1" applyAlignment="1">
      <alignment horizontal="right" vertical="center"/>
    </xf>
    <xf numFmtId="167" fontId="0" fillId="3" borderId="5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5" fillId="10" borderId="0" xfId="0" applyFont="1" applyFill="1" applyBorder="1"/>
    <xf numFmtId="0" fontId="0" fillId="10" borderId="0" xfId="0" applyFill="1" applyBorder="1" applyAlignment="1">
      <alignment wrapText="1"/>
    </xf>
    <xf numFmtId="0" fontId="2" fillId="11" borderId="4" xfId="0" applyFont="1" applyFill="1" applyBorder="1"/>
    <xf numFmtId="0" fontId="0" fillId="10" borderId="7" xfId="0" applyFill="1" applyBorder="1" applyAlignment="1">
      <alignment wrapText="1"/>
    </xf>
    <xf numFmtId="0" fontId="2" fillId="12" borderId="4" xfId="0" applyFont="1" applyFill="1" applyBorder="1"/>
    <xf numFmtId="0" fontId="2" fillId="18" borderId="1" xfId="0" applyFont="1" applyFill="1" applyBorder="1"/>
    <xf numFmtId="165" fontId="0" fillId="18" borderId="2" xfId="0" applyNumberFormat="1" applyFill="1" applyBorder="1" applyAlignment="1">
      <alignment horizontal="center"/>
    </xf>
    <xf numFmtId="0" fontId="0" fillId="18" borderId="2" xfId="0" applyFill="1" applyBorder="1"/>
    <xf numFmtId="0" fontId="0" fillId="18" borderId="2" xfId="0" applyFill="1" applyBorder="1" applyAlignment="1">
      <alignment horizontal="center" vertical="center"/>
    </xf>
    <xf numFmtId="166" fontId="0" fillId="18" borderId="2" xfId="0" applyNumberFormat="1" applyFill="1" applyBorder="1"/>
    <xf numFmtId="170" fontId="2" fillId="18" borderId="3" xfId="0" applyNumberFormat="1" applyFont="1" applyFill="1" applyBorder="1"/>
    <xf numFmtId="170" fontId="0" fillId="18" borderId="3" xfId="0" applyNumberFormat="1" applyFill="1" applyBorder="1"/>
    <xf numFmtId="0" fontId="0" fillId="18" borderId="4" xfId="0" applyFill="1" applyBorder="1"/>
    <xf numFmtId="0" fontId="0" fillId="18" borderId="0" xfId="0" applyFill="1" applyBorder="1"/>
    <xf numFmtId="165" fontId="0" fillId="18" borderId="0" xfId="0" applyNumberFormat="1" applyFill="1" applyBorder="1" applyAlignment="1">
      <alignment horizontal="center"/>
    </xf>
    <xf numFmtId="0" fontId="0" fillId="18" borderId="0" xfId="0" applyFill="1" applyBorder="1" applyAlignment="1">
      <alignment horizontal="center" vertical="center"/>
    </xf>
    <xf numFmtId="166" fontId="0" fillId="18" borderId="0" xfId="0" applyNumberFormat="1" applyFill="1" applyBorder="1"/>
    <xf numFmtId="170" fontId="2" fillId="18" borderId="5" xfId="0" applyNumberFormat="1" applyFont="1" applyFill="1" applyBorder="1"/>
    <xf numFmtId="170" fontId="0" fillId="18" borderId="5" xfId="0" applyNumberFormat="1" applyFill="1" applyBorder="1"/>
    <xf numFmtId="0" fontId="8" fillId="5" borderId="15" xfId="0" applyFont="1" applyFill="1" applyBorder="1" applyAlignment="1">
      <alignment horizontal="center" vertical="center" wrapText="1"/>
    </xf>
    <xf numFmtId="9" fontId="0" fillId="19" borderId="9" xfId="0" applyNumberFormat="1" applyFill="1" applyBorder="1" applyAlignment="1">
      <alignment horizontal="center"/>
    </xf>
    <xf numFmtId="9" fontId="0" fillId="19" borderId="11" xfId="1" applyFont="1" applyFill="1" applyBorder="1" applyAlignment="1">
      <alignment horizontal="center"/>
    </xf>
    <xf numFmtId="0" fontId="2" fillId="0" borderId="15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0" fillId="0" borderId="1" xfId="0" applyBorder="1"/>
    <xf numFmtId="0" fontId="0" fillId="0" borderId="4" xfId="0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2" xfId="0" applyBorder="1"/>
    <xf numFmtId="0" fontId="0" fillId="0" borderId="13" xfId="0" applyBorder="1"/>
    <xf numFmtId="0" fontId="2" fillId="0" borderId="10" xfId="0" applyFont="1" applyBorder="1" applyAlignment="1">
      <alignment horizontal="center"/>
    </xf>
    <xf numFmtId="0" fontId="11" fillId="13" borderId="9" xfId="0" applyFont="1" applyFill="1" applyBorder="1" applyAlignment="1">
      <alignment horizontal="center"/>
    </xf>
    <xf numFmtId="0" fontId="11" fillId="13" borderId="10" xfId="0" applyFont="1" applyFill="1" applyBorder="1" applyAlignment="1">
      <alignment horizontal="center"/>
    </xf>
    <xf numFmtId="0" fontId="11" fillId="13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BAD"/>
      <color rgb="FFE0FFA3"/>
      <color rgb="FFFFB9FF"/>
      <color rgb="FFFFFFB9"/>
      <color rgb="FF8FEAFF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" name="Picture 1" descr="invisible_spac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" name="Picture 2" descr="invisible_spac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" name="Picture 3" descr="invisible_spac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" name="Picture 4" descr="invisible_spac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" name="Picture 5" descr="invisible_spac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" name="Picture 6" descr="invisible_spac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" name="Picture 7" descr="invisible_spac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" name="Picture 8" descr="invisible_spac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" name="Picture 9" descr="invisible_spac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" name="Picture 10" descr="invisible_spac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" name="Picture 11" descr="invisible_spac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" name="Picture 12" descr="invisible_spac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" name="Picture 13" descr="invisible_spac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" name="Picture 14" descr="invisible_spac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" name="Picture 15" descr="invisible_spac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" name="Picture 16" descr="invisible_spac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" name="Picture 17" descr="invisible_spac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" name="Picture 18" descr="invisible_spac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" name="Picture 19" descr="invisible_spac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" name="Picture 20" descr="invisible_spac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" name="Picture 21" descr="invisible_spac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" name="Picture 22" descr="invisible_spac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" name="Picture 24" descr="invisible_spac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" name="Picture 25" descr="invisible_spac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" name="Picture 26" descr="invisible_spac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" name="Picture 27" descr="invisible_space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" name="Picture 28" descr="invisible_space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9" name="Picture 29" descr="invisible_spac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0" name="Picture 30" descr="invisible_spac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1" name="Picture 31" descr="invisible_space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2" name="Picture 32" descr="invisible_space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3" name="Picture 33" descr="invisible_space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4" name="Picture 34" descr="invisible_space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5" name="Picture 35" descr="invisible_space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6" name="Picture 36" descr="invisible_space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7" name="Picture 37" descr="invisible_space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8" name="Picture 38" descr="invisible_space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9" name="Picture 39" descr="invisible_space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0" name="Picture 40" descr="invisible_space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1" name="Picture 41" descr="invisible_space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2" name="Picture 42" descr="invisible_space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3" name="Picture 43" descr="invisible_space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4" name="Picture 44" descr="invisible_space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5" name="Picture 45" descr="invisible_space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6" name="Picture 1" descr="invisible_spac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7" name="Picture 2" descr="invisible_space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8" name="Picture 3" descr="invisible_space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9" name="Picture 4" descr="invisible_space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0" name="Picture 5" descr="invisible_space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1" name="Picture 6" descr="invisible_space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2" name="Picture 7" descr="invisible_space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3" name="Picture 8" descr="invisible_space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4" name="Picture 9" descr="invisible_space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5" name="Picture 10" descr="invisible_space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6" name="Picture 11" descr="invisible_space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7" name="Picture 12" descr="invisible_space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8" name="Picture 13" descr="invisible_space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9" name="Picture 14" descr="invisible_space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0" name="Picture 15" descr="invisible_space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1" name="Picture 16" descr="invisible_space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2" name="Picture 17" descr="invisible_space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3" name="Picture 18" descr="invisible_space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4" name="Picture 19" descr="invisible_space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5" name="Picture 20" descr="invisible_space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6" name="Picture 21" descr="invisible_space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7" name="Picture 22" descr="invisible_space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8" name="Picture 24" descr="invisible_space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9" name="Picture 25" descr="invisible_space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0" name="Picture 26" descr="invisible_space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1" name="Picture 27" descr="invisible_space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2" name="Picture 28" descr="invisible_space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3" name="Picture 29" descr="invisible_space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4" name="Picture 30" descr="invisible_space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5" name="Picture 31" descr="invisible_space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6" name="Picture 32" descr="invisible_space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7" name="Picture 33" descr="invisible_space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8" name="Picture 34" descr="invisible_space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9" name="Picture 35" descr="invisible_space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0" name="Picture 36" descr="invisible_space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1" name="Picture 37" descr="invisible_space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2" name="Picture 38" descr="invisible_space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3" name="Picture 39" descr="invisible_space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4" name="Picture 40" descr="invisible_space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5" name="Picture 41" descr="invisible_space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6" name="Picture 42" descr="invisible_space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7" name="Picture 43" descr="invisible_space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8" name="Picture 44" descr="invisible_space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9" name="Picture 45" descr="invisible_space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0" name="Picture 1" descr="invisible_space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1" name="Picture 2" descr="invisible_space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2" name="Picture 3" descr="invisible_space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3" name="Picture 4" descr="invisible_space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4" name="Picture 5" descr="invisible_space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5" name="Picture 6" descr="invisible_space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6" name="Picture 7" descr="invisible_space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7" name="Picture 8" descr="invisible_space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8" name="Picture 9" descr="invisible_space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9" name="Picture 10" descr="invisible_space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0" name="Picture 11" descr="invisible_space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1" name="Picture 12" descr="invisible_space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2" name="Picture 13" descr="invisible_space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3" name="Picture 14" descr="invisible_space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4" name="Picture 15" descr="invisible_space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5" name="Picture 16" descr="invisible_space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6" name="Picture 17" descr="invisible_space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7" name="Picture 18" descr="invisible_space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8" name="Picture 19" descr="invisible_space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9" name="Picture 20" descr="invisible_space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0" name="Picture 21" descr="invisible_space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1" name="Picture 22" descr="invisible_space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2" name="Picture 24" descr="invisible_space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3" name="Picture 25" descr="invisible_space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4" name="Picture 26" descr="invisible_space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5" name="Picture 27" descr="invisible_space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6" name="Picture 28" descr="invisible_space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7" name="Picture 29" descr="invisible_space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8" name="Picture 30" descr="invisible_space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9" name="Picture 31" descr="invisible_space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0" name="Picture 32" descr="invisible_space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1" name="Picture 33" descr="invisible_space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2" name="Picture 34" descr="invisible_space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3" name="Picture 35" descr="invisible_space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4" name="Picture 36" descr="invisible_space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5" name="Picture 37" descr="invisible_space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6" name="Picture 38" descr="invisible_space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7" name="Picture 39" descr="invisible_space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8" name="Picture 40" descr="invisible_space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9" name="Picture 41" descr="invisible_space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0" name="Picture 42" descr="invisible_space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1" name="Picture 43" descr="invisible_space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2" name="Picture 44" descr="invisible_space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3" name="Picture 45" descr="invisible_space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4" name="Picture 1" descr="invisible_space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5" name="Picture 2" descr="invisible_space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6" name="Picture 3" descr="invisible_space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7" name="Picture 4" descr="invisible_space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8" name="Picture 5" descr="invisible_space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9" name="Picture 6" descr="invisible_space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0" name="Picture 7" descr="invisible_space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1" name="Picture 8" descr="invisible_space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2" name="Picture 9" descr="invisible_space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3" name="Picture 10" descr="invisible_space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4" name="Picture 11" descr="invisible_space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5" name="Picture 12" descr="invisible_space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6" name="Picture 13" descr="invisible_space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7" name="Picture 14" descr="invisible_space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8" name="Picture 15" descr="invisible_space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9" name="Picture 16" descr="invisible_space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0" name="Picture 17" descr="invisible_space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1" name="Picture 18" descr="invisible_space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2" name="Picture 19" descr="invisible_space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3" name="Picture 20" descr="invisible_space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4" name="Picture 21" descr="invisible_space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5" name="Picture 22" descr="invisible_space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6" name="Picture 24" descr="invisible_space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7" name="Picture 25" descr="invisible_space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8" name="Picture 26" descr="invisible_space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9" name="Picture 27" descr="invisible_space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0" name="Picture 28" descr="invisible_space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1" name="Picture 29" descr="invisible_space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2" name="Picture 30" descr="invisible_space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3" name="Picture 31" descr="invisible_space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4" name="Picture 32" descr="invisible_space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5" name="Picture 33" descr="invisible_space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6" name="Picture 34" descr="invisible_space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7" name="Picture 35" descr="invisible_space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8" name="Picture 36" descr="invisible_space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9" name="Picture 37" descr="invisible_space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0" name="Picture 38" descr="invisible_space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1" name="Picture 39" descr="invisible_space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2" name="Picture 40" descr="invisible_space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3" name="Picture 41" descr="invisible_space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4" name="Picture 42" descr="invisible_space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5" name="Picture 43" descr="invisible_space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6" name="Picture 44" descr="invisible_space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7" name="Picture 45" descr="invisible_space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8" name="Picture 1" descr="invisible_space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9" name="Picture 2" descr="invisible_space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0" name="Picture 3" descr="invisible_space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1" name="Picture 4" descr="invisible_space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2" name="Picture 5" descr="invisible_space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3" name="Picture 6" descr="invisible_space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4" name="Picture 7" descr="invisible_space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5" name="Picture 8" descr="invisible_space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6" name="Picture 9" descr="invisible_space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7" name="Picture 10" descr="invisible_space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8" name="Picture 11" descr="invisible_space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9" name="Picture 12" descr="invisible_space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0" name="Picture 13" descr="invisible_space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1" name="Picture 14" descr="invisible_space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2" name="Picture 15" descr="invisible_space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3" name="Picture 16" descr="invisible_space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4" name="Picture 17" descr="invisible_space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5" name="Picture 18" descr="invisible_space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6" name="Picture 19" descr="invisible_space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7" name="Picture 20" descr="invisible_space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8" name="Picture 21" descr="invisible_space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9" name="Picture 22" descr="invisible_space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0" name="Picture 24" descr="invisible_space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1" name="Picture 25" descr="invisible_space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2" name="Picture 26" descr="invisible_space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3" name="Picture 27" descr="invisible_space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4" name="Picture 28" descr="invisible_space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5" name="Picture 29" descr="invisible_space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6" name="Picture 30" descr="invisible_space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7" name="Picture 31" descr="invisible_space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8" name="Picture 32" descr="invisible_space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9" name="Picture 33" descr="invisible_space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0" name="Picture 34" descr="invisible_space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1" name="Picture 35" descr="invisible_space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2" name="Picture 36" descr="invisible_space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3" name="Picture 37" descr="invisible_space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4" name="Picture 38" descr="invisible_space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5" name="Picture 39" descr="invisible_space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6" name="Picture 40" descr="invisible_space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7" name="Picture 41" descr="invisible_space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8" name="Picture 42" descr="invisible_space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9" name="Picture 43" descr="invisible_space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0" name="Picture 44" descr="invisible_space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1" name="Picture 45" descr="invisible_space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2" name="Picture 1" descr="invisible_space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3" name="Picture 2" descr="invisible_space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4" name="Picture 3" descr="invisible_space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5" name="Picture 4" descr="invisible_space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6" name="Picture 5" descr="invisible_space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7" name="Picture 6" descr="invisible_space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8" name="Picture 7" descr="invisible_space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9" name="Picture 8" descr="invisible_space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0" name="Picture 9" descr="invisible_space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1" name="Picture 10" descr="invisible_space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2" name="Picture 11" descr="invisible_space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3" name="Picture 12" descr="invisible_space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4" name="Picture 13" descr="invisible_space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5" name="Picture 14" descr="invisible_space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6" name="Picture 15" descr="invisible_space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7" name="Picture 16" descr="invisible_space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8" name="Picture 17" descr="invisible_space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9" name="Picture 18" descr="invisible_space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0" name="Picture 19" descr="invisible_space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1" name="Picture 20" descr="invisible_space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2" name="Picture 21" descr="invisible_space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3" name="Picture 22" descr="invisible_space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4" name="Picture 24" descr="invisible_space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5" name="Picture 25" descr="invisible_space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6" name="Picture 26" descr="invisible_space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7" name="Picture 27" descr="invisible_space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8" name="Picture 28" descr="invisible_space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9" name="Picture 29" descr="invisible_space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0" name="Picture 30" descr="invisible_space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1" name="Picture 31" descr="invisible_space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2" name="Picture 32" descr="invisible_space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3" name="Picture 33" descr="invisible_space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4" name="Picture 34" descr="invisible_space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5" name="Picture 35" descr="invisible_space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6" name="Picture 36" descr="invisible_space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7" name="Picture 37" descr="invisible_space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8" name="Picture 38" descr="invisible_space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9" name="Picture 39" descr="invisible_space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0" name="Picture 40" descr="invisible_space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1" name="Picture 41" descr="invisible_space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2" name="Picture 42" descr="invisible_space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3" name="Picture 43" descr="invisible_space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4" name="Picture 44" descr="invisible_space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5" name="Picture 45" descr="invisible_space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6" name="Picture 1" descr="invisible_space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7" name="Picture 2" descr="invisible_space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8" name="Picture 3" descr="invisible_space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9" name="Picture 4" descr="invisible_space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0" name="Picture 5" descr="invisible_space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1" name="Picture 6" descr="invisible_space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2" name="Picture 7" descr="invisible_space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3" name="Picture 8" descr="invisible_space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4" name="Picture 9" descr="invisible_space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5" name="Picture 10" descr="invisible_space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6" name="Picture 11" descr="invisible_space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7" name="Picture 12" descr="invisible_space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8" name="Picture 13" descr="invisible_space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9" name="Picture 14" descr="invisible_space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0" name="Picture 15" descr="invisible_space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1" name="Picture 16" descr="invisible_space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2" name="Picture 17" descr="invisible_space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3" name="Picture 18" descr="invisible_space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4" name="Picture 19" descr="invisible_space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5" name="Picture 20" descr="invisible_space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6" name="Picture 21" descr="invisible_space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7" name="Picture 22" descr="invisible_space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8" name="Picture 24" descr="invisible_space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9" name="Picture 25" descr="invisible_space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90" name="Picture 26" descr="invisible_space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91" name="Picture 27" descr="invisible_space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92" name="Picture 28" descr="invisible_space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0</xdr:colOff>
      <xdr:row>0</xdr:row>
      <xdr:rowOff>0</xdr:rowOff>
    </xdr:from>
    <xdr:ext cx="9525" cy="9525"/>
    <xdr:pic>
      <xdr:nvPicPr>
        <xdr:cNvPr id="293" name="Picture 29" descr="invisible_space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4" name="Picture 30" descr="invisible_space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5" name="Picture 31" descr="invisible_space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6" name="Picture 32" descr="invisible_space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7" name="Picture 33" descr="invisible_space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8" name="Picture 34" descr="invisible_space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9" name="Picture 35" descr="invisible_space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0" name="Picture 36" descr="invisible_space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1" name="Picture 37" descr="invisible_space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2" name="Picture 38" descr="invisible_space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3" name="Picture 39" descr="invisible_space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4" name="Picture 40" descr="invisible_space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5" name="Picture 41" descr="invisible_space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6" name="Picture 42" descr="invisible_space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7" name="Picture 43" descr="invisible_space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8" name="Picture 44" descr="invisible_space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9" name="Picture 45" descr="invisible_space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52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0" name="Picture 1" descr="invisible_space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1" name="Picture 2" descr="invisible_space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2" name="Picture 3" descr="invisible_space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3" name="Picture 4" descr="invisible_space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4" name="Picture 5" descr="invisible_space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5" name="Picture 6" descr="invisible_space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6" name="Picture 7" descr="invisible_space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7" name="Picture 8" descr="invisible_space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8" name="Picture 9" descr="invisible_space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9" name="Picture 10" descr="invisible_space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0" name="Picture 11" descr="invisible_space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1" name="Picture 12" descr="invisible_space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2" name="Picture 13" descr="invisible_space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3" name="Picture 14" descr="invisible_space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4" name="Picture 15" descr="invisible_space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5" name="Picture 16" descr="invisible_space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6" name="Picture 17" descr="invisible_space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7" name="Picture 18" descr="invisible_space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8" name="Picture 19" descr="invisible_space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9" name="Picture 20" descr="invisible_space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0" name="Picture 21" descr="invisible_space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1" name="Picture 22" descr="invisible_space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2" name="Picture 24" descr="invisible_space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3" name="Picture 25" descr="invisible_space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4" name="Picture 26" descr="invisible_space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5" name="Picture 27" descr="invisible_space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6" name="Picture 28" descr="invisible_space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7" name="Picture 29" descr="invisible_space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8" name="Picture 30" descr="invisible_space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9" name="Picture 31" descr="invisible_space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0" name="Picture 32" descr="invisible_space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1" name="Picture 33" descr="invisible_space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2" name="Picture 34" descr="invisible_space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3" name="Picture 35" descr="invisible_space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4" name="Picture 36" descr="invisible_space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5" name="Picture 37" descr="invisible_space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6" name="Picture 38" descr="invisible_space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7" name="Picture 39" descr="invisible_space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8" name="Picture 40" descr="invisible_space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9" name="Picture 41" descr="invisible_space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50" name="Picture 42" descr="invisible_space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51" name="Picture 43" descr="invisible_space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52" name="Picture 44" descr="invisible_space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53" name="Picture 45" descr="invisible_space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4" name="Picture 1" descr="invisible_space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5" name="Picture 2" descr="invisible_space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6" name="Picture 3" descr="invisible_space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7" name="Picture 4" descr="invisible_space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8" name="Picture 5" descr="invisible_space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9" name="Picture 6" descr="invisible_space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0" name="Picture 7" descr="invisible_space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1" name="Picture 8" descr="invisible_space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2" name="Picture 9" descr="invisible_space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3" name="Picture 10" descr="invisible_space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4" name="Picture 11" descr="invisible_space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5" name="Picture 12" descr="invisible_space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6" name="Picture 13" descr="invisible_space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7" name="Picture 14" descr="invisible_space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8" name="Picture 15" descr="invisible_space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9" name="Picture 16" descr="invisible_space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0" name="Picture 17" descr="invisible_space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1" name="Picture 18" descr="invisible_space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2" name="Picture 19" descr="invisible_space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3" name="Picture 20" descr="invisible_space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4" name="Picture 21" descr="invisible_space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5" name="Picture 22" descr="invisible_space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6" name="Picture 24" descr="invisible_space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7" name="Picture 25" descr="invisible_space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8" name="Picture 26" descr="invisible_space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9" name="Picture 27" descr="invisible_space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0" name="Picture 28" descr="invisible_space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1" name="Picture 29" descr="invisible_space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2" name="Picture 30" descr="invisible_space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3" name="Picture 31" descr="invisible_space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4" name="Picture 32" descr="invisible_space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5" name="Picture 33" descr="invisible_space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6" name="Picture 34" descr="invisible_space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7" name="Picture 35" descr="invisible_space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8" name="Picture 36" descr="invisible_space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9" name="Picture 37" descr="invisible_space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0" name="Picture 38" descr="invisible_space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1" name="Picture 39" descr="invisible_space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2" name="Picture 40" descr="invisible_space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3" name="Picture 41" descr="invisible_space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4" name="Picture 42" descr="invisible_space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5" name="Picture 43" descr="invisible_space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6" name="Picture 44" descr="invisible_space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7" name="Picture 45" descr="invisible_space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8" name="Picture 1" descr="invisible_space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9" name="Picture 2" descr="invisible_space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0" name="Picture 3" descr="invisible_space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1" name="Picture 4" descr="invisible_space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2" name="Picture 5" descr="invisible_space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3" name="Picture 6" descr="invisible_space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4" name="Picture 7" descr="invisible_space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5" name="Picture 8" descr="invisible_space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6" name="Picture 9" descr="invisible_space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7" name="Picture 10" descr="invisible_space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8" name="Picture 11" descr="invisible_space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9" name="Picture 12" descr="invisible_space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0" name="Picture 13" descr="invisible_space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1" name="Picture 14" descr="invisible_space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2" name="Picture 15" descr="invisible_space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3" name="Picture 16" descr="invisible_space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4" name="Picture 17" descr="invisible_space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5" name="Picture 18" descr="invisible_space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6" name="Picture 19" descr="invisible_space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7" name="Picture 20" descr="invisible_space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8" name="Picture 21" descr="invisible_space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9" name="Picture 22" descr="invisible_space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0" name="Picture 24" descr="invisible_space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1" name="Picture 25" descr="invisible_space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2" name="Picture 26" descr="invisible_space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3" name="Picture 27" descr="invisible_space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4" name="Picture 28" descr="invisible_space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5" name="Picture 29" descr="invisible_space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6" name="Picture 30" descr="invisible_space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7" name="Picture 31" descr="invisible_space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8" name="Picture 32" descr="invisible_space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9" name="Picture 33" descr="invisible_space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0" name="Picture 34" descr="invisible_space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1" name="Picture 35" descr="invisible_space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2" name="Picture 36" descr="invisible_space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3" name="Picture 37" descr="invisible_space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4" name="Picture 38" descr="invisible_space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5" name="Picture 39" descr="invisible_space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6" name="Picture 40" descr="invisible_space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7" name="Picture 41" descr="invisible_space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8" name="Picture 42" descr="invisible_space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9" name="Picture 43" descr="invisible_space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40" name="Picture 44" descr="invisible_space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41" name="Picture 45" descr="invisible_space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2" name="Picture 1" descr="invisible_space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3" name="Picture 2" descr="invisible_space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4" name="Picture 3" descr="invisible_space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5" name="Picture 4" descr="invisible_space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6" name="Picture 5" descr="invisible_space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7" name="Picture 6" descr="invisible_space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8" name="Picture 7" descr="invisible_space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9" name="Picture 8" descr="invisible_space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0" name="Picture 9" descr="invisible_space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1" name="Picture 10" descr="invisible_space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2" name="Picture 11" descr="invisible_space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3" name="Picture 12" descr="invisible_space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4" name="Picture 13" descr="invisible_space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5" name="Picture 14" descr="invisible_space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6" name="Picture 15" descr="invisible_space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7" name="Picture 16" descr="invisible_space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8" name="Picture 17" descr="invisible_space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9" name="Picture 18" descr="invisible_space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0" name="Picture 19" descr="invisible_space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1" name="Picture 20" descr="invisible_space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2" name="Picture 21" descr="invisible_space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3" name="Picture 22" descr="invisible_space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4" name="Picture 24" descr="invisible_space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5" name="Picture 25" descr="invisible_space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6" name="Picture 26" descr="invisible_space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7" name="Picture 27" descr="invisible_space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8" name="Picture 28" descr="invisible_space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9" name="Picture 29" descr="invisible_space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0" name="Picture 30" descr="invisible_space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1" name="Picture 31" descr="invisible_space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2" name="Picture 32" descr="invisible_space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3" name="Picture 33" descr="invisible_space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4" name="Picture 34" descr="invisible_space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5" name="Picture 35" descr="invisible_space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6" name="Picture 36" descr="invisible_space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7" name="Picture 37" descr="invisible_space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8" name="Picture 38" descr="invisible_space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9" name="Picture 39" descr="invisible_space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0" name="Picture 40" descr="invisible_space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1" name="Picture 41" descr="invisible_space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2" name="Picture 42" descr="invisible_space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3" name="Picture 43" descr="invisible_space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4" name="Picture 44" descr="invisible_space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5" name="Picture 45" descr="invisible_space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0" name="Picture 969" descr="invisible_space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1" name="Picture 970" descr="invisible_space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2" name="Picture 971" descr="invisible_space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3" name="Picture 972" descr="invisible_space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4" name="Picture 973" descr="invisible_space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5" name="Picture 974" descr="invisible_space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6" name="Picture 975" descr="invisible_space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7" name="Picture 976" descr="invisible_space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8" name="Picture 977" descr="invisible_space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79" name="Picture 978" descr="invisible_space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0" name="Picture 979" descr="invisible_space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1" name="Picture 980" descr="invisible_space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2" name="Picture 981" descr="invisible_space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3" name="Picture 982" descr="invisible_space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4" name="Picture 983" descr="invisible_space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5" name="Picture 984" descr="invisible_space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6" name="Picture 985" descr="invisible_space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7" name="Picture 986" descr="invisible_space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8" name="Picture 987" descr="invisible_space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89" name="Picture 988" descr="invisible_space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0" name="Picture 989" descr="invisible_space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1" name="Picture 990" descr="invisible_space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2" name="Picture 24" descr="invisible_space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3" name="Picture 25" descr="invisible_space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4" name="Picture 26" descr="invisible_space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5" name="Picture 27" descr="invisible_space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6" name="Picture 28" descr="invisible_space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7" name="Picture 29" descr="invisible_space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8" name="Picture 30" descr="invisible_space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99" name="Picture 31" descr="invisible_space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0" name="Picture 32" descr="invisible_space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1" name="Picture 33" descr="invisible_space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2" name="Picture 34" descr="invisible_space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3" name="Picture 35" descr="invisible_space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4" name="Picture 36" descr="invisible_space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5" name="Picture 37" descr="invisible_space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6" name="Picture 38" descr="invisible_space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7" name="Picture 39" descr="invisible_space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8" name="Picture 40" descr="invisible_space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09" name="Picture 41" descr="invisible_space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0" name="Picture 42" descr="invisible_space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1" name="Picture 43" descr="invisible_space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2" name="Picture 44" descr="invisible_space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3" name="Picture 45" descr="invisible_space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4" name="Picture 1" descr="invisible_space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5" name="Picture 2" descr="invisible_space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6" name="Picture 3" descr="invisible_space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7" name="Picture 4" descr="invisible_space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8" name="Picture 5" descr="invisible_space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19" name="Picture 6" descr="invisible_space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0" name="Picture 7" descr="invisible_space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1" name="Picture 8" descr="invisible_space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2" name="Picture 9" descr="invisible_space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3" name="Picture 10" descr="invisible_space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4" name="Picture 11" descr="invisible_space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5" name="Picture 12" descr="invisible_space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6" name="Picture 13" descr="invisible_space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7" name="Picture 14" descr="invisible_space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8" name="Picture 15" descr="invisible_space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29" name="Picture 16" descr="invisible_space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0" name="Picture 17" descr="invisible_space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1" name="Picture 18" descr="invisible_space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2" name="Picture 19" descr="invisible_space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3" name="Picture 20" descr="invisible_space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4" name="Picture 21" descr="invisible_space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5" name="Picture 22" descr="invisible_space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6" name="Picture 24" descr="invisible_space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7" name="Picture 25" descr="invisible_space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8" name="Picture 26" descr="invisible_space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39" name="Picture 27" descr="invisible_space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0" name="Picture 28" descr="invisible_space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1" name="Picture 29" descr="invisible_space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2" name="Picture 30" descr="invisible_space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3" name="Picture 31" descr="invisible_space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4" name="Picture 32" descr="invisible_space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5" name="Picture 33" descr="invisible_space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6" name="Picture 34" descr="invisible_space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7" name="Picture 35" descr="invisible_space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8" name="Picture 36" descr="invisible_space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49" name="Picture 37" descr="invisible_space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0" name="Picture 38" descr="invisible_space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1" name="Picture 39" descr="invisible_space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2" name="Picture 40" descr="invisible_space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3" name="Picture 41" descr="invisible_space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4" name="Picture 42" descr="invisible_space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5" name="Picture 43" descr="invisible_space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6" name="Picture 44" descr="invisible_space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7" name="Picture 45" descr="invisible_space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8" name="Picture 1" descr="invisible_space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59" name="Picture 2" descr="invisible_space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0" name="Picture 3" descr="invisible_space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1" name="Picture 4" descr="invisible_space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2" name="Picture 5" descr="invisible_space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3" name="Picture 6" descr="invisible_space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4" name="Picture 7" descr="invisible_space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5" name="Picture 8" descr="invisible_space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6" name="Picture 9" descr="invisible_space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7" name="Picture 10" descr="invisible_space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8" name="Picture 11" descr="invisible_space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69" name="Picture 12" descr="invisible_space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0" name="Picture 13" descr="invisible_space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1" name="Picture 14" descr="invisible_space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2" name="Picture 15" descr="invisible_space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3" name="Picture 16" descr="invisible_space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4" name="Picture 17" descr="invisible_space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5" name="Picture 18" descr="invisible_space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6" name="Picture 19" descr="invisible_space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7" name="Picture 20" descr="invisible_space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8" name="Picture 21" descr="invisible_space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79" name="Picture 22" descr="invisible_space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0" name="Picture 24" descr="invisible_space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1" name="Picture 25" descr="invisible_space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2" name="Picture 26" descr="invisible_space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3" name="Picture 27" descr="invisible_space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4" name="Picture 28" descr="invisible_space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5" name="Picture 29" descr="invisible_space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6" name="Picture 30" descr="invisible_space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7" name="Picture 31" descr="invisible_space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8" name="Picture 32" descr="invisible_space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89" name="Picture 33" descr="invisible_space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0" name="Picture 34" descr="invisible_space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1" name="Picture 35" descr="invisible_space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2" name="Picture 36" descr="invisible_space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3" name="Picture 37" descr="invisible_space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4" name="Picture 38" descr="invisible_space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5" name="Picture 39" descr="invisible_space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6" name="Picture 40" descr="invisible_space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7" name="Picture 41" descr="invisible_space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8" name="Picture 42" descr="invisible_space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099" name="Picture 43" descr="invisible_space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0" name="Picture 44" descr="invisible_space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1" name="Picture 45" descr="invisible_space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2" name="Picture 1" descr="invisible_space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3" name="Picture 2" descr="invisible_space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4" name="Picture 3" descr="invisible_space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5" name="Picture 4" descr="invisible_space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6" name="Picture 5" descr="invisible_space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7" name="Picture 6" descr="invisible_space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8" name="Picture 7" descr="invisible_space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09" name="Picture 8" descr="invisible_space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0" name="Picture 9" descr="invisible_space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1" name="Picture 10" descr="invisible_space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2" name="Picture 11" descr="invisible_space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3" name="Picture 12" descr="invisible_space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4" name="Picture 13" descr="invisible_space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5" name="Picture 14" descr="invisible_space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6" name="Picture 15" descr="invisible_space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7" name="Picture 16" descr="invisible_space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8" name="Picture 17" descr="invisible_space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19" name="Picture 18" descr="invisible_space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0" name="Picture 19" descr="invisible_space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1" name="Picture 20" descr="invisible_space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2" name="Picture 21" descr="invisible_space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3" name="Picture 22" descr="invisible_space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4" name="Picture 24" descr="invisible_space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5" name="Picture 25" descr="invisible_space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6" name="Picture 26" descr="invisible_space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7" name="Picture 27" descr="invisible_space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8" name="Picture 28" descr="invisible_space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29" name="Picture 29" descr="invisible_space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0" name="Picture 30" descr="invisible_space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1" name="Picture 31" descr="invisible_space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2" name="Picture 32" descr="invisible_space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3" name="Picture 33" descr="invisible_space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4" name="Picture 34" descr="invisible_space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5" name="Picture 35" descr="invisible_space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6" name="Picture 36" descr="invisible_space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7" name="Picture 37" descr="invisible_space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8" name="Picture 38" descr="invisible_space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39" name="Picture 39" descr="invisible_space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0" name="Picture 40" descr="invisible_space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1" name="Picture 41" descr="invisible_space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2" name="Picture 42" descr="invisible_space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3" name="Picture 43" descr="invisible_space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4" name="Picture 44" descr="invisible_space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5" name="Picture 45" descr="invisible_space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6" name="Picture 1" descr="invisible_space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7" name="Picture 2" descr="invisible_space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8" name="Picture 3" descr="invisible_space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49" name="Picture 4" descr="invisible_space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0" name="Picture 5" descr="invisible_space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1" name="Picture 6" descr="invisible_space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2" name="Picture 7" descr="invisible_space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3" name="Picture 8" descr="invisible_space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4" name="Picture 9" descr="invisible_space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5" name="Picture 10" descr="invisible_space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6" name="Picture 11" descr="invisible_space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7" name="Picture 12" descr="invisible_space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8" name="Picture 13" descr="invisible_space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59" name="Picture 14" descr="invisible_space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0" name="Picture 15" descr="invisible_space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1" name="Picture 16" descr="invisible_space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2" name="Picture 17" descr="invisible_space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3" name="Picture 18" descr="invisible_space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4" name="Picture 19" descr="invisible_space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5" name="Picture 20" descr="invisible_space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6" name="Picture 21" descr="invisible_space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7" name="Picture 22" descr="invisible_space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8" name="Picture 24" descr="invisible_space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69" name="Picture 25" descr="invisible_space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0" name="Picture 26" descr="invisible_space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1" name="Picture 27" descr="invisible_space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2" name="Picture 28" descr="invisible_space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3" name="Picture 29" descr="invisible_space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4" name="Picture 30" descr="invisible_space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5" name="Picture 31" descr="invisible_space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6" name="Picture 32" descr="invisible_space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7" name="Picture 33" descr="invisible_space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8" name="Picture 34" descr="invisible_space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79" name="Picture 35" descr="invisible_space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0" name="Picture 36" descr="invisible_space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1" name="Picture 37" descr="invisible_space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2" name="Picture 38" descr="invisible_space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3" name="Picture 39" descr="invisible_space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4" name="Picture 40" descr="invisible_space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5" name="Picture 41" descr="invisible_space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6" name="Picture 42" descr="invisible_space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7" name="Picture 43" descr="invisible_space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8" name="Picture 44" descr="invisible_space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89" name="Picture 45" descr="invisible_space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0" name="Picture 1" descr="invisible_space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1" name="Picture 2" descr="invisible_space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2" name="Picture 3" descr="invisible_space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3" name="Picture 4" descr="invisible_space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4" name="Picture 5" descr="invisible_space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5" name="Picture 6" descr="invisible_space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6" name="Picture 7" descr="invisible_space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7" name="Picture 8" descr="invisible_space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8" name="Picture 9" descr="invisible_space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199" name="Picture 10" descr="invisible_space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0" name="Picture 11" descr="invisible_space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1" name="Picture 12" descr="invisible_space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2" name="Picture 13" descr="invisible_space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3" name="Picture 14" descr="invisible_space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4" name="Picture 15" descr="invisible_space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5" name="Picture 16" descr="invisible_space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6" name="Picture 17" descr="invisible_space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7" name="Picture 18" descr="invisible_space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8" name="Picture 19" descr="invisible_space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09" name="Picture 20" descr="invisible_space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0" name="Picture 21" descr="invisible_space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1" name="Picture 22" descr="invisible_space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2" name="Picture 24" descr="invisible_space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3" name="Picture 25" descr="invisible_space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4" name="Picture 26" descr="invisible_space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5" name="Picture 27" descr="invisible_space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6" name="Picture 28" descr="invisible_space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7" name="Picture 29" descr="invisible_space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8" name="Picture 30" descr="invisible_space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19" name="Picture 31" descr="invisible_space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0" name="Picture 32" descr="invisible_space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1" name="Picture 33" descr="invisible_space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2" name="Picture 34" descr="invisible_space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3" name="Picture 35" descr="invisible_space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4" name="Picture 36" descr="invisible_space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5" name="Picture 37" descr="invisible_space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6" name="Picture 38" descr="invisible_space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7" name="Picture 39" descr="invisible_space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8" name="Picture 40" descr="invisible_space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29" name="Picture 41" descr="invisible_space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0" name="Picture 42" descr="invisible_space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1" name="Picture 43" descr="invisible_space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2" name="Picture 44" descr="invisible_space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3" name="Picture 45" descr="invisible_space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4" name="Picture 1" descr="invisible_space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5" name="Picture 2" descr="invisible_space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6" name="Picture 3" descr="invisible_space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7" name="Picture 4" descr="invisible_space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8" name="Picture 5" descr="invisible_space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39" name="Picture 6" descr="invisible_space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0" name="Picture 7" descr="invisible_space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1" name="Picture 8" descr="invisible_space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2" name="Picture 9" descr="invisible_space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3" name="Picture 10" descr="invisible_space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4" name="Picture 11" descr="invisible_space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5" name="Picture 12" descr="invisible_space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6" name="Picture 13" descr="invisible_space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7" name="Picture 14" descr="invisible_space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8" name="Picture 15" descr="invisible_space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49" name="Picture 16" descr="invisible_space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0" name="Picture 17" descr="invisible_space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1" name="Picture 18" descr="invisible_space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2" name="Picture 19" descr="invisible_space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3" name="Picture 20" descr="invisible_space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4" name="Picture 21" descr="invisible_space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5" name="Picture 22" descr="invisible_space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6" name="Picture 24" descr="invisible_space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7" name="Picture 25" descr="invisible_space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8" name="Picture 26" descr="invisible_space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59" name="Picture 27" descr="invisible_space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0" name="Picture 28" descr="invisible_space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1" name="Picture 29" descr="invisible_space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2" name="Picture 30" descr="invisible_space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3" name="Picture 31" descr="invisible_space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4" name="Picture 32" descr="invisible_space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5" name="Picture 33" descr="invisible_space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6" name="Picture 34" descr="invisible_space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7" name="Picture 35" descr="invisible_space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8" name="Picture 36" descr="invisible_space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69" name="Picture 37" descr="invisible_space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70" name="Picture 38" descr="invisible_space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71" name="Picture 39" descr="invisible_space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72" name="Picture 40" descr="invisible_space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73" name="Picture 41" descr="invisible_space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74" name="Picture 42" descr="invisible_space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75" name="Picture 43" descr="invisible_space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76" name="Picture 44" descr="invisible_space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277" name="Picture 45" descr="invisible_space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78" name="Picture 1" descr="invisible_space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79" name="Picture 2" descr="invisible_space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0" name="Picture 3" descr="invisible_space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1" name="Picture 4" descr="invisible_space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2" name="Picture 5" descr="invisible_space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3" name="Picture 6" descr="invisible_space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4" name="Picture 7" descr="invisible_space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5" name="Picture 8" descr="invisible_space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6" name="Picture 9" descr="invisible_space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7" name="Picture 10" descr="invisible_space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8" name="Picture 11" descr="invisible_space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89" name="Picture 12" descr="invisible_space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0" name="Picture 13" descr="invisible_space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1" name="Picture 14" descr="invisible_space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2" name="Picture 15" descr="invisible_space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3" name="Picture 16" descr="invisible_space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4" name="Picture 17" descr="invisible_space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5" name="Picture 18" descr="invisible_space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6" name="Picture 19" descr="invisible_space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7" name="Picture 20" descr="invisible_space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8" name="Picture 21" descr="invisible_space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299" name="Picture 22" descr="invisible_space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0" name="Picture 24" descr="invisible_space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1" name="Picture 25" descr="invisible_space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2" name="Picture 26" descr="invisible_space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3" name="Picture 27" descr="invisible_space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4" name="Picture 28" descr="invisible_space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5" name="Picture 29" descr="invisible_space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6" name="Picture 30" descr="invisible_space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7" name="Picture 31" descr="invisible_space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8" name="Picture 32" descr="invisible_space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09" name="Picture 33" descr="invisible_space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0" name="Picture 34" descr="invisible_space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1" name="Picture 35" descr="invisible_space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2" name="Picture 36" descr="invisible_space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3" name="Picture 37" descr="invisible_space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4" name="Picture 38" descr="invisible_space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5" name="Picture 39" descr="invisible_space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6" name="Picture 40" descr="invisible_space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7" name="Picture 41" descr="invisible_space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8" name="Picture 42" descr="invisible_space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19" name="Picture 43" descr="invisible_space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20" name="Picture 44" descr="invisible_space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321" name="Picture 45" descr="invisible_space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4314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22" name="Picture 1" descr="invisible_space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23" name="Picture 2" descr="invisible_space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24" name="Picture 3" descr="invisible_space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25" name="Picture 4" descr="invisible_space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26" name="Picture 5" descr="invisible_space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27" name="Picture 6" descr="invisible_space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28" name="Picture 7" descr="invisible_space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29" name="Picture 8" descr="invisible_space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0" name="Picture 9" descr="invisible_space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1" name="Picture 10" descr="invisible_space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2" name="Picture 11" descr="invisible_space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3" name="Picture 12" descr="invisible_space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4" name="Picture 13" descr="invisible_space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5" name="Picture 14" descr="invisible_space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6" name="Picture 15" descr="invisible_space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7" name="Picture 16" descr="invisible_space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8" name="Picture 17" descr="invisible_space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39" name="Picture 18" descr="invisible_space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0" name="Picture 19" descr="invisible_space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1" name="Picture 20" descr="invisible_space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2" name="Picture 21" descr="invisible_space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3" name="Picture 22" descr="invisible_space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4" name="Picture 24" descr="invisible_space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5" name="Picture 25" descr="invisible_space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6" name="Picture 26" descr="invisible_space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7" name="Picture 27" descr="invisible_space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8" name="Picture 28" descr="invisible_space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49" name="Picture 29" descr="invisible_space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0" name="Picture 30" descr="invisible_space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1" name="Picture 31" descr="invisible_space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2" name="Picture 32" descr="invisible_space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3" name="Picture 33" descr="invisible_space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4" name="Picture 34" descr="invisible_space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5" name="Picture 35" descr="invisible_space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6" name="Picture 36" descr="invisible_space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7" name="Picture 37" descr="invisible_space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8" name="Picture 38" descr="invisible_space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59" name="Picture 39" descr="invisible_space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0" name="Picture 40" descr="invisible_space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1" name="Picture 41" descr="invisible_space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2" name="Picture 42" descr="invisible_space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3" name="Picture 43" descr="invisible_space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4" name="Picture 44" descr="invisible_space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5" name="Picture 45" descr="invisible_space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6" name="Picture 1" descr="invisible_space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7" name="Picture 2" descr="invisible_space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8" name="Picture 3" descr="invisible_space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69" name="Picture 4" descr="invisible_space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0" name="Picture 5" descr="invisible_space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1" name="Picture 6" descr="invisible_space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2" name="Picture 7" descr="invisible_space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3" name="Picture 8" descr="invisible_space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4" name="Picture 9" descr="invisible_space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5" name="Picture 10" descr="invisible_space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6" name="Picture 11" descr="invisible_space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7" name="Picture 12" descr="invisible_space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8" name="Picture 13" descr="invisible_space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79" name="Picture 14" descr="invisible_space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0" name="Picture 15" descr="invisible_space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1" name="Picture 16" descr="invisible_space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2" name="Picture 17" descr="invisible_space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3" name="Picture 18" descr="invisible_space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4" name="Picture 19" descr="invisible_space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5" name="Picture 20" descr="invisible_space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6" name="Picture 21" descr="invisible_space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7" name="Picture 22" descr="invisible_space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8" name="Picture 24" descr="invisible_space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89" name="Picture 25" descr="invisible_space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0" name="Picture 26" descr="invisible_space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1" name="Picture 27" descr="invisible_space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2" name="Picture 28" descr="invisible_space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3" name="Picture 29" descr="invisible_space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4" name="Picture 30" descr="invisible_space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5" name="Picture 31" descr="invisible_space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6" name="Picture 32" descr="invisible_space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7" name="Picture 33" descr="invisible_space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8" name="Picture 34" descr="invisible_space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399" name="Picture 35" descr="invisible_space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0" name="Picture 36" descr="invisible_space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1" name="Picture 37" descr="invisible_space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2" name="Picture 38" descr="invisible_space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3" name="Picture 39" descr="invisible_space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4" name="Picture 40" descr="invisible_space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5" name="Picture 41" descr="invisible_space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6" name="Picture 42" descr="invisible_space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7" name="Picture 43" descr="invisible_space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8" name="Picture 44" descr="invisible_space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1409" name="Picture 45" descr="invisible_space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0" name="Picture 1" descr="invisible_space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1" name="Picture 2" descr="invisible_space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2" name="Picture 3" descr="invisible_space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3" name="Picture 4" descr="invisible_space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4" name="Picture 5" descr="invisible_space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5" name="Picture 6" descr="invisible_space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6" name="Picture 7" descr="invisible_space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7" name="Picture 8" descr="invisible_space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8" name="Picture 9" descr="invisible_space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19" name="Picture 10" descr="invisible_space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0" name="Picture 11" descr="invisible_space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1" name="Picture 12" descr="invisible_space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2" name="Picture 13" descr="invisible_space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3" name="Picture 14" descr="invisible_space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4" name="Picture 15" descr="invisible_space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5" name="Picture 16" descr="invisible_space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6" name="Picture 17" descr="invisible_space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7" name="Picture 18" descr="invisible_space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8" name="Picture 19" descr="invisible_space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29" name="Picture 20" descr="invisible_space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0" name="Picture 21" descr="invisible_space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1" name="Picture 22" descr="invisible_space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2" name="Picture 24" descr="invisible_space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3" name="Picture 25" descr="invisible_space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4" name="Picture 26" descr="invisible_space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5" name="Picture 27" descr="invisible_space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6" name="Picture 28" descr="invisible_space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7" name="Picture 29" descr="invisible_space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8" name="Picture 30" descr="invisible_space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39" name="Picture 31" descr="invisible_space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0" name="Picture 32" descr="invisible_space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1" name="Picture 33" descr="invisible_space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2" name="Picture 34" descr="invisible_space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3" name="Picture 35" descr="invisible_space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4" name="Picture 36" descr="invisible_space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5" name="Picture 37" descr="invisible_space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6" name="Picture 38" descr="invisible_space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7" name="Picture 39" descr="invisible_space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8" name="Picture 40" descr="invisible_space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49" name="Picture 41" descr="invisible_space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50" name="Picture 42" descr="invisible_space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51" name="Picture 43" descr="invisible_space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52" name="Picture 44" descr="invisible_space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453" name="Picture 45" descr="invisible_space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33617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4" name="Picture 1453" descr="invisible_space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5" name="Picture 1454" descr="invisible_space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6" name="Picture 1455" descr="invisible_space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7" name="Picture 1456" descr="invisible_space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8" name="Picture 1457" descr="invisible_space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9" name="Picture 1458" descr="invisible_space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0" name="Picture 1459" descr="invisible_space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1" name="Picture 1460" descr="invisible_space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2" name="Picture 1461" descr="invisible_space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3" name="Picture 1462" descr="invisible_space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4" name="Picture 1463" descr="invisible_space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5" name="Picture 1464" descr="invisible_space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6" name="Picture 1465" descr="invisible_space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7" name="Picture 1466" descr="invisible_space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8" name="Picture 1467" descr="invisible_space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69" name="Picture 1468" descr="invisible_space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0" name="Picture 1469" descr="invisible_space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1" name="Picture 1470" descr="invisible_space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2" name="Picture 1471" descr="invisible_space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3" name="Picture 1472" descr="invisible_space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4" name="Picture 1473" descr="invisible_space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5" name="Picture 1474" descr="invisible_space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6" name="Picture 24" descr="invisible_space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7" name="Picture 25" descr="invisible_space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8" name="Picture 26" descr="invisible_space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79" name="Picture 27" descr="invisible_space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0" name="Picture 28" descr="invisible_space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1" name="Picture 29" descr="invisible_space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2" name="Picture 30" descr="invisible_space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3" name="Picture 31" descr="invisible_space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4" name="Picture 32" descr="invisible_space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5" name="Picture 33" descr="invisible_space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6" name="Picture 34" descr="invisible_space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7" name="Picture 35" descr="invisible_space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8" name="Picture 36" descr="invisible_space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89" name="Picture 37" descr="invisible_space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0" name="Picture 38" descr="invisible_space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1" name="Picture 39" descr="invisible_space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2" name="Picture 40" descr="invisible_space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3" name="Picture 41" descr="invisible_space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4" name="Picture 42" descr="invisible_space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5" name="Picture 43" descr="invisible_space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6" name="Picture 44" descr="invisible_space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7" name="Picture 45" descr="invisible_space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8" name="Picture 1" descr="invisible_space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99" name="Picture 2" descr="invisible_space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0" name="Picture 3" descr="invisible_space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1" name="Picture 4" descr="invisible_space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2" name="Picture 5" descr="invisible_space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3" name="Picture 6" descr="invisible_space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4" name="Picture 7" descr="invisible_space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5" name="Picture 8" descr="invisible_space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6" name="Picture 9" descr="invisible_space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7" name="Picture 10" descr="invisible_space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8" name="Picture 11" descr="invisible_space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09" name="Picture 12" descr="invisible_space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0" name="Picture 13" descr="invisible_space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1" name="Picture 14" descr="invisible_space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2" name="Picture 15" descr="invisible_space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3" name="Picture 16" descr="invisible_space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4" name="Picture 17" descr="invisible_space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5" name="Picture 18" descr="invisible_space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6" name="Picture 19" descr="invisible_space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7" name="Picture 20" descr="invisible_space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8" name="Picture 21" descr="invisible_space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19" name="Picture 22" descr="invisible_space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0" name="Picture 24" descr="invisible_space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1" name="Picture 25" descr="invisible_space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2" name="Picture 26" descr="invisible_space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3" name="Picture 27" descr="invisible_space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4" name="Picture 28" descr="invisible_space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5" name="Picture 29" descr="invisible_space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6" name="Picture 30" descr="invisible_space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7" name="Picture 31" descr="invisible_space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8" name="Picture 32" descr="invisible_space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29" name="Picture 33" descr="invisible_space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0" name="Picture 34" descr="invisible_space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1" name="Picture 35" descr="invisible_space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2" name="Picture 36" descr="invisible_space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3" name="Picture 37" descr="invisible_space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4" name="Picture 38" descr="invisible_space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5" name="Picture 39" descr="invisible_space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6" name="Picture 40" descr="invisible_space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7" name="Picture 41" descr="invisible_space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8" name="Picture 42" descr="invisible_space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39" name="Picture 43" descr="invisible_space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0" name="Picture 44" descr="invisible_space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1" name="Picture 45" descr="invisible_space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2" name="Picture 1" descr="invisible_space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3" name="Picture 2" descr="invisible_space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4" name="Picture 3" descr="invisible_space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5" name="Picture 4" descr="invisible_space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6" name="Picture 5" descr="invisible_space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7" name="Picture 6" descr="invisible_space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8" name="Picture 7" descr="invisible_space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49" name="Picture 8" descr="invisible_space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0" name="Picture 9" descr="invisible_space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1" name="Picture 10" descr="invisible_space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2" name="Picture 11" descr="invisible_space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3" name="Picture 12" descr="invisible_space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4" name="Picture 13" descr="invisible_space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5" name="Picture 14" descr="invisible_space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6" name="Picture 15" descr="invisible_space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7" name="Picture 16" descr="invisible_space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8" name="Picture 17" descr="invisible_space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59" name="Picture 18" descr="invisible_space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0" name="Picture 19" descr="invisible_space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1" name="Picture 20" descr="invisible_space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2" name="Picture 21" descr="invisible_space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3" name="Picture 22" descr="invisible_space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4" name="Picture 24" descr="invisible_space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5" name="Picture 25" descr="invisible_space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6" name="Picture 26" descr="invisible_space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7" name="Picture 27" descr="invisible_space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8" name="Picture 28" descr="invisible_space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69" name="Picture 29" descr="invisible_space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0" name="Picture 30" descr="invisible_space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1" name="Picture 31" descr="invisible_space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2" name="Picture 32" descr="invisible_space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3" name="Picture 33" descr="invisible_space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4" name="Picture 34" descr="invisible_space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5" name="Picture 35" descr="invisible_space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6" name="Picture 36" descr="invisible_space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7" name="Picture 37" descr="invisible_space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8" name="Picture 38" descr="invisible_space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79" name="Picture 39" descr="invisible_space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0" name="Picture 40" descr="invisible_space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1" name="Picture 41" descr="invisible_space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2" name="Picture 42" descr="invisible_space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3" name="Picture 43" descr="invisible_space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4" name="Picture 44" descr="invisible_space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5" name="Picture 45" descr="invisible_space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6" name="Picture 1" descr="invisible_space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7" name="Picture 2" descr="invisible_space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8" name="Picture 3" descr="invisible_space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89" name="Picture 4" descr="invisible_space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0" name="Picture 5" descr="invisible_space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1" name="Picture 6" descr="invisible_space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2" name="Picture 7" descr="invisible_space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3" name="Picture 8" descr="invisible_space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4" name="Picture 9" descr="invisible_space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5" name="Picture 10" descr="invisible_space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6" name="Picture 11" descr="invisible_space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7" name="Picture 12" descr="invisible_space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8" name="Picture 13" descr="invisible_space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599" name="Picture 14" descr="invisible_space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0" name="Picture 15" descr="invisible_space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1" name="Picture 16" descr="invisible_space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2" name="Picture 17" descr="invisible_space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3" name="Picture 18" descr="invisible_space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4" name="Picture 19" descr="invisible_space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5" name="Picture 20" descr="invisible_space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6" name="Picture 21" descr="invisible_space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7" name="Picture 22" descr="invisible_space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8" name="Picture 24" descr="invisible_space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09" name="Picture 25" descr="invisible_space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0" name="Picture 26" descr="invisible_space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1" name="Picture 27" descr="invisible_space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2" name="Picture 28" descr="invisible_space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3" name="Picture 29" descr="invisible_space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4" name="Picture 30" descr="invisible_space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5" name="Picture 31" descr="invisible_space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6" name="Picture 32" descr="invisible_space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7" name="Picture 33" descr="invisible_space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8" name="Picture 34" descr="invisible_space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19" name="Picture 35" descr="invisible_space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0" name="Picture 36" descr="invisible_space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1" name="Picture 37" descr="invisible_space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2" name="Picture 38" descr="invisible_space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3" name="Picture 39" descr="invisible_space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4" name="Picture 40" descr="invisible_space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5" name="Picture 41" descr="invisible_space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6" name="Picture 42" descr="invisible_space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7" name="Picture 43" descr="invisible_space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8" name="Picture 44" descr="invisible_space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29" name="Picture 45" descr="invisible_space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0" name="Picture 1" descr="invisible_space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1" name="Picture 2" descr="invisible_space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2" name="Picture 3" descr="invisible_space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3" name="Picture 4" descr="invisible_space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4" name="Picture 5" descr="invisible_space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5" name="Picture 6" descr="invisible_space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6" name="Picture 7" descr="invisible_space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7" name="Picture 8" descr="invisible_space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8" name="Picture 9" descr="invisible_space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39" name="Picture 10" descr="invisible_space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0" name="Picture 11" descr="invisible_space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1" name="Picture 12" descr="invisible_space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2" name="Picture 13" descr="invisible_space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3" name="Picture 14" descr="invisible_space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4" name="Picture 15" descr="invisible_space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5" name="Picture 16" descr="invisible_space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6" name="Picture 17" descr="invisible_space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7" name="Picture 18" descr="invisible_space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8" name="Picture 19" descr="invisible_space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49" name="Picture 20" descr="invisible_space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0" name="Picture 21" descr="invisible_space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1" name="Picture 22" descr="invisible_space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2" name="Picture 24" descr="invisible_space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3" name="Picture 25" descr="invisible_space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4" name="Picture 26" descr="invisible_space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5" name="Picture 27" descr="invisible_space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6" name="Picture 28" descr="invisible_space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7" name="Picture 29" descr="invisible_space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8" name="Picture 30" descr="invisible_space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59" name="Picture 31" descr="invisible_space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0" name="Picture 32" descr="invisible_space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1" name="Picture 33" descr="invisible_space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2" name="Picture 34" descr="invisible_space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3" name="Picture 35" descr="invisible_space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4" name="Picture 36" descr="invisible_space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5" name="Picture 37" descr="invisible_space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6" name="Picture 38" descr="invisible_space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7" name="Picture 39" descr="invisible_space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8" name="Picture 40" descr="invisible_space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69" name="Picture 41" descr="invisible_space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0" name="Picture 42" descr="invisible_space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1" name="Picture 43" descr="invisible_space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2" name="Picture 44" descr="invisible_space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3" name="Picture 45" descr="invisible_space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4" name="Picture 1" descr="invisible_space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5" name="Picture 2" descr="invisible_space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6" name="Picture 3" descr="invisible_space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7" name="Picture 4" descr="invisible_space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8" name="Picture 5" descr="invisible_space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79" name="Picture 6" descr="invisible_space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0" name="Picture 7" descr="invisible_space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1" name="Picture 8" descr="invisible_space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2" name="Picture 9" descr="invisible_space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3" name="Picture 10" descr="invisible_space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4" name="Picture 11" descr="invisible_space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5" name="Picture 12" descr="invisible_space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6" name="Picture 13" descr="invisible_space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7" name="Picture 14" descr="invisible_space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8" name="Picture 15" descr="invisible_space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89" name="Picture 16" descr="invisible_space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0" name="Picture 17" descr="invisible_space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1" name="Picture 18" descr="invisible_space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2" name="Picture 19" descr="invisible_space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3" name="Picture 20" descr="invisible_space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4" name="Picture 21" descr="invisible_space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5" name="Picture 22" descr="invisible_space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6" name="Picture 24" descr="invisible_space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7" name="Picture 25" descr="invisible_space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8" name="Picture 26" descr="invisible_space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699" name="Picture 27" descr="invisible_space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0" name="Picture 28" descr="invisible_space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1" name="Picture 29" descr="invisible_space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2" name="Picture 30" descr="invisible_space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3" name="Picture 31" descr="invisible_space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4" name="Picture 32" descr="invisible_space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5" name="Picture 33" descr="invisible_space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6" name="Picture 34" descr="invisible_space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7" name="Picture 35" descr="invisible_space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8" name="Picture 36" descr="invisible_space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09" name="Picture 37" descr="invisible_space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0" name="Picture 38" descr="invisible_space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1" name="Picture 39" descr="invisible_space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2" name="Picture 40" descr="invisible_space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3" name="Picture 41" descr="invisible_space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4" name="Picture 42" descr="invisible_space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5" name="Picture 43" descr="invisible_space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6" name="Picture 44" descr="invisible_space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7" name="Picture 45" descr="invisible_space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8" name="Picture 1" descr="invisible_space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9" name="Picture 2" descr="invisible_space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0" name="Picture 3" descr="invisible_space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1" name="Picture 4" descr="invisible_space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2" name="Picture 5" descr="invisible_space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3" name="Picture 6" descr="invisible_space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4" name="Picture 7" descr="invisible_space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5" name="Picture 8" descr="invisible_space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6" name="Picture 9" descr="invisible_space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7" name="Picture 10" descr="invisible_space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8" name="Picture 11" descr="invisible_space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9" name="Picture 12" descr="invisible_space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0" name="Picture 13" descr="invisible_space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1" name="Picture 14" descr="invisible_space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2" name="Picture 15" descr="invisible_space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3" name="Picture 16" descr="invisible_space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4" name="Picture 17" descr="invisible_space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5" name="Picture 18" descr="invisible_space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6" name="Picture 19" descr="invisible_space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7" name="Picture 20" descr="invisible_space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8" name="Picture 21" descr="invisible_space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9" name="Picture 22" descr="invisible_space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0" name="Picture 24" descr="invisible_space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1" name="Picture 25" descr="invisible_space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2" name="Picture 26" descr="invisible_space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3" name="Picture 27" descr="invisible_space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4" name="Picture 28" descr="invisible_space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5" name="Picture 29" descr="invisible_space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6" name="Picture 30" descr="invisible_space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7" name="Picture 31" descr="invisible_space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8" name="Picture 32" descr="invisible_space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9" name="Picture 33" descr="invisible_space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0" name="Picture 34" descr="invisible_space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1" name="Picture 35" descr="invisible_space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2" name="Picture 36" descr="invisible_space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3" name="Picture 37" descr="invisible_space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4" name="Picture 38" descr="invisible_space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5" name="Picture 39" descr="invisible_space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6" name="Picture 40" descr="invisible_space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7" name="Picture 41" descr="invisible_space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8" name="Picture 42" descr="invisible_space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9" name="Picture 43" descr="invisible_space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0" name="Picture 44" descr="invisible_space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1" name="Picture 45" descr="invisible_space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2" name="Picture 1" descr="invisible_space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3" name="Picture 2" descr="invisible_space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4" name="Picture 3" descr="invisible_space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5" name="Picture 4" descr="invisible_space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6" name="Picture 5" descr="invisible_space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7" name="Picture 6" descr="invisible_space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8" name="Picture 7" descr="invisible_space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9" name="Picture 8" descr="invisible_space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0" name="Picture 9" descr="invisible_space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1" name="Picture 10" descr="invisible_space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2" name="Picture 11" descr="invisible_space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3" name="Picture 12" descr="invisible_space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4" name="Picture 13" descr="invisible_space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5" name="Picture 14" descr="invisible_space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6" name="Picture 15" descr="invisible_space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7" name="Picture 16" descr="invisible_space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8" name="Picture 17" descr="invisible_space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9" name="Picture 18" descr="invisible_space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0" name="Picture 19" descr="invisible_space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1" name="Picture 20" descr="invisible_space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2" name="Picture 21" descr="invisible_space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3" name="Picture 22" descr="invisible_space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4" name="Picture 24" descr="invisible_space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5" name="Picture 25" descr="invisible_space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6" name="Picture 26" descr="invisible_space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7" name="Picture 27" descr="invisible_space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8" name="Picture 28" descr="invisible_space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9" name="Picture 29" descr="invisible_space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0" name="Picture 30" descr="invisible_space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1" name="Picture 31" descr="invisible_space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2" name="Picture 32" descr="invisible_space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3" name="Picture 33" descr="invisible_space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4" name="Picture 34" descr="invisible_space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5" name="Picture 35" descr="invisible_space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6" name="Picture 36" descr="invisible_space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7" name="Picture 37" descr="invisible_space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8" name="Picture 38" descr="invisible_space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9" name="Picture 39" descr="invisible_space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0" name="Picture 40" descr="invisible_space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1" name="Picture 41" descr="invisible_space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2" name="Picture 42" descr="invisible_space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3" name="Picture 43" descr="invisible_space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4" name="Picture 44" descr="invisible_space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5" name="Picture 45" descr="invisible_space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6" name="Picture 1" descr="invisible_space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7" name="Picture 2" descr="invisible_space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8" name="Picture 3" descr="invisible_space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9" name="Picture 4" descr="invisible_space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0" name="Picture 5" descr="invisible_space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1" name="Picture 6" descr="invisible_space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2" name="Picture 7" descr="invisible_space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3" name="Picture 8" descr="invisible_space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4" name="Picture 9" descr="invisible_space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5" name="Picture 10" descr="invisible_space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6" name="Picture 11" descr="invisible_space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7" name="Picture 12" descr="invisible_space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8" name="Picture 13" descr="invisible_space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19" name="Picture 14" descr="invisible_space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0" name="Picture 15" descr="invisible_space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1" name="Picture 16" descr="invisible_space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2" name="Picture 17" descr="invisible_space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3" name="Picture 18" descr="invisible_space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4" name="Picture 19" descr="invisible_space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5" name="Picture 20" descr="invisible_space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6" name="Picture 21" descr="invisible_space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7" name="Picture 22" descr="invisible_space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8" name="Picture 24" descr="invisible_space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29" name="Picture 25" descr="invisible_space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0" name="Picture 26" descr="invisible_space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1" name="Picture 27" descr="invisible_space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2" name="Picture 28" descr="invisible_space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3" name="Picture 29" descr="invisible_space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4" name="Picture 30" descr="invisible_space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5" name="Picture 31" descr="invisible_space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6" name="Picture 32" descr="invisible_space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7" name="Picture 33" descr="invisible_space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8" name="Picture 34" descr="invisible_space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39" name="Picture 35" descr="invisible_space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0" name="Picture 36" descr="invisible_space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1" name="Picture 37" descr="invisible_space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2" name="Picture 38" descr="invisible_space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3" name="Picture 39" descr="invisible_space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4" name="Picture 40" descr="invisible_space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5" name="Picture 41" descr="invisible_space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6" name="Picture 42" descr="invisible_space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7" name="Picture 43" descr="invisible_space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8" name="Picture 44" descr="invisible_space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49" name="Picture 45" descr="invisible_space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8818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0" name="Picture 1" descr="invisible_space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1" name="Picture 2" descr="invisible_space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2" name="Picture 3" descr="invisible_space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3" name="Picture 4" descr="invisible_space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4" name="Picture 5" descr="invisible_space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5" name="Picture 6" descr="invisible_space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6" name="Picture 7" descr="invisible_space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7" name="Picture 8" descr="invisible_space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8" name="Picture 9" descr="invisible_space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59" name="Picture 10" descr="invisible_space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0" name="Picture 11" descr="invisible_space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1" name="Picture 12" descr="invisible_space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2" name="Picture 13" descr="invisible_space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3" name="Picture 14" descr="invisible_space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4" name="Picture 15" descr="invisible_space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5" name="Picture 16" descr="invisible_space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6" name="Picture 17" descr="invisible_space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7" name="Picture 18" descr="invisible_space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8" name="Picture 19" descr="invisible_space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69" name="Picture 20" descr="invisible_space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0" name="Picture 21" descr="invisible_space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1" name="Picture 22" descr="invisible_space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2" name="Picture 24" descr="invisible_space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3" name="Picture 25" descr="invisible_space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4" name="Picture 26" descr="invisible_space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5" name="Picture 27" descr="invisible_space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6" name="Picture 28" descr="invisible_space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7" name="Picture 29" descr="invisible_space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8" name="Picture 30" descr="invisible_space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79" name="Picture 31" descr="invisible_space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0" name="Picture 32" descr="invisible_space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1" name="Picture 33" descr="invisible_space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2" name="Picture 34" descr="invisible_space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3" name="Picture 35" descr="invisible_space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4" name="Picture 36" descr="invisible_space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5" name="Picture 37" descr="invisible_space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6" name="Picture 38" descr="invisible_space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7" name="Picture 39" descr="invisible_space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8" name="Picture 40" descr="invisible_space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89" name="Picture 41" descr="invisible_space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0" name="Picture 42" descr="invisible_space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1" name="Picture 43" descr="invisible_space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2" name="Picture 44" descr="invisible_space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3" name="Picture 45" descr="invisible_space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4" name="Picture 1" descr="invisible_space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5" name="Picture 2" descr="invisible_space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6" name="Picture 3" descr="invisible_space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7" name="Picture 4" descr="invisible_space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8" name="Picture 5" descr="invisible_space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99" name="Picture 6" descr="invisible_space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0" name="Picture 7" descr="invisible_space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1" name="Picture 8" descr="invisible_space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2" name="Picture 9" descr="invisible_space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3" name="Picture 10" descr="invisible_space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4" name="Picture 11" descr="invisible_space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5" name="Picture 12" descr="invisible_space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6" name="Picture 13" descr="invisible_space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7" name="Picture 14" descr="invisible_space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8" name="Picture 15" descr="invisible_space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09" name="Picture 16" descr="invisible_space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0" name="Picture 17" descr="invisible_space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1" name="Picture 18" descr="invisible_space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2" name="Picture 19" descr="invisible_space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3" name="Picture 20" descr="invisible_space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4" name="Picture 21" descr="invisible_space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5" name="Picture 22" descr="invisible_space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6" name="Picture 24" descr="invisible_space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7" name="Picture 25" descr="invisible_space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8" name="Picture 26" descr="invisible_space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19" name="Picture 27" descr="invisible_space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0" name="Picture 28" descr="invisible_space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1" name="Picture 29" descr="invisible_space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2" name="Picture 30" descr="invisible_space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3" name="Picture 31" descr="invisible_space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4" name="Picture 32" descr="invisible_space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5" name="Picture 33" descr="invisible_space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6" name="Picture 34" descr="invisible_space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7" name="Picture 35" descr="invisible_space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8" name="Picture 36" descr="invisible_space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29" name="Picture 37" descr="invisible_space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30" name="Picture 38" descr="invisible_space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31" name="Picture 39" descr="invisible_space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32" name="Picture 40" descr="invisible_space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33" name="Picture 41" descr="invisible_space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34" name="Picture 42" descr="invisible_space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35" name="Picture 43" descr="invisible_space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36" name="Picture 44" descr="invisible_space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937" name="Picture 45" descr="invisible_space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89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38" name="Picture 1" descr="invisible_space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39" name="Picture 2" descr="invisible_space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0" name="Picture 3" descr="invisible_space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1" name="Picture 4" descr="invisible_space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2" name="Picture 5" descr="invisible_space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3" name="Picture 6" descr="invisible_space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4" name="Picture 7" descr="invisible_space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5" name="Picture 8" descr="invisible_space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6" name="Picture 9" descr="invisible_space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7" name="Picture 10" descr="invisible_space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8" name="Picture 11" descr="invisible_space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49" name="Picture 12" descr="invisible_space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0" name="Picture 13" descr="invisible_space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1" name="Picture 14" descr="invisible_space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2" name="Picture 15" descr="invisible_space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3" name="Picture 16" descr="invisible_space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4" name="Picture 17" descr="invisible_space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5" name="Picture 18" descr="invisible_space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6" name="Picture 19" descr="invisible_space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7" name="Picture 20" descr="invisible_space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8" name="Picture 21" descr="invisible_space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59" name="Picture 22" descr="invisible_space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0" name="Picture 24" descr="invisible_space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1" name="Picture 25" descr="invisible_space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2" name="Picture 26" descr="invisible_space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3" name="Picture 27" descr="invisible_space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4" name="Picture 28" descr="invisible_space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5" name="Picture 29" descr="invisible_space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6" name="Picture 30" descr="invisible_space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7" name="Picture 31" descr="invisible_space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8" name="Picture 32" descr="invisible_space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69" name="Picture 33" descr="invisible_space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0" name="Picture 34" descr="invisible_space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1" name="Picture 35" descr="invisible_space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2" name="Picture 36" descr="invisible_space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3" name="Picture 37" descr="invisible_space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4" name="Picture 38" descr="invisible_space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5" name="Picture 39" descr="invisible_space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6" name="Picture 40" descr="invisible_space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7" name="Picture 41" descr="invisible_space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8" name="Picture 42" descr="invisible_space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79" name="Picture 43" descr="invisible_space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0" name="Picture 44" descr="invisible_space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1" name="Picture 45" descr="invisible_space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2" name="Picture 1" descr="invisible_space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3" name="Picture 2" descr="invisible_space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4" name="Picture 3" descr="invisible_space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5" name="Picture 4" descr="invisible_space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6" name="Picture 5" descr="invisible_space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7" name="Picture 6" descr="invisible_space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8" name="Picture 7" descr="invisible_space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89" name="Picture 8" descr="invisible_space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0" name="Picture 9" descr="invisible_space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1" name="Picture 10" descr="invisible_space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2" name="Picture 11" descr="invisible_space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3" name="Picture 12" descr="invisible_space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4" name="Picture 13" descr="invisible_space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5" name="Picture 14" descr="invisible_space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6" name="Picture 15" descr="invisible_space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7" name="Picture 16" descr="invisible_space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8" name="Picture 17" descr="invisible_space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999" name="Picture 18" descr="invisible_space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0" name="Picture 19" descr="invisible_space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1" name="Picture 20" descr="invisible_space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2" name="Picture 21" descr="invisible_space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3" name="Picture 22" descr="invisible_space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4" name="Picture 24" descr="invisible_space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5" name="Picture 25" descr="invisible_space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6" name="Picture 26" descr="invisible_space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7" name="Picture 27" descr="invisible_space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8" name="Picture 28" descr="invisible_space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09" name="Picture 29" descr="invisible_space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0" name="Picture 30" descr="invisible_space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1" name="Picture 31" descr="invisible_space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2" name="Picture 32" descr="invisible_space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3" name="Picture 33" descr="invisible_space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4" name="Picture 34" descr="invisible_space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5" name="Picture 35" descr="invisible_space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6" name="Picture 36" descr="invisible_space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7" name="Picture 37" descr="invisible_space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8" name="Picture 38" descr="invisible_space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19" name="Picture 39" descr="invisible_space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0" name="Picture 40" descr="invisible_space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1" name="Picture 41" descr="invisible_space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2" name="Picture 42" descr="invisible_space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3" name="Picture 43" descr="invisible_space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4" name="Picture 44" descr="invisible_space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5" name="Picture 45" descr="invisible_space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6643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6" name="Picture 1" descr="invisible_space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7" name="Picture 2" descr="invisible_space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8" name="Picture 3" descr="invisible_space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29" name="Picture 4" descr="invisible_space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0" name="Picture 5" descr="invisible_space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1" name="Picture 6" descr="invisible_space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2" name="Picture 7" descr="invisible_space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3" name="Picture 8" descr="invisible_space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4" name="Picture 9" descr="invisible_space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5" name="Picture 10" descr="invisible_space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6" name="Picture 11" descr="invisible_space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7" name="Picture 12" descr="invisible_space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8" name="Picture 13" descr="invisible_space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39" name="Picture 14" descr="invisible_space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0" name="Picture 15" descr="invisible_space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1" name="Picture 16" descr="invisible_space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2" name="Picture 17" descr="invisible_space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3" name="Picture 18" descr="invisible_space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4" name="Picture 19" descr="invisible_space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5" name="Picture 20" descr="invisible_space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6" name="Picture 21" descr="invisible_space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7" name="Picture 22" descr="invisible_space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8" name="Picture 24" descr="invisible_space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49" name="Picture 25" descr="invisible_space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0" name="Picture 26" descr="invisible_space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1" name="Picture 27" descr="invisible_space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2" name="Picture 28" descr="invisible_space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3" name="Picture 29" descr="invisible_space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4" name="Picture 30" descr="invisible_space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5" name="Picture 31" descr="invisible_space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6" name="Picture 32" descr="invisible_space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7" name="Picture 33" descr="invisible_space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8" name="Picture 34" descr="invisible_space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59" name="Picture 35" descr="invisible_space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0" name="Picture 36" descr="invisible_space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1" name="Picture 37" descr="invisible_space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2" name="Picture 38" descr="invisible_space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3" name="Picture 39" descr="invisible_space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4" name="Picture 40" descr="invisible_space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5" name="Picture 41" descr="invisible_space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6" name="Picture 42" descr="invisible_space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7" name="Picture 43" descr="invisible_space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8" name="Picture 44" descr="invisible_space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69" name="Picture 45" descr="invisible_space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74544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0" name="Picture 1" descr="invisible_space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1" name="Picture 2" descr="invisible_space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2" name="Picture 3" descr="invisible_space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3" name="Picture 4" descr="invisible_space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4" name="Picture 5" descr="invisible_space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5" name="Picture 6" descr="invisible_space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6" name="Picture 7" descr="invisible_space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7" name="Picture 8" descr="invisible_space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8" name="Picture 9" descr="invisible_space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79" name="Picture 10" descr="invisible_space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0" name="Picture 11" descr="invisible_space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1" name="Picture 12" descr="invisible_space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2" name="Picture 13" descr="invisible_space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3" name="Picture 14" descr="invisible_space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4" name="Picture 15" descr="invisible_space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5" name="Picture 16" descr="invisible_space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6" name="Picture 17" descr="invisible_space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7" name="Picture 18" descr="invisible_space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8" name="Picture 19" descr="invisible_space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89" name="Picture 20" descr="invisible_space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0" name="Picture 21" descr="invisible_space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1" name="Picture 22" descr="invisible_space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2" name="Picture 24" descr="invisible_space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3" name="Picture 25" descr="invisible_space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4" name="Picture 26" descr="invisible_space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5" name="Picture 27" descr="invisible_space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6" name="Picture 28" descr="invisible_space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7" name="Picture 29" descr="invisible_space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8" name="Picture 30" descr="invisible_space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099" name="Picture 31" descr="invisible_space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0" name="Picture 32" descr="invisible_space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1" name="Picture 33" descr="invisible_space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2" name="Picture 34" descr="invisible_space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3" name="Picture 35" descr="invisible_space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4" name="Picture 36" descr="invisible_space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5" name="Picture 37" descr="invisible_space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6" name="Picture 38" descr="invisible_space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7" name="Picture 39" descr="invisible_space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8" name="Picture 40" descr="invisible_space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09" name="Picture 41" descr="invisible_space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10" name="Picture 42" descr="invisible_space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11" name="Picture 43" descr="invisible_space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12" name="Picture 44" descr="invisible_space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113" name="Picture 45" descr="invisible_space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706" y="26501912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16" name="Picture 1" descr="invisible_space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17" name="Picture 2" descr="invisible_space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18" name="Picture 3" descr="invisible_space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19" name="Picture 4" descr="invisible_space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0" name="Picture 5" descr="invisible_space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1" name="Picture 6" descr="invisible_space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2" name="Picture 7" descr="invisible_space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3" name="Picture 8" descr="invisible_space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4" name="Picture 9" descr="invisible_space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5" name="Picture 10" descr="invisible_space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6" name="Picture 11" descr="invisible_space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7" name="Picture 12" descr="invisible_space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8" name="Picture 13" descr="invisible_space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29" name="Picture 14" descr="invisible_space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0" name="Picture 15" descr="invisible_space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1" name="Picture 16" descr="invisible_space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2" name="Picture 17" descr="invisible_space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3" name="Picture 18" descr="invisible_space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4" name="Picture 19" descr="invisible_space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5" name="Picture 20" descr="invisible_space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6" name="Picture 21" descr="invisible_space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7" name="Picture 22" descr="invisible_space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8" name="Picture 24" descr="invisible_space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39" name="Picture 25" descr="invisible_space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0" name="Picture 26" descr="invisible_space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1" name="Picture 27" descr="invisible_space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2" name="Picture 28" descr="invisible_space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3" name="Picture 29" descr="invisible_space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4" name="Picture 30" descr="invisible_space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5" name="Picture 31" descr="invisible_space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6" name="Picture 32" descr="invisible_space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7" name="Picture 33" descr="invisible_space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8" name="Picture 34" descr="invisible_space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49" name="Picture 35" descr="invisible_space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0" name="Picture 36" descr="invisible_space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1" name="Picture 37" descr="invisible_space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2" name="Picture 38" descr="invisible_space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3" name="Picture 39" descr="invisible_space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4" name="Picture 40" descr="invisible_space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5" name="Picture 41" descr="invisible_space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6" name="Picture 42" descr="invisible_space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7" name="Picture 43" descr="invisible_space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8" name="Picture 44" descr="invisible_space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2159" name="Picture 45" descr="invisible_space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0" name="Picture 1" descr="invisible_space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1" name="Picture 2" descr="invisible_space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2" name="Picture 3" descr="invisible_space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3" name="Picture 4" descr="invisible_space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4" name="Picture 5" descr="invisible_space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5" name="Picture 6" descr="invisible_space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6" name="Picture 7" descr="invisible_space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7" name="Picture 8" descr="invisible_space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8" name="Picture 9" descr="invisible_space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69" name="Picture 10" descr="invisible_space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0" name="Picture 11" descr="invisible_space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1" name="Picture 12" descr="invisible_space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2" name="Picture 13" descr="invisible_space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3" name="Picture 14" descr="invisible_space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4" name="Picture 15" descr="invisible_space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5" name="Picture 16" descr="invisible_space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6" name="Picture 17" descr="invisible_space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7" name="Picture 18" descr="invisible_space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8" name="Picture 19" descr="invisible_space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79" name="Picture 20" descr="invisible_space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0" name="Picture 21" descr="invisible_space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1" name="Picture 22" descr="invisible_space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2" name="Picture 24" descr="invisible_space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3" name="Picture 25" descr="invisible_space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4" name="Picture 26" descr="invisible_space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5" name="Picture 27" descr="invisible_space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6" name="Picture 28" descr="invisible_space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7" name="Picture 29" descr="invisible_space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8" name="Picture 30" descr="invisible_space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89" name="Picture 31" descr="invisible_space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0" name="Picture 32" descr="invisible_space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1" name="Picture 33" descr="invisible_space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2" name="Picture 34" descr="invisible_space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3" name="Picture 35" descr="invisible_space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4" name="Picture 36" descr="invisible_space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5" name="Picture 37" descr="invisible_space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6" name="Picture 38" descr="invisible_space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7" name="Picture 39" descr="invisible_space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8" name="Picture 40" descr="invisible_space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199" name="Picture 41" descr="invisible_space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200" name="Picture 42" descr="invisible_space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201" name="Picture 43" descr="invisible_space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202" name="Picture 44" descr="invisible_space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2203" name="Picture 45" descr="invisible_space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0" name="Picture 1" descr="invisible_space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1" name="Picture 2" descr="invisible_space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2" name="Picture 3" descr="invisible_space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3" name="Picture 4" descr="invisible_space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4" name="Picture 5" descr="invisible_space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5" name="Picture 6" descr="invisible_space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6" name="Picture 7" descr="invisible_space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7" name="Picture 8" descr="invisible_space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8" name="Picture 9" descr="invisible_space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89" name="Picture 10" descr="invisible_space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0" name="Picture 11" descr="invisible_space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1" name="Picture 12" descr="invisible_space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2" name="Picture 13" descr="invisible_space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3" name="Picture 14" descr="invisible_space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4" name="Picture 15" descr="invisible_space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5" name="Picture 16" descr="invisible_space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6" name="Picture 17" descr="invisible_space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7" name="Picture 18" descr="invisible_space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8" name="Picture 19" descr="invisible_space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399" name="Picture 20" descr="invisible_space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0" name="Picture 21" descr="invisible_space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1" name="Picture 22" descr="invisible_space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2" name="Picture 24" descr="invisible_space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3" name="Picture 25" descr="invisible_space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4" name="Picture 26" descr="invisible_space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5" name="Picture 27" descr="invisible_space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6" name="Picture 28" descr="invisible_space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7" name="Picture 29" descr="invisible_space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8" name="Picture 30" descr="invisible_space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09" name="Picture 31" descr="invisible_space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0" name="Picture 32" descr="invisible_space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1" name="Picture 33" descr="invisible_space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2" name="Picture 34" descr="invisible_space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3" name="Picture 35" descr="invisible_space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4" name="Picture 36" descr="invisible_space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5" name="Picture 37" descr="invisible_space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6" name="Picture 38" descr="invisible_space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7" name="Picture 39" descr="invisible_space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8" name="Picture 40" descr="invisible_space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19" name="Picture 41" descr="invisible_space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0" name="Picture 42" descr="invisible_space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1" name="Picture 43" descr="invisible_space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2" name="Picture 44" descr="invisible_space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3" name="Picture 45" descr="invisible_space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4" name="Picture 1" descr="invisible_space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5" name="Picture 2" descr="invisible_space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6" name="Picture 3" descr="invisible_space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7" name="Picture 4" descr="invisible_space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8" name="Picture 5" descr="invisible_space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29" name="Picture 6" descr="invisible_space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0" name="Picture 7" descr="invisible_space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1" name="Picture 8" descr="invisible_space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2" name="Picture 9" descr="invisible_space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3" name="Picture 10" descr="invisible_space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4" name="Picture 11" descr="invisible_space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5" name="Picture 12" descr="invisible_space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6" name="Picture 13" descr="invisible_space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7" name="Picture 14" descr="invisible_space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8" name="Picture 15" descr="invisible_space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39" name="Picture 16" descr="invisible_space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0" name="Picture 17" descr="invisible_space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1" name="Picture 18" descr="invisible_space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2" name="Picture 19" descr="invisible_space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3" name="Picture 20" descr="invisible_space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4" name="Picture 21" descr="invisible_space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5" name="Picture 22" descr="invisible_space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6" name="Picture 24" descr="invisible_space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7" name="Picture 25" descr="invisible_space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8" name="Picture 26" descr="invisible_space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49" name="Picture 27" descr="invisible_space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0" name="Picture 28" descr="invisible_space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1" name="Picture 29" descr="invisible_space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2" name="Picture 30" descr="invisible_space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3" name="Picture 31" descr="invisible_space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4" name="Picture 32" descr="invisible_space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5" name="Picture 33" descr="invisible_space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6" name="Picture 34" descr="invisible_space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7" name="Picture 35" descr="invisible_space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8" name="Picture 36" descr="invisible_space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59" name="Picture 37" descr="invisible_space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60" name="Picture 38" descr="invisible_space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61" name="Picture 39" descr="invisible_space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62" name="Picture 40" descr="invisible_space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63" name="Picture 41" descr="invisible_space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64" name="Picture 42" descr="invisible_space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65" name="Picture 43" descr="invisible_space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66" name="Picture 44" descr="invisible_space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2467" name="Picture 45" descr="invisible_space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68" name="Picture 1" descr="invisible_space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69" name="Picture 2" descr="invisible_space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0" name="Picture 3" descr="invisible_space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1" name="Picture 4" descr="invisible_space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2" name="Picture 5" descr="invisible_space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3" name="Picture 6" descr="invisible_space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4" name="Picture 7" descr="invisible_space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5" name="Picture 8" descr="invisible_space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6" name="Picture 9" descr="invisible_space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7" name="Picture 10" descr="invisible_space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8" name="Picture 11" descr="invisible_space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79" name="Picture 12" descr="invisible_space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0" name="Picture 13" descr="invisible_space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1" name="Picture 14" descr="invisible_space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2" name="Picture 15" descr="invisible_space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3" name="Picture 16" descr="invisible_space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4" name="Picture 17" descr="invisible_space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5" name="Picture 18" descr="invisible_space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6" name="Picture 19" descr="invisible_space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7" name="Picture 20" descr="invisible_space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8" name="Picture 21" descr="invisible_space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89" name="Picture 22" descr="invisible_space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0" name="Picture 24" descr="invisible_space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1" name="Picture 25" descr="invisible_space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2" name="Picture 26" descr="invisible_space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3" name="Picture 27" descr="invisible_space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4" name="Picture 28" descr="invisible_space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5" name="Picture 29" descr="invisible_space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6" name="Picture 30" descr="invisible_space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7" name="Picture 31" descr="invisible_space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8" name="Picture 32" descr="invisible_space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499" name="Picture 33" descr="invisible_space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0" name="Picture 34" descr="invisible_space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1" name="Picture 35" descr="invisible_space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2" name="Picture 36" descr="invisible_space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3" name="Picture 37" descr="invisible_space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4" name="Picture 38" descr="invisible_space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5" name="Picture 39" descr="invisible_space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6" name="Picture 40" descr="invisible_space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7" name="Picture 41" descr="invisible_space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8" name="Picture 42" descr="invisible_space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09" name="Picture 43" descr="invisible_space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0" name="Picture 44" descr="invisible_space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1" name="Picture 45" descr="invisible_space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43542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2" name="Picture 1" descr="invisible_space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3" name="Picture 2" descr="invisible_space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4" name="Picture 3" descr="invisible_space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5" name="Picture 4" descr="invisible_space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6" name="Picture 5" descr="invisible_space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7" name="Picture 6" descr="invisible_space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8" name="Picture 7" descr="invisible_space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19" name="Picture 8" descr="invisible_space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0" name="Picture 9" descr="invisible_space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1" name="Picture 10" descr="invisible_space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2" name="Picture 11" descr="invisible_space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3" name="Picture 12" descr="invisible_space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4" name="Picture 13" descr="invisible_space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5" name="Picture 14" descr="invisible_space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6" name="Picture 15" descr="invisible_space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7" name="Picture 16" descr="invisible_space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8" name="Picture 17" descr="invisible_space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29" name="Picture 18" descr="invisible_space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0" name="Picture 19" descr="invisible_space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1" name="Picture 20" descr="invisible_space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2" name="Picture 21" descr="invisible_space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3" name="Picture 22" descr="invisible_space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4" name="Picture 24" descr="invisible_space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5" name="Picture 25" descr="invisible_space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6" name="Picture 26" descr="invisible_space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7" name="Picture 27" descr="invisible_space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8" name="Picture 28" descr="invisible_space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39" name="Picture 29" descr="invisible_space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0" name="Picture 30" descr="invisible_space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1" name="Picture 31" descr="invisible_space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2" name="Picture 32" descr="invisible_space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3" name="Picture 33" descr="invisible_space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4" name="Picture 34" descr="invisible_space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5" name="Picture 35" descr="invisible_space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6" name="Picture 36" descr="invisible_space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7" name="Picture 37" descr="invisible_space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8" name="Picture 38" descr="invisible_space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49" name="Picture 39" descr="invisible_space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50" name="Picture 40" descr="invisible_space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51" name="Picture 41" descr="invisible_space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52" name="Picture 42" descr="invisible_space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53" name="Picture 43" descr="invisible_space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54" name="Picture 44" descr="invisible_space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2555" name="Picture 45" descr="invisible_space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4" y="340178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" name="Picture 1" descr="invisible_spac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" name="Picture 2" descr="invisible_spac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" name="Picture 3" descr="invisible_spac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" name="Picture 4" descr="invisible_spac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" name="Picture 5" descr="invisible_spac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" name="Picture 6" descr="invisible_spac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" name="Picture 7" descr="invisible_spac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" name="Picture 8" descr="invisible_spac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" name="Picture 9" descr="invisible_spac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" name="Picture 10" descr="invisible_spac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" name="Picture 11" descr="invisible_spac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" name="Picture 12" descr="invisible_spac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" name="Picture 13" descr="invisible_spac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" name="Picture 14" descr="invisible_spac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" name="Picture 15" descr="invisible_spac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" name="Picture 16" descr="invisible_spac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" name="Picture 17" descr="invisible_spac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" name="Picture 18" descr="invisible_spac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" name="Picture 19" descr="invisible_spac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" name="Picture 20" descr="invisible_space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" name="Picture 21" descr="invisible_spac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" name="Picture 22" descr="invisible_space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" name="Picture 24" descr="invisible_space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" name="Picture 25" descr="invisible_space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" name="Picture 26" descr="invisible_space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" name="Picture 27" descr="invisible_space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" name="Picture 28" descr="invisible_space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9" name="Picture 29" descr="invisible_space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0" name="Picture 30" descr="invisible_space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1" name="Picture 31" descr="invisible_space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2" name="Picture 32" descr="invisible_space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3" name="Picture 33" descr="invisible_space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4" name="Picture 34" descr="invisible_space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5" name="Picture 35" descr="invisible_space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6" name="Picture 36" descr="invisible_space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7" name="Picture 37" descr="invisible_space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8" name="Picture 38" descr="invisible_space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9" name="Picture 39" descr="invisible_space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0" name="Picture 40" descr="invisible_space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1" name="Picture 41" descr="invisible_space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2" name="Picture 42" descr="invisible_space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3" name="Picture 43" descr="invisible_space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4" name="Picture 44" descr="invisible_space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5" name="Picture 45" descr="invisible_spac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6" name="Picture 1" descr="invisible_space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7" name="Picture 2" descr="invisible_space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8" name="Picture 3" descr="invisible_space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49" name="Picture 4" descr="invisible_space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0" name="Picture 5" descr="invisible_space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1" name="Picture 6" descr="invisible_space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2" name="Picture 7" descr="invisible_space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3" name="Picture 8" descr="invisible_space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4" name="Picture 9" descr="invisible_space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5" name="Picture 10" descr="invisible_space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6" name="Picture 11" descr="invisible_space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7" name="Picture 12" descr="invisible_space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8" name="Picture 13" descr="invisible_space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59" name="Picture 14" descr="invisible_space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0" name="Picture 15" descr="invisible_space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1" name="Picture 16" descr="invisible_space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2" name="Picture 17" descr="invisible_space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3" name="Picture 18" descr="invisible_space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4" name="Picture 19" descr="invisible_space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5" name="Picture 20" descr="invisible_space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6" name="Picture 21" descr="invisible_space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7" name="Picture 22" descr="invisible_space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8" name="Picture 24" descr="invisible_space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69" name="Picture 25" descr="invisible_space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0" name="Picture 26" descr="invisible_space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1" name="Picture 27" descr="invisible_space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2" name="Picture 28" descr="invisible_space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3" name="Picture 29" descr="invisible_space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4" name="Picture 30" descr="invisible_space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5" name="Picture 31" descr="invisible_space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6" name="Picture 32" descr="invisible_space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7" name="Picture 33" descr="invisible_space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8" name="Picture 34" descr="invisible_space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79" name="Picture 35" descr="invisible_space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0" name="Picture 36" descr="invisible_space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1" name="Picture 37" descr="invisible_space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2" name="Picture 38" descr="invisible_space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3" name="Picture 39" descr="invisible_space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4" name="Picture 40" descr="invisible_space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5" name="Picture 41" descr="invisible_space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6" name="Picture 42" descr="invisible_space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7" name="Picture 43" descr="invisible_space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8" name="Picture 44" descr="invisible_space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89" name="Picture 45" descr="invisible_space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0" name="Picture 1" descr="invisible_space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1" name="Picture 2" descr="invisible_space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2" name="Picture 3" descr="invisible_space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3" name="Picture 4" descr="invisible_space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4" name="Picture 5" descr="invisible_space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5" name="Picture 6" descr="invisible_space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6" name="Picture 7" descr="invisible_space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7" name="Picture 8" descr="invisible_space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8" name="Picture 9" descr="invisible_space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99" name="Picture 10" descr="invisible_space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0" name="Picture 11" descr="invisible_space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1" name="Picture 12" descr="invisible_space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2" name="Picture 13" descr="invisible_space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3" name="Picture 14" descr="invisible_space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4" name="Picture 15" descr="invisible_space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5" name="Picture 16" descr="invisible_space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6" name="Picture 17" descr="invisible_space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7" name="Picture 18" descr="invisible_space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8" name="Picture 19" descr="invisible_space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09" name="Picture 20" descr="invisible_space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0" name="Picture 21" descr="invisible_space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1" name="Picture 22" descr="invisible_space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2" name="Picture 24" descr="invisible_space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3" name="Picture 25" descr="invisible_space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4" name="Picture 26" descr="invisible_space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5" name="Picture 27" descr="invisible_space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6" name="Picture 28" descr="invisible_space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7" name="Picture 29" descr="invisible_space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8" name="Picture 30" descr="invisible_space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19" name="Picture 31" descr="invisible_space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0" name="Picture 32" descr="invisible_space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1" name="Picture 33" descr="invisible_space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2" name="Picture 34" descr="invisible_space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3" name="Picture 35" descr="invisible_space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4" name="Picture 36" descr="invisible_space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5" name="Picture 37" descr="invisible_space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6" name="Picture 38" descr="invisible_space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7" name="Picture 39" descr="invisible_space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8" name="Picture 40" descr="invisible_space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29" name="Picture 41" descr="invisible_space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0" name="Picture 42" descr="invisible_space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1" name="Picture 43" descr="invisible_space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2" name="Picture 44" descr="invisible_space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3" name="Picture 45" descr="invisible_space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4" name="Picture 1" descr="invisible_space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5" name="Picture 2" descr="invisible_space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6" name="Picture 3" descr="invisible_space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7" name="Picture 4" descr="invisible_space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8" name="Picture 5" descr="invisible_space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39" name="Picture 6" descr="invisible_space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0" name="Picture 7" descr="invisible_space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1" name="Picture 8" descr="invisible_space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2" name="Picture 9" descr="invisible_space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3" name="Picture 10" descr="invisible_space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4" name="Picture 11" descr="invisible_space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5" name="Picture 12" descr="invisible_space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6" name="Picture 13" descr="invisible_space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7" name="Picture 14" descr="invisible_space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8" name="Picture 15" descr="invisible_space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49" name="Picture 16" descr="invisible_space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0" name="Picture 17" descr="invisible_space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1" name="Picture 18" descr="invisible_space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2" name="Picture 19" descr="invisible_space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3" name="Picture 20" descr="invisible_space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4" name="Picture 21" descr="invisible_space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5" name="Picture 22" descr="invisible_space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6" name="Picture 24" descr="invisible_space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7" name="Picture 25" descr="invisible_space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8" name="Picture 26" descr="invisible_space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59" name="Picture 27" descr="invisible_space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0" name="Picture 28" descr="invisible_space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1" name="Picture 29" descr="invisible_space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2" name="Picture 30" descr="invisible_space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3" name="Picture 31" descr="invisible_space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4" name="Picture 32" descr="invisible_space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5" name="Picture 33" descr="invisible_space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6" name="Picture 34" descr="invisible_space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7" name="Picture 35" descr="invisible_space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8" name="Picture 36" descr="invisible_space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69" name="Picture 37" descr="invisible_space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0" name="Picture 38" descr="invisible_space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1" name="Picture 39" descr="invisible_space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2" name="Picture 40" descr="invisible_space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3" name="Picture 41" descr="invisible_space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4" name="Picture 42" descr="invisible_space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5" name="Picture 43" descr="invisible_space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6" name="Picture 44" descr="invisible_space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7" name="Picture 45" descr="invisible_space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8" name="Picture 1" descr="invisible_space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79" name="Picture 2" descr="invisible_space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0" name="Picture 3" descr="invisible_space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1" name="Picture 4" descr="invisible_space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2" name="Picture 5" descr="invisible_space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3" name="Picture 6" descr="invisible_space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4" name="Picture 7" descr="invisible_space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5" name="Picture 8" descr="invisible_space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6" name="Picture 9" descr="invisible_space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7" name="Picture 10" descr="invisible_space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8" name="Picture 11" descr="invisible_space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89" name="Picture 12" descr="invisible_space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0" name="Picture 13" descr="invisible_space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1" name="Picture 14" descr="invisible_space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2" name="Picture 15" descr="invisible_space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3" name="Picture 16" descr="invisible_space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4" name="Picture 17" descr="invisible_space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5" name="Picture 18" descr="invisible_space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6" name="Picture 19" descr="invisible_space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7" name="Picture 20" descr="invisible_space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8" name="Picture 21" descr="invisible_space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199" name="Picture 22" descr="invisible_space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0" name="Picture 24" descr="invisible_space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1" name="Picture 25" descr="invisible_space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2" name="Picture 26" descr="invisible_space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3" name="Picture 27" descr="invisible_space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4" name="Picture 28" descr="invisible_space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5" name="Picture 29" descr="invisible_space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6" name="Picture 30" descr="invisible_space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7" name="Picture 31" descr="invisible_space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8" name="Picture 32" descr="invisible_space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09" name="Picture 33" descr="invisible_space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0" name="Picture 34" descr="invisible_space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1" name="Picture 35" descr="invisible_space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2" name="Picture 36" descr="invisible_space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3" name="Picture 37" descr="invisible_space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4" name="Picture 38" descr="invisible_space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5" name="Picture 39" descr="invisible_space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6" name="Picture 40" descr="invisible_space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7" name="Picture 41" descr="invisible_space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8" name="Picture 42" descr="invisible_space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19" name="Picture 43" descr="invisible_space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0" name="Picture 44" descr="invisible_space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1" name="Picture 45" descr="invisible_space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2" name="Picture 1" descr="invisible_space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3" name="Picture 2" descr="invisible_space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4" name="Picture 3" descr="invisible_space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5" name="Picture 4" descr="invisible_space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6" name="Picture 5" descr="invisible_space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7" name="Picture 6" descr="invisible_space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8" name="Picture 7" descr="invisible_space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29" name="Picture 8" descr="invisible_space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0" name="Picture 9" descr="invisible_space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1" name="Picture 10" descr="invisible_space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2" name="Picture 11" descr="invisible_space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3" name="Picture 12" descr="invisible_space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4" name="Picture 13" descr="invisible_space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5" name="Picture 14" descr="invisible_space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6" name="Picture 15" descr="invisible_space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7" name="Picture 16" descr="invisible_space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8" name="Picture 17" descr="invisible_space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39" name="Picture 18" descr="invisible_space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0" name="Picture 19" descr="invisible_space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1" name="Picture 20" descr="invisible_space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2" name="Picture 21" descr="invisible_space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3" name="Picture 22" descr="invisible_space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4" name="Picture 24" descr="invisible_space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5" name="Picture 25" descr="invisible_space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6" name="Picture 26" descr="invisible_space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7" name="Picture 27" descr="invisible_space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8" name="Picture 28" descr="invisible_space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49" name="Picture 29" descr="invisible_space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0" name="Picture 30" descr="invisible_space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1" name="Picture 31" descr="invisible_space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2" name="Picture 32" descr="invisible_space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3" name="Picture 33" descr="invisible_space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4" name="Picture 34" descr="invisible_space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5" name="Picture 35" descr="invisible_space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6" name="Picture 36" descr="invisible_space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7" name="Picture 37" descr="invisible_space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8" name="Picture 38" descr="invisible_space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59" name="Picture 39" descr="invisible_space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0" name="Picture 40" descr="invisible_space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1" name="Picture 41" descr="invisible_space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2" name="Picture 42" descr="invisible_space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3" name="Picture 43" descr="invisible_space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4" name="Picture 44" descr="invisible_space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5" name="Picture 45" descr="invisible_space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6" name="Picture 1" descr="invisible_space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7" name="Picture 2" descr="invisible_space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8" name="Picture 3" descr="invisible_space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69" name="Picture 4" descr="invisible_space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0" name="Picture 5" descr="invisible_space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1" name="Picture 6" descr="invisible_space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2" name="Picture 7" descr="invisible_space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3" name="Picture 8" descr="invisible_space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4" name="Picture 9" descr="invisible_space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5" name="Picture 10" descr="invisible_space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6" name="Picture 11" descr="invisible_space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7" name="Picture 12" descr="invisible_space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8" name="Picture 13" descr="invisible_space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79" name="Picture 14" descr="invisible_space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0" name="Picture 15" descr="invisible_space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1" name="Picture 16" descr="invisible_space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2" name="Picture 17" descr="invisible_space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3" name="Picture 18" descr="invisible_space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4" name="Picture 19" descr="invisible_space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5" name="Picture 20" descr="invisible_space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6" name="Picture 21" descr="invisible_space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7" name="Picture 22" descr="invisible_space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8" name="Picture 24" descr="invisible_space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89" name="Picture 25" descr="invisible_space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90" name="Picture 26" descr="invisible_space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91" name="Picture 27" descr="invisible_space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292" name="Picture 28" descr="invisible_space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0</xdr:colOff>
      <xdr:row>0</xdr:row>
      <xdr:rowOff>0</xdr:rowOff>
    </xdr:from>
    <xdr:ext cx="9525" cy="9525"/>
    <xdr:pic>
      <xdr:nvPicPr>
        <xdr:cNvPr id="293" name="Picture 29" descr="invisible_space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4" name="Picture 30" descr="invisible_space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5" name="Picture 31" descr="invisible_space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6" name="Picture 32" descr="invisible_space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7" name="Picture 33" descr="invisible_space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8" name="Picture 34" descr="invisible_space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299" name="Picture 35" descr="invisible_space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0" name="Picture 36" descr="invisible_space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1" name="Picture 37" descr="invisible_space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2" name="Picture 38" descr="invisible_space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3" name="Picture 39" descr="invisible_space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4" name="Picture 40" descr="invisible_space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5" name="Picture 41" descr="invisible_space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6" name="Picture 42" descr="invisible_space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7" name="Picture 43" descr="invisible_space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8" name="Picture 44" descr="invisible_space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09" name="Picture 45" descr="invisible_space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0" name="Picture 1" descr="invisible_space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1" name="Picture 2" descr="invisible_space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2" name="Picture 3" descr="invisible_space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3" name="Picture 4" descr="invisible_space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4" name="Picture 5" descr="invisible_space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5" name="Picture 6" descr="invisible_space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6" name="Picture 7" descr="invisible_space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7" name="Picture 8" descr="invisible_space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8" name="Picture 9" descr="invisible_space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19" name="Picture 10" descr="invisible_space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0" name="Picture 11" descr="invisible_space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1" name="Picture 12" descr="invisible_space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2" name="Picture 13" descr="invisible_space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3" name="Picture 14" descr="invisible_space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4" name="Picture 15" descr="invisible_space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5" name="Picture 16" descr="invisible_space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6" name="Picture 17" descr="invisible_space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7" name="Picture 18" descr="invisible_space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8" name="Picture 19" descr="invisible_space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29" name="Picture 20" descr="invisible_space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0" name="Picture 21" descr="invisible_space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1" name="Picture 22" descr="invisible_space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2" name="Picture 24" descr="invisible_space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3" name="Picture 25" descr="invisible_space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4" name="Picture 26" descr="invisible_space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5" name="Picture 27" descr="invisible_space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6" name="Picture 28" descr="invisible_space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7" name="Picture 29" descr="invisible_space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8" name="Picture 30" descr="invisible_space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39" name="Picture 31" descr="invisible_space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0" name="Picture 32" descr="invisible_space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1" name="Picture 33" descr="invisible_space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2" name="Picture 34" descr="invisible_space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3" name="Picture 35" descr="invisible_space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4" name="Picture 36" descr="invisible_space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5" name="Picture 37" descr="invisible_space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6" name="Picture 38" descr="invisible_space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7" name="Picture 39" descr="invisible_space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8" name="Picture 40" descr="invisible_space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49" name="Picture 41" descr="invisible_space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50" name="Picture 42" descr="invisible_space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51" name="Picture 43" descr="invisible_space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52" name="Picture 44" descr="invisible_space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9525" cy="9525"/>
    <xdr:pic>
      <xdr:nvPicPr>
        <xdr:cNvPr id="353" name="Picture 45" descr="invisible_space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4" name="Picture 1" descr="invisible_space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5" name="Picture 2" descr="invisible_space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6" name="Picture 3" descr="invisible_space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7" name="Picture 4" descr="invisible_space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8" name="Picture 5" descr="invisible_space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59" name="Picture 6" descr="invisible_space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0" name="Picture 7" descr="invisible_space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1" name="Picture 8" descr="invisible_space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2" name="Picture 9" descr="invisible_space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3" name="Picture 10" descr="invisible_space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4" name="Picture 11" descr="invisible_space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5" name="Picture 12" descr="invisible_space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6" name="Picture 13" descr="invisible_space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7" name="Picture 14" descr="invisible_space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8" name="Picture 15" descr="invisible_space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69" name="Picture 16" descr="invisible_space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0" name="Picture 17" descr="invisible_space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1" name="Picture 18" descr="invisible_space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2" name="Picture 19" descr="invisible_space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3" name="Picture 20" descr="invisible_space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4" name="Picture 21" descr="invisible_space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5" name="Picture 22" descr="invisible_space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6" name="Picture 24" descr="invisible_space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7" name="Picture 25" descr="invisible_space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8" name="Picture 26" descr="invisible_space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79" name="Picture 27" descr="invisible_space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0" name="Picture 28" descr="invisible_space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1" name="Picture 29" descr="invisible_space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2" name="Picture 30" descr="invisible_space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3" name="Picture 31" descr="invisible_space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4" name="Picture 32" descr="invisible_space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5" name="Picture 33" descr="invisible_space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6" name="Picture 34" descr="invisible_space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7" name="Picture 35" descr="invisible_space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8" name="Picture 36" descr="invisible_space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89" name="Picture 37" descr="invisible_space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0" name="Picture 38" descr="invisible_space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1" name="Picture 39" descr="invisible_space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2" name="Picture 40" descr="invisible_space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3" name="Picture 41" descr="invisible_space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4" name="Picture 42" descr="invisible_space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5" name="Picture 43" descr="invisible_space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6" name="Picture 44" descr="invisible_space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7" name="Picture 45" descr="invisible_space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8" name="Picture 1" descr="invisible_space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399" name="Picture 2" descr="invisible_space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0" name="Picture 3" descr="invisible_space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1" name="Picture 4" descr="invisible_space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2" name="Picture 5" descr="invisible_space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3" name="Picture 6" descr="invisible_space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4" name="Picture 7" descr="invisible_space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5" name="Picture 8" descr="invisible_space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6" name="Picture 9" descr="invisible_space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7" name="Picture 10" descr="invisible_space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8" name="Picture 11" descr="invisible_space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09" name="Picture 12" descr="invisible_space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0" name="Picture 13" descr="invisible_space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1" name="Picture 14" descr="invisible_space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2" name="Picture 15" descr="invisible_space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3" name="Picture 16" descr="invisible_space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4" name="Picture 17" descr="invisible_space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5" name="Picture 18" descr="invisible_space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6" name="Picture 19" descr="invisible_space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7" name="Picture 20" descr="invisible_space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8" name="Picture 21" descr="invisible_space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19" name="Picture 22" descr="invisible_space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0" name="Picture 24" descr="invisible_space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1" name="Picture 25" descr="invisible_space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2" name="Picture 26" descr="invisible_space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3" name="Picture 27" descr="invisible_space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4" name="Picture 28" descr="invisible_space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5" name="Picture 29" descr="invisible_space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6" name="Picture 30" descr="invisible_space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7" name="Picture 31" descr="invisible_space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8" name="Picture 32" descr="invisible_space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29" name="Picture 33" descr="invisible_space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0" name="Picture 34" descr="invisible_space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1" name="Picture 35" descr="invisible_space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2" name="Picture 36" descr="invisible_space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3" name="Picture 37" descr="invisible_space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4" name="Picture 38" descr="invisible_space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5" name="Picture 39" descr="invisible_space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6" name="Picture 40" descr="invisible_space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7" name="Picture 41" descr="invisible_space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8" name="Picture 42" descr="invisible_space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39" name="Picture 43" descr="invisible_space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40" name="Picture 44" descr="invisible_space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0</xdr:row>
      <xdr:rowOff>0</xdr:rowOff>
    </xdr:from>
    <xdr:ext cx="9525" cy="9525"/>
    <xdr:pic>
      <xdr:nvPicPr>
        <xdr:cNvPr id="441" name="Picture 45" descr="invisible_space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2" name="Picture 1" descr="invisible_space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3" name="Picture 2" descr="invisible_space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4" name="Picture 3" descr="invisible_space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5" name="Picture 4" descr="invisible_space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6" name="Picture 5" descr="invisible_space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7" name="Picture 6" descr="invisible_space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8" name="Picture 7" descr="invisible_space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49" name="Picture 8" descr="invisible_space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0" name="Picture 9" descr="invisible_space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1" name="Picture 10" descr="invisible_space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2" name="Picture 11" descr="invisible_space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3" name="Picture 12" descr="invisible_space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4" name="Picture 13" descr="invisible_space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5" name="Picture 14" descr="invisible_space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6" name="Picture 15" descr="invisible_space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7" name="Picture 16" descr="invisible_space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8" name="Picture 17" descr="invisible_space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59" name="Picture 18" descr="invisible_space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0" name="Picture 19" descr="invisible_space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1" name="Picture 20" descr="invisible_space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2" name="Picture 21" descr="invisible_space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3" name="Picture 22" descr="invisible_space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4" name="Picture 24" descr="invisible_space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5" name="Picture 25" descr="invisible_space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6" name="Picture 26" descr="invisible_space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7" name="Picture 27" descr="invisible_space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8" name="Picture 28" descr="invisible_space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69" name="Picture 29" descr="invisible_space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0" name="Picture 30" descr="invisible_space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1" name="Picture 31" descr="invisible_space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2" name="Picture 32" descr="invisible_space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3" name="Picture 33" descr="invisible_space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4" name="Picture 34" descr="invisible_space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5" name="Picture 35" descr="invisible_space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6" name="Picture 36" descr="invisible_space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7" name="Picture 37" descr="invisible_space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8" name="Picture 38" descr="invisible_space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79" name="Picture 39" descr="invisible_space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0" name="Picture 40" descr="invisible_space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1" name="Picture 41" descr="invisible_space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2" name="Picture 42" descr="invisible_space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3" name="Picture 43" descr="invisible_space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4" name="Picture 44" descr="invisible_space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485" name="Picture 45" descr="invisible_space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86" name="Picture 485" descr="invisible_space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87" name="Picture 486" descr="invisible_space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88" name="Picture 487" descr="invisible_space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89" name="Picture 488" descr="invisible_space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0" name="Picture 489" descr="invisible_space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1" name="Picture 490" descr="invisible_space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2" name="Picture 491" descr="invisible_space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3" name="Picture 492" descr="invisible_space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4" name="Picture 493" descr="invisible_space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5" name="Picture 494" descr="invisible_space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6" name="Picture 495" descr="invisible_space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7" name="Picture 496" descr="invisible_space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8" name="Picture 497" descr="invisible_space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499" name="Picture 498" descr="invisible_space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0" name="Picture 499" descr="invisible_space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1" name="Picture 500" descr="invisible_space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2" name="Picture 501" descr="invisible_space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3" name="Picture 502" descr="invisible_space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4" name="Picture 503" descr="invisible_space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5" name="Picture 504" descr="invisible_space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6" name="Picture 505" descr="invisible_space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7" name="Picture 506" descr="invisible_space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8" name="Picture 24" descr="invisible_space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09" name="Picture 25" descr="invisible_space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0" name="Picture 26" descr="invisible_space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1" name="Picture 27" descr="invisible_space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2" name="Picture 28" descr="invisible_space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3" name="Picture 29" descr="invisible_space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4" name="Picture 30" descr="invisible_space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5" name="Picture 31" descr="invisible_space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6" name="Picture 32" descr="invisible_space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7" name="Picture 33" descr="invisible_space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8" name="Picture 34" descr="invisible_space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19" name="Picture 35" descr="invisible_space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0" name="Picture 36" descr="invisible_space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1" name="Picture 37" descr="invisible_space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2" name="Picture 38" descr="invisible_space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3" name="Picture 39" descr="invisible_space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4" name="Picture 40" descr="invisible_space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5" name="Picture 41" descr="invisible_space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6" name="Picture 42" descr="invisible_space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7" name="Picture 43" descr="invisible_space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8" name="Picture 44" descr="invisible_space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29" name="Picture 45" descr="invisible_space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0" name="Picture 1" descr="invisible_space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1" name="Picture 2" descr="invisible_space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2" name="Picture 3" descr="invisible_space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3" name="Picture 4" descr="invisible_space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4" name="Picture 5" descr="invisible_space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5" name="Picture 6" descr="invisible_space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6" name="Picture 7" descr="invisible_space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7" name="Picture 8" descr="invisible_space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8" name="Picture 9" descr="invisible_space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39" name="Picture 10" descr="invisible_space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0" name="Picture 11" descr="invisible_space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1" name="Picture 12" descr="invisible_space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2" name="Picture 13" descr="invisible_space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3" name="Picture 14" descr="invisible_space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4" name="Picture 15" descr="invisible_space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5" name="Picture 16" descr="invisible_space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6" name="Picture 17" descr="invisible_space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7" name="Picture 18" descr="invisible_space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8" name="Picture 19" descr="invisible_space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49" name="Picture 20" descr="invisible_space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0" name="Picture 21" descr="invisible_space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1" name="Picture 22" descr="invisible_space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2" name="Picture 24" descr="invisible_space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3" name="Picture 25" descr="invisible_space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4" name="Picture 26" descr="invisible_space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5" name="Picture 27" descr="invisible_space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6" name="Picture 28" descr="invisible_space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7" name="Picture 29" descr="invisible_space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8" name="Picture 30" descr="invisible_space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59" name="Picture 31" descr="invisible_space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0" name="Picture 32" descr="invisible_space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1" name="Picture 33" descr="invisible_space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2" name="Picture 34" descr="invisible_space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3" name="Picture 35" descr="invisible_space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4" name="Picture 36" descr="invisible_space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5" name="Picture 37" descr="invisible_space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6" name="Picture 38" descr="invisible_space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7" name="Picture 39" descr="invisible_space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8" name="Picture 40" descr="invisible_space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69" name="Picture 41" descr="invisible_space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0" name="Picture 42" descr="invisible_space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1" name="Picture 43" descr="invisible_space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2" name="Picture 44" descr="invisible_space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3" name="Picture 45" descr="invisible_space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4" name="Picture 1" descr="invisible_space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5" name="Picture 2" descr="invisible_space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6" name="Picture 3" descr="invisible_space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7" name="Picture 4" descr="invisible_space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8" name="Picture 5" descr="invisible_space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79" name="Picture 6" descr="invisible_space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0" name="Picture 7" descr="invisible_space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1" name="Picture 8" descr="invisible_space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2" name="Picture 9" descr="invisible_space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3" name="Picture 10" descr="invisible_space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4" name="Picture 11" descr="invisible_space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5" name="Picture 12" descr="invisible_space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6" name="Picture 13" descr="invisible_space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7" name="Picture 14" descr="invisible_space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8" name="Picture 15" descr="invisible_space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89" name="Picture 16" descr="invisible_space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0" name="Picture 17" descr="invisible_space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1" name="Picture 18" descr="invisible_space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2" name="Picture 19" descr="invisible_space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3" name="Picture 20" descr="invisible_space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4" name="Picture 21" descr="invisible_space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5" name="Picture 22" descr="invisible_space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6" name="Picture 24" descr="invisible_space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7" name="Picture 25" descr="invisible_space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8" name="Picture 26" descr="invisible_space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599" name="Picture 27" descr="invisible_space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0" name="Picture 28" descr="invisible_space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1" name="Picture 29" descr="invisible_space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2" name="Picture 30" descr="invisible_space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3" name="Picture 31" descr="invisible_space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4" name="Picture 32" descr="invisible_space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5" name="Picture 33" descr="invisible_space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6" name="Picture 34" descr="invisible_space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7" name="Picture 35" descr="invisible_space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8" name="Picture 36" descr="invisible_space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09" name="Picture 37" descr="invisible_space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0" name="Picture 38" descr="invisible_space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1" name="Picture 39" descr="invisible_space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2" name="Picture 40" descr="invisible_space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3" name="Picture 41" descr="invisible_space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4" name="Picture 42" descr="invisible_space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5" name="Picture 43" descr="invisible_space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6" name="Picture 44" descr="invisible_space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7" name="Picture 45" descr="invisible_space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8" name="Picture 1" descr="invisible_space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19" name="Picture 2" descr="invisible_space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0" name="Picture 3" descr="invisible_space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1" name="Picture 4" descr="invisible_space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2" name="Picture 5" descr="invisible_space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3" name="Picture 6" descr="invisible_space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4" name="Picture 7" descr="invisible_space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5" name="Picture 8" descr="invisible_space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6" name="Picture 9" descr="invisible_space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7" name="Picture 10" descr="invisible_space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8" name="Picture 11" descr="invisible_space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29" name="Picture 12" descr="invisible_space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0" name="Picture 13" descr="invisible_space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1" name="Picture 14" descr="invisible_space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2" name="Picture 15" descr="invisible_space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3" name="Picture 16" descr="invisible_space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4" name="Picture 17" descr="invisible_space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5" name="Picture 18" descr="invisible_space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6" name="Picture 19" descr="invisible_space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7" name="Picture 20" descr="invisible_space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8" name="Picture 21" descr="invisible_space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39" name="Picture 22" descr="invisible_space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0" name="Picture 24" descr="invisible_space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1" name="Picture 25" descr="invisible_space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2" name="Picture 26" descr="invisible_space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3" name="Picture 27" descr="invisible_space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4" name="Picture 28" descr="invisible_space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5" name="Picture 29" descr="invisible_space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6" name="Picture 30" descr="invisible_space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7" name="Picture 31" descr="invisible_space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8" name="Picture 32" descr="invisible_space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49" name="Picture 33" descr="invisible_space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0" name="Picture 34" descr="invisible_space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1" name="Picture 35" descr="invisible_space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2" name="Picture 36" descr="invisible_space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3" name="Picture 37" descr="invisible_space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4" name="Picture 38" descr="invisible_space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5" name="Picture 39" descr="invisible_space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6" name="Picture 40" descr="invisible_space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7" name="Picture 41" descr="invisible_space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8" name="Picture 42" descr="invisible_space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59" name="Picture 43" descr="invisible_space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0" name="Picture 44" descr="invisible_space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1" name="Picture 45" descr="invisible_space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2" name="Picture 1" descr="invisible_space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3" name="Picture 2" descr="invisible_space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4" name="Picture 3" descr="invisible_space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5" name="Picture 4" descr="invisible_space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6" name="Picture 5" descr="invisible_space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7" name="Picture 6" descr="invisible_space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8" name="Picture 7" descr="invisible_space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69" name="Picture 8" descr="invisible_space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0" name="Picture 9" descr="invisible_space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1" name="Picture 10" descr="invisible_space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2" name="Picture 11" descr="invisible_space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3" name="Picture 12" descr="invisible_space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4" name="Picture 13" descr="invisible_space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5" name="Picture 14" descr="invisible_space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6" name="Picture 15" descr="invisible_space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7" name="Picture 16" descr="invisible_space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8" name="Picture 17" descr="invisible_space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79" name="Picture 18" descr="invisible_space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0" name="Picture 19" descr="invisible_space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1" name="Picture 20" descr="invisible_space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2" name="Picture 21" descr="invisible_space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3" name="Picture 22" descr="invisible_space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4" name="Picture 24" descr="invisible_space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5" name="Picture 25" descr="invisible_space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6" name="Picture 26" descr="invisible_space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7" name="Picture 27" descr="invisible_space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8" name="Picture 28" descr="invisible_space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89" name="Picture 29" descr="invisible_space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0" name="Picture 30" descr="invisible_space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1" name="Picture 31" descr="invisible_space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2" name="Picture 32" descr="invisible_space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3" name="Picture 33" descr="invisible_space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4" name="Picture 34" descr="invisible_space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5" name="Picture 35" descr="invisible_space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6" name="Picture 36" descr="invisible_space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7" name="Picture 37" descr="invisible_space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8" name="Picture 38" descr="invisible_space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699" name="Picture 39" descr="invisible_space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0" name="Picture 40" descr="invisible_space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1" name="Picture 41" descr="invisible_space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2" name="Picture 42" descr="invisible_space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3" name="Picture 43" descr="invisible_space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4" name="Picture 44" descr="invisible_space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5" name="Picture 45" descr="invisible_space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6" name="Picture 1" descr="invisible_space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7" name="Picture 2" descr="invisible_space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8" name="Picture 3" descr="invisible_space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09" name="Picture 4" descr="invisible_space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0" name="Picture 5" descr="invisible_space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1" name="Picture 6" descr="invisible_space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2" name="Picture 7" descr="invisible_space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3" name="Picture 8" descr="invisible_space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4" name="Picture 9" descr="invisible_space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5" name="Picture 10" descr="invisible_space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6" name="Picture 11" descr="invisible_space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7" name="Picture 12" descr="invisible_space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8" name="Picture 13" descr="invisible_space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19" name="Picture 14" descr="invisible_space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0" name="Picture 15" descr="invisible_space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1" name="Picture 16" descr="invisible_space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2" name="Picture 17" descr="invisible_space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3" name="Picture 18" descr="invisible_space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4" name="Picture 19" descr="invisible_space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5" name="Picture 20" descr="invisible_space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6" name="Picture 21" descr="invisible_space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7" name="Picture 22" descr="invisible_space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8" name="Picture 24" descr="invisible_space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29" name="Picture 25" descr="invisible_space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0" name="Picture 26" descr="invisible_space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1" name="Picture 27" descr="invisible_space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2" name="Picture 28" descr="invisible_space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3" name="Picture 29" descr="invisible_space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4" name="Picture 30" descr="invisible_space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5" name="Picture 31" descr="invisible_space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6" name="Picture 32" descr="invisible_space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7" name="Picture 33" descr="invisible_space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8" name="Picture 34" descr="invisible_space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39" name="Picture 35" descr="invisible_space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0" name="Picture 36" descr="invisible_space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1" name="Picture 37" descr="invisible_space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2" name="Picture 38" descr="invisible_space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3" name="Picture 39" descr="invisible_space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4" name="Picture 40" descr="invisible_space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5" name="Picture 41" descr="invisible_space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6" name="Picture 42" descr="invisible_space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7" name="Picture 43" descr="invisible_space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8" name="Picture 44" descr="invisible_space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49" name="Picture 45" descr="invisible_space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0" name="Picture 1" descr="invisible_space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1" name="Picture 2" descr="invisible_space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2" name="Picture 3" descr="invisible_space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3" name="Picture 4" descr="invisible_space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4" name="Picture 5" descr="invisible_space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5" name="Picture 6" descr="invisible_space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6" name="Picture 7" descr="invisible_space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7" name="Picture 8" descr="invisible_space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8" name="Picture 9" descr="invisible_space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59" name="Picture 10" descr="invisible_space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0" name="Picture 11" descr="invisible_space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1" name="Picture 12" descr="invisible_space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2" name="Picture 13" descr="invisible_space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3" name="Picture 14" descr="invisible_space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4" name="Picture 15" descr="invisible_space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5" name="Picture 16" descr="invisible_space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6" name="Picture 17" descr="invisible_space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7" name="Picture 18" descr="invisible_space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8" name="Picture 19" descr="invisible_space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69" name="Picture 20" descr="invisible_space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0" name="Picture 21" descr="invisible_space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1" name="Picture 22" descr="invisible_space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2" name="Picture 24" descr="invisible_space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3" name="Picture 25" descr="invisible_space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4" name="Picture 26" descr="invisible_space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5" name="Picture 27" descr="invisible_space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6" name="Picture 28" descr="invisible_space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7" name="Picture 29" descr="invisible_space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8" name="Picture 30" descr="invisible_space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79" name="Picture 31" descr="invisible_space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0" name="Picture 32" descr="invisible_space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1" name="Picture 33" descr="invisible_space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2" name="Picture 34" descr="invisible_space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3" name="Picture 35" descr="invisible_space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4" name="Picture 36" descr="invisible_space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5" name="Picture 37" descr="invisible_space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6" name="Picture 38" descr="invisible_space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7" name="Picture 39" descr="invisible_space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8" name="Picture 40" descr="invisible_space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89" name="Picture 41" descr="invisible_space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90" name="Picture 42" descr="invisible_space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91" name="Picture 43" descr="invisible_space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92" name="Picture 44" descr="invisible_space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793" name="Picture 45" descr="invisible_space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794" name="Picture 1" descr="invisible_space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795" name="Picture 2" descr="invisible_space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796" name="Picture 3" descr="invisible_space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797" name="Picture 4" descr="invisible_space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798" name="Picture 5" descr="invisible_space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799" name="Picture 6" descr="invisible_space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0" name="Picture 7" descr="invisible_space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1" name="Picture 8" descr="invisible_space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2" name="Picture 9" descr="invisible_space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3" name="Picture 10" descr="invisible_space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4" name="Picture 11" descr="invisible_space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5" name="Picture 12" descr="invisible_space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6" name="Picture 13" descr="invisible_space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7" name="Picture 14" descr="invisible_space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8" name="Picture 15" descr="invisible_space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09" name="Picture 16" descr="invisible_space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0" name="Picture 17" descr="invisible_space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1" name="Picture 18" descr="invisible_space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2" name="Picture 19" descr="invisible_space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3" name="Picture 20" descr="invisible_space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4" name="Picture 21" descr="invisible_space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5" name="Picture 22" descr="invisible_space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6" name="Picture 24" descr="invisible_space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7" name="Picture 25" descr="invisible_space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8" name="Picture 26" descr="invisible_space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19" name="Picture 27" descr="invisible_space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0" name="Picture 28" descr="invisible_space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1" name="Picture 29" descr="invisible_space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2" name="Picture 30" descr="invisible_space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3" name="Picture 31" descr="invisible_space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4" name="Picture 32" descr="invisible_space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5" name="Picture 33" descr="invisible_space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6" name="Picture 34" descr="invisible_space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7" name="Picture 35" descr="invisible_space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8" name="Picture 36" descr="invisible_space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29" name="Picture 37" descr="invisible_space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30" name="Picture 38" descr="invisible_space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31" name="Picture 39" descr="invisible_space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32" name="Picture 40" descr="invisible_space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33" name="Picture 41" descr="invisible_space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34" name="Picture 42" descr="invisible_space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35" name="Picture 43" descr="invisible_space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36" name="Picture 44" descr="invisible_space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837" name="Picture 45" descr="invisible_space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38" name="Picture 1" descr="invisible_space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39" name="Picture 2" descr="invisible_space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0" name="Picture 3" descr="invisible_space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1" name="Picture 4" descr="invisible_space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2" name="Picture 5" descr="invisible_space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3" name="Picture 6" descr="invisible_space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4" name="Picture 7" descr="invisible_space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5" name="Picture 8" descr="invisible_space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6" name="Picture 9" descr="invisible_space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7" name="Picture 10" descr="invisible_space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8" name="Picture 11" descr="invisible_space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49" name="Picture 12" descr="invisible_space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0" name="Picture 13" descr="invisible_space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1" name="Picture 14" descr="invisible_space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2" name="Picture 15" descr="invisible_space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3" name="Picture 16" descr="invisible_space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4" name="Picture 17" descr="invisible_space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5" name="Picture 18" descr="invisible_space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6" name="Picture 19" descr="invisible_space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7" name="Picture 20" descr="invisible_space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8" name="Picture 21" descr="invisible_space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59" name="Picture 22" descr="invisible_space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0" name="Picture 24" descr="invisible_space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1" name="Picture 25" descr="invisible_space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2" name="Picture 26" descr="invisible_space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3" name="Picture 27" descr="invisible_space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4" name="Picture 28" descr="invisible_space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5" name="Picture 29" descr="invisible_space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6" name="Picture 30" descr="invisible_space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7" name="Picture 31" descr="invisible_space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8" name="Picture 32" descr="invisible_space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69" name="Picture 33" descr="invisible_space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0" name="Picture 34" descr="invisible_space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1" name="Picture 35" descr="invisible_space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2" name="Picture 36" descr="invisible_space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3" name="Picture 37" descr="invisible_space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4" name="Picture 38" descr="invisible_space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5" name="Picture 39" descr="invisible_space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6" name="Picture 40" descr="invisible_space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7" name="Picture 41" descr="invisible_space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8" name="Picture 42" descr="invisible_space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79" name="Picture 43" descr="invisible_space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0" name="Picture 44" descr="invisible_space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1" name="Picture 45" descr="invisible_space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2" name="Picture 1" descr="invisible_space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3" name="Picture 2" descr="invisible_space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4" name="Picture 3" descr="invisible_space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5" name="Picture 4" descr="invisible_space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6" name="Picture 5" descr="invisible_space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7" name="Picture 6" descr="invisible_space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8" name="Picture 7" descr="invisible_space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89" name="Picture 8" descr="invisible_space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0" name="Picture 9" descr="invisible_space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1" name="Picture 10" descr="invisible_space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2" name="Picture 11" descr="invisible_space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3" name="Picture 12" descr="invisible_space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4" name="Picture 13" descr="invisible_space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5" name="Picture 14" descr="invisible_space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6" name="Picture 15" descr="invisible_space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7" name="Picture 16" descr="invisible_space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8" name="Picture 17" descr="invisible_space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899" name="Picture 18" descr="invisible_space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0" name="Picture 19" descr="invisible_space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1" name="Picture 20" descr="invisible_space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2" name="Picture 21" descr="invisible_space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3" name="Picture 22" descr="invisible_space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4" name="Picture 24" descr="invisible_space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5" name="Picture 25" descr="invisible_space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6" name="Picture 26" descr="invisible_space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7" name="Picture 27" descr="invisible_space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8" name="Picture 28" descr="invisible_space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09" name="Picture 29" descr="invisible_space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0" name="Picture 30" descr="invisible_space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1" name="Picture 31" descr="invisible_space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2" name="Picture 32" descr="invisible_space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3" name="Picture 33" descr="invisible_space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4" name="Picture 34" descr="invisible_space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5" name="Picture 35" descr="invisible_space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6" name="Picture 36" descr="invisible_space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7" name="Picture 37" descr="invisible_space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8" name="Picture 38" descr="invisible_space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19" name="Picture 39" descr="invisible_space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20" name="Picture 40" descr="invisible_space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21" name="Picture 41" descr="invisible_space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22" name="Picture 42" descr="invisible_space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23" name="Picture 43" descr="invisible_space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24" name="Picture 44" descr="invisible_space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0</xdr:row>
      <xdr:rowOff>0</xdr:rowOff>
    </xdr:from>
    <xdr:ext cx="9525" cy="9525"/>
    <xdr:pic>
      <xdr:nvPicPr>
        <xdr:cNvPr id="925" name="Picture 45" descr="invisible_space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26" name="Picture 1" descr="invisible_space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27" name="Picture 2" descr="invisible_space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28" name="Picture 3" descr="invisible_space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29" name="Picture 4" descr="invisible_space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0" name="Picture 5" descr="invisible_space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1" name="Picture 6" descr="invisible_space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2" name="Picture 7" descr="invisible_space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3" name="Picture 8" descr="invisible_space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4" name="Picture 9" descr="invisible_space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5" name="Picture 10" descr="invisible_space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6" name="Picture 11" descr="invisible_space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7" name="Picture 12" descr="invisible_space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8" name="Picture 13" descr="invisible_space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39" name="Picture 14" descr="invisible_space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0" name="Picture 15" descr="invisible_space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1" name="Picture 16" descr="invisible_space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2" name="Picture 17" descr="invisible_space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3" name="Picture 18" descr="invisible_space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4" name="Picture 19" descr="invisible_space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5" name="Picture 20" descr="invisible_space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6" name="Picture 21" descr="invisible_space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7" name="Picture 22" descr="invisible_space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8" name="Picture 24" descr="invisible_space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49" name="Picture 25" descr="invisible_space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0" name="Picture 26" descr="invisible_space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1" name="Picture 27" descr="invisible_space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2" name="Picture 28" descr="invisible_space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3" name="Picture 29" descr="invisible_space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4" name="Picture 30" descr="invisible_space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5" name="Picture 31" descr="invisible_space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6" name="Picture 32" descr="invisible_space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7" name="Picture 33" descr="invisible_space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8" name="Picture 34" descr="invisible_space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59" name="Picture 35" descr="invisible_space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0" name="Picture 36" descr="invisible_space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1" name="Picture 37" descr="invisible_space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2" name="Picture 38" descr="invisible_space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3" name="Picture 39" descr="invisible_space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4" name="Picture 40" descr="invisible_space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5" name="Picture 41" descr="invisible_space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6" name="Picture 42" descr="invisible_space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7" name="Picture 43" descr="invisible_space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8" name="Picture 44" descr="invisible_space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969" name="Picture 45" descr="invisible_space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0" name="Picture 969" descr="invisible_space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1" name="Picture 970" descr="invisible_space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2" name="Picture 971" descr="invisible_space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3" name="Picture 972" descr="invisible_space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4" name="Picture 973" descr="invisible_space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5" name="Picture 974" descr="invisible_space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6" name="Picture 975" descr="invisible_space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7" name="Picture 976" descr="invisible_space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8" name="Picture 977" descr="invisible_space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79" name="Picture 978" descr="invisible_space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0" name="Picture 979" descr="invisible_space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1" name="Picture 980" descr="invisible_space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2" name="Picture 981" descr="invisible_space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3" name="Picture 982" descr="invisible_space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4" name="Picture 983" descr="invisible_space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5" name="Picture 984" descr="invisible_space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6" name="Picture 985" descr="invisible_space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7" name="Picture 986" descr="invisible_space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8" name="Picture 987" descr="invisible_space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89" name="Picture 988" descr="invisible_space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0" name="Picture 989" descr="invisible_space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1" name="Picture 990" descr="invisible_space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2" name="Picture 24" descr="invisible_space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3" name="Picture 25" descr="invisible_space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4" name="Picture 26" descr="invisible_space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5" name="Picture 27" descr="invisible_space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6" name="Picture 28" descr="invisible_space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7" name="Picture 29" descr="invisible_space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8" name="Picture 30" descr="invisible_space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999" name="Picture 31" descr="invisible_space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0" name="Picture 32" descr="invisible_space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1" name="Picture 33" descr="invisible_space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2" name="Picture 34" descr="invisible_space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3" name="Picture 35" descr="invisible_space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4" name="Picture 36" descr="invisible_space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5" name="Picture 37" descr="invisible_space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6" name="Picture 38" descr="invisible_space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7" name="Picture 39" descr="invisible_space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8" name="Picture 40" descr="invisible_space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09" name="Picture 41" descr="invisible_space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0" name="Picture 42" descr="invisible_space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1" name="Picture 43" descr="invisible_space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2" name="Picture 44" descr="invisible_space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3" name="Picture 45" descr="invisible_space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4" name="Picture 1" descr="invisible_space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5" name="Picture 2" descr="invisible_space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6" name="Picture 3" descr="invisible_space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7" name="Picture 4" descr="invisible_space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8" name="Picture 5" descr="invisible_space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19" name="Picture 6" descr="invisible_space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0" name="Picture 7" descr="invisible_space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1" name="Picture 8" descr="invisible_space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2" name="Picture 9" descr="invisible_space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3" name="Picture 10" descr="invisible_space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4" name="Picture 11" descr="invisible_space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5" name="Picture 12" descr="invisible_space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6" name="Picture 13" descr="invisible_space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7" name="Picture 14" descr="invisible_space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8" name="Picture 15" descr="invisible_space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29" name="Picture 16" descr="invisible_space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0" name="Picture 17" descr="invisible_space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1" name="Picture 18" descr="invisible_space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2" name="Picture 19" descr="invisible_space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3" name="Picture 20" descr="invisible_space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4" name="Picture 21" descr="invisible_space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5" name="Picture 22" descr="invisible_space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6" name="Picture 24" descr="invisible_space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7" name="Picture 25" descr="invisible_space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8" name="Picture 26" descr="invisible_space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39" name="Picture 27" descr="invisible_space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0" name="Picture 28" descr="invisible_space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1" name="Picture 29" descr="invisible_space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2" name="Picture 30" descr="invisible_space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3" name="Picture 31" descr="invisible_space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4" name="Picture 32" descr="invisible_space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5" name="Picture 33" descr="invisible_space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6" name="Picture 34" descr="invisible_space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7" name="Picture 35" descr="invisible_space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8" name="Picture 36" descr="invisible_space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49" name="Picture 37" descr="invisible_space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0" name="Picture 38" descr="invisible_space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1" name="Picture 39" descr="invisible_space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2" name="Picture 40" descr="invisible_space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3" name="Picture 41" descr="invisible_space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4" name="Picture 42" descr="invisible_space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5" name="Picture 43" descr="invisible_space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6" name="Picture 44" descr="invisible_space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7" name="Picture 45" descr="invisible_space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8" name="Picture 1" descr="invisible_space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59" name="Picture 2" descr="invisible_space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0" name="Picture 3" descr="invisible_space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1" name="Picture 4" descr="invisible_space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2" name="Picture 5" descr="invisible_space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3" name="Picture 6" descr="invisible_space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4" name="Picture 7" descr="invisible_space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5" name="Picture 8" descr="invisible_space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6" name="Picture 9" descr="invisible_space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7" name="Picture 10" descr="invisible_space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8" name="Picture 11" descr="invisible_space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69" name="Picture 12" descr="invisible_space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0" name="Picture 13" descr="invisible_space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1" name="Picture 14" descr="invisible_space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2" name="Picture 15" descr="invisible_space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3" name="Picture 16" descr="invisible_space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4" name="Picture 17" descr="invisible_space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5" name="Picture 18" descr="invisible_space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6" name="Picture 19" descr="invisible_space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7" name="Picture 20" descr="invisible_space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8" name="Picture 21" descr="invisible_space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79" name="Picture 22" descr="invisible_space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0" name="Picture 24" descr="invisible_space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1" name="Picture 25" descr="invisible_space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2" name="Picture 26" descr="invisible_space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3" name="Picture 27" descr="invisible_space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4" name="Picture 28" descr="invisible_space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5" name="Picture 29" descr="invisible_space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6" name="Picture 30" descr="invisible_space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7" name="Picture 31" descr="invisible_space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8" name="Picture 32" descr="invisible_space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89" name="Picture 33" descr="invisible_space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0" name="Picture 34" descr="invisible_space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1" name="Picture 35" descr="invisible_space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2" name="Picture 36" descr="invisible_space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3" name="Picture 37" descr="invisible_space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4" name="Picture 38" descr="invisible_space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5" name="Picture 39" descr="invisible_space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6" name="Picture 40" descr="invisible_space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7" name="Picture 41" descr="invisible_space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8" name="Picture 42" descr="invisible_space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099" name="Picture 43" descr="invisible_space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0" name="Picture 44" descr="invisible_space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1" name="Picture 45" descr="invisible_space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2" name="Picture 1" descr="invisible_space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3" name="Picture 2" descr="invisible_space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4" name="Picture 3" descr="invisible_space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5" name="Picture 4" descr="invisible_space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6" name="Picture 5" descr="invisible_space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7" name="Picture 6" descr="invisible_space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8" name="Picture 7" descr="invisible_space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09" name="Picture 8" descr="invisible_space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0" name="Picture 9" descr="invisible_space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1" name="Picture 10" descr="invisible_space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2" name="Picture 11" descr="invisible_space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3" name="Picture 12" descr="invisible_space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4" name="Picture 13" descr="invisible_space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5" name="Picture 14" descr="invisible_space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6" name="Picture 15" descr="invisible_space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7" name="Picture 16" descr="invisible_space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8" name="Picture 17" descr="invisible_space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19" name="Picture 18" descr="invisible_space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0" name="Picture 19" descr="invisible_space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1" name="Picture 20" descr="invisible_space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2" name="Picture 21" descr="invisible_space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3" name="Picture 22" descr="invisible_space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4" name="Picture 24" descr="invisible_space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5" name="Picture 25" descr="invisible_space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6" name="Picture 26" descr="invisible_space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7" name="Picture 27" descr="invisible_space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8" name="Picture 28" descr="invisible_space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29" name="Picture 29" descr="invisible_space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0" name="Picture 30" descr="invisible_space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1" name="Picture 31" descr="invisible_space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2" name="Picture 32" descr="invisible_space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3" name="Picture 33" descr="invisible_space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4" name="Picture 34" descr="invisible_space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5" name="Picture 35" descr="invisible_space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6" name="Picture 36" descr="invisible_space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7" name="Picture 37" descr="invisible_space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8" name="Picture 38" descr="invisible_space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39" name="Picture 39" descr="invisible_space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0" name="Picture 40" descr="invisible_space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1" name="Picture 41" descr="invisible_space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2" name="Picture 42" descr="invisible_space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3" name="Picture 43" descr="invisible_space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4" name="Picture 44" descr="invisible_space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5" name="Picture 45" descr="invisible_space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6" name="Picture 1" descr="invisible_space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7" name="Picture 2" descr="invisible_space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8" name="Picture 3" descr="invisible_space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49" name="Picture 4" descr="invisible_space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0" name="Picture 5" descr="invisible_space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1" name="Picture 6" descr="invisible_space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2" name="Picture 7" descr="invisible_space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3" name="Picture 8" descr="invisible_space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4" name="Picture 9" descr="invisible_space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5" name="Picture 10" descr="invisible_space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6" name="Picture 11" descr="invisible_space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7" name="Picture 12" descr="invisible_space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8" name="Picture 13" descr="invisible_space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59" name="Picture 14" descr="invisible_space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0" name="Picture 15" descr="invisible_space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1" name="Picture 16" descr="invisible_space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2" name="Picture 17" descr="invisible_space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3" name="Picture 18" descr="invisible_space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4" name="Picture 19" descr="invisible_space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5" name="Picture 20" descr="invisible_space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6" name="Picture 21" descr="invisible_space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7" name="Picture 22" descr="invisible_space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8" name="Picture 24" descr="invisible_space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69" name="Picture 25" descr="invisible_space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0" name="Picture 26" descr="invisible_space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1" name="Picture 27" descr="invisible_space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2" name="Picture 28" descr="invisible_space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3" name="Picture 29" descr="invisible_space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4" name="Picture 30" descr="invisible_space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5" name="Picture 31" descr="invisible_space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6" name="Picture 32" descr="invisible_space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7" name="Picture 33" descr="invisible_space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8" name="Picture 34" descr="invisible_space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79" name="Picture 35" descr="invisible_space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0" name="Picture 36" descr="invisible_space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1" name="Picture 37" descr="invisible_space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2" name="Picture 38" descr="invisible_space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3" name="Picture 39" descr="invisible_space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4" name="Picture 40" descr="invisible_space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5" name="Picture 41" descr="invisible_space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6" name="Picture 42" descr="invisible_space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7" name="Picture 43" descr="invisible_space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8" name="Picture 44" descr="invisible_space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89" name="Picture 45" descr="invisible_space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0" name="Picture 1" descr="invisible_space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1" name="Picture 2" descr="invisible_space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2" name="Picture 3" descr="invisible_space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3" name="Picture 4" descr="invisible_space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4" name="Picture 5" descr="invisible_space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5" name="Picture 6" descr="invisible_space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6" name="Picture 7" descr="invisible_space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7" name="Picture 8" descr="invisible_space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8" name="Picture 9" descr="invisible_space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199" name="Picture 10" descr="invisible_space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0" name="Picture 11" descr="invisible_space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1" name="Picture 12" descr="invisible_space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2" name="Picture 13" descr="invisible_space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3" name="Picture 14" descr="invisible_space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4" name="Picture 15" descr="invisible_space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5" name="Picture 16" descr="invisible_space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6" name="Picture 17" descr="invisible_space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7" name="Picture 18" descr="invisible_space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8" name="Picture 19" descr="invisible_space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09" name="Picture 20" descr="invisible_space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0" name="Picture 21" descr="invisible_space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1" name="Picture 22" descr="invisible_space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2" name="Picture 24" descr="invisible_space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3" name="Picture 25" descr="invisible_space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4" name="Picture 26" descr="invisible_space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5" name="Picture 27" descr="invisible_space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6" name="Picture 28" descr="invisible_space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7" name="Picture 29" descr="invisible_space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8" name="Picture 30" descr="invisible_space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19" name="Picture 31" descr="invisible_space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0" name="Picture 32" descr="invisible_space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1" name="Picture 33" descr="invisible_space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2" name="Picture 34" descr="invisible_space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3" name="Picture 35" descr="invisible_space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4" name="Picture 36" descr="invisible_space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5" name="Picture 37" descr="invisible_space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6" name="Picture 38" descr="invisible_space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7" name="Picture 39" descr="invisible_space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8" name="Picture 40" descr="invisible_space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29" name="Picture 41" descr="invisible_space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0" name="Picture 42" descr="invisible_space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1" name="Picture 43" descr="invisible_space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2" name="Picture 44" descr="invisible_space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3" name="Picture 45" descr="invisible_space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4" name="Picture 1" descr="invisible_space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5" name="Picture 2" descr="invisible_space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6" name="Picture 3" descr="invisible_space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7" name="Picture 4" descr="invisible_space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8" name="Picture 5" descr="invisible_space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39" name="Picture 6" descr="invisible_space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0" name="Picture 7" descr="invisible_space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1" name="Picture 8" descr="invisible_space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2" name="Picture 9" descr="invisible_space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3" name="Picture 10" descr="invisible_space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4" name="Picture 11" descr="invisible_space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5" name="Picture 12" descr="invisible_space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6" name="Picture 13" descr="invisible_space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7" name="Picture 14" descr="invisible_space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8" name="Picture 15" descr="invisible_space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49" name="Picture 16" descr="invisible_space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0" name="Picture 17" descr="invisible_space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1" name="Picture 18" descr="invisible_space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2" name="Picture 19" descr="invisible_space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3" name="Picture 20" descr="invisible_space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4" name="Picture 21" descr="invisible_space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5" name="Picture 22" descr="invisible_space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6" name="Picture 24" descr="invisible_space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7" name="Picture 25" descr="invisible_space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8" name="Picture 26" descr="invisible_space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59" name="Picture 27" descr="invisible_space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0" name="Picture 28" descr="invisible_space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1" name="Picture 29" descr="invisible_space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2" name="Picture 30" descr="invisible_space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3" name="Picture 31" descr="invisible_space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4" name="Picture 32" descr="invisible_space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5" name="Picture 33" descr="invisible_space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6" name="Picture 34" descr="invisible_space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7" name="Picture 35" descr="invisible_space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8" name="Picture 36" descr="invisible_space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69" name="Picture 37" descr="invisible_space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0" name="Picture 38" descr="invisible_space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1" name="Picture 39" descr="invisible_space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2" name="Picture 40" descr="invisible_space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3" name="Picture 41" descr="invisible_space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4" name="Picture 42" descr="invisible_space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5" name="Picture 43" descr="invisible_space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6" name="Picture 44" descr="invisible_space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7" name="Picture 45" descr="invisible_space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8" name="Picture 1" descr="invisible_space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79" name="Picture 2" descr="invisible_space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0" name="Picture 3" descr="invisible_space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1" name="Picture 4" descr="invisible_space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2" name="Picture 5" descr="invisible_space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3" name="Picture 6" descr="invisible_space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4" name="Picture 7" descr="invisible_space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5" name="Picture 8" descr="invisible_space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6" name="Picture 9" descr="invisible_space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7" name="Picture 10" descr="invisible_space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8" name="Picture 11" descr="invisible_space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89" name="Picture 12" descr="invisible_space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0" name="Picture 13" descr="invisible_space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1" name="Picture 14" descr="invisible_space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2" name="Picture 15" descr="invisible_space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3" name="Picture 16" descr="invisible_space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4" name="Picture 17" descr="invisible_space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5" name="Picture 18" descr="invisible_space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6" name="Picture 19" descr="invisible_space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7" name="Picture 20" descr="invisible_space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8" name="Picture 21" descr="invisible_space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299" name="Picture 22" descr="invisible_space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0" name="Picture 24" descr="invisible_space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1" name="Picture 25" descr="invisible_space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2" name="Picture 26" descr="invisible_space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3" name="Picture 27" descr="invisible_space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4" name="Picture 28" descr="invisible_space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5" name="Picture 29" descr="invisible_space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6" name="Picture 30" descr="invisible_space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7" name="Picture 31" descr="invisible_space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8" name="Picture 32" descr="invisible_space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09" name="Picture 33" descr="invisible_space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0" name="Picture 34" descr="invisible_space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1" name="Picture 35" descr="invisible_space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2" name="Picture 36" descr="invisible_space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3" name="Picture 37" descr="invisible_space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4" name="Picture 38" descr="invisible_space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5" name="Picture 39" descr="invisible_space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6" name="Picture 40" descr="invisible_space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7" name="Picture 41" descr="invisible_space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8" name="Picture 42" descr="invisible_space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19" name="Picture 43" descr="invisible_space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0" name="Picture 44" descr="invisible_space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1" name="Picture 45" descr="invisible_space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2" name="Picture 1" descr="invisible_space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3" name="Picture 2" descr="invisible_space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4" name="Picture 3" descr="invisible_space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5" name="Picture 4" descr="invisible_space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6" name="Picture 5" descr="invisible_space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7" name="Picture 6" descr="invisible_space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8" name="Picture 7" descr="invisible_space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29" name="Picture 8" descr="invisible_space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0" name="Picture 9" descr="invisible_space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1" name="Picture 10" descr="invisible_space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2" name="Picture 11" descr="invisible_space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3" name="Picture 12" descr="invisible_space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4" name="Picture 13" descr="invisible_space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5" name="Picture 14" descr="invisible_space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6" name="Picture 15" descr="invisible_space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7" name="Picture 16" descr="invisible_space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8" name="Picture 17" descr="invisible_space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39" name="Picture 18" descr="invisible_space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0" name="Picture 19" descr="invisible_space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1" name="Picture 20" descr="invisible_space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2" name="Picture 21" descr="invisible_space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3" name="Picture 22" descr="invisible_space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4" name="Picture 24" descr="invisible_space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5" name="Picture 25" descr="invisible_space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6" name="Picture 26" descr="invisible_space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7" name="Picture 27" descr="invisible_space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8" name="Picture 28" descr="invisible_space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49" name="Picture 29" descr="invisible_space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0" name="Picture 30" descr="invisible_space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1" name="Picture 31" descr="invisible_space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2" name="Picture 32" descr="invisible_space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3" name="Picture 33" descr="invisible_space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4" name="Picture 34" descr="invisible_space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5" name="Picture 35" descr="invisible_space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6" name="Picture 36" descr="invisible_space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7" name="Picture 37" descr="invisible_space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8" name="Picture 38" descr="invisible_space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59" name="Picture 39" descr="invisible_space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0" name="Picture 40" descr="invisible_space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1" name="Picture 41" descr="invisible_space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2" name="Picture 42" descr="invisible_space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3" name="Picture 43" descr="invisible_space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4" name="Picture 44" descr="invisible_space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5" name="Picture 45" descr="invisible_space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6" name="Picture 1" descr="invisible_space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7" name="Picture 2" descr="invisible_space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8" name="Picture 3" descr="invisible_space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69" name="Picture 4" descr="invisible_space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0" name="Picture 5" descr="invisible_space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1" name="Picture 6" descr="invisible_space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2" name="Picture 7" descr="invisible_space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3" name="Picture 8" descr="invisible_space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4" name="Picture 9" descr="invisible_space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5" name="Picture 10" descr="invisible_space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6" name="Picture 11" descr="invisible_space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7" name="Picture 12" descr="invisible_space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8" name="Picture 13" descr="invisible_space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79" name="Picture 14" descr="invisible_space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0" name="Picture 15" descr="invisible_space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1" name="Picture 16" descr="invisible_space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2" name="Picture 17" descr="invisible_space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3" name="Picture 18" descr="invisible_space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4" name="Picture 19" descr="invisible_space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5" name="Picture 20" descr="invisible_space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6" name="Picture 21" descr="invisible_space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7" name="Picture 22" descr="invisible_space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8" name="Picture 24" descr="invisible_space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89" name="Picture 25" descr="invisible_space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0" name="Picture 26" descr="invisible_space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1" name="Picture 27" descr="invisible_space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2" name="Picture 28" descr="invisible_space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3" name="Picture 29" descr="invisible_space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4" name="Picture 30" descr="invisible_space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5" name="Picture 31" descr="invisible_space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6" name="Picture 32" descr="invisible_space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7" name="Picture 33" descr="invisible_space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8" name="Picture 34" descr="invisible_space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399" name="Picture 35" descr="invisible_space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0" name="Picture 36" descr="invisible_space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1" name="Picture 37" descr="invisible_space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2" name="Picture 38" descr="invisible_space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3" name="Picture 39" descr="invisible_space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4" name="Picture 40" descr="invisible_space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5" name="Picture 41" descr="invisible_space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6" name="Picture 42" descr="invisible_space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7" name="Picture 43" descr="invisible_space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8" name="Picture 44" descr="invisible_space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09" name="Picture 45" descr="invisible_space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0" name="Picture 1" descr="invisible_space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1" name="Picture 2" descr="invisible_space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2" name="Picture 3" descr="invisible_space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3" name="Picture 4" descr="invisible_space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4" name="Picture 5" descr="invisible_space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5" name="Picture 6" descr="invisible_space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6" name="Picture 7" descr="invisible_space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7" name="Picture 8" descr="invisible_space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8" name="Picture 9" descr="invisible_space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19" name="Picture 10" descr="invisible_space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0" name="Picture 11" descr="invisible_space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1" name="Picture 12" descr="invisible_space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2" name="Picture 13" descr="invisible_space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3" name="Picture 14" descr="invisible_space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4" name="Picture 15" descr="invisible_space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5" name="Picture 16" descr="invisible_space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6" name="Picture 17" descr="invisible_space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7" name="Picture 18" descr="invisible_space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8" name="Picture 19" descr="invisible_space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29" name="Picture 20" descr="invisible_space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0" name="Picture 21" descr="invisible_space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1" name="Picture 22" descr="invisible_space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2" name="Picture 24" descr="invisible_space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3" name="Picture 25" descr="invisible_space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4" name="Picture 26" descr="invisible_space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5" name="Picture 27" descr="invisible_space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6" name="Picture 28" descr="invisible_space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7" name="Picture 29" descr="invisible_space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8" name="Picture 30" descr="invisible_space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39" name="Picture 31" descr="invisible_space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0" name="Picture 32" descr="invisible_space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1" name="Picture 33" descr="invisible_space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2" name="Picture 34" descr="invisible_space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3" name="Picture 35" descr="invisible_space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4" name="Picture 36" descr="invisible_space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5" name="Picture 37" descr="invisible_space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6" name="Picture 38" descr="invisible_space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7" name="Picture 39" descr="invisible_space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8" name="Picture 40" descr="invisible_space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49" name="Picture 41" descr="invisible_space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0" name="Picture 42" descr="invisible_space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1" name="Picture 43" descr="invisible_space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2" name="Picture 44" descr="invisible_space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453" name="Picture 45" descr="invisible_space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54" name="Picture 1" descr="invisible_space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55" name="Picture 2" descr="invisible_space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56" name="Picture 3" descr="invisible_space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57" name="Picture 4" descr="invisible_space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58" name="Picture 5" descr="invisible_space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59" name="Picture 6" descr="invisible_space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0" name="Picture 7" descr="invisible_space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1" name="Picture 8" descr="invisible_space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2" name="Picture 9" descr="invisible_space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3" name="Picture 10" descr="invisible_space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4" name="Picture 11" descr="invisible_space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5" name="Picture 12" descr="invisible_space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6" name="Picture 13" descr="invisible_space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7" name="Picture 14" descr="invisible_space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8" name="Picture 15" descr="invisible_space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69" name="Picture 16" descr="invisible_space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0" name="Picture 17" descr="invisible_space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1" name="Picture 18" descr="invisible_space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2" name="Picture 19" descr="invisible_space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3" name="Picture 20" descr="invisible_space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4" name="Picture 21" descr="invisible_space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5" name="Picture 22" descr="invisible_space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6" name="Picture 24" descr="invisible_space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7" name="Picture 25" descr="invisible_space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8" name="Picture 26" descr="invisible_space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79" name="Picture 27" descr="invisible_space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0" name="Picture 28" descr="invisible_space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1" name="Picture 29" descr="invisible_space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2" name="Picture 30" descr="invisible_space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3" name="Picture 31" descr="invisible_space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4" name="Picture 32" descr="invisible_space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5" name="Picture 33" descr="invisible_space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6" name="Picture 34" descr="invisible_space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7" name="Picture 35" descr="invisible_space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8" name="Picture 36" descr="invisible_space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89" name="Picture 37" descr="invisible_space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0" name="Picture 38" descr="invisible_space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1" name="Picture 39" descr="invisible_space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2" name="Picture 40" descr="invisible_space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3" name="Picture 41" descr="invisible_space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4" name="Picture 42" descr="invisible_space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5" name="Picture 43" descr="invisible_space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6" name="Picture 44" descr="invisible_space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7" name="Picture 45" descr="invisible_space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8" name="Picture 1" descr="invisible_space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499" name="Picture 2" descr="invisible_space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0" name="Picture 3" descr="invisible_space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1" name="Picture 4" descr="invisible_space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2" name="Picture 5" descr="invisible_space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3" name="Picture 6" descr="invisible_space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4" name="Picture 7" descr="invisible_space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5" name="Picture 8" descr="invisible_space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6" name="Picture 9" descr="invisible_space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7" name="Picture 10" descr="invisible_space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8" name="Picture 11" descr="invisible_space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09" name="Picture 12" descr="invisible_space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0" name="Picture 13" descr="invisible_space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1" name="Picture 14" descr="invisible_space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2" name="Picture 15" descr="invisible_space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3" name="Picture 16" descr="invisible_space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4" name="Picture 17" descr="invisible_space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5" name="Picture 18" descr="invisible_space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6" name="Picture 19" descr="invisible_space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7" name="Picture 20" descr="invisible_space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8" name="Picture 21" descr="invisible_space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19" name="Picture 22" descr="invisible_space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0" name="Picture 24" descr="invisible_space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1" name="Picture 25" descr="invisible_space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2" name="Picture 26" descr="invisible_space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3" name="Picture 27" descr="invisible_space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4" name="Picture 28" descr="invisible_space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5" name="Picture 29" descr="invisible_space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6" name="Picture 30" descr="invisible_space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7" name="Picture 31" descr="invisible_space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8" name="Picture 32" descr="invisible_space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29" name="Picture 33" descr="invisible_space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0" name="Picture 34" descr="invisible_space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1" name="Picture 35" descr="invisible_space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2" name="Picture 36" descr="invisible_space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3" name="Picture 37" descr="invisible_space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4" name="Picture 38" descr="invisible_space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5" name="Picture 39" descr="invisible_space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6" name="Picture 40" descr="invisible_space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7" name="Picture 41" descr="invisible_space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8" name="Picture 42" descr="invisible_space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39" name="Picture 43" descr="invisible_space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0" name="Picture 44" descr="invisible_space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1" name="Picture 45" descr="invisible_space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2" name="Picture 1" descr="invisible_space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3" name="Picture 2" descr="invisible_space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4" name="Picture 3" descr="invisible_space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5" name="Picture 4" descr="invisible_space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6" name="Picture 5" descr="invisible_space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7" name="Picture 6" descr="invisible_space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8" name="Picture 7" descr="invisible_space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49" name="Picture 8" descr="invisible_space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0" name="Picture 9" descr="invisible_space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1" name="Picture 10" descr="invisible_space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2" name="Picture 11" descr="invisible_space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3" name="Picture 12" descr="invisible_space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4" name="Picture 13" descr="invisible_space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5" name="Picture 14" descr="invisible_space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6" name="Picture 15" descr="invisible_space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7" name="Picture 16" descr="invisible_space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8" name="Picture 17" descr="invisible_space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59" name="Picture 18" descr="invisible_space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0" name="Picture 19" descr="invisible_space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1" name="Picture 20" descr="invisible_space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2" name="Picture 21" descr="invisible_space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3" name="Picture 22" descr="invisible_space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4" name="Picture 24" descr="invisible_space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5" name="Picture 25" descr="invisible_space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6" name="Picture 26" descr="invisible_space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7" name="Picture 27" descr="invisible_space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8" name="Picture 28" descr="invisible_space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69" name="Picture 29" descr="invisible_space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0" name="Picture 30" descr="invisible_space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1" name="Picture 31" descr="invisible_space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2" name="Picture 32" descr="invisible_space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3" name="Picture 33" descr="invisible_space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4" name="Picture 34" descr="invisible_space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5" name="Picture 35" descr="invisible_space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6" name="Picture 36" descr="invisible_space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7" name="Picture 37" descr="invisible_space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8" name="Picture 38" descr="invisible_space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79" name="Picture 39" descr="invisible_space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0" name="Picture 40" descr="invisible_space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1" name="Picture 41" descr="invisible_space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2" name="Picture 42" descr="invisible_space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3" name="Picture 43" descr="invisible_space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4" name="Picture 44" descr="invisible_space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5" name="Picture 45" descr="invisible_space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6" name="Picture 1" descr="invisible_space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7" name="Picture 2" descr="invisible_space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8" name="Picture 3" descr="invisible_space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89" name="Picture 4" descr="invisible_space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0" name="Picture 5" descr="invisible_space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1" name="Picture 6" descr="invisible_space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2" name="Picture 7" descr="invisible_space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3" name="Picture 8" descr="invisible_space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4" name="Picture 9" descr="invisible_space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5" name="Picture 10" descr="invisible_space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6" name="Picture 11" descr="invisible_space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7" name="Picture 12" descr="invisible_space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8" name="Picture 13" descr="invisible_space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599" name="Picture 14" descr="invisible_space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0" name="Picture 15" descr="invisible_space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1" name="Picture 16" descr="invisible_space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2" name="Picture 17" descr="invisible_space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3" name="Picture 18" descr="invisible_space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4" name="Picture 19" descr="invisible_space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5" name="Picture 20" descr="invisible_space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6" name="Picture 21" descr="invisible_space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7" name="Picture 22" descr="invisible_space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8" name="Picture 24" descr="invisible_space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09" name="Picture 25" descr="invisible_space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0" name="Picture 26" descr="invisible_space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1" name="Picture 27" descr="invisible_space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2" name="Picture 28" descr="invisible_space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3" name="Picture 29" descr="invisible_space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4" name="Picture 30" descr="invisible_space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5" name="Picture 31" descr="invisible_space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6" name="Picture 32" descr="invisible_space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7" name="Picture 33" descr="invisible_space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8" name="Picture 34" descr="invisible_space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19" name="Picture 35" descr="invisible_space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0" name="Picture 36" descr="invisible_space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1" name="Picture 37" descr="invisible_space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2" name="Picture 38" descr="invisible_space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3" name="Picture 39" descr="invisible_space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4" name="Picture 40" descr="invisible_space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5" name="Picture 41" descr="invisible_space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6" name="Picture 42" descr="invisible_space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7" name="Picture 43" descr="invisible_space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8" name="Picture 44" descr="invisible_space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629" name="Picture 45" descr="invisible_space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0" name="Picture 1" descr="invisible_space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1" name="Picture 2" descr="invisible_space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2" name="Picture 3" descr="invisible_space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3" name="Picture 4" descr="invisible_space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4" name="Picture 5" descr="invisible_space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5" name="Picture 6" descr="invisible_space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6" name="Picture 7" descr="invisible_space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7" name="Picture 8" descr="invisible_space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8" name="Picture 9" descr="invisible_space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39" name="Picture 10" descr="invisible_space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0" name="Picture 11" descr="invisible_space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1" name="Picture 12" descr="invisible_space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2" name="Picture 13" descr="invisible_space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3" name="Picture 14" descr="invisible_space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4" name="Picture 15" descr="invisible_space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5" name="Picture 16" descr="invisible_space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6" name="Picture 17" descr="invisible_space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7" name="Picture 18" descr="invisible_space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8" name="Picture 19" descr="invisible_space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49" name="Picture 20" descr="invisible_space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0" name="Picture 21" descr="invisible_space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1" name="Picture 22" descr="invisible_space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2" name="Picture 24" descr="invisible_space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3" name="Picture 25" descr="invisible_space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4" name="Picture 26" descr="invisible_space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5" name="Picture 27" descr="invisible_space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6" name="Picture 28" descr="invisible_space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7" name="Picture 29" descr="invisible_space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8" name="Picture 30" descr="invisible_space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59" name="Picture 31" descr="invisible_space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0" name="Picture 32" descr="invisible_space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1" name="Picture 33" descr="invisible_space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2" name="Picture 34" descr="invisible_space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3" name="Picture 35" descr="invisible_space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4" name="Picture 36" descr="invisible_space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5" name="Picture 37" descr="invisible_space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6" name="Picture 38" descr="invisible_space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7" name="Picture 39" descr="invisible_space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8" name="Picture 40" descr="invisible_space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69" name="Picture 41" descr="invisible_space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70" name="Picture 42" descr="invisible_space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71" name="Picture 43" descr="invisible_space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72" name="Picture 44" descr="invisible_space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20</xdr:row>
      <xdr:rowOff>0</xdr:rowOff>
    </xdr:from>
    <xdr:ext cx="9525" cy="9525"/>
    <xdr:pic>
      <xdr:nvPicPr>
        <xdr:cNvPr id="1673" name="Picture 45" descr="invisible_space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4333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74" name="Picture 1" descr="invisible_space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75" name="Picture 2" descr="invisible_space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76" name="Picture 3" descr="invisible_space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77" name="Picture 4" descr="invisible_space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78" name="Picture 5" descr="invisible_space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79" name="Picture 6" descr="invisible_space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0" name="Picture 7" descr="invisible_space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1" name="Picture 8" descr="invisible_space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2" name="Picture 9" descr="invisible_space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3" name="Picture 10" descr="invisible_space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4" name="Picture 11" descr="invisible_space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5" name="Picture 12" descr="invisible_space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6" name="Picture 13" descr="invisible_space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7" name="Picture 14" descr="invisible_space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8" name="Picture 15" descr="invisible_space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89" name="Picture 16" descr="invisible_space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0" name="Picture 17" descr="invisible_space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1" name="Picture 18" descr="invisible_space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2" name="Picture 19" descr="invisible_space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3" name="Picture 20" descr="invisible_space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4" name="Picture 21" descr="invisible_space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5" name="Picture 22" descr="invisible_space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6" name="Picture 24" descr="invisible_space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7" name="Picture 25" descr="invisible_space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8" name="Picture 26" descr="invisible_space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699" name="Picture 27" descr="invisible_space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0" name="Picture 28" descr="invisible_space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1" name="Picture 29" descr="invisible_space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2" name="Picture 30" descr="invisible_space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3" name="Picture 31" descr="invisible_space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4" name="Picture 32" descr="invisible_space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5" name="Picture 33" descr="invisible_space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6" name="Picture 34" descr="invisible_space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7" name="Picture 35" descr="invisible_space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8" name="Picture 36" descr="invisible_space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09" name="Picture 37" descr="invisible_space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10" name="Picture 38" descr="invisible_space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11" name="Picture 39" descr="invisible_space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12" name="Picture 40" descr="invisible_space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13" name="Picture 41" descr="invisible_space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14" name="Picture 42" descr="invisible_space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15" name="Picture 43" descr="invisible_space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16" name="Picture 44" descr="invisible_space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</xdr:row>
      <xdr:rowOff>0</xdr:rowOff>
    </xdr:from>
    <xdr:ext cx="9525" cy="9525"/>
    <xdr:pic>
      <xdr:nvPicPr>
        <xdr:cNvPr id="1717" name="Picture 45" descr="invisible_space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381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8" name="Picture 1" descr="invisible_space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19" name="Picture 2" descr="invisible_space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0" name="Picture 3" descr="invisible_space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1" name="Picture 4" descr="invisible_space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2" name="Picture 5" descr="invisible_space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3" name="Picture 6" descr="invisible_space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4" name="Picture 7" descr="invisible_space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5" name="Picture 8" descr="invisible_space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6" name="Picture 9" descr="invisible_space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7" name="Picture 10" descr="invisible_space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8" name="Picture 11" descr="invisible_space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29" name="Picture 12" descr="invisible_space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0" name="Picture 13" descr="invisible_space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1" name="Picture 14" descr="invisible_space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2" name="Picture 15" descr="invisible_space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3" name="Picture 16" descr="invisible_space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4" name="Picture 17" descr="invisible_space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5" name="Picture 18" descr="invisible_space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6" name="Picture 19" descr="invisible_space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7" name="Picture 20" descr="invisible_space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8" name="Picture 21" descr="invisible_space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39" name="Picture 22" descr="invisible_space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0" name="Picture 24" descr="invisible_space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1" name="Picture 25" descr="invisible_space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2" name="Picture 26" descr="invisible_space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3" name="Picture 27" descr="invisible_space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4" name="Picture 28" descr="invisible_space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5" name="Picture 29" descr="invisible_space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6" name="Picture 30" descr="invisible_space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7" name="Picture 31" descr="invisible_space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8" name="Picture 32" descr="invisible_space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49" name="Picture 33" descr="invisible_space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0" name="Picture 34" descr="invisible_space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1" name="Picture 35" descr="invisible_space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2" name="Picture 36" descr="invisible_space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3" name="Picture 37" descr="invisible_space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4" name="Picture 38" descr="invisible_space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5" name="Picture 39" descr="invisible_space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6" name="Picture 40" descr="invisible_space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7" name="Picture 41" descr="invisible_space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8" name="Picture 42" descr="invisible_space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59" name="Picture 43" descr="invisible_space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0" name="Picture 44" descr="invisible_space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1" name="Picture 45" descr="invisible_space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2" name="Picture 1" descr="invisible_space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3" name="Picture 2" descr="invisible_space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4" name="Picture 3" descr="invisible_space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5" name="Picture 4" descr="invisible_space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6" name="Picture 5" descr="invisible_space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7" name="Picture 6" descr="invisible_space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8" name="Picture 7" descr="invisible_space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69" name="Picture 8" descr="invisible_space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0" name="Picture 9" descr="invisible_space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1" name="Picture 10" descr="invisible_space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2" name="Picture 11" descr="invisible_space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3" name="Picture 12" descr="invisible_space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4" name="Picture 13" descr="invisible_space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5" name="Picture 14" descr="invisible_space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6" name="Picture 15" descr="invisible_space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7" name="Picture 16" descr="invisible_space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8" name="Picture 17" descr="invisible_space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79" name="Picture 18" descr="invisible_space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0" name="Picture 19" descr="invisible_space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1" name="Picture 20" descr="invisible_space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2" name="Picture 21" descr="invisible_space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3" name="Picture 22" descr="invisible_space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4" name="Picture 24" descr="invisible_space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5" name="Picture 25" descr="invisible_space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6" name="Picture 26" descr="invisible_space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7" name="Picture 27" descr="invisible_space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8" name="Picture 28" descr="invisible_space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89" name="Picture 29" descr="invisible_space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0" name="Picture 30" descr="invisible_space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1" name="Picture 31" descr="invisible_space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2" name="Picture 32" descr="invisible_space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3" name="Picture 33" descr="invisible_space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4" name="Picture 34" descr="invisible_space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5" name="Picture 35" descr="invisible_space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6" name="Picture 36" descr="invisible_space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7" name="Picture 37" descr="invisible_space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8" name="Picture 38" descr="invisible_space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799" name="Picture 39" descr="invisible_space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0" name="Picture 40" descr="invisible_space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1" name="Picture 41" descr="invisible_space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2" name="Picture 42" descr="invisible_space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3" name="Picture 43" descr="invisible_space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4" name="Picture 44" descr="invisible_space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156</xdr:row>
      <xdr:rowOff>0</xdr:rowOff>
    </xdr:from>
    <xdr:ext cx="9525" cy="9525"/>
    <xdr:pic>
      <xdr:nvPicPr>
        <xdr:cNvPr id="1805" name="Picture 45" descr="invisible_space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06" name="Picture 1" descr="invisible_space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07" name="Picture 2" descr="invisible_space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08" name="Picture 3" descr="invisible_space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09" name="Picture 4" descr="invisible_space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0" name="Picture 5" descr="invisible_space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1" name="Picture 6" descr="invisible_space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2" name="Picture 7" descr="invisible_space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3" name="Picture 8" descr="invisible_space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4" name="Picture 9" descr="invisible_space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5" name="Picture 10" descr="invisible_space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6" name="Picture 11" descr="invisible_space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7" name="Picture 12" descr="invisible_space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8" name="Picture 13" descr="invisible_space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19" name="Picture 14" descr="invisible_space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0" name="Picture 15" descr="invisible_space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1" name="Picture 16" descr="invisible_space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2" name="Picture 17" descr="invisible_space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3" name="Picture 18" descr="invisible_space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4" name="Picture 19" descr="invisible_space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5" name="Picture 20" descr="invisible_space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6" name="Picture 21" descr="invisible_space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7" name="Picture 22" descr="invisible_space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8" name="Picture 24" descr="invisible_space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29" name="Picture 25" descr="invisible_space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0" name="Picture 26" descr="invisible_space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1" name="Picture 27" descr="invisible_space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2" name="Picture 28" descr="invisible_space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3" name="Picture 29" descr="invisible_space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4" name="Picture 30" descr="invisible_space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5" name="Picture 31" descr="invisible_space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6" name="Picture 32" descr="invisible_space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7" name="Picture 33" descr="invisible_space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8" name="Picture 34" descr="invisible_space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39" name="Picture 35" descr="invisible_space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0" name="Picture 36" descr="invisible_space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1" name="Picture 37" descr="invisible_space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2" name="Picture 38" descr="invisible_space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3" name="Picture 39" descr="invisible_space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4" name="Picture 40" descr="invisible_space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5" name="Picture 41" descr="invisible_space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6" name="Picture 42" descr="invisible_space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7" name="Picture 43" descr="invisible_space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8" name="Picture 44" descr="invisible_space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49" name="Picture 45" descr="invisible_space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0" name="Picture 1" descr="invisible_space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1" name="Picture 2" descr="invisible_space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2" name="Picture 3" descr="invisible_space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3" name="Picture 4" descr="invisible_space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4" name="Picture 5" descr="invisible_space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5" name="Picture 6" descr="invisible_space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6" name="Picture 7" descr="invisible_space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7" name="Picture 8" descr="invisible_space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8" name="Picture 9" descr="invisible_space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59" name="Picture 10" descr="invisible_space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0" name="Picture 11" descr="invisible_space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1" name="Picture 12" descr="invisible_space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2" name="Picture 13" descr="invisible_space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3" name="Picture 14" descr="invisible_space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4" name="Picture 15" descr="invisible_space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5" name="Picture 16" descr="invisible_space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6" name="Picture 17" descr="invisible_space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7" name="Picture 18" descr="invisible_space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8" name="Picture 19" descr="invisible_space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69" name="Picture 20" descr="invisible_space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0" name="Picture 21" descr="invisible_space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1" name="Picture 22" descr="invisible_space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2" name="Picture 24" descr="invisible_space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3" name="Picture 25" descr="invisible_space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4" name="Picture 26" descr="invisible_space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5" name="Picture 27" descr="invisible_space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6" name="Picture 28" descr="invisible_space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7" name="Picture 29" descr="invisible_space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8" name="Picture 30" descr="invisible_space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79" name="Picture 31" descr="invisible_space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0" name="Picture 32" descr="invisible_space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1" name="Picture 33" descr="invisible_space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2" name="Picture 34" descr="invisible_space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3" name="Picture 35" descr="invisible_space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4" name="Picture 36" descr="invisible_space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5" name="Picture 37" descr="invisible_space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6" name="Picture 38" descr="invisible_space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7" name="Picture 39" descr="invisible_space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8" name="Picture 40" descr="invisible_space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89" name="Picture 41" descr="invisible_space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90" name="Picture 42" descr="invisible_space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91" name="Picture 43" descr="invisible_space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92" name="Picture 44" descr="invisible_space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156</xdr:row>
      <xdr:rowOff>0</xdr:rowOff>
    </xdr:from>
    <xdr:ext cx="9525" cy="9525"/>
    <xdr:pic>
      <xdr:nvPicPr>
        <xdr:cNvPr id="1893" name="Picture 45" descr="invisible_space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30889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uniprot.org/proteomes/UP00000248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22308420" TargetMode="External"/><Relationship Id="rId13" Type="http://schemas.openxmlformats.org/officeDocument/2006/relationships/hyperlink" Target="https://www.ncbi.nlm.nih.gov/pubmed/22308420" TargetMode="External"/><Relationship Id="rId18" Type="http://schemas.openxmlformats.org/officeDocument/2006/relationships/hyperlink" Target="https://www.ncbi.nlm.nih.gov/pubmed/22308420" TargetMode="External"/><Relationship Id="rId26" Type="http://schemas.openxmlformats.org/officeDocument/2006/relationships/hyperlink" Target="https://link.springer.com/content/pdf/10.1007%2FBF00446654.pdf" TargetMode="External"/><Relationship Id="rId3" Type="http://schemas.openxmlformats.org/officeDocument/2006/relationships/hyperlink" Target="https://www.ncbi.nlm.nih.gov/pubmed/22308420" TargetMode="External"/><Relationship Id="rId21" Type="http://schemas.openxmlformats.org/officeDocument/2006/relationships/hyperlink" Target="https://www.sciencedirect.com/science/article/pii/S2211926418304697" TargetMode="External"/><Relationship Id="rId7" Type="http://schemas.openxmlformats.org/officeDocument/2006/relationships/hyperlink" Target="https://www.ncbi.nlm.nih.gov/pubmed/22308420" TargetMode="External"/><Relationship Id="rId12" Type="http://schemas.openxmlformats.org/officeDocument/2006/relationships/hyperlink" Target="https://www.ncbi.nlm.nih.gov/pubmed/22308420" TargetMode="External"/><Relationship Id="rId17" Type="http://schemas.openxmlformats.org/officeDocument/2006/relationships/hyperlink" Target="https://www.ncbi.nlm.nih.gov/pubmed/22308420" TargetMode="External"/><Relationship Id="rId25" Type="http://schemas.openxmlformats.org/officeDocument/2006/relationships/hyperlink" Target="https://link.springer.com/content/pdf/10.1007%2FBF00446654.pdf" TargetMode="External"/><Relationship Id="rId33" Type="http://schemas.openxmlformats.org/officeDocument/2006/relationships/comments" Target="../comments5.xml"/><Relationship Id="rId2" Type="http://schemas.openxmlformats.org/officeDocument/2006/relationships/hyperlink" Target="https://www.ncbi.nlm.nih.gov/pubmed/22308420" TargetMode="External"/><Relationship Id="rId16" Type="http://schemas.openxmlformats.org/officeDocument/2006/relationships/hyperlink" Target="https://www.ncbi.nlm.nih.gov/pubmed/22308420" TargetMode="External"/><Relationship Id="rId20" Type="http://schemas.openxmlformats.org/officeDocument/2006/relationships/hyperlink" Target="https://www.ncbi.nlm.nih.gov/pubmed/22308420" TargetMode="External"/><Relationship Id="rId29" Type="http://schemas.openxmlformats.org/officeDocument/2006/relationships/hyperlink" Target="https://academic.oup.com/femsle/article/228/1/129/570944" TargetMode="External"/><Relationship Id="rId1" Type="http://schemas.openxmlformats.org/officeDocument/2006/relationships/hyperlink" Target="https://www.ncbi.nlm.nih.gov/pubmed/22308420" TargetMode="External"/><Relationship Id="rId6" Type="http://schemas.openxmlformats.org/officeDocument/2006/relationships/hyperlink" Target="https://www.ncbi.nlm.nih.gov/pubmed/22308420" TargetMode="External"/><Relationship Id="rId11" Type="http://schemas.openxmlformats.org/officeDocument/2006/relationships/hyperlink" Target="https://www.ncbi.nlm.nih.gov/pubmed/22308420" TargetMode="External"/><Relationship Id="rId24" Type="http://schemas.openxmlformats.org/officeDocument/2006/relationships/hyperlink" Target="https://www.sciencedirect.com/science/article/pii/S2211926418304697" TargetMode="External"/><Relationship Id="rId32" Type="http://schemas.openxmlformats.org/officeDocument/2006/relationships/vmlDrawing" Target="../drawings/vmlDrawing5.vml"/><Relationship Id="rId5" Type="http://schemas.openxmlformats.org/officeDocument/2006/relationships/hyperlink" Target="https://www.ncbi.nlm.nih.gov/pubmed/22308420" TargetMode="External"/><Relationship Id="rId15" Type="http://schemas.openxmlformats.org/officeDocument/2006/relationships/hyperlink" Target="https://www.ncbi.nlm.nih.gov/pubmed/22308420" TargetMode="External"/><Relationship Id="rId23" Type="http://schemas.openxmlformats.org/officeDocument/2006/relationships/hyperlink" Target="https://link.springer.com/content/pdf/10.1007%2FBF00446654.pdf" TargetMode="External"/><Relationship Id="rId28" Type="http://schemas.openxmlformats.org/officeDocument/2006/relationships/hyperlink" Target="https://academic.oup.com/femsle/article/228/1/129/570944" TargetMode="External"/><Relationship Id="rId10" Type="http://schemas.openxmlformats.org/officeDocument/2006/relationships/hyperlink" Target="https://www.ncbi.nlm.nih.gov/pubmed/22308420" TargetMode="External"/><Relationship Id="rId19" Type="http://schemas.openxmlformats.org/officeDocument/2006/relationships/hyperlink" Target="https://www.sciencedirect.com/science/article/pii/S2211926418304697" TargetMode="External"/><Relationship Id="rId31" Type="http://schemas.openxmlformats.org/officeDocument/2006/relationships/printerSettings" Target="../printerSettings/printerSettings11.bin"/><Relationship Id="rId4" Type="http://schemas.openxmlformats.org/officeDocument/2006/relationships/hyperlink" Target="https://www.ncbi.nlm.nih.gov/pubmed/22308420" TargetMode="External"/><Relationship Id="rId9" Type="http://schemas.openxmlformats.org/officeDocument/2006/relationships/hyperlink" Target="https://www.ncbi.nlm.nih.gov/pubmed/22308420" TargetMode="External"/><Relationship Id="rId14" Type="http://schemas.openxmlformats.org/officeDocument/2006/relationships/hyperlink" Target="https://www.ncbi.nlm.nih.gov/pubmed/22308420" TargetMode="External"/><Relationship Id="rId22" Type="http://schemas.openxmlformats.org/officeDocument/2006/relationships/hyperlink" Target="https://www.sciencedirect.com/science/article/pii/S2211926418304697" TargetMode="External"/><Relationship Id="rId27" Type="http://schemas.openxmlformats.org/officeDocument/2006/relationships/hyperlink" Target="https://link.springer.com/content/pdf/10.1007%2FBF00446654.pdf" TargetMode="External"/><Relationship Id="rId30" Type="http://schemas.openxmlformats.org/officeDocument/2006/relationships/hyperlink" Target="https://academic.oup.com/femsle/article/228/1/129/570944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22308420" TargetMode="External"/><Relationship Id="rId13" Type="http://schemas.openxmlformats.org/officeDocument/2006/relationships/hyperlink" Target="https://www.ncbi.nlm.nih.gov/pubmed/22308420" TargetMode="External"/><Relationship Id="rId3" Type="http://schemas.openxmlformats.org/officeDocument/2006/relationships/hyperlink" Target="https://www.sciencedirect.com/science/article/pii/S2211926418304697" TargetMode="External"/><Relationship Id="rId7" Type="http://schemas.openxmlformats.org/officeDocument/2006/relationships/hyperlink" Target="https://www.ncbi.nlm.nih.gov/pubmed/22308420" TargetMode="External"/><Relationship Id="rId12" Type="http://schemas.openxmlformats.org/officeDocument/2006/relationships/hyperlink" Target="https://www.ncbi.nlm.nih.gov/pubmed/22308420" TargetMode="External"/><Relationship Id="rId2" Type="http://schemas.openxmlformats.org/officeDocument/2006/relationships/hyperlink" Target="https://www.sciencedirect.com/science/article/pii/S2211926418304697" TargetMode="External"/><Relationship Id="rId1" Type="http://schemas.openxmlformats.org/officeDocument/2006/relationships/hyperlink" Target="https://www.sciencedirect.com/science/article/pii/S2211926418304697" TargetMode="External"/><Relationship Id="rId6" Type="http://schemas.openxmlformats.org/officeDocument/2006/relationships/hyperlink" Target="https://www.sciencedirect.com/science/article/pii/S2211926418304697" TargetMode="External"/><Relationship Id="rId11" Type="http://schemas.openxmlformats.org/officeDocument/2006/relationships/hyperlink" Target="https://www.ncbi.nlm.nih.gov/pubmed/22308420" TargetMode="External"/><Relationship Id="rId5" Type="http://schemas.openxmlformats.org/officeDocument/2006/relationships/hyperlink" Target="https://www.sciencedirect.com/science/article/pii/S2211926418304697" TargetMode="External"/><Relationship Id="rId10" Type="http://schemas.openxmlformats.org/officeDocument/2006/relationships/hyperlink" Target="https://www.ncbi.nlm.nih.gov/pubmed/22308420" TargetMode="External"/><Relationship Id="rId4" Type="http://schemas.openxmlformats.org/officeDocument/2006/relationships/hyperlink" Target="https://www.sciencedirect.com/science/article/pii/S2211926418304697" TargetMode="External"/><Relationship Id="rId9" Type="http://schemas.openxmlformats.org/officeDocument/2006/relationships/hyperlink" Target="https://www.ncbi.nlm.nih.gov/pubmed/22308420" TargetMode="External"/><Relationship Id="rId14" Type="http://schemas.openxmlformats.org/officeDocument/2006/relationships/hyperlink" Target="https://www.ncbi.nlm.nih.gov/pubmed/22308420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ncbi.nlm.nih.gov/pubmed/21711558" TargetMode="External"/><Relationship Id="rId1" Type="http://schemas.openxmlformats.org/officeDocument/2006/relationships/hyperlink" Target="https://www.uniprot.org/proteomes/UP00000248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ink.springer.com/article/10.1007/BF0041697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0811-016-0980-7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https://www.ncbi.nlm.nih.gov/pubmed/16242129" TargetMode="External"/><Relationship Id="rId7" Type="http://schemas.openxmlformats.org/officeDocument/2006/relationships/hyperlink" Target="https://scialert.net/fulltextmobile/?doi=pjbs.2006.2901.2904" TargetMode="External"/><Relationship Id="rId12" Type="http://schemas.openxmlformats.org/officeDocument/2006/relationships/hyperlink" Target="https://link.springer.com/article/10.1007/s10811-016-0980-7" TargetMode="External"/><Relationship Id="rId2" Type="http://schemas.openxmlformats.org/officeDocument/2006/relationships/hyperlink" Target="https://www.sciencedirect.com/science/article/pii/S0963996914003251" TargetMode="External"/><Relationship Id="rId1" Type="http://schemas.openxmlformats.org/officeDocument/2006/relationships/hyperlink" Target="https://www.sciencedirect.com/science/article/pii/S2211926418304697" TargetMode="External"/><Relationship Id="rId6" Type="http://schemas.openxmlformats.org/officeDocument/2006/relationships/hyperlink" Target="https://www.sciencedirect.com/science/article/pii/S0021967304014244?via%3Dihub" TargetMode="External"/><Relationship Id="rId11" Type="http://schemas.openxmlformats.org/officeDocument/2006/relationships/hyperlink" Target="https://www.sciencedirect.com/science/article/pii/S001457930102508X" TargetMode="External"/><Relationship Id="rId5" Type="http://schemas.openxmlformats.org/officeDocument/2006/relationships/hyperlink" Target="http://www.egejfas.org/en/download/article-file/57624" TargetMode="External"/><Relationship Id="rId10" Type="http://schemas.openxmlformats.org/officeDocument/2006/relationships/hyperlink" Target="https://www.sciencedirect.com/science/article/pii/S0963996916300278" TargetMode="External"/><Relationship Id="rId4" Type="http://schemas.openxmlformats.org/officeDocument/2006/relationships/hyperlink" Target="https://www.microbiologyresearch.org/content/journal/micro/10.1099/00221287-17-2-467?crawler=true" TargetMode="External"/><Relationship Id="rId9" Type="http://schemas.openxmlformats.org/officeDocument/2006/relationships/hyperlink" Target="https://www.sciencedirect.com/science/article/pii/S001457930102508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opLeftCell="A13" zoomScaleNormal="100" workbookViewId="0">
      <selection activeCell="J37" sqref="J37"/>
    </sheetView>
  </sheetViews>
  <sheetFormatPr defaultRowHeight="14.5" x14ac:dyDescent="0.35"/>
  <cols>
    <col min="1" max="1" width="20.7265625" customWidth="1"/>
    <col min="2" max="2" width="9.1796875" customWidth="1"/>
    <col min="3" max="3" width="7.453125" customWidth="1"/>
    <col min="4" max="4" width="7" customWidth="1"/>
    <col min="5" max="5" width="21.7265625" customWidth="1"/>
    <col min="6" max="6" width="8.453125" customWidth="1"/>
    <col min="7" max="7" width="9.453125" customWidth="1"/>
    <col min="9" max="9" width="21" customWidth="1"/>
    <col min="10" max="10" width="7.81640625" customWidth="1"/>
    <col min="11" max="11" width="8" customWidth="1"/>
    <col min="14" max="14" width="21.1796875" customWidth="1"/>
    <col min="15" max="15" width="7.7265625" customWidth="1"/>
    <col min="16" max="16" width="8.26953125" customWidth="1"/>
  </cols>
  <sheetData>
    <row r="1" spans="1:18" ht="21" x14ac:dyDescent="0.5">
      <c r="A1" s="21" t="s">
        <v>298</v>
      </c>
    </row>
    <row r="3" spans="1:18" x14ac:dyDescent="0.35">
      <c r="A3" t="s">
        <v>0</v>
      </c>
      <c r="I3" t="s">
        <v>148</v>
      </c>
    </row>
    <row r="4" spans="1:18" x14ac:dyDescent="0.35">
      <c r="B4" s="232" t="s">
        <v>6</v>
      </c>
      <c r="C4" s="232" t="s">
        <v>6</v>
      </c>
      <c r="D4" s="232" t="s">
        <v>7</v>
      </c>
      <c r="E4" s="232" t="s">
        <v>7</v>
      </c>
      <c r="F4" s="232" t="s">
        <v>6</v>
      </c>
      <c r="G4" s="232" t="s">
        <v>7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7</v>
      </c>
      <c r="O4" t="s">
        <v>7</v>
      </c>
      <c r="P4" t="s">
        <v>7</v>
      </c>
      <c r="Q4" t="s">
        <v>6</v>
      </c>
      <c r="R4" t="s">
        <v>6</v>
      </c>
    </row>
    <row r="5" spans="1:18" x14ac:dyDescent="0.35">
      <c r="A5" t="s">
        <v>1</v>
      </c>
      <c r="B5" s="4">
        <v>0.1600223418503772</v>
      </c>
      <c r="C5" s="4">
        <v>0.20619258799454057</v>
      </c>
      <c r="D5" s="4">
        <v>0.15907939737555193</v>
      </c>
      <c r="E5" s="4">
        <v>0.19008704716747804</v>
      </c>
      <c r="F5" s="4">
        <v>0.22559695652509962</v>
      </c>
      <c r="G5" s="233">
        <v>0.17236000000000001</v>
      </c>
      <c r="I5" s="4">
        <v>0.2392047606799407</v>
      </c>
      <c r="J5" s="4">
        <v>0.32234591824299563</v>
      </c>
      <c r="K5" s="4">
        <v>0.24458590514252609</v>
      </c>
      <c r="L5" s="4">
        <v>0.18876027367048015</v>
      </c>
      <c r="M5" s="4">
        <v>0.12633110853791571</v>
      </c>
      <c r="N5" s="4">
        <v>0.16737994606781331</v>
      </c>
      <c r="O5" s="4">
        <v>0.11490360803171709</v>
      </c>
      <c r="P5" s="4">
        <v>0.204940034996657</v>
      </c>
      <c r="Q5" s="4">
        <v>0.21610132161413922</v>
      </c>
      <c r="R5" s="4">
        <v>0.17632845552001106</v>
      </c>
    </row>
    <row r="6" spans="1:18" x14ac:dyDescent="0.35">
      <c r="A6" t="s">
        <v>2</v>
      </c>
      <c r="B6" s="4">
        <v>0.32547467860113144</v>
      </c>
      <c r="C6" s="4">
        <v>0.201858612966793</v>
      </c>
      <c r="D6" s="4">
        <v>0.17279487570244179</v>
      </c>
      <c r="E6" s="4">
        <v>0.18885514823482427</v>
      </c>
      <c r="F6" s="4">
        <v>0.31025057438822756</v>
      </c>
      <c r="G6" s="233">
        <v>0.18340999999999999</v>
      </c>
      <c r="I6" s="4">
        <v>0.26769774033121929</v>
      </c>
      <c r="J6" s="4">
        <v>0.24211355805966622</v>
      </c>
      <c r="K6" s="4">
        <v>0.24087926096642809</v>
      </c>
      <c r="L6" s="4">
        <v>0.25009618662149641</v>
      </c>
      <c r="M6" s="4">
        <v>0.31255065045451247</v>
      </c>
      <c r="N6" s="4">
        <v>0.21322337576976924</v>
      </c>
      <c r="O6" s="4">
        <v>0.21167506909307748</v>
      </c>
      <c r="P6" s="4">
        <v>0.20481845306468655</v>
      </c>
      <c r="Q6" s="4">
        <v>0.18977288851595436</v>
      </c>
      <c r="R6" s="4">
        <v>0.23682081558300005</v>
      </c>
    </row>
    <row r="7" spans="1:18" x14ac:dyDescent="0.35">
      <c r="A7" t="s">
        <v>3</v>
      </c>
      <c r="B7" s="4">
        <v>0.47995435756116078</v>
      </c>
      <c r="C7" s="4">
        <v>0.54853306103541832</v>
      </c>
      <c r="D7" s="4">
        <v>0.62344292823375902</v>
      </c>
      <c r="E7" s="4">
        <v>0.57993588823636832</v>
      </c>
      <c r="F7" s="4">
        <v>0.43163551556359658</v>
      </c>
      <c r="G7" s="233">
        <v>0.60429999999999995</v>
      </c>
      <c r="I7" s="4">
        <v>0.44754756665931505</v>
      </c>
      <c r="J7" s="4">
        <v>0.39894263054124068</v>
      </c>
      <c r="K7" s="4">
        <v>0.47535015787914336</v>
      </c>
      <c r="L7" s="4">
        <v>0.52413420148525791</v>
      </c>
      <c r="M7" s="4">
        <v>0.51649086010821577</v>
      </c>
      <c r="N7" s="4">
        <v>0.57570362333926894</v>
      </c>
      <c r="O7" s="4">
        <v>0.62749143000993346</v>
      </c>
      <c r="P7" s="4">
        <v>0.54431957621392912</v>
      </c>
      <c r="Q7" s="4">
        <v>0.55081629568501667</v>
      </c>
      <c r="R7" s="4">
        <v>0.53347828238268613</v>
      </c>
    </row>
    <row r="8" spans="1:18" x14ac:dyDescent="0.35">
      <c r="A8" t="s">
        <v>122</v>
      </c>
      <c r="B8" s="4">
        <v>4.8664210885412647E-3</v>
      </c>
      <c r="C8" s="4">
        <v>5.0288711910380724E-3</v>
      </c>
      <c r="D8" s="4">
        <v>5.5281319102086848E-3</v>
      </c>
      <c r="E8" s="4">
        <v>4.9810048359702711E-3</v>
      </c>
      <c r="F8" s="4">
        <v>4.838665886368651E-3</v>
      </c>
      <c r="G8" s="233">
        <v>5.1000000000000004E-3</v>
      </c>
      <c r="I8" s="4">
        <v>1.785046585594606E-2</v>
      </c>
      <c r="J8" s="4">
        <v>1.5596248169428216E-2</v>
      </c>
      <c r="K8" s="4">
        <v>1.6606020269792569E-2</v>
      </c>
      <c r="L8" s="4">
        <v>1.2655709558311442E-2</v>
      </c>
      <c r="M8" s="4">
        <v>1.8858483477186154E-2</v>
      </c>
      <c r="N8" s="4">
        <v>1.8219396963062622E-2</v>
      </c>
      <c r="O8" s="4">
        <v>1.8652753158528081E-2</v>
      </c>
      <c r="P8" s="4">
        <v>1.9023537920648086E-2</v>
      </c>
      <c r="Q8" s="4">
        <v>1.8638069813373168E-2</v>
      </c>
      <c r="R8" s="4">
        <v>2.5772234215363139E-2</v>
      </c>
    </row>
    <row r="9" spans="1:18" x14ac:dyDescent="0.35">
      <c r="A9" t="s">
        <v>4</v>
      </c>
      <c r="B9" s="4">
        <v>4.0660549176423652E-3</v>
      </c>
      <c r="C9" s="4">
        <v>6.0528630273576269E-3</v>
      </c>
      <c r="D9" s="4">
        <v>5.1055995349061105E-3</v>
      </c>
      <c r="E9" s="4">
        <v>5.1169805426993439E-3</v>
      </c>
      <c r="F9" s="4">
        <v>4.5421927164524204E-3</v>
      </c>
      <c r="G9" s="233">
        <v>5.0000000000000001E-3</v>
      </c>
      <c r="I9" s="4">
        <v>3.9765435872652268E-3</v>
      </c>
      <c r="J9" s="4">
        <v>4.2755791910971388E-3</v>
      </c>
      <c r="K9" s="4">
        <v>3.8828298782648111E-3</v>
      </c>
      <c r="L9" s="4">
        <v>3.2558327091515922E-3</v>
      </c>
      <c r="M9" s="4">
        <v>3.8087977714061881E-3</v>
      </c>
      <c r="N9" s="4">
        <v>3.9289729303295462E-3</v>
      </c>
      <c r="O9" s="4">
        <v>4.1686937562490272E-3</v>
      </c>
      <c r="P9" s="4">
        <v>4.0259115134394785E-3</v>
      </c>
      <c r="Q9" s="4">
        <v>3.573897922976711E-3</v>
      </c>
      <c r="R9" s="4">
        <v>3.7236590591374062E-3</v>
      </c>
    </row>
    <row r="10" spans="1:18" x14ac:dyDescent="0.35">
      <c r="A10" t="s">
        <v>5</v>
      </c>
      <c r="B10" s="4">
        <v>2.56161459811469E-2</v>
      </c>
      <c r="C10" s="4">
        <v>3.2334003784852357E-2</v>
      </c>
      <c r="D10" s="4">
        <v>3.4049067243132475E-2</v>
      </c>
      <c r="E10" s="4">
        <v>3.102393098265966E-2</v>
      </c>
      <c r="F10" s="4">
        <v>2.3136094920255187E-2</v>
      </c>
      <c r="G10" s="233">
        <v>2.9829999999999999E-2</v>
      </c>
      <c r="I10" s="4">
        <v>2.3722922886313696E-2</v>
      </c>
      <c r="J10" s="4">
        <v>1.6726065795572006E-2</v>
      </c>
      <c r="K10" s="4">
        <v>1.8695825863845068E-2</v>
      </c>
      <c r="L10" s="4">
        <v>2.1097795955302322E-2</v>
      </c>
      <c r="M10" s="4">
        <v>2.1960099650763801E-2</v>
      </c>
      <c r="N10" s="4">
        <v>2.1544684929756378E-2</v>
      </c>
      <c r="O10" s="4">
        <v>2.3108445950494973E-2</v>
      </c>
      <c r="P10" s="4">
        <v>2.2872486290639673E-2</v>
      </c>
      <c r="Q10" s="4">
        <v>2.109752644853994E-2</v>
      </c>
      <c r="R10" s="4">
        <v>2.387655323980228E-2</v>
      </c>
    </row>
    <row r="11" spans="1:18" x14ac:dyDescent="0.35">
      <c r="G11" s="1"/>
    </row>
    <row r="12" spans="1:18" x14ac:dyDescent="0.35">
      <c r="A12" t="s">
        <v>8</v>
      </c>
    </row>
    <row r="14" spans="1:18" x14ac:dyDescent="0.35">
      <c r="A14" t="s">
        <v>9</v>
      </c>
      <c r="B14" t="s">
        <v>10</v>
      </c>
      <c r="C14" t="s">
        <v>17</v>
      </c>
      <c r="D14" t="s">
        <v>121</v>
      </c>
      <c r="E14" t="s">
        <v>11</v>
      </c>
      <c r="F14" t="s">
        <v>12</v>
      </c>
      <c r="G14" t="s">
        <v>13</v>
      </c>
      <c r="H14" t="s">
        <v>14</v>
      </c>
    </row>
    <row r="15" spans="1:18" x14ac:dyDescent="0.35">
      <c r="A15" s="5">
        <v>0.1600223418503772</v>
      </c>
      <c r="B15" s="5">
        <v>0.32547467860113144</v>
      </c>
      <c r="C15" s="5">
        <v>0.47995435756116078</v>
      </c>
      <c r="D15" s="5">
        <v>4.8664210885412647E-3</v>
      </c>
      <c r="E15" s="5">
        <v>4.0660549176423652E-3</v>
      </c>
      <c r="F15" s="5">
        <v>2.56161459811469E-2</v>
      </c>
      <c r="G15" t="s">
        <v>6</v>
      </c>
      <c r="H15" t="s">
        <v>15</v>
      </c>
    </row>
    <row r="16" spans="1:18" x14ac:dyDescent="0.35">
      <c r="A16" s="5">
        <v>0.20619258799454057</v>
      </c>
      <c r="B16" s="5">
        <v>0.201858612966793</v>
      </c>
      <c r="C16" s="5">
        <v>0.54853306103541832</v>
      </c>
      <c r="D16" s="5">
        <v>5.0288711910380724E-3</v>
      </c>
      <c r="E16" s="5">
        <v>6.0528630273576269E-3</v>
      </c>
      <c r="F16" s="5">
        <v>3.2334003784852357E-2</v>
      </c>
      <c r="G16" t="s">
        <v>6</v>
      </c>
      <c r="H16" t="s">
        <v>15</v>
      </c>
    </row>
    <row r="17" spans="1:8" x14ac:dyDescent="0.35">
      <c r="A17" s="5">
        <v>0.15907939737555193</v>
      </c>
      <c r="B17" s="5">
        <v>0.17279487570244179</v>
      </c>
      <c r="C17" s="5">
        <v>0.62344292823375902</v>
      </c>
      <c r="D17" s="5">
        <v>5.5281319102086848E-3</v>
      </c>
      <c r="E17" s="5">
        <v>5.1055995349061105E-3</v>
      </c>
      <c r="F17" s="5">
        <v>3.4049067243132475E-2</v>
      </c>
      <c r="G17" t="s">
        <v>7</v>
      </c>
      <c r="H17" t="s">
        <v>15</v>
      </c>
    </row>
    <row r="18" spans="1:8" x14ac:dyDescent="0.35">
      <c r="A18" s="5">
        <v>0.19008704716747804</v>
      </c>
      <c r="B18" s="5">
        <v>0.18885514823482427</v>
      </c>
      <c r="C18" s="5">
        <v>0.57993588823636832</v>
      </c>
      <c r="D18" s="5">
        <v>4.9810048359702711E-3</v>
      </c>
      <c r="E18" s="5">
        <v>5.1169805426993439E-3</v>
      </c>
      <c r="F18" s="5">
        <v>3.102393098265966E-2</v>
      </c>
      <c r="G18" t="s">
        <v>7</v>
      </c>
      <c r="H18" t="s">
        <v>15</v>
      </c>
    </row>
    <row r="19" spans="1:8" x14ac:dyDescent="0.35">
      <c r="A19" s="5">
        <v>0.22559695652509962</v>
      </c>
      <c r="B19" s="5">
        <v>0.31025057438822756</v>
      </c>
      <c r="C19" s="5">
        <v>0.43163551556359658</v>
      </c>
      <c r="D19" s="5">
        <v>4.838665886368651E-3</v>
      </c>
      <c r="E19" s="5">
        <v>4.5421927164524204E-3</v>
      </c>
      <c r="F19" s="5">
        <v>2.3136094920255187E-2</v>
      </c>
      <c r="G19" t="s">
        <v>6</v>
      </c>
      <c r="H19" t="s">
        <v>15</v>
      </c>
    </row>
    <row r="20" spans="1:8" x14ac:dyDescent="0.35">
      <c r="A20" s="5">
        <v>0.17236000000000001</v>
      </c>
      <c r="B20" s="5">
        <v>0.18340999999999999</v>
      </c>
      <c r="C20" s="5">
        <v>0.60429999999999995</v>
      </c>
      <c r="D20" s="5">
        <v>5.1000000000000004E-3</v>
      </c>
      <c r="E20" s="5">
        <v>5.0000000000000001E-3</v>
      </c>
      <c r="F20" s="5">
        <v>2.9829999999999999E-2</v>
      </c>
      <c r="G20" t="s">
        <v>7</v>
      </c>
      <c r="H20" t="s">
        <v>15</v>
      </c>
    </row>
    <row r="21" spans="1:8" x14ac:dyDescent="0.35">
      <c r="A21" s="5">
        <v>0.2392047606799407</v>
      </c>
      <c r="B21" s="5">
        <v>0.26769774033121929</v>
      </c>
      <c r="C21" s="5">
        <v>0.44754756665931505</v>
      </c>
      <c r="D21" s="5">
        <v>1.785046585594606E-2</v>
      </c>
      <c r="E21" s="5">
        <v>3.9765435872652268E-3</v>
      </c>
      <c r="F21" s="5">
        <v>2.3722922886313696E-2</v>
      </c>
      <c r="G21" t="s">
        <v>6</v>
      </c>
      <c r="H21" t="s">
        <v>16</v>
      </c>
    </row>
    <row r="22" spans="1:8" x14ac:dyDescent="0.35">
      <c r="A22" s="5">
        <v>0.32234591824299563</v>
      </c>
      <c r="B22" s="5">
        <v>0.24211355805966622</v>
      </c>
      <c r="C22" s="5">
        <v>0.39894263054124068</v>
      </c>
      <c r="D22" s="5">
        <v>1.5596248169428216E-2</v>
      </c>
      <c r="E22" s="5">
        <v>4.2755791910971388E-3</v>
      </c>
      <c r="F22" s="5">
        <v>1.6726065795572006E-2</v>
      </c>
      <c r="G22" t="s">
        <v>6</v>
      </c>
      <c r="H22" t="s">
        <v>16</v>
      </c>
    </row>
    <row r="23" spans="1:8" x14ac:dyDescent="0.35">
      <c r="A23" s="5">
        <v>0.24458590514252609</v>
      </c>
      <c r="B23" s="5">
        <v>0.24087926096642809</v>
      </c>
      <c r="C23" s="5">
        <v>0.47535015787914336</v>
      </c>
      <c r="D23" s="5">
        <v>1.6606020269792569E-2</v>
      </c>
      <c r="E23" s="5">
        <v>3.8828298782648111E-3</v>
      </c>
      <c r="F23" s="5">
        <v>1.8695825863845068E-2</v>
      </c>
      <c r="G23" t="s">
        <v>6</v>
      </c>
      <c r="H23" t="s">
        <v>16</v>
      </c>
    </row>
    <row r="24" spans="1:8" x14ac:dyDescent="0.35">
      <c r="A24" s="5">
        <v>0.18876027367048015</v>
      </c>
      <c r="B24" s="5">
        <v>0.25009618662149641</v>
      </c>
      <c r="C24" s="5">
        <v>0.52413420148525791</v>
      </c>
      <c r="D24" s="5">
        <v>1.2655709558311442E-2</v>
      </c>
      <c r="E24" s="5">
        <v>3.2558327091515922E-3</v>
      </c>
      <c r="F24" s="5">
        <v>2.1097795955302322E-2</v>
      </c>
      <c r="G24" t="s">
        <v>6</v>
      </c>
      <c r="H24" t="s">
        <v>16</v>
      </c>
    </row>
    <row r="25" spans="1:8" x14ac:dyDescent="0.35">
      <c r="A25" s="5">
        <v>0.12633110853791571</v>
      </c>
      <c r="B25" s="5">
        <v>0.31255065045451247</v>
      </c>
      <c r="C25" s="5">
        <v>0.51649086010821577</v>
      </c>
      <c r="D25" s="5">
        <v>1.8858483477186154E-2</v>
      </c>
      <c r="E25" s="5">
        <v>3.8087977714061881E-3</v>
      </c>
      <c r="F25" s="5">
        <v>2.1960099650763801E-2</v>
      </c>
      <c r="G25" t="s">
        <v>6</v>
      </c>
      <c r="H25" t="s">
        <v>16</v>
      </c>
    </row>
    <row r="26" spans="1:8" x14ac:dyDescent="0.35">
      <c r="A26" s="5">
        <v>0.16737994606781331</v>
      </c>
      <c r="B26" s="5">
        <v>0.21322337576976924</v>
      </c>
      <c r="C26" s="5">
        <v>0.57570362333926894</v>
      </c>
      <c r="D26" s="5">
        <v>1.8219396963062622E-2</v>
      </c>
      <c r="E26" s="5">
        <v>3.9289729303295462E-3</v>
      </c>
      <c r="F26" s="5">
        <v>2.1544684929756378E-2</v>
      </c>
      <c r="G26" t="s">
        <v>7</v>
      </c>
      <c r="H26" t="s">
        <v>16</v>
      </c>
    </row>
    <row r="27" spans="1:8" x14ac:dyDescent="0.35">
      <c r="A27" s="5">
        <v>0.11490360803171709</v>
      </c>
      <c r="B27" s="5">
        <v>0.21167506909307748</v>
      </c>
      <c r="C27" s="5">
        <v>0.62749143000993346</v>
      </c>
      <c r="D27" s="5">
        <v>1.8652753158528081E-2</v>
      </c>
      <c r="E27" s="5">
        <v>4.1686937562490272E-3</v>
      </c>
      <c r="F27" s="5">
        <v>2.3108445950494973E-2</v>
      </c>
      <c r="G27" t="s">
        <v>7</v>
      </c>
      <c r="H27" t="s">
        <v>16</v>
      </c>
    </row>
    <row r="28" spans="1:8" x14ac:dyDescent="0.35">
      <c r="A28" s="5">
        <v>0.204940034996657</v>
      </c>
      <c r="B28" s="5">
        <v>0.20481845306468655</v>
      </c>
      <c r="C28" s="5">
        <v>0.54431957621392912</v>
      </c>
      <c r="D28" s="5">
        <v>1.9023537920648086E-2</v>
      </c>
      <c r="E28" s="5">
        <v>4.0259115134394785E-3</v>
      </c>
      <c r="F28" s="5">
        <v>2.2872486290639673E-2</v>
      </c>
      <c r="G28" t="s">
        <v>7</v>
      </c>
      <c r="H28" t="s">
        <v>16</v>
      </c>
    </row>
    <row r="29" spans="1:8" x14ac:dyDescent="0.35">
      <c r="A29" s="5">
        <v>0.21610132161413922</v>
      </c>
      <c r="B29" s="5">
        <v>0.18977288851595436</v>
      </c>
      <c r="C29" s="5">
        <v>0.55081629568501667</v>
      </c>
      <c r="D29" s="5">
        <v>1.8638069813373168E-2</v>
      </c>
      <c r="E29" s="5">
        <v>3.573897922976711E-3</v>
      </c>
      <c r="F29" s="5">
        <v>2.109752644853994E-2</v>
      </c>
      <c r="G29" t="s">
        <v>6</v>
      </c>
      <c r="H29" t="s">
        <v>16</v>
      </c>
    </row>
    <row r="30" spans="1:8" x14ac:dyDescent="0.35">
      <c r="A30" s="5">
        <v>0.17632845552001106</v>
      </c>
      <c r="B30" s="5">
        <v>0.23682081558300005</v>
      </c>
      <c r="C30" s="5">
        <v>0.53347828238268613</v>
      </c>
      <c r="D30" s="5">
        <v>2.5772234215363139E-2</v>
      </c>
      <c r="E30" s="5">
        <v>3.7236590591374062E-3</v>
      </c>
      <c r="F30" s="5">
        <v>2.387655323980228E-2</v>
      </c>
      <c r="G30" t="s">
        <v>6</v>
      </c>
      <c r="H30" t="s">
        <v>16</v>
      </c>
    </row>
    <row r="32" spans="1:8" x14ac:dyDescent="0.35">
      <c r="A32" s="6" t="s">
        <v>38</v>
      </c>
    </row>
    <row r="34" spans="1:19" x14ac:dyDescent="0.35">
      <c r="A34" t="s">
        <v>33</v>
      </c>
      <c r="E34" t="s">
        <v>34</v>
      </c>
      <c r="I34" t="s">
        <v>35</v>
      </c>
      <c r="N34" t="s">
        <v>36</v>
      </c>
    </row>
    <row r="36" spans="1:19" x14ac:dyDescent="0.35">
      <c r="A36" s="22" t="s">
        <v>9</v>
      </c>
      <c r="B36" s="2">
        <f>AVERAGE(B5:G5)</f>
        <v>0.1855563884855079</v>
      </c>
      <c r="C36" t="s">
        <v>37</v>
      </c>
      <c r="E36" s="22" t="s">
        <v>9</v>
      </c>
      <c r="F36" s="2">
        <f>AVERAGE(B5:G5)</f>
        <v>0.1855563884855079</v>
      </c>
      <c r="G36" t="s">
        <v>37</v>
      </c>
      <c r="I36" s="22" t="s">
        <v>9</v>
      </c>
      <c r="J36" s="2">
        <f>AVERAGE(I5:R5)</f>
        <v>0.20008813325041958</v>
      </c>
      <c r="K36" t="s">
        <v>37</v>
      </c>
      <c r="N36" s="22" t="s">
        <v>9</v>
      </c>
      <c r="O36" s="2">
        <f>AVERAGE(I5:R5)</f>
        <v>0.20008813325041958</v>
      </c>
      <c r="P36" t="s">
        <v>37</v>
      </c>
      <c r="R36" s="22"/>
      <c r="S36" t="s">
        <v>300</v>
      </c>
    </row>
    <row r="37" spans="1:19" x14ac:dyDescent="0.35">
      <c r="A37" s="22" t="s">
        <v>10</v>
      </c>
      <c r="B37" s="2">
        <f>AVERAGE(D6:E6,G6)</f>
        <v>0.18168667464575536</v>
      </c>
      <c r="C37" t="s">
        <v>37</v>
      </c>
      <c r="E37" s="22" t="s">
        <v>10</v>
      </c>
      <c r="F37" s="2">
        <f>AVERAGE(B6:C6,F6)</f>
        <v>0.27919462198538397</v>
      </c>
      <c r="G37" t="s">
        <v>37</v>
      </c>
      <c r="I37" s="22" t="s">
        <v>10</v>
      </c>
      <c r="J37" s="2">
        <f>AVERAGE(N6:P6)</f>
        <v>0.20990563264251108</v>
      </c>
      <c r="K37" t="s">
        <v>37</v>
      </c>
      <c r="N37" s="22" t="s">
        <v>10</v>
      </c>
      <c r="O37" s="2">
        <f>AVERAGE(I6:M6,Q6:R6)</f>
        <v>0.24856158579032525</v>
      </c>
      <c r="P37" t="s">
        <v>37</v>
      </c>
      <c r="R37" s="23"/>
      <c r="S37" t="s">
        <v>301</v>
      </c>
    </row>
    <row r="38" spans="1:19" x14ac:dyDescent="0.35">
      <c r="A38" s="22" t="s">
        <v>17</v>
      </c>
      <c r="B38" s="2">
        <f>AVERAGE(D7:E7,G7)-B39</f>
        <v>0.45970191017588169</v>
      </c>
      <c r="C38" t="s">
        <v>37</v>
      </c>
      <c r="E38" s="22" t="s">
        <v>17</v>
      </c>
      <c r="F38" s="2">
        <f>AVERAGE(B7:C7,F7)-F39</f>
        <v>0.3438499494058978</v>
      </c>
      <c r="G38" t="s">
        <v>37</v>
      </c>
      <c r="I38" s="22" t="s">
        <v>17</v>
      </c>
      <c r="J38" s="2">
        <f>AVERAGE(N7:P7)-J39</f>
        <v>0.52631849004806952</v>
      </c>
      <c r="K38" t="s">
        <v>37</v>
      </c>
      <c r="N38" s="22" t="s">
        <v>17</v>
      </c>
      <c r="O38" s="2">
        <f>AVERAGE(I7:M7,Q7:R7)-O39</f>
        <v>0.43620789849000785</v>
      </c>
      <c r="P38" t="s">
        <v>37</v>
      </c>
    </row>
    <row r="39" spans="1:19" x14ac:dyDescent="0.35">
      <c r="A39" s="22" t="s">
        <v>104</v>
      </c>
      <c r="B39" s="2">
        <f>Phycobiliproteins!B39</f>
        <v>0.1428576953141607</v>
      </c>
      <c r="C39" t="s">
        <v>37</v>
      </c>
      <c r="E39" s="22" t="s">
        <v>104</v>
      </c>
      <c r="F39" s="2">
        <f>Phycobiliproteins!B39</f>
        <v>0.1428576953141607</v>
      </c>
      <c r="G39" t="s">
        <v>37</v>
      </c>
      <c r="I39" s="22" t="s">
        <v>104</v>
      </c>
      <c r="J39" s="2">
        <f>Phycobiliproteins!B46</f>
        <v>5.6186386472974359E-2</v>
      </c>
      <c r="K39" t="s">
        <v>37</v>
      </c>
      <c r="N39" s="22" t="s">
        <v>104</v>
      </c>
      <c r="O39" s="2">
        <f>Phycobiliproteins!B46</f>
        <v>5.6186386472974359E-2</v>
      </c>
      <c r="P39" t="s">
        <v>37</v>
      </c>
    </row>
    <row r="40" spans="1:19" x14ac:dyDescent="0.35">
      <c r="A40" s="22" t="s">
        <v>121</v>
      </c>
      <c r="B40" s="2">
        <f>'Hydrophobic pigments'!C21</f>
        <v>5.2012423135503099E-3</v>
      </c>
      <c r="C40" t="s">
        <v>37</v>
      </c>
      <c r="E40" s="22" t="s">
        <v>121</v>
      </c>
      <c r="F40" s="2">
        <f>'Hydrophobic pigments'!C21</f>
        <v>5.2012423135503099E-3</v>
      </c>
      <c r="G40" t="s">
        <v>37</v>
      </c>
      <c r="I40" s="22" t="s">
        <v>121</v>
      </c>
      <c r="J40" s="2">
        <f>'Hydrophobic pigments'!E21</f>
        <v>1.4649470881693152E-2</v>
      </c>
      <c r="K40" t="s">
        <v>37</v>
      </c>
      <c r="N40" s="22" t="s">
        <v>121</v>
      </c>
      <c r="O40" s="2">
        <f>'Hydrophobic pigments'!E21</f>
        <v>1.4649470881693152E-2</v>
      </c>
      <c r="P40" t="s">
        <v>37</v>
      </c>
    </row>
    <row r="41" spans="1:19" x14ac:dyDescent="0.35">
      <c r="A41" s="22" t="s">
        <v>315</v>
      </c>
      <c r="B41" s="2">
        <f>Phycobiliproteins!B39*Phycobiliproteins!V39+Phycobiliproteins!B39*Phycobiliproteins!W39</f>
        <v>6.2347098038428748E-3</v>
      </c>
      <c r="C41" t="s">
        <v>37</v>
      </c>
      <c r="E41" s="22" t="s">
        <v>315</v>
      </c>
      <c r="F41" s="2">
        <f>Phycobiliproteins!B39*Phycobiliproteins!V39+Phycobiliproteins!B39*Phycobiliproteins!W39</f>
        <v>6.2347098038428748E-3</v>
      </c>
      <c r="G41" t="s">
        <v>37</v>
      </c>
      <c r="I41" s="22" t="s">
        <v>315</v>
      </c>
      <c r="J41" s="2">
        <f>Phycobiliproteins!B46*Phycobiliproteins!V46+Phycobiliproteins!B46*Phycobiliproteins!W46</f>
        <v>2.4915718685690883E-3</v>
      </c>
      <c r="K41" t="s">
        <v>37</v>
      </c>
      <c r="N41" s="22" t="s">
        <v>315</v>
      </c>
      <c r="O41" s="2">
        <f>Phycobiliproteins!B46*Phycobiliproteins!V46+Phycobiliproteins!B46*Phycobiliproteins!W46</f>
        <v>2.4915718685690883E-3</v>
      </c>
      <c r="P41" t="s">
        <v>37</v>
      </c>
    </row>
    <row r="42" spans="1:19" x14ac:dyDescent="0.35">
      <c r="A42" s="22" t="s">
        <v>11</v>
      </c>
      <c r="B42" s="2">
        <f>AVERAGE(B9:G9)</f>
        <v>4.9806151231763119E-3</v>
      </c>
      <c r="C42" t="s">
        <v>37</v>
      </c>
      <c r="E42" s="22" t="s">
        <v>11</v>
      </c>
      <c r="F42" s="2">
        <f>AVERAGE(B9:G9)</f>
        <v>4.9806151231763119E-3</v>
      </c>
      <c r="G42" t="s">
        <v>37</v>
      </c>
      <c r="I42" s="22" t="s">
        <v>11</v>
      </c>
      <c r="J42" s="2">
        <f>AVERAGE(I9:R9)</f>
        <v>3.8620718319317118E-3</v>
      </c>
      <c r="K42" t="s">
        <v>37</v>
      </c>
      <c r="N42" s="22" t="s">
        <v>11</v>
      </c>
      <c r="O42" s="2">
        <f>AVERAGE(I9:R9)</f>
        <v>3.8620718319317118E-3</v>
      </c>
      <c r="P42" t="s">
        <v>37</v>
      </c>
    </row>
    <row r="43" spans="1:19" x14ac:dyDescent="0.35">
      <c r="A43" s="22" t="s">
        <v>12</v>
      </c>
      <c r="B43" s="2">
        <f>AVERAGE(B10:G10)</f>
        <v>2.9331540485341093E-2</v>
      </c>
      <c r="C43" t="s">
        <v>37</v>
      </c>
      <c r="E43" s="22" t="s">
        <v>12</v>
      </c>
      <c r="F43" s="2">
        <f>AVERAGE(B10:G10)</f>
        <v>2.9331540485341093E-2</v>
      </c>
      <c r="G43" t="s">
        <v>37</v>
      </c>
      <c r="I43" s="22" t="s">
        <v>12</v>
      </c>
      <c r="J43" s="2">
        <f>AVERAGE(I10:R10)</f>
        <v>2.1470240701103014E-2</v>
      </c>
      <c r="K43" t="s">
        <v>37</v>
      </c>
      <c r="N43" s="22" t="s">
        <v>12</v>
      </c>
      <c r="O43" s="2">
        <f>AVERAGE(I10:R10)</f>
        <v>2.1470240701103014E-2</v>
      </c>
      <c r="P43" t="s">
        <v>37</v>
      </c>
    </row>
    <row r="44" spans="1:19" x14ac:dyDescent="0.35">
      <c r="A44" s="23" t="s">
        <v>655</v>
      </c>
      <c r="B44" s="2">
        <f>'Soluble pool'!D35</f>
        <v>3.5906838226077383E-3</v>
      </c>
      <c r="C44" t="s">
        <v>37</v>
      </c>
      <c r="E44" s="23" t="s">
        <v>655</v>
      </c>
      <c r="F44" s="2">
        <f>'Soluble pool'!D35</f>
        <v>3.5906838226077383E-3</v>
      </c>
      <c r="G44" t="s">
        <v>37</v>
      </c>
      <c r="I44" s="23" t="s">
        <v>655</v>
      </c>
      <c r="J44" s="2">
        <f>'Soluble pool'!D35</f>
        <v>3.5906838226077383E-3</v>
      </c>
      <c r="K44" t="s">
        <v>37</v>
      </c>
      <c r="N44" s="23" t="s">
        <v>655</v>
      </c>
      <c r="O44" s="2">
        <f>'Soluble pool'!D35</f>
        <v>3.5906838226077383E-3</v>
      </c>
      <c r="P44" t="s">
        <v>37</v>
      </c>
    </row>
    <row r="45" spans="1:19" x14ac:dyDescent="0.35">
      <c r="A45" s="23" t="s">
        <v>656</v>
      </c>
      <c r="B45" s="2">
        <f>'Inorganic ions'!C18</f>
        <v>2.1784635761875764E-2</v>
      </c>
      <c r="C45" t="s">
        <v>37</v>
      </c>
      <c r="E45" s="23" t="s">
        <v>656</v>
      </c>
      <c r="F45" s="2">
        <f>'Inorganic ions'!C18</f>
        <v>2.1784635761875764E-2</v>
      </c>
      <c r="G45" t="s">
        <v>37</v>
      </c>
      <c r="I45" s="23" t="s">
        <v>656</v>
      </c>
      <c r="J45" s="2">
        <f>'Inorganic ions'!C18</f>
        <v>2.1784635761875764E-2</v>
      </c>
      <c r="K45" t="s">
        <v>37</v>
      </c>
      <c r="N45" s="23" t="s">
        <v>656</v>
      </c>
      <c r="O45" s="2">
        <f>'Inorganic ions'!C18</f>
        <v>2.1784635761875764E-2</v>
      </c>
      <c r="P45" t="s">
        <v>37</v>
      </c>
    </row>
    <row r="46" spans="1:19" x14ac:dyDescent="0.35">
      <c r="A46" s="23"/>
      <c r="B46" s="2"/>
      <c r="E46" s="23"/>
      <c r="F46" s="2"/>
      <c r="I46" s="23"/>
      <c r="J46" s="2"/>
      <c r="N46" s="23"/>
      <c r="O46" s="2"/>
    </row>
    <row r="47" spans="1:19" x14ac:dyDescent="0.35">
      <c r="B47" s="2">
        <f>SUM(B36:B40,B42:B46)</f>
        <v>1.0346913861278568</v>
      </c>
      <c r="F47" s="2">
        <f>SUM(F36:F40,F42:F46)</f>
        <v>1.0163473726975016</v>
      </c>
      <c r="J47" s="2">
        <f>SUM(J36:J40,J42:J46)</f>
        <v>1.0578557454131858</v>
      </c>
      <c r="O47" s="2">
        <f>SUM(O36:O40,O42:O46)</f>
        <v>1.0064011070029384</v>
      </c>
    </row>
    <row r="49" spans="1:16" x14ac:dyDescent="0.35">
      <c r="A49" s="6" t="s">
        <v>39</v>
      </c>
    </row>
    <row r="52" spans="1:16" x14ac:dyDescent="0.35">
      <c r="A52" s="294" t="s">
        <v>33</v>
      </c>
      <c r="B52" s="294"/>
      <c r="C52" s="294"/>
      <c r="D52" s="181"/>
      <c r="E52" s="294" t="s">
        <v>34</v>
      </c>
      <c r="F52" s="294"/>
      <c r="G52" s="294"/>
      <c r="I52" s="294" t="s">
        <v>35</v>
      </c>
      <c r="J52" s="294"/>
      <c r="K52" s="294"/>
      <c r="N52" s="294" t="s">
        <v>36</v>
      </c>
      <c r="O52" s="294"/>
      <c r="P52" s="294"/>
    </row>
    <row r="53" spans="1:16" x14ac:dyDescent="0.35">
      <c r="A53" s="182" t="s">
        <v>9</v>
      </c>
      <c r="B53" s="183">
        <f>B36/B$47</f>
        <v>0.17933500846075343</v>
      </c>
      <c r="C53" s="175" t="s">
        <v>37</v>
      </c>
      <c r="D53" s="181"/>
      <c r="E53" s="182" t="s">
        <v>9</v>
      </c>
      <c r="F53" s="183">
        <f>F36/F$47</f>
        <v>0.1825718189176011</v>
      </c>
      <c r="G53" s="175" t="s">
        <v>37</v>
      </c>
      <c r="I53" s="182" t="s">
        <v>9</v>
      </c>
      <c r="J53" s="183">
        <f>J36/J$47</f>
        <v>0.18914500783116467</v>
      </c>
      <c r="K53" s="175" t="s">
        <v>37</v>
      </c>
      <c r="N53" s="182" t="s">
        <v>9</v>
      </c>
      <c r="O53" s="183">
        <f>O36/O$47</f>
        <v>0.19881549399948681</v>
      </c>
      <c r="P53" s="175" t="s">
        <v>37</v>
      </c>
    </row>
    <row r="54" spans="1:16" x14ac:dyDescent="0.35">
      <c r="A54" s="182" t="s">
        <v>10</v>
      </c>
      <c r="B54" s="183">
        <f>B37/B$47</f>
        <v>0.17559503933408055</v>
      </c>
      <c r="C54" s="175" t="s">
        <v>37</v>
      </c>
      <c r="D54" s="181"/>
      <c r="E54" s="182" t="s">
        <v>10</v>
      </c>
      <c r="F54" s="183">
        <f>F37/F$47</f>
        <v>0.27470393438846569</v>
      </c>
      <c r="G54" s="175" t="s">
        <v>37</v>
      </c>
      <c r="I54" s="182" t="s">
        <v>10</v>
      </c>
      <c r="J54" s="183">
        <f>J37/J$47</f>
        <v>0.19842557319620591</v>
      </c>
      <c r="K54" s="175" t="s">
        <v>37</v>
      </c>
      <c r="N54" s="182" t="s">
        <v>10</v>
      </c>
      <c r="O54" s="183">
        <f>O37/O$47</f>
        <v>0.24698063630965336</v>
      </c>
      <c r="P54" s="175" t="s">
        <v>37</v>
      </c>
    </row>
    <row r="55" spans="1:16" x14ac:dyDescent="0.35">
      <c r="A55" s="182" t="s">
        <v>17</v>
      </c>
      <c r="B55" s="183">
        <f>B38/B$47</f>
        <v>0.4442889119781232</v>
      </c>
      <c r="C55" s="175" t="s">
        <v>37</v>
      </c>
      <c r="D55" s="181"/>
      <c r="E55" s="182" t="s">
        <v>17</v>
      </c>
      <c r="F55" s="183">
        <f>F38/F$47</f>
        <v>0.33831931743305527</v>
      </c>
      <c r="G55" s="175" t="s">
        <v>37</v>
      </c>
      <c r="I55" s="182" t="s">
        <v>17</v>
      </c>
      <c r="J55" s="183">
        <f>J38/J$47</f>
        <v>0.49753332846199727</v>
      </c>
      <c r="K55" s="175" t="s">
        <v>37</v>
      </c>
      <c r="N55" s="182" t="s">
        <v>17</v>
      </c>
      <c r="O55" s="183">
        <f>O38/O$47</f>
        <v>0.43343344463226458</v>
      </c>
      <c r="P55" s="175" t="s">
        <v>37</v>
      </c>
    </row>
    <row r="56" spans="1:16" x14ac:dyDescent="0.35">
      <c r="A56" s="22" t="s">
        <v>104</v>
      </c>
      <c r="B56" s="183">
        <f>B39/B$47</f>
        <v>0.13806792752840003</v>
      </c>
      <c r="C56" s="175" t="s">
        <v>37</v>
      </c>
      <c r="D56" s="181"/>
      <c r="E56" s="22" t="s">
        <v>104</v>
      </c>
      <c r="F56" s="183">
        <f>F39/F$47</f>
        <v>0.14055991007779173</v>
      </c>
      <c r="G56" s="175" t="s">
        <v>37</v>
      </c>
      <c r="I56" s="22" t="s">
        <v>104</v>
      </c>
      <c r="J56" s="183">
        <f>J39/J$47</f>
        <v>5.311346723463569E-2</v>
      </c>
      <c r="K56" s="175" t="s">
        <v>37</v>
      </c>
      <c r="N56" s="22" t="s">
        <v>104</v>
      </c>
      <c r="O56" s="183">
        <f>O39/O$47</f>
        <v>5.5829018948813924E-2</v>
      </c>
      <c r="P56" s="175" t="s">
        <v>37</v>
      </c>
    </row>
    <row r="57" spans="1:16" x14ac:dyDescent="0.35">
      <c r="A57" s="182" t="s">
        <v>121</v>
      </c>
      <c r="B57" s="183">
        <f>B40/B$47</f>
        <v>5.0268537877898138E-3</v>
      </c>
      <c r="C57" s="175" t="s">
        <v>37</v>
      </c>
      <c r="D57" s="181"/>
      <c r="E57" s="182" t="s">
        <v>121</v>
      </c>
      <c r="F57" s="183">
        <f>F40/F$47</f>
        <v>5.1175832724845056E-3</v>
      </c>
      <c r="G57" s="175" t="s">
        <v>37</v>
      </c>
      <c r="I57" s="182" t="s">
        <v>121</v>
      </c>
      <c r="J57" s="183">
        <f>J40/J$47</f>
        <v>1.38482689584214E-2</v>
      </c>
      <c r="K57" s="175" t="s">
        <v>37</v>
      </c>
      <c r="N57" s="182" t="s">
        <v>121</v>
      </c>
      <c r="O57" s="183">
        <f>O40/O$47</f>
        <v>1.4556294483140289E-2</v>
      </c>
      <c r="P57" s="175" t="s">
        <v>37</v>
      </c>
    </row>
    <row r="58" spans="1:16" x14ac:dyDescent="0.35">
      <c r="A58" s="182" t="s">
        <v>11</v>
      </c>
      <c r="B58" s="183">
        <f>B42/B$47</f>
        <v>4.8136238398730205E-3</v>
      </c>
      <c r="C58" s="175" t="s">
        <v>37</v>
      </c>
      <c r="D58" s="181"/>
      <c r="E58" s="182" t="s">
        <v>11</v>
      </c>
      <c r="F58" s="183">
        <f>F42/F$47</f>
        <v>4.9005047456925997E-3</v>
      </c>
      <c r="G58" s="175" t="s">
        <v>37</v>
      </c>
      <c r="I58" s="182" t="s">
        <v>11</v>
      </c>
      <c r="J58" s="183">
        <f>J42/J$47</f>
        <v>3.6508492284297541E-3</v>
      </c>
      <c r="K58" s="175" t="s">
        <v>37</v>
      </c>
      <c r="N58" s="182" t="s">
        <v>11</v>
      </c>
      <c r="O58" s="183">
        <f>O42/O$47</f>
        <v>3.8375075355719336E-3</v>
      </c>
      <c r="P58" s="175" t="s">
        <v>37</v>
      </c>
    </row>
    <row r="59" spans="1:16" x14ac:dyDescent="0.35">
      <c r="A59" s="182" t="s">
        <v>12</v>
      </c>
      <c r="B59" s="183">
        <f>B43/B$47</f>
        <v>2.8348105414416385E-2</v>
      </c>
      <c r="C59" s="175" t="s">
        <v>37</v>
      </c>
      <c r="D59" s="181"/>
      <c r="E59" s="182" t="s">
        <v>12</v>
      </c>
      <c r="F59" s="183">
        <f>F43/F$47</f>
        <v>2.8859759245002864E-2</v>
      </c>
      <c r="G59" s="175" t="s">
        <v>37</v>
      </c>
      <c r="I59" s="182" t="s">
        <v>12</v>
      </c>
      <c r="J59" s="183">
        <f>J43/J$47</f>
        <v>2.0296000465277988E-2</v>
      </c>
      <c r="K59" s="175" t="s">
        <v>37</v>
      </c>
      <c r="N59" s="182" t="s">
        <v>12</v>
      </c>
      <c r="O59" s="183">
        <f>O43/O$47</f>
        <v>2.1333681522908269E-2</v>
      </c>
      <c r="P59" s="175" t="s">
        <v>37</v>
      </c>
    </row>
    <row r="60" spans="1:16" x14ac:dyDescent="0.35">
      <c r="A60" s="23" t="s">
        <v>655</v>
      </c>
      <c r="B60" s="183">
        <f>B44/B$47</f>
        <v>3.4702944962605861E-3</v>
      </c>
      <c r="C60" s="175" t="s">
        <v>37</v>
      </c>
      <c r="D60" s="181"/>
      <c r="E60" s="23" t="s">
        <v>655</v>
      </c>
      <c r="F60" s="183">
        <f>F44/F$47</f>
        <v>3.5329297040220162E-3</v>
      </c>
      <c r="G60" s="175" t="s">
        <v>37</v>
      </c>
      <c r="I60" s="23" t="s">
        <v>655</v>
      </c>
      <c r="J60" s="183">
        <f>J44/J$47</f>
        <v>3.3943038435786535E-3</v>
      </c>
      <c r="K60" s="175" t="s">
        <v>37</v>
      </c>
      <c r="N60" s="23" t="s">
        <v>655</v>
      </c>
      <c r="O60" s="183">
        <f>O44/O$47</f>
        <v>3.5678456607632237E-3</v>
      </c>
      <c r="P60" s="175" t="s">
        <v>37</v>
      </c>
    </row>
    <row r="61" spans="1:16" x14ac:dyDescent="0.35">
      <c r="A61" s="23" t="s">
        <v>656</v>
      </c>
      <c r="B61" s="183">
        <f>B45/B$47</f>
        <v>2.1054235160302994E-2</v>
      </c>
      <c r="C61" s="175" t="s">
        <v>37</v>
      </c>
      <c r="D61" s="181"/>
      <c r="E61" s="23" t="s">
        <v>656</v>
      </c>
      <c r="F61" s="183">
        <f>F45/F$47</f>
        <v>2.1434242215884181E-2</v>
      </c>
      <c r="G61" s="175" t="s">
        <v>37</v>
      </c>
      <c r="I61" s="23" t="s">
        <v>656</v>
      </c>
      <c r="J61" s="183">
        <f>J45/J$47</f>
        <v>2.0593200780288756E-2</v>
      </c>
      <c r="K61" s="175" t="s">
        <v>37</v>
      </c>
      <c r="N61" s="23" t="s">
        <v>656</v>
      </c>
      <c r="O61" s="183">
        <f>O45/O$47</f>
        <v>2.1646076907397678E-2</v>
      </c>
      <c r="P61" s="175" t="s">
        <v>37</v>
      </c>
    </row>
    <row r="62" spans="1:16" x14ac:dyDescent="0.35">
      <c r="A62" s="184"/>
      <c r="B62" s="185">
        <f>B46/B$47</f>
        <v>0</v>
      </c>
      <c r="C62" s="178" t="s">
        <v>37</v>
      </c>
      <c r="D62" s="181"/>
      <c r="E62" s="184"/>
      <c r="F62" s="185">
        <f>F46/F$47</f>
        <v>0</v>
      </c>
      <c r="G62" s="178" t="s">
        <v>37</v>
      </c>
      <c r="I62" s="184"/>
      <c r="J62" s="185">
        <f>J46/J$47</f>
        <v>0</v>
      </c>
      <c r="K62" s="178" t="s">
        <v>37</v>
      </c>
      <c r="N62" s="184"/>
      <c r="O62" s="185">
        <f>O46/O$47</f>
        <v>0</v>
      </c>
      <c r="P62" s="178" t="s">
        <v>37</v>
      </c>
    </row>
    <row r="63" spans="1:16" x14ac:dyDescent="0.35">
      <c r="A63" s="181"/>
      <c r="B63" s="188">
        <f>SUM(B53:B59)</f>
        <v>0.97547547034343629</v>
      </c>
      <c r="C63" s="175" t="s">
        <v>415</v>
      </c>
      <c r="D63" s="181"/>
      <c r="E63" s="181"/>
      <c r="F63" s="14">
        <f>SUM(F53:F59)</f>
        <v>0.97503282808009373</v>
      </c>
      <c r="G63" s="175" t="s">
        <v>415</v>
      </c>
      <c r="I63" s="181"/>
      <c r="J63" s="14">
        <f>SUM(J53:J59)</f>
        <v>0.97601249537613266</v>
      </c>
      <c r="K63" s="175" t="s">
        <v>415</v>
      </c>
      <c r="N63" s="181"/>
      <c r="O63" s="14">
        <f>SUM(O53:O59)</f>
        <v>0.9747860774318392</v>
      </c>
      <c r="P63" s="175" t="s">
        <v>415</v>
      </c>
    </row>
    <row r="64" spans="1:16" x14ac:dyDescent="0.35">
      <c r="A64" s="181"/>
      <c r="B64" s="188">
        <f>SUM(B60:B62)</f>
        <v>2.4524529656563581E-2</v>
      </c>
      <c r="C64" s="175" t="s">
        <v>416</v>
      </c>
      <c r="D64" s="181"/>
      <c r="E64" s="181"/>
      <c r="F64" s="14">
        <f>SUM(F60:F62)</f>
        <v>2.4967171919906196E-2</v>
      </c>
      <c r="G64" s="175" t="s">
        <v>416</v>
      </c>
      <c r="I64" s="181"/>
      <c r="J64" s="14">
        <f>SUM(J60:J62)</f>
        <v>2.3987504623867409E-2</v>
      </c>
      <c r="K64" s="175" t="s">
        <v>416</v>
      </c>
      <c r="N64" s="181"/>
      <c r="O64" s="14">
        <f>SUM(O60:O62)</f>
        <v>2.52139225681609E-2</v>
      </c>
      <c r="P64" s="175" t="s">
        <v>416</v>
      </c>
    </row>
    <row r="65" spans="1:16" x14ac:dyDescent="0.35">
      <c r="A65" s="181"/>
      <c r="B65" s="187">
        <f>SUM(B53:B62)</f>
        <v>0.99999999999999989</v>
      </c>
      <c r="C65" s="186"/>
      <c r="D65" s="181"/>
      <c r="E65" s="181"/>
      <c r="F65" s="187">
        <f>SUM(F53:F62)</f>
        <v>0.99999999999999989</v>
      </c>
      <c r="G65" s="186"/>
      <c r="I65" s="181"/>
      <c r="J65" s="187">
        <f>SUM(J53:J62)</f>
        <v>1</v>
      </c>
      <c r="K65" s="186"/>
      <c r="N65" s="181"/>
      <c r="O65" s="187">
        <f>SUM(O53:O62)</f>
        <v>1</v>
      </c>
      <c r="P65" s="186"/>
    </row>
  </sheetData>
  <mergeCells count="4">
    <mergeCell ref="A52:C52"/>
    <mergeCell ref="E52:G52"/>
    <mergeCell ref="I52:K52"/>
    <mergeCell ref="N52:P5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5"/>
  <sheetViews>
    <sheetView workbookViewId="0">
      <selection activeCell="D25" sqref="D25"/>
    </sheetView>
  </sheetViews>
  <sheetFormatPr defaultRowHeight="14.5" x14ac:dyDescent="0.35"/>
  <cols>
    <col min="8" max="8" width="43.81640625" customWidth="1"/>
  </cols>
  <sheetData>
    <row r="1" spans="1:11" ht="21" x14ac:dyDescent="0.5">
      <c r="A1" s="21" t="s">
        <v>343</v>
      </c>
      <c r="H1" t="s">
        <v>129</v>
      </c>
    </row>
    <row r="2" spans="1:11" x14ac:dyDescent="0.35">
      <c r="A2" t="s">
        <v>541</v>
      </c>
      <c r="H2" t="s">
        <v>98</v>
      </c>
      <c r="I2" t="s">
        <v>41</v>
      </c>
      <c r="J2">
        <v>2001</v>
      </c>
      <c r="K2" s="7" t="s">
        <v>40</v>
      </c>
    </row>
    <row r="4" spans="1:11" x14ac:dyDescent="0.35">
      <c r="A4" s="6" t="s">
        <v>11</v>
      </c>
    </row>
    <row r="5" spans="1:11" x14ac:dyDescent="0.35">
      <c r="A5" t="s">
        <v>335</v>
      </c>
      <c r="B5">
        <v>2118832</v>
      </c>
      <c r="C5" t="s">
        <v>341</v>
      </c>
      <c r="D5" s="14">
        <f>B5/$B$9</f>
        <v>0.29380116362250752</v>
      </c>
    </row>
    <row r="6" spans="1:11" x14ac:dyDescent="0.35">
      <c r="A6" t="s">
        <v>337</v>
      </c>
      <c r="B6">
        <v>2116772</v>
      </c>
      <c r="C6" t="s">
        <v>341</v>
      </c>
      <c r="D6" s="14">
        <f t="shared" ref="D6:D9" si="0">B6/$B$9</f>
        <v>0.29351552021280714</v>
      </c>
    </row>
    <row r="7" spans="1:11" x14ac:dyDescent="0.35">
      <c r="A7" t="s">
        <v>336</v>
      </c>
      <c r="B7">
        <v>1488201</v>
      </c>
      <c r="C7" t="s">
        <v>341</v>
      </c>
      <c r="D7" s="14">
        <f t="shared" si="0"/>
        <v>0.20635670289299923</v>
      </c>
    </row>
    <row r="8" spans="1:11" x14ac:dyDescent="0.35">
      <c r="A8" t="s">
        <v>22</v>
      </c>
      <c r="B8">
        <v>1487984</v>
      </c>
      <c r="C8" t="s">
        <v>341</v>
      </c>
      <c r="D8" s="14">
        <f t="shared" si="0"/>
        <v>0.20632661327168611</v>
      </c>
    </row>
    <row r="9" spans="1:11" x14ac:dyDescent="0.35">
      <c r="A9" s="6" t="s">
        <v>312</v>
      </c>
      <c r="B9">
        <f>SUM(B5:B8)</f>
        <v>7211789</v>
      </c>
      <c r="D9" s="16">
        <f t="shared" si="0"/>
        <v>1</v>
      </c>
    </row>
    <row r="11" spans="1:11" x14ac:dyDescent="0.35">
      <c r="A11" s="6"/>
    </row>
    <row r="12" spans="1:11" x14ac:dyDescent="0.35">
      <c r="A12" t="s">
        <v>542</v>
      </c>
      <c r="D12" s="14"/>
    </row>
    <row r="13" spans="1:11" x14ac:dyDescent="0.35">
      <c r="A13" s="6"/>
      <c r="D13" s="14"/>
    </row>
    <row r="14" spans="1:11" x14ac:dyDescent="0.35">
      <c r="A14" s="6" t="s">
        <v>12</v>
      </c>
      <c r="D14" s="14"/>
    </row>
    <row r="15" spans="1:11" x14ac:dyDescent="0.35">
      <c r="B15" t="s">
        <v>550</v>
      </c>
      <c r="C15" s="234" t="s">
        <v>543</v>
      </c>
      <c r="D15" s="20" t="s">
        <v>544</v>
      </c>
      <c r="E15" s="234" t="s">
        <v>545</v>
      </c>
      <c r="F15" s="234" t="s">
        <v>546</v>
      </c>
    </row>
    <row r="16" spans="1:11" x14ac:dyDescent="0.35">
      <c r="A16" t="s">
        <v>547</v>
      </c>
      <c r="B16" s="3">
        <v>0.85</v>
      </c>
      <c r="C16" s="19">
        <v>0.27130172471711678</v>
      </c>
      <c r="D16" s="19">
        <v>0.20214488175058143</v>
      </c>
      <c r="E16" s="19">
        <v>0.30527839176174043</v>
      </c>
      <c r="F16" s="19">
        <v>0.22127500177056145</v>
      </c>
    </row>
    <row r="17" spans="1:7" x14ac:dyDescent="0.35">
      <c r="A17" s="236" t="s">
        <v>548</v>
      </c>
      <c r="B17" s="3">
        <v>0.1</v>
      </c>
      <c r="C17" s="19">
        <v>0.20522424733468148</v>
      </c>
      <c r="D17" s="19">
        <v>0.23429105763800306</v>
      </c>
      <c r="E17" s="19">
        <v>0.30485349767077907</v>
      </c>
      <c r="F17" s="19">
        <v>0.25563119735653633</v>
      </c>
    </row>
    <row r="18" spans="1:7" x14ac:dyDescent="0.35">
      <c r="A18" t="s">
        <v>549</v>
      </c>
      <c r="B18" s="3">
        <v>0.05</v>
      </c>
      <c r="C18" s="19">
        <v>0.29380116362250752</v>
      </c>
      <c r="D18" s="19">
        <v>0.29351552021280714</v>
      </c>
      <c r="E18" s="19">
        <v>0.20635670289299923</v>
      </c>
      <c r="F18" s="19">
        <v>0.20632661327168611</v>
      </c>
    </row>
    <row r="20" spans="1:7" x14ac:dyDescent="0.35">
      <c r="C20" s="298" t="s">
        <v>551</v>
      </c>
      <c r="D20" s="298"/>
      <c r="E20" s="298"/>
      <c r="F20" s="298"/>
    </row>
    <row r="21" spans="1:7" x14ac:dyDescent="0.35">
      <c r="C21" s="237" t="s">
        <v>335</v>
      </c>
      <c r="D21" s="237" t="s">
        <v>342</v>
      </c>
      <c r="E21" s="237" t="s">
        <v>336</v>
      </c>
      <c r="F21" s="237" t="s">
        <v>22</v>
      </c>
    </row>
    <row r="22" spans="1:7" x14ac:dyDescent="0.35">
      <c r="B22" t="s">
        <v>547</v>
      </c>
      <c r="C22" s="14">
        <f t="shared" ref="C22:F24" si="1">$B16*C16</f>
        <v>0.23060646600954926</v>
      </c>
      <c r="D22" s="14">
        <f t="shared" si="1"/>
        <v>0.17182314948799421</v>
      </c>
      <c r="E22" s="14">
        <f t="shared" si="1"/>
        <v>0.25948663299747937</v>
      </c>
      <c r="F22" s="14">
        <f t="shared" si="1"/>
        <v>0.18808375150497722</v>
      </c>
    </row>
    <row r="23" spans="1:7" x14ac:dyDescent="0.35">
      <c r="B23" s="236" t="s">
        <v>548</v>
      </c>
      <c r="C23" s="14">
        <f t="shared" si="1"/>
        <v>2.0522424733468148E-2</v>
      </c>
      <c r="D23" s="14">
        <f t="shared" si="1"/>
        <v>2.3429105763800306E-2</v>
      </c>
      <c r="E23" s="14">
        <f t="shared" si="1"/>
        <v>3.048534976707791E-2</v>
      </c>
      <c r="F23" s="14">
        <f t="shared" si="1"/>
        <v>2.5563119735653634E-2</v>
      </c>
    </row>
    <row r="24" spans="1:7" x14ac:dyDescent="0.35">
      <c r="B24" t="s">
        <v>549</v>
      </c>
      <c r="C24" s="14">
        <f t="shared" si="1"/>
        <v>1.4690058181125377E-2</v>
      </c>
      <c r="D24" s="14">
        <f t="shared" si="1"/>
        <v>1.4675776010640358E-2</v>
      </c>
      <c r="E24" s="14">
        <f t="shared" si="1"/>
        <v>1.0317835144649963E-2</v>
      </c>
      <c r="F24" s="14">
        <f t="shared" si="1"/>
        <v>1.0316330663584306E-2</v>
      </c>
    </row>
    <row r="25" spans="1:7" x14ac:dyDescent="0.35">
      <c r="B25" s="6" t="s">
        <v>552</v>
      </c>
      <c r="C25" s="13">
        <f>SUM(C22:C24)</f>
        <v>0.26581894892414282</v>
      </c>
      <c r="D25" s="13">
        <f t="shared" ref="D25:F25" si="2">SUM(D22:D24)</f>
        <v>0.20992803126243487</v>
      </c>
      <c r="E25" s="13">
        <f t="shared" si="2"/>
        <v>0.30028981790920722</v>
      </c>
      <c r="F25" s="13">
        <f t="shared" si="2"/>
        <v>0.22396320190421518</v>
      </c>
      <c r="G25" s="16">
        <f>SUM(C25:F25)</f>
        <v>1.0000000000000002</v>
      </c>
    </row>
  </sheetData>
  <mergeCells count="1">
    <mergeCell ref="C20:F20"/>
  </mergeCells>
  <hyperlinks>
    <hyperlink ref="K2" r:id="rId1" xr:uid="{00000000-0004-0000-0900-00000000000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9"/>
  <sheetViews>
    <sheetView zoomScale="85" zoomScaleNormal="85" workbookViewId="0">
      <selection activeCell="A34" sqref="A5:A34"/>
    </sheetView>
  </sheetViews>
  <sheetFormatPr defaultRowHeight="14.5" x14ac:dyDescent="0.35"/>
  <cols>
    <col min="1" max="1" width="25.7265625" customWidth="1"/>
    <col min="2" max="3" width="21.7265625" customWidth="1"/>
    <col min="4" max="4" width="24.54296875" customWidth="1"/>
    <col min="5" max="5" width="19.7265625" customWidth="1"/>
    <col min="6" max="6" width="21.7265625" customWidth="1"/>
    <col min="7" max="7" width="18" customWidth="1"/>
    <col min="8" max="8" width="19.26953125" customWidth="1"/>
    <col min="12" max="12" width="18" customWidth="1"/>
    <col min="18" max="19" width="12.26953125" bestFit="1" customWidth="1"/>
  </cols>
  <sheetData>
    <row r="1" spans="1:9" ht="18.5" x14ac:dyDescent="0.45">
      <c r="A1" s="239" t="s">
        <v>657</v>
      </c>
      <c r="H1" s="6" t="s">
        <v>129</v>
      </c>
    </row>
    <row r="2" spans="1:9" x14ac:dyDescent="0.35">
      <c r="H2" s="8" t="s">
        <v>658</v>
      </c>
      <c r="I2" s="8" t="s">
        <v>293</v>
      </c>
    </row>
    <row r="3" spans="1:9" x14ac:dyDescent="0.35">
      <c r="H3" t="s">
        <v>659</v>
      </c>
      <c r="I3" t="s">
        <v>309</v>
      </c>
    </row>
    <row r="4" spans="1:9" x14ac:dyDescent="0.35">
      <c r="A4" s="6" t="s">
        <v>585</v>
      </c>
      <c r="B4" s="6" t="s">
        <v>586</v>
      </c>
      <c r="C4" s="6" t="s">
        <v>20</v>
      </c>
      <c r="D4" s="195" t="s">
        <v>19</v>
      </c>
      <c r="E4" s="195" t="s">
        <v>587</v>
      </c>
      <c r="F4" s="195" t="s">
        <v>621</v>
      </c>
      <c r="G4" s="195" t="s">
        <v>129</v>
      </c>
      <c r="H4" s="195" t="s">
        <v>588</v>
      </c>
    </row>
    <row r="5" spans="1:9" ht="33.75" customHeight="1" x14ac:dyDescent="0.35">
      <c r="A5" s="241" t="s">
        <v>660</v>
      </c>
      <c r="B5" s="241" t="s">
        <v>661</v>
      </c>
      <c r="C5" s="241" t="s">
        <v>662</v>
      </c>
      <c r="D5" s="241">
        <v>1.0528603333333335E-4</v>
      </c>
      <c r="E5" s="250">
        <f>D5/$D$35</f>
        <v>2.9322000636878478E-2</v>
      </c>
      <c r="F5" s="242" t="s">
        <v>663</v>
      </c>
      <c r="G5" s="18" t="s">
        <v>664</v>
      </c>
      <c r="H5" s="251" t="s">
        <v>665</v>
      </c>
    </row>
    <row r="6" spans="1:9" ht="29" x14ac:dyDescent="0.35">
      <c r="A6" s="241" t="s">
        <v>666</v>
      </c>
      <c r="B6" s="241" t="s">
        <v>667</v>
      </c>
      <c r="C6" s="241" t="s">
        <v>662</v>
      </c>
      <c r="D6" s="241">
        <v>1.0238828333333334E-4</v>
      </c>
      <c r="E6" s="250">
        <f t="shared" ref="E6:E34" si="0">D6/$D$35</f>
        <v>2.8514981655770998E-2</v>
      </c>
      <c r="F6" s="242" t="s">
        <v>663</v>
      </c>
      <c r="G6" s="18" t="s">
        <v>664</v>
      </c>
      <c r="H6" s="251" t="s">
        <v>665</v>
      </c>
    </row>
    <row r="7" spans="1:9" ht="29" x14ac:dyDescent="0.35">
      <c r="A7" s="241" t="s">
        <v>668</v>
      </c>
      <c r="B7" s="241" t="s">
        <v>669</v>
      </c>
      <c r="C7" s="241" t="s">
        <v>662</v>
      </c>
      <c r="D7" s="241">
        <v>2.2488131250000007E-4</v>
      </c>
      <c r="E7" s="250">
        <f t="shared" si="0"/>
        <v>6.2629104541061978E-2</v>
      </c>
      <c r="F7" s="242" t="s">
        <v>663</v>
      </c>
      <c r="G7" s="18" t="s">
        <v>664</v>
      </c>
      <c r="H7" s="251" t="s">
        <v>665</v>
      </c>
    </row>
    <row r="8" spans="1:9" x14ac:dyDescent="0.35">
      <c r="A8" s="241" t="s">
        <v>670</v>
      </c>
      <c r="B8" s="241" t="s">
        <v>671</v>
      </c>
      <c r="C8" s="241" t="s">
        <v>672</v>
      </c>
      <c r="D8" s="241">
        <f>1.5/1000000</f>
        <v>1.5E-6</v>
      </c>
      <c r="E8" s="250">
        <f t="shared" si="0"/>
        <v>4.1774772553229797E-4</v>
      </c>
      <c r="F8" s="241" t="s">
        <v>310</v>
      </c>
      <c r="G8" t="s">
        <v>613</v>
      </c>
      <c r="H8" s="7" t="s">
        <v>614</v>
      </c>
    </row>
    <row r="9" spans="1:9" ht="29" x14ac:dyDescent="0.35">
      <c r="A9" s="241" t="s">
        <v>673</v>
      </c>
      <c r="B9" s="241" t="s">
        <v>674</v>
      </c>
      <c r="C9" s="241" t="s">
        <v>662</v>
      </c>
      <c r="D9" s="241">
        <v>8.9210946666666696E-5</v>
      </c>
      <c r="E9" s="250">
        <f t="shared" si="0"/>
        <v>2.4845113375055433E-2</v>
      </c>
      <c r="F9" s="242" t="s">
        <v>663</v>
      </c>
      <c r="G9" s="18" t="s">
        <v>664</v>
      </c>
      <c r="H9" s="251" t="s">
        <v>665</v>
      </c>
    </row>
    <row r="10" spans="1:9" x14ac:dyDescent="0.35">
      <c r="A10" s="241" t="s">
        <v>675</v>
      </c>
      <c r="B10" s="241" t="s">
        <v>676</v>
      </c>
      <c r="C10" s="241" t="s">
        <v>672</v>
      </c>
      <c r="D10" s="241">
        <f>0.18/1000000</f>
        <v>1.8E-7</v>
      </c>
      <c r="E10" s="250">
        <f t="shared" si="0"/>
        <v>5.0129727063875753E-5</v>
      </c>
      <c r="F10" s="241" t="s">
        <v>310</v>
      </c>
      <c r="G10" t="s">
        <v>613</v>
      </c>
      <c r="H10" s="7" t="s">
        <v>614</v>
      </c>
    </row>
    <row r="11" spans="1:9" ht="29" x14ac:dyDescent="0.35">
      <c r="A11" s="241" t="s">
        <v>677</v>
      </c>
      <c r="B11" s="241" t="s">
        <v>678</v>
      </c>
      <c r="C11" s="241" t="s">
        <v>662</v>
      </c>
      <c r="D11" s="241">
        <v>5.0064186666666676E-5</v>
      </c>
      <c r="E11" s="250">
        <f t="shared" si="0"/>
        <v>1.3942800073749602E-2</v>
      </c>
      <c r="F11" s="242" t="s">
        <v>663</v>
      </c>
      <c r="G11" s="18" t="s">
        <v>664</v>
      </c>
      <c r="H11" s="251" t="s">
        <v>665</v>
      </c>
    </row>
    <row r="12" spans="1:9" ht="29" x14ac:dyDescent="0.35">
      <c r="A12" s="241" t="s">
        <v>679</v>
      </c>
      <c r="B12" s="241" t="s">
        <v>680</v>
      </c>
      <c r="C12" s="241" t="s">
        <v>662</v>
      </c>
      <c r="D12" s="241">
        <v>1.2788759000000003E-4</v>
      </c>
      <c r="E12" s="250">
        <f t="shared" si="0"/>
        <v>3.5616499897538047E-2</v>
      </c>
      <c r="F12" s="242" t="s">
        <v>663</v>
      </c>
      <c r="G12" s="18" t="s">
        <v>664</v>
      </c>
      <c r="H12" s="251" t="s">
        <v>665</v>
      </c>
    </row>
    <row r="13" spans="1:9" ht="29" x14ac:dyDescent="0.35">
      <c r="A13" s="242" t="s">
        <v>681</v>
      </c>
      <c r="B13" s="241" t="s">
        <v>682</v>
      </c>
      <c r="C13" s="241" t="s">
        <v>662</v>
      </c>
      <c r="D13" s="241">
        <v>1.7499082333333334E-4</v>
      </c>
      <c r="E13" s="250">
        <f t="shared" si="0"/>
        <v>4.8734678957682791E-2</v>
      </c>
      <c r="F13" s="242" t="s">
        <v>663</v>
      </c>
      <c r="G13" s="18" t="s">
        <v>664</v>
      </c>
      <c r="H13" s="251" t="s">
        <v>665</v>
      </c>
    </row>
    <row r="14" spans="1:9" x14ac:dyDescent="0.35">
      <c r="A14" s="241" t="s">
        <v>683</v>
      </c>
      <c r="B14" s="241" t="s">
        <v>684</v>
      </c>
      <c r="C14" s="241" t="s">
        <v>672</v>
      </c>
      <c r="D14" s="241">
        <f>15/1000000</f>
        <v>1.5E-5</v>
      </c>
      <c r="E14" s="250">
        <f t="shared" si="0"/>
        <v>4.1774772553229795E-3</v>
      </c>
      <c r="F14" s="241" t="s">
        <v>310</v>
      </c>
      <c r="G14" s="18" t="s">
        <v>685</v>
      </c>
      <c r="H14" s="251" t="s">
        <v>686</v>
      </c>
    </row>
    <row r="15" spans="1:9" ht="29" x14ac:dyDescent="0.35">
      <c r="A15" s="241" t="s">
        <v>687</v>
      </c>
      <c r="B15" s="241" t="s">
        <v>688</v>
      </c>
      <c r="C15" s="241" t="s">
        <v>662</v>
      </c>
      <c r="D15" s="241">
        <v>6.8411243333333348E-5</v>
      </c>
      <c r="E15" s="250">
        <f t="shared" si="0"/>
        <v>1.9052427535557727E-2</v>
      </c>
      <c r="F15" s="242" t="s">
        <v>663</v>
      </c>
      <c r="G15" s="18" t="s">
        <v>664</v>
      </c>
      <c r="H15" s="251" t="s">
        <v>665</v>
      </c>
    </row>
    <row r="16" spans="1:9" ht="29" x14ac:dyDescent="0.35">
      <c r="A16" s="241" t="s">
        <v>689</v>
      </c>
      <c r="B16" s="241" t="s">
        <v>690</v>
      </c>
      <c r="C16" s="241" t="s">
        <v>662</v>
      </c>
      <c r="D16" s="241">
        <v>1.8691769433333335E-4</v>
      </c>
      <c r="E16" s="250">
        <f t="shared" si="0"/>
        <v>5.205629444632754E-2</v>
      </c>
      <c r="F16" s="242" t="s">
        <v>663</v>
      </c>
      <c r="G16" s="18" t="s">
        <v>664</v>
      </c>
      <c r="H16" s="251" t="s">
        <v>665</v>
      </c>
    </row>
    <row r="17" spans="1:8" ht="29" x14ac:dyDescent="0.35">
      <c r="A17" s="241" t="s">
        <v>691</v>
      </c>
      <c r="B17" s="241" t="s">
        <v>692</v>
      </c>
      <c r="C17" s="241" t="s">
        <v>662</v>
      </c>
      <c r="D17" s="241">
        <v>2.6531204933333338E-5</v>
      </c>
      <c r="E17" s="250">
        <f t="shared" si="0"/>
        <v>7.3889003443541905E-3</v>
      </c>
      <c r="F17" s="242" t="s">
        <v>663</v>
      </c>
      <c r="G17" s="18" t="s">
        <v>664</v>
      </c>
      <c r="H17" s="251" t="s">
        <v>665</v>
      </c>
    </row>
    <row r="18" spans="1:8" ht="29" x14ac:dyDescent="0.35">
      <c r="A18" s="241" t="s">
        <v>693</v>
      </c>
      <c r="B18" s="241" t="s">
        <v>694</v>
      </c>
      <c r="C18" s="241" t="s">
        <v>662</v>
      </c>
      <c r="D18" s="241">
        <v>1.0171292333333334E-4</v>
      </c>
      <c r="E18" s="250">
        <f t="shared" si="0"/>
        <v>2.8326894919827334E-2</v>
      </c>
      <c r="F18" s="242" t="s">
        <v>663</v>
      </c>
      <c r="G18" s="18" t="s">
        <v>664</v>
      </c>
      <c r="H18" s="251" t="s">
        <v>665</v>
      </c>
    </row>
    <row r="19" spans="1:8" ht="29" x14ac:dyDescent="0.35">
      <c r="A19" s="241" t="s">
        <v>695</v>
      </c>
      <c r="B19" s="241" t="s">
        <v>696</v>
      </c>
      <c r="C19" s="241" t="s">
        <v>672</v>
      </c>
      <c r="D19" s="252">
        <f>78/1000000</f>
        <v>7.7999999999999999E-5</v>
      </c>
      <c r="E19" s="250">
        <f t="shared" si="0"/>
        <v>2.1722881727679496E-2</v>
      </c>
      <c r="F19" s="241" t="s">
        <v>310</v>
      </c>
      <c r="G19" s="18" t="s">
        <v>697</v>
      </c>
      <c r="H19" s="251" t="s">
        <v>686</v>
      </c>
    </row>
    <row r="20" spans="1:8" ht="29" x14ac:dyDescent="0.35">
      <c r="A20" s="241" t="s">
        <v>698</v>
      </c>
      <c r="B20" s="241" t="s">
        <v>699</v>
      </c>
      <c r="C20" s="241" t="s">
        <v>662</v>
      </c>
      <c r="D20" s="241">
        <v>1.1835273066666666E-3</v>
      </c>
      <c r="E20" s="250">
        <f t="shared" si="0"/>
        <v>0.32961056031024433</v>
      </c>
      <c r="F20" s="242" t="s">
        <v>663</v>
      </c>
      <c r="G20" s="18" t="s">
        <v>664</v>
      </c>
      <c r="H20" s="251" t="s">
        <v>665</v>
      </c>
    </row>
    <row r="21" spans="1:8" ht="29" x14ac:dyDescent="0.35">
      <c r="A21" s="241" t="s">
        <v>700</v>
      </c>
      <c r="B21" s="241" t="s">
        <v>701</v>
      </c>
      <c r="C21" s="241" t="s">
        <v>662</v>
      </c>
      <c r="D21" s="241">
        <v>2.9633206666666672E-5</v>
      </c>
      <c r="E21" s="250">
        <f t="shared" si="0"/>
        <v>8.2528031234856882E-3</v>
      </c>
      <c r="F21" s="242" t="s">
        <v>663</v>
      </c>
      <c r="G21" s="18" t="s">
        <v>664</v>
      </c>
      <c r="H21" s="251" t="s">
        <v>665</v>
      </c>
    </row>
    <row r="22" spans="1:8" ht="29" x14ac:dyDescent="0.35">
      <c r="A22" s="241" t="s">
        <v>702</v>
      </c>
      <c r="B22" s="241" t="s">
        <v>703</v>
      </c>
      <c r="C22" s="241" t="s">
        <v>662</v>
      </c>
      <c r="D22" s="241">
        <v>8.2676325000000022E-5</v>
      </c>
      <c r="E22" s="250">
        <f t="shared" si="0"/>
        <v>2.3025231149412715E-2</v>
      </c>
      <c r="F22" s="242" t="s">
        <v>663</v>
      </c>
      <c r="G22" s="18" t="s">
        <v>664</v>
      </c>
      <c r="H22" s="251" t="s">
        <v>665</v>
      </c>
    </row>
    <row r="23" spans="1:8" ht="29" x14ac:dyDescent="0.35">
      <c r="A23" s="241" t="s">
        <v>704</v>
      </c>
      <c r="B23" s="241" t="s">
        <v>705</v>
      </c>
      <c r="C23" s="241" t="s">
        <v>662</v>
      </c>
      <c r="D23" s="241">
        <v>2.4836665500000007E-4</v>
      </c>
      <c r="E23" s="250">
        <f t="shared" si="0"/>
        <v>6.9169736816209984E-2</v>
      </c>
      <c r="F23" s="242" t="s">
        <v>663</v>
      </c>
      <c r="G23" s="18" t="s">
        <v>664</v>
      </c>
      <c r="H23" s="251" t="s">
        <v>665</v>
      </c>
    </row>
    <row r="24" spans="1:8" x14ac:dyDescent="0.35">
      <c r="A24" s="241" t="s">
        <v>706</v>
      </c>
      <c r="B24" s="241" t="s">
        <v>707</v>
      </c>
      <c r="C24" s="241" t="s">
        <v>672</v>
      </c>
      <c r="D24" s="252">
        <f>88/1000000</f>
        <v>8.7999999999999998E-5</v>
      </c>
      <c r="E24" s="250">
        <f t="shared" si="0"/>
        <v>2.4507866564561481E-2</v>
      </c>
      <c r="F24" s="241" t="s">
        <v>310</v>
      </c>
      <c r="G24" s="18" t="s">
        <v>685</v>
      </c>
      <c r="H24" s="251" t="s">
        <v>686</v>
      </c>
    </row>
    <row r="25" spans="1:8" ht="29" x14ac:dyDescent="0.35">
      <c r="A25" s="241" t="s">
        <v>708</v>
      </c>
      <c r="B25" s="241" t="s">
        <v>709</v>
      </c>
      <c r="C25" s="241" t="s">
        <v>662</v>
      </c>
      <c r="D25" s="241">
        <v>1.5424000766666671E-4</v>
      </c>
      <c r="E25" s="250">
        <f t="shared" si="0"/>
        <v>4.2955608259222816E-2</v>
      </c>
      <c r="F25" s="242" t="s">
        <v>663</v>
      </c>
      <c r="G25" s="18" t="s">
        <v>664</v>
      </c>
      <c r="H25" s="251" t="s">
        <v>665</v>
      </c>
    </row>
    <row r="26" spans="1:8" ht="29" x14ac:dyDescent="0.35">
      <c r="A26" s="241" t="s">
        <v>710</v>
      </c>
      <c r="B26" s="241" t="s">
        <v>711</v>
      </c>
      <c r="C26" s="241" t="s">
        <v>712</v>
      </c>
      <c r="D26" s="241">
        <f>0.8*88.1515*0.5/1000000</f>
        <v>3.5260600000000006E-5</v>
      </c>
      <c r="E26" s="250">
        <f t="shared" si="0"/>
        <v>9.8200236339360987E-3</v>
      </c>
      <c r="F26" s="242" t="s">
        <v>713</v>
      </c>
      <c r="G26" s="18" t="s">
        <v>714</v>
      </c>
      <c r="H26" s="251" t="s">
        <v>715</v>
      </c>
    </row>
    <row r="27" spans="1:8" x14ac:dyDescent="0.35">
      <c r="A27" s="241" t="s">
        <v>716</v>
      </c>
      <c r="B27" s="241" t="s">
        <v>717</v>
      </c>
      <c r="C27" s="241" t="s">
        <v>672</v>
      </c>
      <c r="D27" s="241">
        <f>7/1000000</f>
        <v>6.9999999999999999E-6</v>
      </c>
      <c r="E27" s="250">
        <f t="shared" si="0"/>
        <v>1.9494893858173906E-3</v>
      </c>
      <c r="F27" s="241" t="s">
        <v>310</v>
      </c>
      <c r="G27" s="18" t="s">
        <v>685</v>
      </c>
      <c r="H27" s="251" t="s">
        <v>686</v>
      </c>
    </row>
    <row r="28" spans="1:8" x14ac:dyDescent="0.35">
      <c r="A28" s="241" t="s">
        <v>307</v>
      </c>
      <c r="B28" s="241" t="s">
        <v>718</v>
      </c>
      <c r="C28" s="241" t="s">
        <v>672</v>
      </c>
      <c r="D28" s="241">
        <f>11.6/1000000</f>
        <v>1.1599999999999999E-5</v>
      </c>
      <c r="E28" s="250">
        <f t="shared" si="0"/>
        <v>3.2305824107831042E-3</v>
      </c>
      <c r="F28" s="241" t="s">
        <v>310</v>
      </c>
      <c r="G28" t="s">
        <v>613</v>
      </c>
      <c r="H28" s="7" t="s">
        <v>614</v>
      </c>
    </row>
    <row r="29" spans="1:8" x14ac:dyDescent="0.35">
      <c r="A29" s="241" t="s">
        <v>719</v>
      </c>
      <c r="B29" s="241" t="s">
        <v>720</v>
      </c>
      <c r="C29" s="241" t="s">
        <v>712</v>
      </c>
      <c r="D29" s="241">
        <f>0.4*202.3402*0.5/1000000</f>
        <v>4.0468040000000002E-5</v>
      </c>
      <c r="E29" s="250">
        <f t="shared" si="0"/>
        <v>1.1270287777833371E-2</v>
      </c>
      <c r="F29" s="242" t="s">
        <v>713</v>
      </c>
      <c r="G29" s="242" t="s">
        <v>721</v>
      </c>
      <c r="H29" s="251" t="s">
        <v>715</v>
      </c>
    </row>
    <row r="30" spans="1:8" ht="29" x14ac:dyDescent="0.35">
      <c r="A30" s="241" t="s">
        <v>722</v>
      </c>
      <c r="B30" s="241" t="s">
        <v>723</v>
      </c>
      <c r="C30" s="241" t="s">
        <v>712</v>
      </c>
      <c r="D30" s="241">
        <f>1.6*145.2459*0.5/1000000</f>
        <v>1.1619672000000002E-4</v>
      </c>
      <c r="E30" s="250">
        <f t="shared" si="0"/>
        <v>3.236061032954219E-2</v>
      </c>
      <c r="F30" s="242" t="s">
        <v>713</v>
      </c>
      <c r="G30" s="18" t="s">
        <v>714</v>
      </c>
      <c r="H30" s="251" t="s">
        <v>715</v>
      </c>
    </row>
    <row r="31" spans="1:8" ht="29" x14ac:dyDescent="0.35">
      <c r="A31" s="241" t="s">
        <v>724</v>
      </c>
      <c r="B31" s="241" t="s">
        <v>725</v>
      </c>
      <c r="C31" s="241" t="s">
        <v>662</v>
      </c>
      <c r="D31" s="241">
        <v>8.4762173466666676E-5</v>
      </c>
      <c r="E31" s="250">
        <f t="shared" si="0"/>
        <v>2.3606136784582735E-2</v>
      </c>
      <c r="F31" s="242" t="s">
        <v>663</v>
      </c>
      <c r="G31" s="18" t="s">
        <v>664</v>
      </c>
      <c r="H31" s="251" t="s">
        <v>665</v>
      </c>
    </row>
    <row r="32" spans="1:8" ht="29" x14ac:dyDescent="0.35">
      <c r="A32" s="241" t="s">
        <v>726</v>
      </c>
      <c r="B32" s="241" t="s">
        <v>727</v>
      </c>
      <c r="C32" s="241" t="s">
        <v>662</v>
      </c>
      <c r="D32" s="241">
        <v>9.9030466666666673E-5</v>
      </c>
      <c r="E32" s="250">
        <f t="shared" si="0"/>
        <v>2.7579834805601368E-2</v>
      </c>
      <c r="F32" s="242" t="s">
        <v>663</v>
      </c>
      <c r="G32" s="18" t="s">
        <v>664</v>
      </c>
      <c r="H32" s="251" t="s">
        <v>665</v>
      </c>
    </row>
    <row r="33" spans="1:8" x14ac:dyDescent="0.35">
      <c r="A33" s="241" t="s">
        <v>308</v>
      </c>
      <c r="B33" s="241" t="s">
        <v>728</v>
      </c>
      <c r="C33" s="241" t="s">
        <v>672</v>
      </c>
      <c r="D33" s="241">
        <f>5.8/1000000</f>
        <v>5.7999999999999995E-6</v>
      </c>
      <c r="E33" s="250">
        <f t="shared" si="0"/>
        <v>1.6152912053915521E-3</v>
      </c>
      <c r="F33" s="241" t="s">
        <v>310</v>
      </c>
      <c r="G33" t="s">
        <v>613</v>
      </c>
      <c r="H33" s="7" t="s">
        <v>614</v>
      </c>
    </row>
    <row r="34" spans="1:8" ht="29" x14ac:dyDescent="0.35">
      <c r="A34" s="241" t="s">
        <v>729</v>
      </c>
      <c r="B34" s="241" t="s">
        <v>730</v>
      </c>
      <c r="C34" s="241" t="s">
        <v>662</v>
      </c>
      <c r="D34" s="241">
        <v>5.1160079707738285E-5</v>
      </c>
      <c r="E34" s="250">
        <f t="shared" si="0"/>
        <v>1.4248004623972493E-2</v>
      </c>
      <c r="F34" s="242" t="s">
        <v>663</v>
      </c>
      <c r="G34" s="18" t="s">
        <v>664</v>
      </c>
      <c r="H34" s="251" t="s">
        <v>665</v>
      </c>
    </row>
    <row r="35" spans="1:8" x14ac:dyDescent="0.35">
      <c r="D35" s="189">
        <f>SUM(D5:D34)</f>
        <v>3.5906838226077383E-3</v>
      </c>
    </row>
    <row r="39" spans="1:8" x14ac:dyDescent="0.35">
      <c r="D39">
        <f>0.0206*100</f>
        <v>2.06</v>
      </c>
    </row>
  </sheetData>
  <hyperlinks>
    <hyperlink ref="H5" r:id="rId1" xr:uid="{00000000-0004-0000-0A00-000000000000}"/>
    <hyperlink ref="H6" r:id="rId2" xr:uid="{00000000-0004-0000-0A00-000001000000}"/>
    <hyperlink ref="H7" r:id="rId3" xr:uid="{00000000-0004-0000-0A00-000002000000}"/>
    <hyperlink ref="H11" r:id="rId4" xr:uid="{00000000-0004-0000-0A00-000003000000}"/>
    <hyperlink ref="H12" r:id="rId5" xr:uid="{00000000-0004-0000-0A00-000004000000}"/>
    <hyperlink ref="H13" r:id="rId6" xr:uid="{00000000-0004-0000-0A00-000005000000}"/>
    <hyperlink ref="H15" r:id="rId7" xr:uid="{00000000-0004-0000-0A00-000006000000}"/>
    <hyperlink ref="H16" r:id="rId8" xr:uid="{00000000-0004-0000-0A00-000007000000}"/>
    <hyperlink ref="H17" r:id="rId9" xr:uid="{00000000-0004-0000-0A00-000008000000}"/>
    <hyperlink ref="H18" r:id="rId10" xr:uid="{00000000-0004-0000-0A00-000009000000}"/>
    <hyperlink ref="H20" r:id="rId11" xr:uid="{00000000-0004-0000-0A00-00000A000000}"/>
    <hyperlink ref="H21" r:id="rId12" xr:uid="{00000000-0004-0000-0A00-00000B000000}"/>
    <hyperlink ref="H22" r:id="rId13" xr:uid="{00000000-0004-0000-0A00-00000C000000}"/>
    <hyperlink ref="H23" r:id="rId14" xr:uid="{00000000-0004-0000-0A00-00000D000000}"/>
    <hyperlink ref="H25" r:id="rId15" xr:uid="{00000000-0004-0000-0A00-00000E000000}"/>
    <hyperlink ref="H31" r:id="rId16" xr:uid="{00000000-0004-0000-0A00-00000F000000}"/>
    <hyperlink ref="H32" r:id="rId17" xr:uid="{00000000-0004-0000-0A00-000010000000}"/>
    <hyperlink ref="H34" r:id="rId18" xr:uid="{00000000-0004-0000-0A00-000011000000}"/>
    <hyperlink ref="H8" r:id="rId19" xr:uid="{00000000-0004-0000-0A00-000012000000}"/>
    <hyperlink ref="H9" r:id="rId20" xr:uid="{00000000-0004-0000-0A00-000013000000}"/>
    <hyperlink ref="H10" r:id="rId21" xr:uid="{00000000-0004-0000-0A00-000014000000}"/>
    <hyperlink ref="H33" r:id="rId22" xr:uid="{00000000-0004-0000-0A00-000015000000}"/>
    <hyperlink ref="H19" r:id="rId23" xr:uid="{00000000-0004-0000-0A00-000016000000}"/>
    <hyperlink ref="H28" r:id="rId24" xr:uid="{00000000-0004-0000-0A00-000017000000}"/>
    <hyperlink ref="H27" r:id="rId25" xr:uid="{00000000-0004-0000-0A00-000018000000}"/>
    <hyperlink ref="H14" r:id="rId26" xr:uid="{00000000-0004-0000-0A00-000019000000}"/>
    <hyperlink ref="H24" r:id="rId27" xr:uid="{00000000-0004-0000-0A00-00001A000000}"/>
    <hyperlink ref="H26" r:id="rId28" xr:uid="{00000000-0004-0000-0A00-00001B000000}"/>
    <hyperlink ref="H30" r:id="rId29" xr:uid="{00000000-0004-0000-0A00-00001C000000}"/>
    <hyperlink ref="H29" r:id="rId30" xr:uid="{00000000-0004-0000-0A00-00001D000000}"/>
  </hyperlinks>
  <pageMargins left="0.7" right="0.7" top="0.75" bottom="0.75" header="0.3" footer="0.3"/>
  <pageSetup orientation="portrait" r:id="rId31"/>
  <legacyDrawing r:id="rId3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8"/>
  <sheetViews>
    <sheetView workbookViewId="0">
      <selection activeCell="A9" sqref="A9"/>
    </sheetView>
  </sheetViews>
  <sheetFormatPr defaultRowHeight="14.5" x14ac:dyDescent="0.35"/>
  <cols>
    <col min="1" max="1" width="15.26953125" customWidth="1"/>
    <col min="2" max="2" width="12" customWidth="1"/>
    <col min="3" max="3" width="16.453125" customWidth="1"/>
    <col min="4" max="4" width="12.54296875" customWidth="1"/>
    <col min="5" max="5" width="31.1796875" customWidth="1"/>
    <col min="6" max="6" width="14.1796875" customWidth="1"/>
    <col min="7" max="7" width="15.26953125" customWidth="1"/>
  </cols>
  <sheetData>
    <row r="1" spans="1:7" ht="18.5" x14ac:dyDescent="0.45">
      <c r="A1" s="239" t="s">
        <v>731</v>
      </c>
    </row>
    <row r="3" spans="1:7" ht="29" x14ac:dyDescent="0.35">
      <c r="A3" t="s">
        <v>732</v>
      </c>
      <c r="B3" t="s">
        <v>585</v>
      </c>
      <c r="C3" s="18" t="s">
        <v>733</v>
      </c>
      <c r="D3" s="18" t="s">
        <v>587</v>
      </c>
      <c r="E3" t="s">
        <v>621</v>
      </c>
      <c r="F3" t="s">
        <v>129</v>
      </c>
      <c r="G3" t="s">
        <v>588</v>
      </c>
    </row>
    <row r="4" spans="1:7" x14ac:dyDescent="0.35">
      <c r="A4" t="s">
        <v>734</v>
      </c>
      <c r="B4" t="s">
        <v>320</v>
      </c>
      <c r="C4" s="1">
        <f>9530/1000000</f>
        <v>9.5300000000000003E-3</v>
      </c>
      <c r="D4" s="14">
        <f>C4/$C$18</f>
        <v>0.43746428006283178</v>
      </c>
      <c r="E4" t="s">
        <v>310</v>
      </c>
      <c r="F4" t="s">
        <v>613</v>
      </c>
      <c r="G4" s="7" t="s">
        <v>614</v>
      </c>
    </row>
    <row r="5" spans="1:7" x14ac:dyDescent="0.35">
      <c r="A5" t="s">
        <v>735</v>
      </c>
      <c r="B5" t="s">
        <v>736</v>
      </c>
      <c r="C5" s="1">
        <v>2.0492317738049804E-4</v>
      </c>
      <c r="D5" s="14">
        <f t="shared" ref="D5:D17" si="0">C5/$C$18</f>
        <v>9.4067754733418198E-3</v>
      </c>
      <c r="E5" t="s">
        <v>191</v>
      </c>
      <c r="F5" t="s">
        <v>737</v>
      </c>
      <c r="G5" s="7" t="s">
        <v>665</v>
      </c>
    </row>
    <row r="6" spans="1:7" x14ac:dyDescent="0.35">
      <c r="A6" t="s">
        <v>738</v>
      </c>
      <c r="B6" t="s">
        <v>739</v>
      </c>
      <c r="C6" s="1">
        <f>3840/1000000</f>
        <v>3.8400000000000001E-3</v>
      </c>
      <c r="D6" s="14">
        <f t="shared" si="0"/>
        <v>0.17627102155732152</v>
      </c>
      <c r="E6" t="s">
        <v>310</v>
      </c>
      <c r="F6" t="s">
        <v>613</v>
      </c>
      <c r="G6" s="7" t="s">
        <v>614</v>
      </c>
    </row>
    <row r="7" spans="1:7" x14ac:dyDescent="0.35">
      <c r="A7" t="s">
        <v>740</v>
      </c>
      <c r="B7" t="s">
        <v>324</v>
      </c>
      <c r="C7" s="1">
        <f>3140/1000000</f>
        <v>3.14E-3</v>
      </c>
      <c r="D7" s="14">
        <f t="shared" si="0"/>
        <v>0.14413828325260145</v>
      </c>
      <c r="E7" t="s">
        <v>310</v>
      </c>
      <c r="F7" t="s">
        <v>613</v>
      </c>
      <c r="G7" s="7" t="s">
        <v>614</v>
      </c>
    </row>
    <row r="8" spans="1:7" x14ac:dyDescent="0.35">
      <c r="A8" t="s">
        <v>741</v>
      </c>
      <c r="B8" t="s">
        <v>326</v>
      </c>
      <c r="C8" s="1">
        <f>593/1000000</f>
        <v>5.9299999999999999E-4</v>
      </c>
      <c r="D8" s="14">
        <f t="shared" si="0"/>
        <v>2.7221019735284287E-2</v>
      </c>
      <c r="E8" t="s">
        <v>310</v>
      </c>
      <c r="F8" t="s">
        <v>613</v>
      </c>
      <c r="G8" s="7" t="s">
        <v>614</v>
      </c>
    </row>
    <row r="9" spans="1:7" x14ac:dyDescent="0.35">
      <c r="A9" t="s">
        <v>823</v>
      </c>
      <c r="B9" t="s">
        <v>742</v>
      </c>
      <c r="C9" s="1">
        <v>3.8125253399169868E-4</v>
      </c>
      <c r="D9" s="14">
        <f t="shared" si="0"/>
        <v>1.7500982718238065E-2</v>
      </c>
      <c r="E9" t="s">
        <v>191</v>
      </c>
      <c r="F9" t="s">
        <v>737</v>
      </c>
      <c r="G9" s="7" t="s">
        <v>665</v>
      </c>
    </row>
    <row r="10" spans="1:7" x14ac:dyDescent="0.35">
      <c r="A10" t="s">
        <v>743</v>
      </c>
      <c r="B10" t="s">
        <v>744</v>
      </c>
      <c r="C10" s="1">
        <v>1.9250214505343801E-4</v>
      </c>
      <c r="D10" s="14">
        <f t="shared" si="0"/>
        <v>8.8366015001419794E-3</v>
      </c>
      <c r="E10" t="s">
        <v>191</v>
      </c>
      <c r="F10" t="s">
        <v>737</v>
      </c>
      <c r="G10" s="7" t="s">
        <v>665</v>
      </c>
    </row>
    <row r="11" spans="1:7" x14ac:dyDescent="0.35">
      <c r="A11" t="s">
        <v>745</v>
      </c>
      <c r="B11" t="s">
        <v>746</v>
      </c>
      <c r="C11" s="1">
        <v>1.6642562623840645E-4</v>
      </c>
      <c r="D11" s="14">
        <f t="shared" si="0"/>
        <v>7.6395872787398114E-3</v>
      </c>
      <c r="E11" t="s">
        <v>191</v>
      </c>
      <c r="F11" t="s">
        <v>737</v>
      </c>
      <c r="G11" s="7" t="s">
        <v>665</v>
      </c>
    </row>
    <row r="12" spans="1:7" x14ac:dyDescent="0.35">
      <c r="A12" t="s">
        <v>747</v>
      </c>
      <c r="B12" t="s">
        <v>748</v>
      </c>
      <c r="C12" s="1">
        <v>4.845118981501097E-4</v>
      </c>
      <c r="D12" s="14">
        <f t="shared" si="0"/>
        <v>2.2240991469686656E-2</v>
      </c>
      <c r="E12" t="s">
        <v>191</v>
      </c>
      <c r="F12" t="s">
        <v>737</v>
      </c>
      <c r="G12" s="7" t="s">
        <v>665</v>
      </c>
    </row>
    <row r="13" spans="1:7" x14ac:dyDescent="0.35">
      <c r="A13" t="s">
        <v>749</v>
      </c>
      <c r="B13" t="s">
        <v>750</v>
      </c>
      <c r="C13" s="1">
        <v>1.7852842688545736E-4</v>
      </c>
      <c r="D13" s="14">
        <f t="shared" si="0"/>
        <v>8.1951531729482167E-3</v>
      </c>
      <c r="E13" t="s">
        <v>191</v>
      </c>
      <c r="F13" t="s">
        <v>737</v>
      </c>
      <c r="G13" s="7" t="s">
        <v>665</v>
      </c>
    </row>
    <row r="14" spans="1:7" x14ac:dyDescent="0.35">
      <c r="A14" t="s">
        <v>751</v>
      </c>
      <c r="B14" t="s">
        <v>329</v>
      </c>
      <c r="C14" s="1">
        <f>16.3/1000000</f>
        <v>1.63E-5</v>
      </c>
      <c r="D14" s="14">
        <f t="shared" si="0"/>
        <v>7.4823376338133867E-4</v>
      </c>
      <c r="E14" t="s">
        <v>310</v>
      </c>
      <c r="F14" t="s">
        <v>613</v>
      </c>
      <c r="G14" s="7" t="s">
        <v>614</v>
      </c>
    </row>
    <row r="15" spans="1:7" x14ac:dyDescent="0.35">
      <c r="A15" t="s">
        <v>752</v>
      </c>
      <c r="B15" t="s">
        <v>753</v>
      </c>
      <c r="C15" s="1">
        <v>3.6375501719469679E-4</v>
      </c>
      <c r="D15" s="14">
        <f t="shared" si="0"/>
        <v>1.669777824935163E-2</v>
      </c>
      <c r="E15" t="s">
        <v>191</v>
      </c>
      <c r="F15" t="s">
        <v>737</v>
      </c>
      <c r="G15" s="7" t="s">
        <v>665</v>
      </c>
    </row>
    <row r="16" spans="1:7" x14ac:dyDescent="0.35">
      <c r="A16" t="s">
        <v>754</v>
      </c>
      <c r="B16" t="s">
        <v>755</v>
      </c>
      <c r="C16" s="1">
        <v>3.6343693698145582E-4</v>
      </c>
      <c r="D16" s="14">
        <f t="shared" si="0"/>
        <v>1.6683177123277371E-2</v>
      </c>
      <c r="E16" t="s">
        <v>191</v>
      </c>
      <c r="F16" t="s">
        <v>737</v>
      </c>
      <c r="G16" s="7" t="s">
        <v>665</v>
      </c>
    </row>
    <row r="17" spans="1:7" x14ac:dyDescent="0.35">
      <c r="A17" t="s">
        <v>756</v>
      </c>
      <c r="B17" t="s">
        <v>325</v>
      </c>
      <c r="C17" s="1">
        <f>2330/1000000</f>
        <v>2.33E-3</v>
      </c>
      <c r="D17" s="14">
        <f t="shared" si="0"/>
        <v>0.10695611464285394</v>
      </c>
      <c r="E17" t="s">
        <v>310</v>
      </c>
      <c r="F17" t="s">
        <v>613</v>
      </c>
      <c r="G17" s="7" t="s">
        <v>614</v>
      </c>
    </row>
    <row r="18" spans="1:7" x14ac:dyDescent="0.35">
      <c r="C18" s="1">
        <f>SUM(C4:C17)</f>
        <v>2.1784635761875764E-2</v>
      </c>
    </row>
  </sheetData>
  <hyperlinks>
    <hyperlink ref="G4" r:id="rId1" xr:uid="{00000000-0004-0000-0B00-000000000000}"/>
    <hyperlink ref="G6" r:id="rId2" xr:uid="{00000000-0004-0000-0B00-000001000000}"/>
    <hyperlink ref="G7" r:id="rId3" xr:uid="{00000000-0004-0000-0B00-000002000000}"/>
    <hyperlink ref="G8" r:id="rId4" xr:uid="{00000000-0004-0000-0B00-000003000000}"/>
    <hyperlink ref="G14" r:id="rId5" xr:uid="{00000000-0004-0000-0B00-000004000000}"/>
    <hyperlink ref="G17" r:id="rId6" xr:uid="{00000000-0004-0000-0B00-000005000000}"/>
    <hyperlink ref="G5" r:id="rId7" xr:uid="{00000000-0004-0000-0B00-000006000000}"/>
    <hyperlink ref="G9" r:id="rId8" xr:uid="{00000000-0004-0000-0B00-000007000000}"/>
    <hyperlink ref="G10" r:id="rId9" xr:uid="{00000000-0004-0000-0B00-000008000000}"/>
    <hyperlink ref="G11" r:id="rId10" xr:uid="{00000000-0004-0000-0B00-000009000000}"/>
    <hyperlink ref="G12" r:id="rId11" xr:uid="{00000000-0004-0000-0B00-00000A000000}"/>
    <hyperlink ref="G13" r:id="rId12" xr:uid="{00000000-0004-0000-0B00-00000B000000}"/>
    <hyperlink ref="G15" r:id="rId13" xr:uid="{00000000-0004-0000-0B00-00000C000000}"/>
    <hyperlink ref="G16" r:id="rId14" xr:uid="{00000000-0004-0000-0B00-00000D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33"/>
  <sheetViews>
    <sheetView topLeftCell="A10" workbookViewId="0">
      <selection activeCell="C40" sqref="C40"/>
    </sheetView>
  </sheetViews>
  <sheetFormatPr defaultRowHeight="14.5" x14ac:dyDescent="0.35"/>
  <cols>
    <col min="20" max="20" width="58.1796875" customWidth="1"/>
    <col min="21" max="21" width="17.81640625" customWidth="1"/>
  </cols>
  <sheetData>
    <row r="1" spans="1:22" ht="21" x14ac:dyDescent="0.5">
      <c r="A1" s="21" t="s">
        <v>369</v>
      </c>
      <c r="T1" t="s">
        <v>129</v>
      </c>
      <c r="U1" t="s">
        <v>97</v>
      </c>
      <c r="V1" t="s">
        <v>187</v>
      </c>
    </row>
    <row r="2" spans="1:22" x14ac:dyDescent="0.35">
      <c r="T2" t="s">
        <v>346</v>
      </c>
      <c r="U2" t="s">
        <v>347</v>
      </c>
      <c r="V2">
        <v>1993</v>
      </c>
    </row>
    <row r="3" spans="1:22" x14ac:dyDescent="0.35">
      <c r="A3" t="s">
        <v>344</v>
      </c>
      <c r="T3" t="s">
        <v>349</v>
      </c>
      <c r="U3" t="s">
        <v>350</v>
      </c>
      <c r="V3">
        <v>2005</v>
      </c>
    </row>
    <row r="4" spans="1:22" x14ac:dyDescent="0.35">
      <c r="A4" t="s">
        <v>345</v>
      </c>
      <c r="T4" t="s">
        <v>351</v>
      </c>
      <c r="U4" t="s">
        <v>352</v>
      </c>
      <c r="V4">
        <v>2002</v>
      </c>
    </row>
    <row r="5" spans="1:22" x14ac:dyDescent="0.35">
      <c r="T5" t="s">
        <v>377</v>
      </c>
      <c r="U5" t="s">
        <v>378</v>
      </c>
      <c r="V5">
        <v>2012</v>
      </c>
    </row>
    <row r="6" spans="1:22" x14ac:dyDescent="0.35">
      <c r="A6" s="6" t="s">
        <v>348</v>
      </c>
      <c r="T6" t="s">
        <v>379</v>
      </c>
      <c r="U6" t="s">
        <v>380</v>
      </c>
      <c r="V6">
        <v>2012</v>
      </c>
    </row>
    <row r="7" spans="1:22" x14ac:dyDescent="0.35">
      <c r="F7" t="s">
        <v>358</v>
      </c>
    </row>
    <row r="8" spans="1:22" x14ac:dyDescent="0.35">
      <c r="A8" t="s">
        <v>353</v>
      </c>
      <c r="F8">
        <f>18.61/1.67</f>
        <v>11.1437125748503</v>
      </c>
      <c r="G8" t="s">
        <v>355</v>
      </c>
      <c r="J8" t="s">
        <v>129</v>
      </c>
    </row>
    <row r="9" spans="1:22" x14ac:dyDescent="0.35">
      <c r="A9" t="s">
        <v>360</v>
      </c>
      <c r="F9">
        <f>F8</f>
        <v>11.1437125748503</v>
      </c>
      <c r="G9" t="s">
        <v>354</v>
      </c>
      <c r="J9" t="s">
        <v>350</v>
      </c>
    </row>
    <row r="10" spans="1:22" x14ac:dyDescent="0.35">
      <c r="A10" t="s">
        <v>356</v>
      </c>
      <c r="F10">
        <f>1/0.467</f>
        <v>2.1413276231263381</v>
      </c>
      <c r="G10" t="s">
        <v>354</v>
      </c>
      <c r="J10" t="s">
        <v>347</v>
      </c>
    </row>
    <row r="11" spans="1:22" x14ac:dyDescent="0.35">
      <c r="F11">
        <f>F9/F10</f>
        <v>5.2041137724550905</v>
      </c>
      <c r="G11" t="s">
        <v>357</v>
      </c>
    </row>
    <row r="13" spans="1:22" x14ac:dyDescent="0.35">
      <c r="Q13" t="s">
        <v>129</v>
      </c>
    </row>
    <row r="14" spans="1:22" x14ac:dyDescent="0.35">
      <c r="A14" t="s">
        <v>361</v>
      </c>
      <c r="F14">
        <v>1.8580000000000001</v>
      </c>
      <c r="G14" t="s">
        <v>362</v>
      </c>
      <c r="K14" t="s">
        <v>359</v>
      </c>
      <c r="Q14" t="s">
        <v>352</v>
      </c>
    </row>
    <row r="15" spans="1:22" x14ac:dyDescent="0.35">
      <c r="F15">
        <v>3.1760000000000002</v>
      </c>
      <c r="G15" t="s">
        <v>362</v>
      </c>
      <c r="K15" t="s">
        <v>363</v>
      </c>
      <c r="Q15" t="s">
        <v>352</v>
      </c>
    </row>
    <row r="16" spans="1:22" x14ac:dyDescent="0.35">
      <c r="F16">
        <v>6.3419999999999996</v>
      </c>
      <c r="G16" t="s">
        <v>362</v>
      </c>
      <c r="K16" t="s">
        <v>368</v>
      </c>
      <c r="Q16" t="s">
        <v>352</v>
      </c>
    </row>
    <row r="18" spans="1:17" x14ac:dyDescent="0.35">
      <c r="A18" t="s">
        <v>364</v>
      </c>
      <c r="F18" s="3">
        <f>F14*$F$9</f>
        <v>20.705017964071857</v>
      </c>
      <c r="G18" t="s">
        <v>365</v>
      </c>
      <c r="J18" t="s">
        <v>366</v>
      </c>
    </row>
    <row r="19" spans="1:17" x14ac:dyDescent="0.35">
      <c r="F19" s="3">
        <f>F15*$F$9</f>
        <v>35.39243113772455</v>
      </c>
      <c r="G19" t="s">
        <v>365</v>
      </c>
      <c r="J19" t="s">
        <v>367</v>
      </c>
    </row>
    <row r="20" spans="1:17" x14ac:dyDescent="0.35">
      <c r="F20" s="3"/>
    </row>
    <row r="22" spans="1:17" x14ac:dyDescent="0.35">
      <c r="A22" s="6" t="s">
        <v>370</v>
      </c>
    </row>
    <row r="23" spans="1:17" x14ac:dyDescent="0.35">
      <c r="Q23" t="s">
        <v>129</v>
      </c>
    </row>
    <row r="24" spans="1:17" x14ac:dyDescent="0.35">
      <c r="A24" t="s">
        <v>371</v>
      </c>
      <c r="F24">
        <v>1.67</v>
      </c>
      <c r="G24" t="s">
        <v>362</v>
      </c>
      <c r="K24" t="s">
        <v>372</v>
      </c>
      <c r="Q24" t="s">
        <v>350</v>
      </c>
    </row>
    <row r="26" spans="1:17" x14ac:dyDescent="0.35">
      <c r="A26" t="s">
        <v>373</v>
      </c>
      <c r="F26">
        <f>F24*F9</f>
        <v>18.61</v>
      </c>
      <c r="G26" t="s">
        <v>365</v>
      </c>
    </row>
    <row r="29" spans="1:17" x14ac:dyDescent="0.35">
      <c r="A29" s="118" t="s">
        <v>375</v>
      </c>
    </row>
    <row r="31" spans="1:17" x14ac:dyDescent="0.35">
      <c r="A31" t="s">
        <v>374</v>
      </c>
      <c r="M31" s="3">
        <f>F19</f>
        <v>35.39243113772455</v>
      </c>
      <c r="N31" t="s">
        <v>365</v>
      </c>
    </row>
    <row r="32" spans="1:17" x14ac:dyDescent="0.35">
      <c r="A32" t="s">
        <v>376</v>
      </c>
      <c r="M32">
        <f>F26</f>
        <v>18.61</v>
      </c>
      <c r="N32" t="s">
        <v>365</v>
      </c>
    </row>
    <row r="33" spans="13:17" x14ac:dyDescent="0.35">
      <c r="M33" s="3">
        <f>SUM(M31:M32)</f>
        <v>54.00243113772455</v>
      </c>
      <c r="N33" t="s">
        <v>365</v>
      </c>
      <c r="Q33" t="s">
        <v>381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2"/>
  <sheetViews>
    <sheetView tabSelected="1" zoomScale="70" zoomScaleNormal="70" workbookViewId="0">
      <selection activeCell="R93" sqref="R93:R96"/>
    </sheetView>
  </sheetViews>
  <sheetFormatPr defaultRowHeight="14.5" x14ac:dyDescent="0.35"/>
  <cols>
    <col min="1" max="1" width="20.81640625" customWidth="1"/>
    <col min="2" max="2" width="16.7265625" customWidth="1"/>
    <col min="3" max="3" width="22" customWidth="1"/>
    <col min="4" max="6" width="18.54296875" customWidth="1"/>
    <col min="7" max="7" width="19" customWidth="1"/>
    <col min="8" max="8" width="29.54296875" customWidth="1"/>
    <col min="9" max="10" width="8.453125" style="206" customWidth="1"/>
    <col min="11" max="11" width="6" style="206" customWidth="1"/>
    <col min="12" max="12" width="6.1796875" style="206" customWidth="1"/>
    <col min="13" max="13" width="4.453125" style="206" customWidth="1"/>
    <col min="14" max="14" width="5.453125" style="206" customWidth="1"/>
    <col min="15" max="15" width="15" customWidth="1"/>
    <col min="16" max="16" width="15.1796875" customWidth="1"/>
    <col min="17" max="17" width="13.7265625" customWidth="1"/>
    <col min="18" max="18" width="17" customWidth="1"/>
    <col min="19" max="19" width="12" customWidth="1"/>
  </cols>
  <sheetData>
    <row r="1" spans="1:20" ht="23.5" x14ac:dyDescent="0.55000000000000004">
      <c r="A1" s="143" t="s">
        <v>471</v>
      </c>
      <c r="B1" s="144"/>
      <c r="C1" s="144"/>
      <c r="D1" s="144"/>
      <c r="E1" s="144"/>
      <c r="F1" s="144"/>
      <c r="G1" s="144"/>
      <c r="H1" s="144"/>
      <c r="I1" s="205"/>
      <c r="J1" s="205"/>
      <c r="K1" s="205"/>
      <c r="L1" s="205"/>
      <c r="M1" s="205"/>
      <c r="N1" s="205"/>
      <c r="O1" s="144"/>
      <c r="P1" s="144"/>
      <c r="Q1" s="144"/>
      <c r="R1" s="144"/>
      <c r="S1" s="144"/>
      <c r="T1" s="144"/>
    </row>
    <row r="2" spans="1:20" ht="21" x14ac:dyDescent="0.5">
      <c r="A2" s="21"/>
    </row>
    <row r="3" spans="1:20" ht="21" x14ac:dyDescent="0.5">
      <c r="A3" s="295" t="s">
        <v>382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7"/>
    </row>
    <row r="4" spans="1:20" ht="36" customHeight="1" x14ac:dyDescent="0.35">
      <c r="A4" s="27" t="s">
        <v>18</v>
      </c>
      <c r="B4" s="28" t="s">
        <v>19</v>
      </c>
      <c r="C4" s="28" t="s">
        <v>303</v>
      </c>
      <c r="D4" s="28" t="s">
        <v>31</v>
      </c>
      <c r="E4" s="28" t="s">
        <v>82</v>
      </c>
      <c r="F4" s="28" t="s">
        <v>30</v>
      </c>
      <c r="G4" s="28" t="s">
        <v>20</v>
      </c>
      <c r="H4" s="28" t="s">
        <v>786</v>
      </c>
      <c r="I4" s="207" t="s">
        <v>22</v>
      </c>
      <c r="J4" s="207" t="s">
        <v>23</v>
      </c>
      <c r="K4" s="207" t="s">
        <v>24</v>
      </c>
      <c r="L4" s="207" t="s">
        <v>25</v>
      </c>
      <c r="M4" s="207" t="s">
        <v>26</v>
      </c>
      <c r="N4" s="207" t="s">
        <v>6</v>
      </c>
      <c r="O4" s="28" t="s">
        <v>27</v>
      </c>
      <c r="P4" s="28" t="s">
        <v>28</v>
      </c>
      <c r="Q4" s="28" t="s">
        <v>29</v>
      </c>
      <c r="R4" s="29" t="s">
        <v>32</v>
      </c>
      <c r="S4" s="29" t="s">
        <v>37</v>
      </c>
    </row>
    <row r="5" spans="1:20" x14ac:dyDescent="0.35">
      <c r="A5" s="47" t="s">
        <v>17</v>
      </c>
      <c r="B5" s="30">
        <f>'General composition'!B55*'Protein composition'!J31</f>
        <v>0.44103817412634533</v>
      </c>
      <c r="C5" s="31" t="s">
        <v>50</v>
      </c>
      <c r="D5" s="30">
        <v>8.6980299962872779E-2</v>
      </c>
      <c r="E5" s="30">
        <f>D5*Q5</f>
        <v>6.1824727410610345</v>
      </c>
      <c r="F5" s="30">
        <f>E5/$B$6</f>
        <v>5.5366807456956019E-2</v>
      </c>
      <c r="G5" s="32" t="s">
        <v>42</v>
      </c>
      <c r="H5" s="32" t="s">
        <v>43</v>
      </c>
      <c r="I5" s="208">
        <v>3</v>
      </c>
      <c r="J5" s="208">
        <v>7</v>
      </c>
      <c r="K5" s="208">
        <v>1</v>
      </c>
      <c r="L5" s="208">
        <v>2</v>
      </c>
      <c r="M5" s="208">
        <v>0</v>
      </c>
      <c r="N5" s="208">
        <v>0</v>
      </c>
      <c r="O5" s="33">
        <f t="shared" ref="O5:O25" si="0">(I5*12.011)+(J5*1.008)+(L5*15.999)+(14.007*K5)+(M5*30.974)+(N5*32.066)</f>
        <v>89.094000000000008</v>
      </c>
      <c r="P5" s="32">
        <f>18.015</f>
        <v>18.015000000000001</v>
      </c>
      <c r="Q5" s="33">
        <f>O5-P5</f>
        <v>71.079000000000008</v>
      </c>
      <c r="R5" s="152">
        <f>B$5*F5*1000/Q5</f>
        <v>0.34354557137861819</v>
      </c>
      <c r="S5" s="34">
        <f>R5*Q5/1000</f>
        <v>2.4418875668020801E-2</v>
      </c>
    </row>
    <row r="6" spans="1:20" x14ac:dyDescent="0.35">
      <c r="A6" s="35"/>
      <c r="B6" s="36">
        <f>SUM(E5:E24)</f>
        <v>111.6638835617801</v>
      </c>
      <c r="C6" s="37" t="s">
        <v>51</v>
      </c>
      <c r="D6" s="36">
        <v>6.369739103716815E-2</v>
      </c>
      <c r="E6" s="36">
        <f t="shared" ref="E6:E24" si="1">D6*Q6</f>
        <v>10.013038778869722</v>
      </c>
      <c r="F6" s="36">
        <f t="shared" ref="F6:F24" si="2">E6/$B$6</f>
        <v>8.9671238895518299E-2</v>
      </c>
      <c r="G6" s="38" t="s">
        <v>42</v>
      </c>
      <c r="H6" s="38" t="s">
        <v>44</v>
      </c>
      <c r="I6" s="209">
        <v>6</v>
      </c>
      <c r="J6" s="209">
        <v>15</v>
      </c>
      <c r="K6" s="209">
        <v>4</v>
      </c>
      <c r="L6" s="209">
        <v>2</v>
      </c>
      <c r="M6" s="209">
        <v>0</v>
      </c>
      <c r="N6" s="209">
        <v>0</v>
      </c>
      <c r="O6" s="39">
        <f t="shared" si="0"/>
        <v>175.21200000000002</v>
      </c>
      <c r="P6" s="38">
        <f t="shared" ref="P6:P24" si="3">18.015</f>
        <v>18.015000000000001</v>
      </c>
      <c r="Q6" s="39">
        <f t="shared" ref="Q6:Q24" si="4">O6-P6</f>
        <v>157.197</v>
      </c>
      <c r="R6" s="153">
        <f t="shared" ref="R6:R24" si="5">B$5*F6*1000/Q6</f>
        <v>0.25158520502380266</v>
      </c>
      <c r="S6" s="40">
        <f t="shared" ref="S6:S74" si="6">R6*Q6/1000</f>
        <v>3.9548439474126708E-2</v>
      </c>
    </row>
    <row r="7" spans="1:20" x14ac:dyDescent="0.35">
      <c r="A7" s="35"/>
      <c r="B7" s="41" t="s">
        <v>83</v>
      </c>
      <c r="C7" s="37" t="s">
        <v>52</v>
      </c>
      <c r="D7" s="36">
        <v>4.0954269285490952E-2</v>
      </c>
      <c r="E7" s="36">
        <f t="shared" si="1"/>
        <v>4.6730459425516599</v>
      </c>
      <c r="F7" s="36">
        <f t="shared" si="2"/>
        <v>4.1849215641566073E-2</v>
      </c>
      <c r="G7" s="38" t="s">
        <v>42</v>
      </c>
      <c r="H7" s="38" t="s">
        <v>45</v>
      </c>
      <c r="I7" s="209">
        <v>4</v>
      </c>
      <c r="J7" s="209">
        <v>8</v>
      </c>
      <c r="K7" s="209">
        <v>2</v>
      </c>
      <c r="L7" s="209">
        <v>3</v>
      </c>
      <c r="M7" s="209">
        <v>0</v>
      </c>
      <c r="N7" s="209">
        <v>0</v>
      </c>
      <c r="O7" s="39">
        <f t="shared" si="0"/>
        <v>132.119</v>
      </c>
      <c r="P7" s="38">
        <f t="shared" si="3"/>
        <v>18.015000000000001</v>
      </c>
      <c r="Q7" s="39">
        <f t="shared" si="4"/>
        <v>114.104</v>
      </c>
      <c r="R7" s="153">
        <f t="shared" si="5"/>
        <v>0.1617568328470167</v>
      </c>
      <c r="S7" s="40">
        <f t="shared" si="6"/>
        <v>1.8457101655175993E-2</v>
      </c>
    </row>
    <row r="8" spans="1:20" x14ac:dyDescent="0.35">
      <c r="A8" s="35"/>
      <c r="B8" s="38"/>
      <c r="C8" s="37" t="s">
        <v>53</v>
      </c>
      <c r="D8" s="36">
        <v>4.676796704588021E-2</v>
      </c>
      <c r="E8" s="36">
        <f t="shared" si="1"/>
        <v>5.3352896805940144</v>
      </c>
      <c r="F8" s="36">
        <f t="shared" si="2"/>
        <v>4.7779904391755883E-2</v>
      </c>
      <c r="G8" s="38" t="s">
        <v>42</v>
      </c>
      <c r="H8" s="38" t="s">
        <v>46</v>
      </c>
      <c r="I8" s="209">
        <v>4</v>
      </c>
      <c r="J8" s="209">
        <v>6</v>
      </c>
      <c r="K8" s="209">
        <v>1</v>
      </c>
      <c r="L8" s="209">
        <v>4</v>
      </c>
      <c r="M8" s="209">
        <v>0</v>
      </c>
      <c r="N8" s="209">
        <v>0</v>
      </c>
      <c r="O8" s="39">
        <f t="shared" si="0"/>
        <v>132.095</v>
      </c>
      <c r="P8" s="38">
        <f t="shared" si="3"/>
        <v>18.015000000000001</v>
      </c>
      <c r="Q8" s="39">
        <f t="shared" si="4"/>
        <v>114.08</v>
      </c>
      <c r="R8" s="153">
        <f t="shared" si="5"/>
        <v>0.18471916017594112</v>
      </c>
      <c r="S8" s="40">
        <f t="shared" si="6"/>
        <v>2.1072761792871361E-2</v>
      </c>
    </row>
    <row r="9" spans="1:20" x14ac:dyDescent="0.35">
      <c r="A9" s="35"/>
      <c r="B9" s="38"/>
      <c r="C9" s="37" t="s">
        <v>54</v>
      </c>
      <c r="D9" s="36">
        <v>8.9090341170164518E-3</v>
      </c>
      <c r="E9" s="36">
        <f t="shared" si="1"/>
        <v>0.91892232399966201</v>
      </c>
      <c r="F9" s="36">
        <f t="shared" si="2"/>
        <v>8.2293602433346439E-3</v>
      </c>
      <c r="G9" s="38" t="s">
        <v>42</v>
      </c>
      <c r="H9" s="38" t="s">
        <v>47</v>
      </c>
      <c r="I9" s="209">
        <v>3</v>
      </c>
      <c r="J9" s="209">
        <v>7</v>
      </c>
      <c r="K9" s="209">
        <v>1</v>
      </c>
      <c r="L9" s="209">
        <v>2</v>
      </c>
      <c r="M9" s="209">
        <v>0</v>
      </c>
      <c r="N9" s="209">
        <v>1</v>
      </c>
      <c r="O9" s="39">
        <f t="shared" si="0"/>
        <v>121.16000000000001</v>
      </c>
      <c r="P9" s="38">
        <f t="shared" si="3"/>
        <v>18.015000000000001</v>
      </c>
      <c r="Q9" s="39">
        <f t="shared" si="4"/>
        <v>103.14500000000001</v>
      </c>
      <c r="R9" s="153">
        <f t="shared" si="5"/>
        <v>3.5187958853538689E-2</v>
      </c>
      <c r="S9" s="40">
        <f t="shared" si="6"/>
        <v>3.6294620159482488E-3</v>
      </c>
    </row>
    <row r="10" spans="1:20" x14ac:dyDescent="0.35">
      <c r="A10" s="35"/>
      <c r="B10" s="38"/>
      <c r="C10" s="37" t="s">
        <v>55</v>
      </c>
      <c r="D10" s="36">
        <v>7.1521309802923788E-2</v>
      </c>
      <c r="E10" s="36">
        <f t="shared" si="1"/>
        <v>9.1623804349231595</v>
      </c>
      <c r="F10" s="36">
        <f t="shared" si="2"/>
        <v>8.2053213113028656E-2</v>
      </c>
      <c r="G10" s="38" t="s">
        <v>42</v>
      </c>
      <c r="H10" s="38" t="s">
        <v>48</v>
      </c>
      <c r="I10" s="209">
        <v>5</v>
      </c>
      <c r="J10" s="209">
        <v>8</v>
      </c>
      <c r="K10" s="209">
        <v>1</v>
      </c>
      <c r="L10" s="209">
        <v>4</v>
      </c>
      <c r="M10" s="209">
        <v>0</v>
      </c>
      <c r="N10" s="209">
        <v>0</v>
      </c>
      <c r="O10" s="39">
        <f t="shared" si="0"/>
        <v>146.12200000000001</v>
      </c>
      <c r="P10" s="38">
        <f t="shared" si="3"/>
        <v>18.015000000000001</v>
      </c>
      <c r="Q10" s="39">
        <f t="shared" si="4"/>
        <v>128.10700000000003</v>
      </c>
      <c r="R10" s="153">
        <f t="shared" si="5"/>
        <v>0.28248729025400676</v>
      </c>
      <c r="S10" s="40">
        <f t="shared" si="6"/>
        <v>3.6188599292570053E-2</v>
      </c>
    </row>
    <row r="11" spans="1:20" x14ac:dyDescent="0.35">
      <c r="A11" s="35"/>
      <c r="B11" s="38"/>
      <c r="C11" s="37" t="s">
        <v>56</v>
      </c>
      <c r="D11" s="36">
        <v>5.2203440665119012E-2</v>
      </c>
      <c r="E11" s="36">
        <f t="shared" si="1"/>
        <v>6.6888790558623628</v>
      </c>
      <c r="F11" s="36">
        <f t="shared" si="2"/>
        <v>5.990190241020605E-2</v>
      </c>
      <c r="G11" s="38" t="s">
        <v>42</v>
      </c>
      <c r="H11" s="38" t="s">
        <v>49</v>
      </c>
      <c r="I11" s="209">
        <v>5</v>
      </c>
      <c r="J11" s="209">
        <v>10</v>
      </c>
      <c r="K11" s="209">
        <v>2</v>
      </c>
      <c r="L11" s="209">
        <v>3</v>
      </c>
      <c r="M11" s="209">
        <v>0</v>
      </c>
      <c r="N11" s="209">
        <v>0</v>
      </c>
      <c r="O11" s="39">
        <f t="shared" si="0"/>
        <v>146.14599999999999</v>
      </c>
      <c r="P11" s="38">
        <f t="shared" si="3"/>
        <v>18.015000000000001</v>
      </c>
      <c r="Q11" s="39">
        <f t="shared" si="4"/>
        <v>128.13099999999997</v>
      </c>
      <c r="R11" s="153">
        <f t="shared" si="5"/>
        <v>0.20618761787305026</v>
      </c>
      <c r="S11" s="40">
        <f t="shared" si="6"/>
        <v>2.6419025665691799E-2</v>
      </c>
    </row>
    <row r="12" spans="1:20" x14ac:dyDescent="0.35">
      <c r="A12" s="35"/>
      <c r="B12" s="38"/>
      <c r="C12" s="37" t="s">
        <v>57</v>
      </c>
      <c r="D12" s="36">
        <v>6.8129501974159346E-2</v>
      </c>
      <c r="E12" s="36">
        <f t="shared" si="1"/>
        <v>3.8869243466297396</v>
      </c>
      <c r="F12" s="36">
        <f t="shared" si="2"/>
        <v>3.4809145290735186E-2</v>
      </c>
      <c r="G12" s="38" t="s">
        <v>42</v>
      </c>
      <c r="H12" s="38" t="s">
        <v>70</v>
      </c>
      <c r="I12" s="209">
        <v>2</v>
      </c>
      <c r="J12" s="209">
        <v>5</v>
      </c>
      <c r="K12" s="209">
        <v>1</v>
      </c>
      <c r="L12" s="209">
        <v>2</v>
      </c>
      <c r="M12" s="209">
        <v>0</v>
      </c>
      <c r="N12" s="209">
        <v>0</v>
      </c>
      <c r="O12" s="39">
        <f t="shared" si="0"/>
        <v>75.067000000000007</v>
      </c>
      <c r="P12" s="38">
        <f t="shared" si="3"/>
        <v>18.015000000000001</v>
      </c>
      <c r="Q12" s="39">
        <f t="shared" si="4"/>
        <v>57.052000000000007</v>
      </c>
      <c r="R12" s="153">
        <f t="shared" si="5"/>
        <v>0.26909068712620976</v>
      </c>
      <c r="S12" s="40">
        <f t="shared" si="6"/>
        <v>1.5352161881924521E-2</v>
      </c>
    </row>
    <row r="13" spans="1:20" x14ac:dyDescent="0.35">
      <c r="A13" s="35"/>
      <c r="B13" s="38"/>
      <c r="C13" s="37" t="s">
        <v>58</v>
      </c>
      <c r="D13" s="36">
        <v>1.6688393621247424E-2</v>
      </c>
      <c r="E13" s="36">
        <f t="shared" si="1"/>
        <v>2.2886796780051144</v>
      </c>
      <c r="F13" s="36">
        <f t="shared" si="2"/>
        <v>2.0496149739757712E-2</v>
      </c>
      <c r="G13" s="38" t="s">
        <v>42</v>
      </c>
      <c r="H13" s="38" t="s">
        <v>71</v>
      </c>
      <c r="I13" s="209">
        <v>6</v>
      </c>
      <c r="J13" s="209">
        <v>9</v>
      </c>
      <c r="K13" s="209">
        <v>3</v>
      </c>
      <c r="L13" s="209">
        <v>2</v>
      </c>
      <c r="M13" s="209">
        <v>0</v>
      </c>
      <c r="N13" s="209">
        <v>0</v>
      </c>
      <c r="O13" s="39">
        <f t="shared" si="0"/>
        <v>155.15700000000001</v>
      </c>
      <c r="P13" s="38">
        <f t="shared" si="3"/>
        <v>18.015000000000001</v>
      </c>
      <c r="Q13" s="39">
        <f t="shared" si="4"/>
        <v>137.142</v>
      </c>
      <c r="R13" s="153">
        <f t="shared" si="5"/>
        <v>6.5914048634575187E-2</v>
      </c>
      <c r="S13" s="40">
        <f t="shared" si="6"/>
        <v>9.0395844578429092E-3</v>
      </c>
    </row>
    <row r="14" spans="1:20" x14ac:dyDescent="0.35">
      <c r="A14" s="35"/>
      <c r="B14" s="38"/>
      <c r="C14" s="37" t="s">
        <v>59</v>
      </c>
      <c r="D14" s="36">
        <v>6.1361435845293105E-2</v>
      </c>
      <c r="E14" s="36">
        <f t="shared" si="1"/>
        <v>6.9436600802533688</v>
      </c>
      <c r="F14" s="36">
        <f t="shared" si="2"/>
        <v>6.2183580391162563E-2</v>
      </c>
      <c r="G14" s="38" t="s">
        <v>42</v>
      </c>
      <c r="H14" s="38" t="s">
        <v>72</v>
      </c>
      <c r="I14" s="209">
        <v>6</v>
      </c>
      <c r="J14" s="209">
        <v>13</v>
      </c>
      <c r="K14" s="209">
        <v>1</v>
      </c>
      <c r="L14" s="209">
        <v>2</v>
      </c>
      <c r="M14" s="209">
        <v>0</v>
      </c>
      <c r="N14" s="209">
        <v>0</v>
      </c>
      <c r="O14" s="39">
        <f t="shared" si="0"/>
        <v>131.17500000000001</v>
      </c>
      <c r="P14" s="38">
        <f t="shared" si="3"/>
        <v>18.015000000000001</v>
      </c>
      <c r="Q14" s="39">
        <f t="shared" si="4"/>
        <v>113.16000000000001</v>
      </c>
      <c r="R14" s="153">
        <f t="shared" si="5"/>
        <v>0.24235889675112357</v>
      </c>
      <c r="S14" s="40">
        <f t="shared" si="6"/>
        <v>2.7425332756357147E-2</v>
      </c>
    </row>
    <row r="15" spans="1:20" x14ac:dyDescent="0.35">
      <c r="A15" s="35"/>
      <c r="B15" s="38"/>
      <c r="C15" s="37" t="s">
        <v>60</v>
      </c>
      <c r="D15" s="36">
        <v>9.6865123880498366E-2</v>
      </c>
      <c r="E15" s="36">
        <f t="shared" si="1"/>
        <v>10.961257418317196</v>
      </c>
      <c r="F15" s="36">
        <f t="shared" si="2"/>
        <v>9.8162960741488794E-2</v>
      </c>
      <c r="G15" s="38" t="s">
        <v>42</v>
      </c>
      <c r="H15" s="38" t="s">
        <v>72</v>
      </c>
      <c r="I15" s="209">
        <v>6</v>
      </c>
      <c r="J15" s="209">
        <v>13</v>
      </c>
      <c r="K15" s="209">
        <v>1</v>
      </c>
      <c r="L15" s="209">
        <v>2</v>
      </c>
      <c r="M15" s="209">
        <v>0</v>
      </c>
      <c r="N15" s="209">
        <v>0</v>
      </c>
      <c r="O15" s="39">
        <f t="shared" si="0"/>
        <v>131.17500000000001</v>
      </c>
      <c r="P15" s="38">
        <f t="shared" si="3"/>
        <v>18.015000000000001</v>
      </c>
      <c r="Q15" s="39">
        <f t="shared" si="4"/>
        <v>113.16000000000001</v>
      </c>
      <c r="R15" s="153">
        <f t="shared" si="5"/>
        <v>0.38258760138089726</v>
      </c>
      <c r="S15" s="40">
        <f t="shared" si="6"/>
        <v>4.3293612972262335E-2</v>
      </c>
    </row>
    <row r="16" spans="1:20" x14ac:dyDescent="0.35">
      <c r="A16" s="35"/>
      <c r="B16" s="38"/>
      <c r="C16" s="37" t="s">
        <v>61</v>
      </c>
      <c r="D16" s="36">
        <v>5.3570618512234984E-2</v>
      </c>
      <c r="E16" s="36">
        <f t="shared" si="1"/>
        <v>6.9204132112660517</v>
      </c>
      <c r="F16" s="36">
        <f t="shared" si="2"/>
        <v>6.1975394286167794E-2</v>
      </c>
      <c r="G16" s="38" t="s">
        <v>42</v>
      </c>
      <c r="H16" s="38" t="s">
        <v>73</v>
      </c>
      <c r="I16" s="209">
        <v>6</v>
      </c>
      <c r="J16" s="209">
        <v>15</v>
      </c>
      <c r="K16" s="209">
        <v>2</v>
      </c>
      <c r="L16" s="209">
        <v>2</v>
      </c>
      <c r="M16" s="209">
        <v>0</v>
      </c>
      <c r="N16" s="209">
        <v>0</v>
      </c>
      <c r="O16" s="39">
        <f t="shared" si="0"/>
        <v>147.19800000000001</v>
      </c>
      <c r="P16" s="38">
        <f t="shared" si="3"/>
        <v>18.015000000000001</v>
      </c>
      <c r="Q16" s="39">
        <f t="shared" si="4"/>
        <v>129.18299999999999</v>
      </c>
      <c r="R16" s="153">
        <f t="shared" si="5"/>
        <v>0.21158755205198657</v>
      </c>
      <c r="S16" s="40">
        <f t="shared" si="6"/>
        <v>2.7333514736731779E-2</v>
      </c>
    </row>
    <row r="17" spans="1:19" x14ac:dyDescent="0.35">
      <c r="A17" s="35"/>
      <c r="B17" s="38"/>
      <c r="C17" s="37" t="s">
        <v>62</v>
      </c>
      <c r="D17" s="36">
        <v>2.4837262171542234E-2</v>
      </c>
      <c r="E17" s="36">
        <f t="shared" si="1"/>
        <v>3.25862395964417</v>
      </c>
      <c r="F17" s="36">
        <f t="shared" si="2"/>
        <v>2.918243442465689E-2</v>
      </c>
      <c r="G17" s="38" t="s">
        <v>42</v>
      </c>
      <c r="H17" s="38" t="s">
        <v>74</v>
      </c>
      <c r="I17" s="209">
        <v>5</v>
      </c>
      <c r="J17" s="209">
        <v>11</v>
      </c>
      <c r="K17" s="209">
        <v>1</v>
      </c>
      <c r="L17" s="209">
        <v>2</v>
      </c>
      <c r="M17" s="209">
        <v>0</v>
      </c>
      <c r="N17" s="209">
        <v>1</v>
      </c>
      <c r="O17" s="39">
        <f t="shared" si="0"/>
        <v>149.214</v>
      </c>
      <c r="P17" s="38">
        <f t="shared" si="3"/>
        <v>18.015000000000001</v>
      </c>
      <c r="Q17" s="39">
        <f t="shared" si="4"/>
        <v>131.19900000000001</v>
      </c>
      <c r="R17" s="153">
        <f t="shared" si="5"/>
        <v>9.8099586088403717E-2</v>
      </c>
      <c r="S17" s="40">
        <f t="shared" si="6"/>
        <v>1.2870567595212481E-2</v>
      </c>
    </row>
    <row r="18" spans="1:19" x14ac:dyDescent="0.35">
      <c r="A18" s="35"/>
      <c r="B18" s="38"/>
      <c r="C18" s="37" t="s">
        <v>63</v>
      </c>
      <c r="D18" s="36">
        <v>3.4919899610876631E-2</v>
      </c>
      <c r="E18" s="36">
        <f t="shared" si="1"/>
        <v>5.1394060650299886</v>
      </c>
      <c r="F18" s="36">
        <f t="shared" si="2"/>
        <v>4.6025679038706531E-2</v>
      </c>
      <c r="G18" s="38" t="s">
        <v>42</v>
      </c>
      <c r="H18" s="38" t="s">
        <v>75</v>
      </c>
      <c r="I18" s="209">
        <v>9</v>
      </c>
      <c r="J18" s="209">
        <v>11</v>
      </c>
      <c r="K18" s="209">
        <v>1</v>
      </c>
      <c r="L18" s="209">
        <v>2</v>
      </c>
      <c r="M18" s="209">
        <v>0</v>
      </c>
      <c r="N18" s="209">
        <v>0</v>
      </c>
      <c r="O18" s="39">
        <f t="shared" si="0"/>
        <v>165.19199999999998</v>
      </c>
      <c r="P18" s="38">
        <f t="shared" si="3"/>
        <v>18.015000000000001</v>
      </c>
      <c r="Q18" s="39">
        <f t="shared" si="4"/>
        <v>147.17699999999996</v>
      </c>
      <c r="R18" s="153">
        <f t="shared" si="5"/>
        <v>0.13792291897617384</v>
      </c>
      <c r="S18" s="40">
        <f t="shared" si="6"/>
        <v>2.0299081446156334E-2</v>
      </c>
    </row>
    <row r="19" spans="1:19" x14ac:dyDescent="0.35">
      <c r="A19" s="35"/>
      <c r="B19" s="38"/>
      <c r="C19" s="37" t="s">
        <v>64</v>
      </c>
      <c r="D19" s="36">
        <v>4.0959593609078665E-2</v>
      </c>
      <c r="E19" s="36">
        <f t="shared" si="1"/>
        <v>3.9778728525328928</v>
      </c>
      <c r="F19" s="36">
        <f t="shared" si="2"/>
        <v>3.5623629822368316E-2</v>
      </c>
      <c r="G19" s="38" t="s">
        <v>42</v>
      </c>
      <c r="H19" s="38" t="s">
        <v>76</v>
      </c>
      <c r="I19" s="209">
        <v>5</v>
      </c>
      <c r="J19" s="209">
        <v>9</v>
      </c>
      <c r="K19" s="209">
        <v>1</v>
      </c>
      <c r="L19" s="209">
        <v>2</v>
      </c>
      <c r="M19" s="209">
        <v>0</v>
      </c>
      <c r="N19" s="209">
        <v>0</v>
      </c>
      <c r="O19" s="39">
        <f t="shared" si="0"/>
        <v>115.13200000000001</v>
      </c>
      <c r="P19" s="38">
        <f t="shared" si="3"/>
        <v>18.015000000000001</v>
      </c>
      <c r="Q19" s="39">
        <f t="shared" si="4"/>
        <v>97.117000000000004</v>
      </c>
      <c r="R19" s="153">
        <f t="shared" si="5"/>
        <v>0.16177786229609797</v>
      </c>
      <c r="S19" s="40">
        <f t="shared" si="6"/>
        <v>1.5711380652610147E-2</v>
      </c>
    </row>
    <row r="20" spans="1:19" x14ac:dyDescent="0.35">
      <c r="A20" s="35"/>
      <c r="B20" s="38"/>
      <c r="C20" s="37" t="s">
        <v>65</v>
      </c>
      <c r="D20" s="36">
        <v>6.2837346962318075E-2</v>
      </c>
      <c r="E20" s="36">
        <f t="shared" si="1"/>
        <v>5.4717504987847336</v>
      </c>
      <c r="F20" s="36">
        <f t="shared" si="2"/>
        <v>4.900197202757494E-2</v>
      </c>
      <c r="G20" s="38" t="s">
        <v>42</v>
      </c>
      <c r="H20" s="38" t="s">
        <v>77</v>
      </c>
      <c r="I20" s="209">
        <v>3</v>
      </c>
      <c r="J20" s="209">
        <v>7</v>
      </c>
      <c r="K20" s="209">
        <v>1</v>
      </c>
      <c r="L20" s="209">
        <v>3</v>
      </c>
      <c r="M20" s="209">
        <v>0</v>
      </c>
      <c r="N20" s="209">
        <v>0</v>
      </c>
      <c r="O20" s="39">
        <f t="shared" si="0"/>
        <v>105.093</v>
      </c>
      <c r="P20" s="38">
        <f t="shared" si="3"/>
        <v>18.015000000000001</v>
      </c>
      <c r="Q20" s="39">
        <f t="shared" si="4"/>
        <v>87.078000000000003</v>
      </c>
      <c r="R20" s="153">
        <f t="shared" si="5"/>
        <v>0.24818829407694135</v>
      </c>
      <c r="S20" s="40">
        <f t="shared" si="6"/>
        <v>2.1611740271631898E-2</v>
      </c>
    </row>
    <row r="21" spans="1:19" x14ac:dyDescent="0.35">
      <c r="A21" s="35"/>
      <c r="B21" s="38"/>
      <c r="C21" s="37" t="s">
        <v>66</v>
      </c>
      <c r="D21" s="36">
        <v>5.6694041308879915E-2</v>
      </c>
      <c r="E21" s="36">
        <f t="shared" si="1"/>
        <v>5.7320510465343038</v>
      </c>
      <c r="F21" s="36">
        <f t="shared" si="2"/>
        <v>5.1333079807876651E-2</v>
      </c>
      <c r="G21" s="38" t="s">
        <v>42</v>
      </c>
      <c r="H21" s="38" t="s">
        <v>78</v>
      </c>
      <c r="I21" s="209">
        <v>4</v>
      </c>
      <c r="J21" s="209">
        <v>9</v>
      </c>
      <c r="K21" s="209">
        <v>1</v>
      </c>
      <c r="L21" s="209">
        <v>3</v>
      </c>
      <c r="M21" s="209">
        <v>0</v>
      </c>
      <c r="N21" s="209">
        <v>0</v>
      </c>
      <c r="O21" s="39">
        <f t="shared" si="0"/>
        <v>119.12</v>
      </c>
      <c r="P21" s="38">
        <f t="shared" si="3"/>
        <v>18.015000000000001</v>
      </c>
      <c r="Q21" s="39">
        <f t="shared" si="4"/>
        <v>101.105</v>
      </c>
      <c r="R21" s="153">
        <f t="shared" si="5"/>
        <v>0.2239241164210265</v>
      </c>
      <c r="S21" s="40">
        <f t="shared" si="6"/>
        <v>2.2639847790747885E-2</v>
      </c>
    </row>
    <row r="22" spans="1:19" x14ac:dyDescent="0.35">
      <c r="A22" s="35"/>
      <c r="B22" s="38"/>
      <c r="C22" s="37" t="s">
        <v>67</v>
      </c>
      <c r="D22" s="36">
        <v>1.2083716177392463E-2</v>
      </c>
      <c r="E22" s="36">
        <f t="shared" si="1"/>
        <v>2.25015712425696</v>
      </c>
      <c r="F22" s="36">
        <f t="shared" si="2"/>
        <v>2.0151163048274415E-2</v>
      </c>
      <c r="G22" s="38" t="s">
        <v>42</v>
      </c>
      <c r="H22" s="38" t="s">
        <v>79</v>
      </c>
      <c r="I22" s="209">
        <v>11</v>
      </c>
      <c r="J22" s="209">
        <v>12</v>
      </c>
      <c r="K22" s="209">
        <v>2</v>
      </c>
      <c r="L22" s="209">
        <v>2</v>
      </c>
      <c r="M22" s="209">
        <v>0</v>
      </c>
      <c r="N22" s="209">
        <v>0</v>
      </c>
      <c r="O22" s="39">
        <f t="shared" si="0"/>
        <v>204.22899999999998</v>
      </c>
      <c r="P22" s="38">
        <f t="shared" si="3"/>
        <v>18.015000000000001</v>
      </c>
      <c r="Q22" s="39">
        <f t="shared" si="4"/>
        <v>186.214</v>
      </c>
      <c r="R22" s="153">
        <f t="shared" si="5"/>
        <v>4.7726981630453282E-2</v>
      </c>
      <c r="S22" s="40">
        <f t="shared" si="6"/>
        <v>8.887432157333227E-3</v>
      </c>
    </row>
    <row r="23" spans="1:19" x14ac:dyDescent="0.35">
      <c r="A23" s="35"/>
      <c r="B23" s="38"/>
      <c r="C23" s="37" t="s">
        <v>68</v>
      </c>
      <c r="D23" s="36">
        <v>3.0352101899297285E-2</v>
      </c>
      <c r="E23" s="36">
        <f t="shared" si="1"/>
        <v>4.9527345795197331</v>
      </c>
      <c r="F23" s="36">
        <f t="shared" si="2"/>
        <v>4.4353952428849042E-2</v>
      </c>
      <c r="G23" s="38" t="s">
        <v>42</v>
      </c>
      <c r="H23" s="38" t="s">
        <v>80</v>
      </c>
      <c r="I23" s="209">
        <v>9</v>
      </c>
      <c r="J23" s="209">
        <v>11</v>
      </c>
      <c r="K23" s="209">
        <v>1</v>
      </c>
      <c r="L23" s="209">
        <v>3</v>
      </c>
      <c r="M23" s="209">
        <v>0</v>
      </c>
      <c r="N23" s="209">
        <v>0</v>
      </c>
      <c r="O23" s="39">
        <f t="shared" si="0"/>
        <v>181.19099999999997</v>
      </c>
      <c r="P23" s="38">
        <f t="shared" si="3"/>
        <v>18.015000000000001</v>
      </c>
      <c r="Q23" s="39">
        <f t="shared" si="4"/>
        <v>163.17599999999999</v>
      </c>
      <c r="R23" s="153">
        <f t="shared" si="5"/>
        <v>0.11988151563040129</v>
      </c>
      <c r="S23" s="40">
        <f t="shared" si="6"/>
        <v>1.956178619450636E-2</v>
      </c>
    </row>
    <row r="24" spans="1:19" x14ac:dyDescent="0.35">
      <c r="A24" s="35"/>
      <c r="B24" s="38"/>
      <c r="C24" s="37" t="s">
        <v>69</v>
      </c>
      <c r="D24" s="36">
        <v>6.966725251071007E-2</v>
      </c>
      <c r="E24" s="36">
        <f t="shared" si="1"/>
        <v>6.9063237431442221</v>
      </c>
      <c r="F24" s="36">
        <f t="shared" si="2"/>
        <v>6.1849216800015483E-2</v>
      </c>
      <c r="G24" s="38" t="s">
        <v>42</v>
      </c>
      <c r="H24" s="38" t="s">
        <v>81</v>
      </c>
      <c r="I24" s="209">
        <v>5</v>
      </c>
      <c r="J24" s="209">
        <v>11</v>
      </c>
      <c r="K24" s="209">
        <v>1</v>
      </c>
      <c r="L24" s="209">
        <v>2</v>
      </c>
      <c r="M24" s="209">
        <v>0</v>
      </c>
      <c r="N24" s="209">
        <v>0</v>
      </c>
      <c r="O24" s="39">
        <f t="shared" si="0"/>
        <v>117.14800000000001</v>
      </c>
      <c r="P24" s="38">
        <f t="shared" si="3"/>
        <v>18.015000000000001</v>
      </c>
      <c r="Q24" s="39">
        <f t="shared" si="4"/>
        <v>99.13300000000001</v>
      </c>
      <c r="R24" s="153">
        <f t="shared" si="5"/>
        <v>0.27516433123806711</v>
      </c>
      <c r="S24" s="40">
        <f t="shared" si="6"/>
        <v>2.727786564862331E-2</v>
      </c>
    </row>
    <row r="25" spans="1:19" x14ac:dyDescent="0.35">
      <c r="A25" s="48" t="s">
        <v>331</v>
      </c>
      <c r="B25" s="42">
        <f>'General composition'!B55*'Protein composition'!J30</f>
        <v>3.250737851777871E-3</v>
      </c>
      <c r="C25" s="43" t="s">
        <v>331</v>
      </c>
      <c r="D25" s="42">
        <v>1</v>
      </c>
      <c r="E25" s="42">
        <f>D25*Q25</f>
        <v>560.56899999999996</v>
      </c>
      <c r="F25" s="42">
        <f>E25/$Q$25</f>
        <v>1</v>
      </c>
      <c r="G25" s="44" t="s">
        <v>42</v>
      </c>
      <c r="H25" s="44" t="s">
        <v>332</v>
      </c>
      <c r="I25" s="210">
        <v>20</v>
      </c>
      <c r="J25" s="210">
        <v>36</v>
      </c>
      <c r="K25" s="210">
        <v>10</v>
      </c>
      <c r="L25" s="210">
        <v>9</v>
      </c>
      <c r="M25" s="210">
        <v>0</v>
      </c>
      <c r="N25" s="210">
        <v>0</v>
      </c>
      <c r="O25" s="45">
        <f t="shared" si="0"/>
        <v>560.56899999999996</v>
      </c>
      <c r="P25" s="44">
        <v>0</v>
      </c>
      <c r="Q25" s="45">
        <f>O25-P25</f>
        <v>560.56899999999996</v>
      </c>
      <c r="R25" s="154">
        <f>B$25*F25*1000/Q25</f>
        <v>5.7989968260425944E-3</v>
      </c>
      <c r="S25" s="46">
        <f t="shared" si="6"/>
        <v>3.250737851777871E-3</v>
      </c>
    </row>
    <row r="26" spans="1:19" x14ac:dyDescent="0.35">
      <c r="A26" s="64" t="s">
        <v>11</v>
      </c>
      <c r="B26" s="50">
        <f>'General composition'!B58</f>
        <v>4.8136238398730205E-3</v>
      </c>
      <c r="C26" s="51" t="s">
        <v>84</v>
      </c>
      <c r="D26" s="50">
        <v>0.29380116362250752</v>
      </c>
      <c r="E26" s="50">
        <f>D26*Q26</f>
        <v>92.90991717700004</v>
      </c>
      <c r="F26" s="50">
        <f>E26/$B$27</f>
        <v>0.29785286904121994</v>
      </c>
      <c r="G26" s="51" t="s">
        <v>88</v>
      </c>
      <c r="H26" s="51" t="s">
        <v>768</v>
      </c>
      <c r="I26" s="211">
        <v>10</v>
      </c>
      <c r="J26" s="211">
        <v>16</v>
      </c>
      <c r="K26" s="211">
        <v>5</v>
      </c>
      <c r="L26" s="211">
        <v>12</v>
      </c>
      <c r="M26" s="211">
        <v>3</v>
      </c>
      <c r="N26" s="211">
        <v>0</v>
      </c>
      <c r="O26" s="52">
        <f>(I26*12.011)+(J26*1.008)+(L26*15.999)+(14.007*K26)+(M26*30.974)+(N26*32.066)</f>
        <v>491.18299999999999</v>
      </c>
      <c r="P26" s="51">
        <v>174.94900000000001</v>
      </c>
      <c r="Q26" s="52">
        <f>O26-P26</f>
        <v>316.23399999999998</v>
      </c>
      <c r="R26" s="155">
        <f>B$26*F26*1000/Q26</f>
        <v>4.533831501961817E-3</v>
      </c>
      <c r="S26" s="53">
        <f t="shared" si="6"/>
        <v>1.4337516711913931E-3</v>
      </c>
    </row>
    <row r="27" spans="1:19" x14ac:dyDescent="0.35">
      <c r="A27" s="49"/>
      <c r="B27" s="50">
        <f>SUM(E26:E29)</f>
        <v>311.93225526440108</v>
      </c>
      <c r="C27" s="51" t="s">
        <v>85</v>
      </c>
      <c r="D27" s="50">
        <v>0.20632661327168611</v>
      </c>
      <c r="E27" s="50">
        <f t="shared" ref="E27:E33" si="7">D27*Q27</f>
        <v>60.290287010892861</v>
      </c>
      <c r="F27" s="50">
        <f>E27/$B$27</f>
        <v>0.19328006640348688</v>
      </c>
      <c r="G27" s="51" t="s">
        <v>88</v>
      </c>
      <c r="H27" s="51" t="s">
        <v>769</v>
      </c>
      <c r="I27" s="211">
        <v>9</v>
      </c>
      <c r="J27" s="211">
        <v>16</v>
      </c>
      <c r="K27" s="211">
        <v>3</v>
      </c>
      <c r="L27" s="211">
        <v>13</v>
      </c>
      <c r="M27" s="211">
        <v>3</v>
      </c>
      <c r="N27" s="211">
        <v>0</v>
      </c>
      <c r="O27" s="52">
        <f>(I27*12.011)+(J27*1.008)+(L27*15.999)+(14.007*K27)+(M27*30.974)+(N27*32.066)</f>
        <v>467.15700000000004</v>
      </c>
      <c r="P27" s="51">
        <v>174.94900000000001</v>
      </c>
      <c r="Q27" s="52">
        <f t="shared" ref="Q27:Q33" si="8">O27-P27</f>
        <v>292.20800000000003</v>
      </c>
      <c r="R27" s="155">
        <f t="shared" ref="R27:R29" si="9">B$26*F27*1000/Q27</f>
        <v>3.1839564125967284E-3</v>
      </c>
      <c r="S27" s="53">
        <f t="shared" si="6"/>
        <v>9.3037753541206486E-4</v>
      </c>
    </row>
    <row r="28" spans="1:19" x14ac:dyDescent="0.35">
      <c r="A28" s="49"/>
      <c r="B28" s="54" t="s">
        <v>83</v>
      </c>
      <c r="C28" s="51" t="s">
        <v>86</v>
      </c>
      <c r="D28" s="50">
        <v>0.20635670289299923</v>
      </c>
      <c r="E28" s="50">
        <f t="shared" si="7"/>
        <v>68.558506472249817</v>
      </c>
      <c r="F28" s="50">
        <f>E28/$B$27</f>
        <v>0.21978652516758174</v>
      </c>
      <c r="G28" s="51" t="s">
        <v>88</v>
      </c>
      <c r="H28" s="51" t="s">
        <v>770</v>
      </c>
      <c r="I28" s="211">
        <v>10</v>
      </c>
      <c r="J28" s="211">
        <v>16</v>
      </c>
      <c r="K28" s="211">
        <v>5</v>
      </c>
      <c r="L28" s="211">
        <v>13</v>
      </c>
      <c r="M28" s="211">
        <v>3</v>
      </c>
      <c r="N28" s="211">
        <v>0</v>
      </c>
      <c r="O28" s="52">
        <f>(I28*12.011)+(J28*1.008)+(L28*15.999)+(14.007*K28)+(M28*30.974)+(N28*32.066)</f>
        <v>507.18200000000002</v>
      </c>
      <c r="P28" s="51">
        <v>174.94900000000001</v>
      </c>
      <c r="Q28" s="52">
        <f t="shared" si="8"/>
        <v>332.233</v>
      </c>
      <c r="R28" s="155">
        <f t="shared" si="9"/>
        <v>3.1844207445663832E-3</v>
      </c>
      <c r="S28" s="53">
        <f t="shared" si="6"/>
        <v>1.0579696572295232E-3</v>
      </c>
    </row>
    <row r="29" spans="1:19" x14ac:dyDescent="0.35">
      <c r="A29" s="55"/>
      <c r="B29" s="56"/>
      <c r="C29" s="56" t="s">
        <v>87</v>
      </c>
      <c r="D29" s="57">
        <v>0.29351552021280714</v>
      </c>
      <c r="E29" s="57">
        <f t="shared" si="7"/>
        <v>90.173544604258396</v>
      </c>
      <c r="F29" s="57">
        <f>E29/$B$27</f>
        <v>0.28908053938771155</v>
      </c>
      <c r="G29" s="56" t="s">
        <v>88</v>
      </c>
      <c r="H29" s="56" t="s">
        <v>771</v>
      </c>
      <c r="I29" s="212">
        <v>10</v>
      </c>
      <c r="J29" s="212">
        <v>17</v>
      </c>
      <c r="K29" s="212">
        <v>2</v>
      </c>
      <c r="L29" s="212">
        <v>14</v>
      </c>
      <c r="M29" s="212">
        <v>3</v>
      </c>
      <c r="N29" s="212">
        <v>0</v>
      </c>
      <c r="O29" s="58">
        <f>(I29*12.011)+(J29*1.008)+(L29*15.999)+(14.007*K29)+(M29*30.974)+(N29*32.066)</f>
        <v>482.16800000000001</v>
      </c>
      <c r="P29" s="56">
        <v>174.94900000000001</v>
      </c>
      <c r="Q29" s="58">
        <f t="shared" si="8"/>
        <v>307.21899999999999</v>
      </c>
      <c r="R29" s="156">
        <f t="shared" si="9"/>
        <v>4.5294235579180983E-3</v>
      </c>
      <c r="S29" s="59">
        <f t="shared" si="6"/>
        <v>1.3915249760400401E-3</v>
      </c>
    </row>
    <row r="30" spans="1:19" x14ac:dyDescent="0.35">
      <c r="A30" s="65" t="s">
        <v>12</v>
      </c>
      <c r="B30" s="60">
        <f>'General composition'!B59</f>
        <v>2.8348105414416385E-2</v>
      </c>
      <c r="C30" s="61" t="s">
        <v>89</v>
      </c>
      <c r="D30" s="60">
        <v>0.26581894892414282</v>
      </c>
      <c r="E30" s="60">
        <f t="shared" si="7"/>
        <v>88.313826857914748</v>
      </c>
      <c r="F30" s="60">
        <f>E30/$B$31</f>
        <v>0.27022224319441213</v>
      </c>
      <c r="G30" s="61" t="s">
        <v>88</v>
      </c>
      <c r="H30" s="61" t="s">
        <v>770</v>
      </c>
      <c r="I30" s="213">
        <v>10</v>
      </c>
      <c r="J30" s="213">
        <v>16</v>
      </c>
      <c r="K30" s="213">
        <v>5</v>
      </c>
      <c r="L30" s="213">
        <v>13</v>
      </c>
      <c r="M30" s="213">
        <v>3</v>
      </c>
      <c r="N30" s="213">
        <v>0</v>
      </c>
      <c r="O30" s="62">
        <f t="shared" ref="O30:O33" si="10">(I30*12.011)+(J30*1.008)+(L30*15.999)+(14.007*K30)+(M30*30.974)+(N30*32.066)</f>
        <v>507.18200000000002</v>
      </c>
      <c r="P30" s="61">
        <v>174.94900000000001</v>
      </c>
      <c r="Q30" s="62">
        <f t="shared" si="8"/>
        <v>332.233</v>
      </c>
      <c r="R30" s="167">
        <f>B$30*F30*1000/Q30</f>
        <v>2.3056976987220583E-2</v>
      </c>
      <c r="S30" s="63">
        <f t="shared" si="6"/>
        <v>7.6602886353952558E-3</v>
      </c>
    </row>
    <row r="31" spans="1:19" x14ac:dyDescent="0.35">
      <c r="A31" s="49"/>
      <c r="B31" s="50">
        <f>SUM(E30:E33)</f>
        <v>326.81923521142971</v>
      </c>
      <c r="C31" s="51" t="s">
        <v>90</v>
      </c>
      <c r="D31" s="50">
        <v>0.22396320190421518</v>
      </c>
      <c r="E31" s="50">
        <f t="shared" si="7"/>
        <v>69.02702656929246</v>
      </c>
      <c r="F31" s="50">
        <f>E31/$B$31</f>
        <v>0.21120857994982054</v>
      </c>
      <c r="G31" s="51" t="s">
        <v>88</v>
      </c>
      <c r="H31" s="51" t="s">
        <v>772</v>
      </c>
      <c r="I31" s="211">
        <v>9</v>
      </c>
      <c r="J31" s="211">
        <v>16</v>
      </c>
      <c r="K31" s="211">
        <v>3</v>
      </c>
      <c r="L31" s="211">
        <v>14</v>
      </c>
      <c r="M31" s="211">
        <v>3</v>
      </c>
      <c r="N31" s="211">
        <v>0</v>
      </c>
      <c r="O31" s="52">
        <f t="shared" si="10"/>
        <v>483.15600000000006</v>
      </c>
      <c r="P31" s="51">
        <v>174.94900000000001</v>
      </c>
      <c r="Q31" s="52">
        <f t="shared" si="8"/>
        <v>308.20700000000005</v>
      </c>
      <c r="R31" s="155">
        <f t="shared" ref="R31:R33" si="11">B$30*F31*1000/Q31</f>
        <v>1.942643447049127E-2</v>
      </c>
      <c r="S31" s="53">
        <f t="shared" si="6"/>
        <v>5.9873630888467033E-3</v>
      </c>
    </row>
    <row r="32" spans="1:19" x14ac:dyDescent="0.35">
      <c r="A32" s="49"/>
      <c r="B32" s="54" t="s">
        <v>83</v>
      </c>
      <c r="C32" s="51" t="s">
        <v>91</v>
      </c>
      <c r="D32" s="50">
        <v>0.30028981790920722</v>
      </c>
      <c r="E32" s="50">
        <f t="shared" si="7"/>
        <v>104.57052387015906</v>
      </c>
      <c r="F32" s="50">
        <f>E32/$B$31</f>
        <v>0.31996441030317291</v>
      </c>
      <c r="G32" s="51" t="s">
        <v>88</v>
      </c>
      <c r="H32" s="51" t="s">
        <v>773</v>
      </c>
      <c r="I32" s="211">
        <v>10</v>
      </c>
      <c r="J32" s="211">
        <v>16</v>
      </c>
      <c r="K32" s="211">
        <v>5</v>
      </c>
      <c r="L32" s="211">
        <v>14</v>
      </c>
      <c r="M32" s="211">
        <v>3</v>
      </c>
      <c r="N32" s="211">
        <v>0</v>
      </c>
      <c r="O32" s="52">
        <f t="shared" si="10"/>
        <v>523.18100000000004</v>
      </c>
      <c r="P32" s="51">
        <v>174.94900000000001</v>
      </c>
      <c r="Q32" s="52">
        <f t="shared" si="8"/>
        <v>348.23200000000003</v>
      </c>
      <c r="R32" s="155">
        <f t="shared" si="11"/>
        <v>2.6046959590548601E-2</v>
      </c>
      <c r="S32" s="53">
        <f t="shared" si="6"/>
        <v>9.0703848321359217E-3</v>
      </c>
    </row>
    <row r="33" spans="1:20" x14ac:dyDescent="0.35">
      <c r="A33" s="55"/>
      <c r="B33" s="56"/>
      <c r="C33" s="56" t="s">
        <v>92</v>
      </c>
      <c r="D33" s="57">
        <v>0.20992803126243487</v>
      </c>
      <c r="E33" s="57">
        <f t="shared" si="7"/>
        <v>64.907857914063499</v>
      </c>
      <c r="F33" s="57">
        <f>E33/$B$31</f>
        <v>0.1986047665525946</v>
      </c>
      <c r="G33" s="56" t="s">
        <v>88</v>
      </c>
      <c r="H33" s="56" t="s">
        <v>774</v>
      </c>
      <c r="I33" s="212">
        <v>9</v>
      </c>
      <c r="J33" s="212">
        <v>15</v>
      </c>
      <c r="K33" s="212">
        <v>2</v>
      </c>
      <c r="L33" s="212">
        <v>15</v>
      </c>
      <c r="M33" s="212">
        <v>3</v>
      </c>
      <c r="N33" s="212">
        <v>0</v>
      </c>
      <c r="O33" s="58">
        <f t="shared" si="10"/>
        <v>484.14</v>
      </c>
      <c r="P33" s="56">
        <v>174.94900000000001</v>
      </c>
      <c r="Q33" s="58">
        <f t="shared" si="8"/>
        <v>309.19099999999997</v>
      </c>
      <c r="R33" s="156">
        <f t="shared" si="11"/>
        <v>1.8209032145303419E-2</v>
      </c>
      <c r="S33" s="59">
        <f t="shared" si="6"/>
        <v>5.6300688580385094E-3</v>
      </c>
    </row>
    <row r="34" spans="1:20" x14ac:dyDescent="0.35">
      <c r="A34" s="99" t="s">
        <v>102</v>
      </c>
      <c r="B34" s="203">
        <f>'General composition'!B56</f>
        <v>0.13806792752840003</v>
      </c>
      <c r="C34" s="74" t="s">
        <v>93</v>
      </c>
      <c r="D34" s="71"/>
      <c r="E34" s="71"/>
      <c r="F34" s="70">
        <f>Phycobiliproteins!D36</f>
        <v>9.9521500947880037E-3</v>
      </c>
      <c r="G34" s="71" t="s">
        <v>104</v>
      </c>
      <c r="H34" s="71" t="s">
        <v>775</v>
      </c>
      <c r="I34" s="214">
        <v>1660</v>
      </c>
      <c r="J34" s="214">
        <v>2574</v>
      </c>
      <c r="K34" s="214">
        <v>456</v>
      </c>
      <c r="L34" s="214">
        <v>509</v>
      </c>
      <c r="M34" s="214">
        <v>0</v>
      </c>
      <c r="N34" s="214">
        <v>13</v>
      </c>
      <c r="O34" s="200">
        <f>(I34*12.011)+(J34*1.008)+(L34*15.999)+(14.007*K34)+(M34*30.974)+(N34*32.066)</f>
        <v>37480.393000000004</v>
      </c>
      <c r="P34" s="71">
        <v>0</v>
      </c>
      <c r="Q34" s="200">
        <f>O34-P34</f>
        <v>37480.393000000004</v>
      </c>
      <c r="R34" s="157">
        <f>B$34*F34*1000/Q34</f>
        <v>3.6661108063593393E-5</v>
      </c>
      <c r="S34" s="72">
        <f t="shared" si="6"/>
        <v>1.3740727380389495E-3</v>
      </c>
      <c r="T34" s="17"/>
    </row>
    <row r="35" spans="1:20" x14ac:dyDescent="0.35">
      <c r="A35" s="194"/>
      <c r="B35" s="75"/>
      <c r="C35" s="74" t="s">
        <v>94</v>
      </c>
      <c r="D35" s="74"/>
      <c r="E35" s="74"/>
      <c r="F35" s="75">
        <f>Phycobiliproteins!D37</f>
        <v>0.77684944806257927</v>
      </c>
      <c r="G35" s="74" t="s">
        <v>104</v>
      </c>
      <c r="H35" s="74" t="s">
        <v>776</v>
      </c>
      <c r="I35" s="215">
        <v>1662</v>
      </c>
      <c r="J35" s="215">
        <v>2616</v>
      </c>
      <c r="K35" s="215">
        <v>460</v>
      </c>
      <c r="L35" s="215">
        <v>516</v>
      </c>
      <c r="M35" s="215">
        <v>0</v>
      </c>
      <c r="N35" s="215">
        <v>9</v>
      </c>
      <c r="O35" s="202">
        <f>(I35*12.011)+(J35*1.008)+(L35*15.999)+(14.007*K35)+(M35*30.974)+(N35*32.066)</f>
        <v>37586.507999999994</v>
      </c>
      <c r="P35" s="74">
        <v>0</v>
      </c>
      <c r="Q35" s="202">
        <f>O35-P35</f>
        <v>37586.507999999994</v>
      </c>
      <c r="R35" s="158">
        <f>B$34*F35*1000/Q35</f>
        <v>2.8536301721772549E-3</v>
      </c>
      <c r="S35" s="76">
        <f t="shared" si="6"/>
        <v>0.10725799329558175</v>
      </c>
      <c r="T35" s="17"/>
    </row>
    <row r="36" spans="1:20" x14ac:dyDescent="0.35">
      <c r="A36" s="73"/>
      <c r="B36" s="74"/>
      <c r="C36" s="74" t="s">
        <v>95</v>
      </c>
      <c r="D36" s="74"/>
      <c r="E36" s="74"/>
      <c r="F36" s="75">
        <f>Phycobiliproteins!D38</f>
        <v>0.21319840184263272</v>
      </c>
      <c r="G36" s="74" t="s">
        <v>104</v>
      </c>
      <c r="H36" s="74" t="s">
        <v>777</v>
      </c>
      <c r="I36" s="215">
        <v>1594</v>
      </c>
      <c r="J36" s="215">
        <v>2539</v>
      </c>
      <c r="K36" s="215">
        <v>423</v>
      </c>
      <c r="L36" s="215">
        <v>493</v>
      </c>
      <c r="M36" s="215">
        <v>0</v>
      </c>
      <c r="N36" s="215">
        <v>9</v>
      </c>
      <c r="O36" s="202">
        <f>(I36*12.011)+(J36*1.008)+(L36*15.999)+(14.007*K36)+(M36*30.974)+(N36*32.066)</f>
        <v>35805.907999999996</v>
      </c>
      <c r="P36" s="74">
        <v>0</v>
      </c>
      <c r="Q36" s="202">
        <f t="shared" ref="Q36:Q48" si="12">O36-P36</f>
        <v>35805.907999999996</v>
      </c>
      <c r="R36" s="158">
        <f>B$34*F36*1000/Q36</f>
        <v>8.2209509935565175E-4</v>
      </c>
      <c r="S36" s="76">
        <f t="shared" si="6"/>
        <v>2.9435861494779326E-2</v>
      </c>
      <c r="T36" s="17"/>
    </row>
    <row r="37" spans="1:20" x14ac:dyDescent="0.35">
      <c r="A37" s="100" t="s">
        <v>121</v>
      </c>
      <c r="B37" s="77">
        <f>'General composition'!B57</f>
        <v>5.0268537877898138E-3</v>
      </c>
      <c r="C37" s="78" t="s">
        <v>124</v>
      </c>
      <c r="D37" s="78"/>
      <c r="E37" s="78"/>
      <c r="F37" s="77">
        <v>0.2711200616934179</v>
      </c>
      <c r="G37" s="78" t="s">
        <v>118</v>
      </c>
      <c r="H37" s="78" t="s">
        <v>130</v>
      </c>
      <c r="I37" s="216">
        <v>55</v>
      </c>
      <c r="J37" s="216">
        <v>72</v>
      </c>
      <c r="K37" s="216">
        <v>4</v>
      </c>
      <c r="L37" s="216">
        <v>5</v>
      </c>
      <c r="M37" s="216">
        <v>0</v>
      </c>
      <c r="N37" s="216">
        <v>0</v>
      </c>
      <c r="O37" s="79">
        <f>(I37*12.011)+(J37*1.008)+(L37*15.999)+(14.007*K37)+(M37*30.974)+(N37*32.066)+24.305</f>
        <v>893.5089999999999</v>
      </c>
      <c r="P37" s="78">
        <v>0</v>
      </c>
      <c r="Q37" s="79">
        <f t="shared" si="12"/>
        <v>893.5089999999999</v>
      </c>
      <c r="R37" s="159">
        <f>B$37*F37*1000/Q37</f>
        <v>1.5253130176297786E-3</v>
      </c>
      <c r="S37" s="80">
        <f t="shared" si="6"/>
        <v>1.3628809090693657E-3</v>
      </c>
    </row>
    <row r="38" spans="1:20" x14ac:dyDescent="0.35">
      <c r="A38" s="81"/>
      <c r="B38" s="82"/>
      <c r="C38" s="82" t="s">
        <v>126</v>
      </c>
      <c r="D38" s="82"/>
      <c r="E38" s="82"/>
      <c r="F38" s="83">
        <v>0.25833325851492417</v>
      </c>
      <c r="G38" s="82" t="s">
        <v>118</v>
      </c>
      <c r="H38" s="82" t="s">
        <v>133</v>
      </c>
      <c r="I38" s="217">
        <v>40</v>
      </c>
      <c r="J38" s="217">
        <v>56</v>
      </c>
      <c r="K38" s="217">
        <v>0</v>
      </c>
      <c r="L38" s="217">
        <v>0</v>
      </c>
      <c r="M38" s="217">
        <v>0</v>
      </c>
      <c r="N38" s="217">
        <v>0</v>
      </c>
      <c r="O38" s="84">
        <f t="shared" ref="O38:O48" si="13">(I38*12.011)+(J38*1.008)+(L38*15.999)+(14.007*K38)+(M38*30.974)+(N38*32.066)</f>
        <v>536.88799999999992</v>
      </c>
      <c r="P38" s="82">
        <v>0</v>
      </c>
      <c r="Q38" s="84">
        <f t="shared" si="12"/>
        <v>536.88799999999992</v>
      </c>
      <c r="R38" s="160">
        <f t="shared" ref="R38:R48" si="14">B$37*F38*1000/Q38</f>
        <v>2.4187605591442386E-3</v>
      </c>
      <c r="S38" s="85">
        <f t="shared" si="6"/>
        <v>1.2986035190778319E-3</v>
      </c>
    </row>
    <row r="39" spans="1:20" x14ac:dyDescent="0.35">
      <c r="A39" s="81"/>
      <c r="B39" s="82"/>
      <c r="C39" s="82" t="s">
        <v>127</v>
      </c>
      <c r="D39" s="82"/>
      <c r="E39" s="82"/>
      <c r="F39" s="83">
        <v>1.290999512606571E-2</v>
      </c>
      <c r="G39" s="82" t="s">
        <v>118</v>
      </c>
      <c r="H39" s="82" t="s">
        <v>136</v>
      </c>
      <c r="I39" s="217">
        <v>40</v>
      </c>
      <c r="J39" s="217">
        <v>56</v>
      </c>
      <c r="K39" s="217">
        <v>0</v>
      </c>
      <c r="L39" s="217">
        <v>2</v>
      </c>
      <c r="M39" s="217">
        <v>0</v>
      </c>
      <c r="N39" s="217">
        <v>0</v>
      </c>
      <c r="O39" s="84">
        <f t="shared" si="13"/>
        <v>568.88599999999997</v>
      </c>
      <c r="P39" s="82">
        <v>0</v>
      </c>
      <c r="Q39" s="84">
        <f t="shared" si="12"/>
        <v>568.88599999999997</v>
      </c>
      <c r="R39" s="160">
        <f t="shared" si="14"/>
        <v>1.1407673576043609E-4</v>
      </c>
      <c r="S39" s="85">
        <f t="shared" si="6"/>
        <v>6.4896657899811449E-5</v>
      </c>
    </row>
    <row r="40" spans="1:20" x14ac:dyDescent="0.35">
      <c r="A40" s="81"/>
      <c r="B40" s="82"/>
      <c r="C40" s="82" t="s">
        <v>120</v>
      </c>
      <c r="D40" s="82"/>
      <c r="E40" s="82"/>
      <c r="F40" s="83">
        <v>0.19199858245947576</v>
      </c>
      <c r="G40" s="82" t="s">
        <v>118</v>
      </c>
      <c r="H40" s="82" t="s">
        <v>135</v>
      </c>
      <c r="I40" s="217">
        <v>40</v>
      </c>
      <c r="J40" s="217">
        <v>54</v>
      </c>
      <c r="K40" s="217">
        <v>0</v>
      </c>
      <c r="L40" s="217">
        <v>1</v>
      </c>
      <c r="M40" s="217">
        <v>0</v>
      </c>
      <c r="N40" s="217">
        <v>0</v>
      </c>
      <c r="O40" s="84">
        <f t="shared" ref="O40:O44" si="15">(I40*12.011)+(J40*1.008)+(L40*15.999)+(14.007*K40)+(M40*30.974)+(N40*32.066)</f>
        <v>550.87099999999998</v>
      </c>
      <c r="P40" s="82">
        <v>0</v>
      </c>
      <c r="Q40" s="84">
        <f t="shared" ref="Q40:Q44" si="16">O40-P40</f>
        <v>550.87099999999998</v>
      </c>
      <c r="R40" s="160">
        <f t="shared" ref="R40:R44" si="17">B$37*F40*1000/Q40</f>
        <v>1.752041406221585E-3</v>
      </c>
      <c r="S40" s="85">
        <f t="shared" si="6"/>
        <v>9.6514880148669069E-4</v>
      </c>
    </row>
    <row r="41" spans="1:20" x14ac:dyDescent="0.35">
      <c r="A41" s="81"/>
      <c r="B41" s="82"/>
      <c r="C41" s="82" t="s">
        <v>778</v>
      </c>
      <c r="D41" s="82"/>
      <c r="E41" s="82"/>
      <c r="F41" s="83">
        <v>4.8257701692938464E-2</v>
      </c>
      <c r="G41" s="82" t="s">
        <v>118</v>
      </c>
      <c r="H41" s="82" t="s">
        <v>132</v>
      </c>
      <c r="I41" s="217">
        <v>29</v>
      </c>
      <c r="J41" s="217">
        <v>50</v>
      </c>
      <c r="K41" s="217">
        <v>0</v>
      </c>
      <c r="L41" s="217">
        <v>2</v>
      </c>
      <c r="M41" s="217">
        <v>0</v>
      </c>
      <c r="N41" s="217">
        <v>0</v>
      </c>
      <c r="O41" s="84">
        <f t="shared" si="15"/>
        <v>430.71699999999993</v>
      </c>
      <c r="P41" s="82">
        <v>0</v>
      </c>
      <c r="Q41" s="84">
        <f t="shared" si="16"/>
        <v>430.71699999999993</v>
      </c>
      <c r="R41" s="160">
        <f t="shared" si="17"/>
        <v>5.6321067091658484E-4</v>
      </c>
      <c r="S41" s="85">
        <f t="shared" si="6"/>
        <v>2.4258441054517862E-4</v>
      </c>
    </row>
    <row r="42" spans="1:20" x14ac:dyDescent="0.35">
      <c r="A42" s="81"/>
      <c r="B42" s="82"/>
      <c r="C42" s="260" t="s">
        <v>779</v>
      </c>
      <c r="D42" s="82"/>
      <c r="E42" s="82"/>
      <c r="F42" s="83">
        <v>2.1148793570610483E-3</v>
      </c>
      <c r="G42" s="82" t="s">
        <v>118</v>
      </c>
      <c r="H42" s="82" t="s">
        <v>782</v>
      </c>
      <c r="I42" s="217">
        <v>28</v>
      </c>
      <c r="J42" s="217">
        <v>48</v>
      </c>
      <c r="K42" s="217">
        <v>0</v>
      </c>
      <c r="L42" s="217">
        <v>2</v>
      </c>
      <c r="M42" s="217">
        <v>0</v>
      </c>
      <c r="N42" s="217">
        <v>0</v>
      </c>
      <c r="O42" s="84">
        <f t="shared" si="15"/>
        <v>416.69</v>
      </c>
      <c r="P42" s="82">
        <v>0</v>
      </c>
      <c r="Q42" s="84">
        <f t="shared" si="16"/>
        <v>416.69</v>
      </c>
      <c r="R42" s="160">
        <f t="shared" si="17"/>
        <v>2.5513425584393235E-5</v>
      </c>
      <c r="S42" s="85">
        <f t="shared" si="6"/>
        <v>1.0631189306760818E-5</v>
      </c>
    </row>
    <row r="43" spans="1:20" x14ac:dyDescent="0.35">
      <c r="A43" s="81"/>
      <c r="B43" s="82"/>
      <c r="C43" s="260" t="s">
        <v>780</v>
      </c>
      <c r="D43" s="82"/>
      <c r="E43" s="82"/>
      <c r="F43" s="83">
        <v>2.1148793570610483E-3</v>
      </c>
      <c r="G43" s="82" t="s">
        <v>118</v>
      </c>
      <c r="H43" s="82" t="s">
        <v>782</v>
      </c>
      <c r="I43" s="217">
        <v>28</v>
      </c>
      <c r="J43" s="217">
        <v>48</v>
      </c>
      <c r="K43" s="217">
        <v>0</v>
      </c>
      <c r="L43" s="217">
        <v>2</v>
      </c>
      <c r="M43" s="217">
        <v>0</v>
      </c>
      <c r="N43" s="217">
        <v>0</v>
      </c>
      <c r="O43" s="84">
        <f t="shared" si="15"/>
        <v>416.69</v>
      </c>
      <c r="P43" s="82">
        <v>0</v>
      </c>
      <c r="Q43" s="84">
        <f t="shared" si="16"/>
        <v>416.69</v>
      </c>
      <c r="R43" s="160">
        <f t="shared" si="17"/>
        <v>2.5513425584393235E-5</v>
      </c>
      <c r="S43" s="85">
        <f t="shared" si="6"/>
        <v>1.0631189306760818E-5</v>
      </c>
    </row>
    <row r="44" spans="1:20" x14ac:dyDescent="0.35">
      <c r="A44" s="81"/>
      <c r="B44" s="82"/>
      <c r="C44" s="260" t="s">
        <v>781</v>
      </c>
      <c r="D44" s="82"/>
      <c r="E44" s="82"/>
      <c r="F44" s="83">
        <v>3.2684499154579841E-2</v>
      </c>
      <c r="G44" s="82" t="s">
        <v>118</v>
      </c>
      <c r="H44" s="82" t="s">
        <v>783</v>
      </c>
      <c r="I44" s="217">
        <v>27</v>
      </c>
      <c r="J44" s="217">
        <v>46</v>
      </c>
      <c r="K44" s="217">
        <v>0</v>
      </c>
      <c r="L44" s="217">
        <v>2</v>
      </c>
      <c r="M44" s="217">
        <v>0</v>
      </c>
      <c r="N44" s="217">
        <v>0</v>
      </c>
      <c r="O44" s="84">
        <f t="shared" si="15"/>
        <v>402.66299999999995</v>
      </c>
      <c r="P44" s="82">
        <v>0</v>
      </c>
      <c r="Q44" s="84">
        <f t="shared" si="16"/>
        <v>402.66299999999995</v>
      </c>
      <c r="R44" s="160">
        <f t="shared" si="17"/>
        <v>4.0803400952462148E-4</v>
      </c>
      <c r="S44" s="85">
        <f t="shared" si="6"/>
        <v>1.6430019837721264E-4</v>
      </c>
    </row>
    <row r="45" spans="1:20" x14ac:dyDescent="0.35">
      <c r="A45" s="81"/>
      <c r="B45" s="82"/>
      <c r="C45" s="82" t="s">
        <v>123</v>
      </c>
      <c r="D45" s="82"/>
      <c r="E45" s="82"/>
      <c r="F45" s="83">
        <v>1.848611994397794E-2</v>
      </c>
      <c r="G45" s="82" t="s">
        <v>118</v>
      </c>
      <c r="H45" s="82" t="s">
        <v>134</v>
      </c>
      <c r="I45" s="217">
        <v>40</v>
      </c>
      <c r="J45" s="217">
        <v>52</v>
      </c>
      <c r="K45" s="217">
        <v>0</v>
      </c>
      <c r="L45" s="217">
        <v>2</v>
      </c>
      <c r="M45" s="217">
        <v>0</v>
      </c>
      <c r="N45" s="217">
        <v>0</v>
      </c>
      <c r="O45" s="84">
        <f t="shared" si="13"/>
        <v>564.85400000000004</v>
      </c>
      <c r="P45" s="82">
        <v>0</v>
      </c>
      <c r="Q45" s="84">
        <f t="shared" si="12"/>
        <v>564.85400000000004</v>
      </c>
      <c r="R45" s="160">
        <f t="shared" si="14"/>
        <v>1.6451511729034815E-4</v>
      </c>
      <c r="S45" s="85">
        <f t="shared" si="6"/>
        <v>9.292702206192233E-5</v>
      </c>
    </row>
    <row r="46" spans="1:20" x14ac:dyDescent="0.35">
      <c r="A46" s="81"/>
      <c r="B46" s="82"/>
      <c r="C46" s="82" t="s">
        <v>125</v>
      </c>
      <c r="D46" s="82"/>
      <c r="E46" s="82"/>
      <c r="F46" s="83">
        <v>4.4796990017747666E-2</v>
      </c>
      <c r="G46" s="82" t="s">
        <v>118</v>
      </c>
      <c r="H46" s="82" t="s">
        <v>131</v>
      </c>
      <c r="I46" s="217">
        <v>31</v>
      </c>
      <c r="J46" s="217">
        <v>46</v>
      </c>
      <c r="K46" s="217">
        <v>0</v>
      </c>
      <c r="L46" s="217">
        <v>2</v>
      </c>
      <c r="M46" s="217">
        <v>0</v>
      </c>
      <c r="N46" s="217">
        <v>0</v>
      </c>
      <c r="O46" s="84">
        <f t="shared" si="13"/>
        <v>450.70699999999994</v>
      </c>
      <c r="P46" s="82">
        <v>0</v>
      </c>
      <c r="Q46" s="84">
        <f t="shared" si="12"/>
        <v>450.70699999999994</v>
      </c>
      <c r="R46" s="160">
        <f t="shared" si="14"/>
        <v>4.9963261931209712E-4</v>
      </c>
      <c r="S46" s="85">
        <f t="shared" si="6"/>
        <v>2.251879189522973E-4</v>
      </c>
    </row>
    <row r="47" spans="1:20" ht="29" x14ac:dyDescent="0.35">
      <c r="A47" s="81"/>
      <c r="B47" s="82"/>
      <c r="C47" s="261" t="s">
        <v>615</v>
      </c>
      <c r="D47" s="82"/>
      <c r="E47" s="82"/>
      <c r="F47" s="83">
        <v>6.107420771177241E-2</v>
      </c>
      <c r="G47" s="82" t="s">
        <v>118</v>
      </c>
      <c r="H47" s="82" t="s">
        <v>784</v>
      </c>
      <c r="I47" s="217">
        <v>46</v>
      </c>
      <c r="J47" s="217">
        <v>64</v>
      </c>
      <c r="K47" s="217">
        <v>0</v>
      </c>
      <c r="L47" s="217">
        <v>8</v>
      </c>
      <c r="M47" s="217">
        <v>0</v>
      </c>
      <c r="N47" s="217">
        <v>0</v>
      </c>
      <c r="O47" s="84">
        <f t="shared" si="13"/>
        <v>745.01</v>
      </c>
      <c r="P47" s="82">
        <v>0</v>
      </c>
      <c r="Q47" s="84">
        <f t="shared" si="12"/>
        <v>745.01</v>
      </c>
      <c r="R47" s="160">
        <f t="shared" si="14"/>
        <v>4.1208992144022905E-4</v>
      </c>
      <c r="S47" s="85">
        <f t="shared" si="6"/>
        <v>3.0701111237218506E-4</v>
      </c>
    </row>
    <row r="48" spans="1:20" ht="29" x14ac:dyDescent="0.35">
      <c r="A48" s="86"/>
      <c r="B48" s="87"/>
      <c r="C48" s="263" t="s">
        <v>617</v>
      </c>
      <c r="D48" s="87"/>
      <c r="E48" s="87"/>
      <c r="F48" s="88">
        <v>5.610882497097789E-2</v>
      </c>
      <c r="G48" s="87" t="s">
        <v>118</v>
      </c>
      <c r="H48" s="87" t="s">
        <v>785</v>
      </c>
      <c r="I48" s="218">
        <v>46</v>
      </c>
      <c r="J48" s="218">
        <v>66</v>
      </c>
      <c r="K48" s="218">
        <v>0</v>
      </c>
      <c r="L48" s="218">
        <v>7</v>
      </c>
      <c r="M48" s="218">
        <v>0</v>
      </c>
      <c r="N48" s="218">
        <v>0</v>
      </c>
      <c r="O48" s="89">
        <f t="shared" si="13"/>
        <v>731.02700000000004</v>
      </c>
      <c r="P48" s="87">
        <v>0</v>
      </c>
      <c r="Q48" s="89">
        <f t="shared" si="12"/>
        <v>731.02700000000004</v>
      </c>
      <c r="R48" s="161">
        <f t="shared" si="14"/>
        <v>3.8582823799093046E-4</v>
      </c>
      <c r="S48" s="90">
        <f t="shared" si="6"/>
        <v>2.8205085933379591E-4</v>
      </c>
    </row>
    <row r="49" spans="1:19" x14ac:dyDescent="0.35">
      <c r="A49" s="262" t="s">
        <v>9</v>
      </c>
      <c r="B49" s="95">
        <f>'General composition'!B53</f>
        <v>0.17933500846075343</v>
      </c>
      <c r="C49" s="94" t="s">
        <v>201</v>
      </c>
      <c r="D49" s="95">
        <v>2.3886115436693139E-2</v>
      </c>
      <c r="E49" s="93">
        <f>D49*Q49</f>
        <v>10.761292157116175</v>
      </c>
      <c r="F49" s="95">
        <f>E49/$B$50</f>
        <v>1.4476422458652657E-2</v>
      </c>
      <c r="G49" s="94" t="s">
        <v>9</v>
      </c>
      <c r="H49" s="94" t="s">
        <v>245</v>
      </c>
      <c r="I49" s="219">
        <v>21</v>
      </c>
      <c r="J49" s="219">
        <v>38</v>
      </c>
      <c r="K49" s="219">
        <v>0</v>
      </c>
      <c r="L49" s="219">
        <v>10</v>
      </c>
      <c r="M49" s="219">
        <v>0</v>
      </c>
      <c r="N49" s="219">
        <v>0</v>
      </c>
      <c r="O49" s="97">
        <f t="shared" ref="O49:O125" si="18">(I49*12.011)+(J49*1.008)+(L49*15.999)+(14.007*K49)+(M49*30.974)+(N49*32.066)</f>
        <v>450.52499999999998</v>
      </c>
      <c r="P49" s="94">
        <v>0</v>
      </c>
      <c r="Q49" s="97">
        <f>O49-P49</f>
        <v>450.52499999999998</v>
      </c>
      <c r="R49" s="162">
        <f>B$49*F49*1000/Q49</f>
        <v>5.7624534578634154E-3</v>
      </c>
      <c r="S49" s="91">
        <f t="shared" si="6"/>
        <v>2.596129344103915E-3</v>
      </c>
    </row>
    <row r="50" spans="1:19" x14ac:dyDescent="0.35">
      <c r="A50" s="92"/>
      <c r="B50" s="93">
        <f>SUM(E49:E92)</f>
        <v>743.36682200677819</v>
      </c>
      <c r="C50" s="94" t="s">
        <v>202</v>
      </c>
      <c r="D50" s="95">
        <v>0</v>
      </c>
      <c r="E50" s="96">
        <f t="shared" ref="E50:E92" si="19">D50*Q50</f>
        <v>0</v>
      </c>
      <c r="F50" s="95">
        <f t="shared" ref="F50:F92" si="20">E50/$B$50</f>
        <v>0</v>
      </c>
      <c r="G50" s="94" t="s">
        <v>9</v>
      </c>
      <c r="H50" s="94" t="s">
        <v>246</v>
      </c>
      <c r="I50" s="219">
        <v>25</v>
      </c>
      <c r="J50" s="219">
        <v>46</v>
      </c>
      <c r="K50" s="219">
        <v>0</v>
      </c>
      <c r="L50" s="219">
        <v>10</v>
      </c>
      <c r="M50" s="219">
        <v>0</v>
      </c>
      <c r="N50" s="219">
        <v>0</v>
      </c>
      <c r="O50" s="97">
        <f t="shared" si="18"/>
        <v>506.63299999999998</v>
      </c>
      <c r="P50" s="94">
        <v>0</v>
      </c>
      <c r="Q50" s="97">
        <f t="shared" ref="Q50:Q96" si="21">O50-P50</f>
        <v>506.63299999999998</v>
      </c>
      <c r="R50" s="162">
        <f t="shared" ref="R50:R92" si="22">B$49*F50*1000/Q50</f>
        <v>0</v>
      </c>
      <c r="S50" s="91">
        <f t="shared" si="6"/>
        <v>0</v>
      </c>
    </row>
    <row r="51" spans="1:19" x14ac:dyDescent="0.35">
      <c r="A51" s="92"/>
      <c r="B51" s="98" t="s">
        <v>83</v>
      </c>
      <c r="C51" s="94" t="s">
        <v>203</v>
      </c>
      <c r="D51" s="95">
        <v>5.4166267632317161E-2</v>
      </c>
      <c r="E51" s="96">
        <f t="shared" si="19"/>
        <v>30.481579613677791</v>
      </c>
      <c r="F51" s="95">
        <f t="shared" si="20"/>
        <v>4.1004761998107916E-2</v>
      </c>
      <c r="G51" s="94" t="s">
        <v>9</v>
      </c>
      <c r="H51" s="94" t="s">
        <v>247</v>
      </c>
      <c r="I51" s="219">
        <v>29</v>
      </c>
      <c r="J51" s="219">
        <v>54</v>
      </c>
      <c r="K51" s="219">
        <v>0</v>
      </c>
      <c r="L51" s="219">
        <v>10</v>
      </c>
      <c r="M51" s="219">
        <v>0</v>
      </c>
      <c r="N51" s="219">
        <v>0</v>
      </c>
      <c r="O51" s="97">
        <f t="shared" si="18"/>
        <v>562.74099999999999</v>
      </c>
      <c r="P51" s="94">
        <v>0</v>
      </c>
      <c r="Q51" s="97">
        <f t="shared" si="21"/>
        <v>562.74099999999999</v>
      </c>
      <c r="R51" s="162">
        <f t="shared" si="22"/>
        <v>1.3067449039366004E-2</v>
      </c>
      <c r="S51" s="91">
        <f t="shared" si="6"/>
        <v>7.3535893398618641E-3</v>
      </c>
    </row>
    <row r="52" spans="1:19" x14ac:dyDescent="0.35">
      <c r="A52" s="92"/>
      <c r="B52" s="94"/>
      <c r="C52" s="94" t="s">
        <v>204</v>
      </c>
      <c r="D52" s="95">
        <v>1.6729227490327372E-3</v>
      </c>
      <c r="E52" s="96">
        <f t="shared" si="19"/>
        <v>1.0352865703161602</v>
      </c>
      <c r="F52" s="95">
        <f t="shared" si="20"/>
        <v>1.3926994582853743E-3</v>
      </c>
      <c r="G52" s="94" t="s">
        <v>9</v>
      </c>
      <c r="H52" s="94" t="s">
        <v>248</v>
      </c>
      <c r="I52" s="219">
        <v>33</v>
      </c>
      <c r="J52" s="219">
        <v>62</v>
      </c>
      <c r="K52" s="219">
        <v>0</v>
      </c>
      <c r="L52" s="219">
        <v>10</v>
      </c>
      <c r="M52" s="219">
        <v>0</v>
      </c>
      <c r="N52" s="219">
        <v>0</v>
      </c>
      <c r="O52" s="97">
        <f t="shared" si="18"/>
        <v>618.84899999999993</v>
      </c>
      <c r="P52" s="94">
        <v>0</v>
      </c>
      <c r="Q52" s="97">
        <f t="shared" si="21"/>
        <v>618.84899999999993</v>
      </c>
      <c r="R52" s="162">
        <f t="shared" si="22"/>
        <v>4.0358757812470307E-4</v>
      </c>
      <c r="S52" s="91">
        <f t="shared" si="6"/>
        <v>2.4975976913489434E-4</v>
      </c>
    </row>
    <row r="53" spans="1:19" x14ac:dyDescent="0.35">
      <c r="A53" s="92"/>
      <c r="B53" s="94"/>
      <c r="C53" s="94" t="s">
        <v>205</v>
      </c>
      <c r="D53" s="95">
        <v>1.3804930154267434E-2</v>
      </c>
      <c r="E53" s="96">
        <f t="shared" si="19"/>
        <v>9.3177342421338842</v>
      </c>
      <c r="F53" s="95">
        <f t="shared" si="20"/>
        <v>1.2534503782372093E-2</v>
      </c>
      <c r="G53" s="94" t="s">
        <v>9</v>
      </c>
      <c r="H53" s="94" t="s">
        <v>249</v>
      </c>
      <c r="I53" s="219">
        <v>37</v>
      </c>
      <c r="J53" s="219">
        <v>70</v>
      </c>
      <c r="K53" s="219">
        <v>0</v>
      </c>
      <c r="L53" s="219">
        <v>10</v>
      </c>
      <c r="M53" s="219">
        <v>0</v>
      </c>
      <c r="N53" s="219">
        <v>0</v>
      </c>
      <c r="O53" s="97">
        <f t="shared" si="18"/>
        <v>674.95699999999999</v>
      </c>
      <c r="P53" s="94">
        <v>0</v>
      </c>
      <c r="Q53" s="97">
        <f t="shared" si="21"/>
        <v>674.95699999999999</v>
      </c>
      <c r="R53" s="162">
        <f t="shared" si="22"/>
        <v>3.3303978503268282E-3</v>
      </c>
      <c r="S53" s="91">
        <f t="shared" si="6"/>
        <v>2.2478753418630451E-3</v>
      </c>
    </row>
    <row r="54" spans="1:19" x14ac:dyDescent="0.35">
      <c r="A54" s="92"/>
      <c r="B54" s="94"/>
      <c r="C54" s="94" t="s">
        <v>206</v>
      </c>
      <c r="D54" s="95">
        <v>8.5924970785518015E-2</v>
      </c>
      <c r="E54" s="96">
        <f t="shared" si="19"/>
        <v>62.816738767314725</v>
      </c>
      <c r="F54" s="95">
        <f t="shared" si="20"/>
        <v>8.4503016421604502E-2</v>
      </c>
      <c r="G54" s="94" t="s">
        <v>9</v>
      </c>
      <c r="H54" s="94" t="s">
        <v>250</v>
      </c>
      <c r="I54" s="219">
        <v>41</v>
      </c>
      <c r="J54" s="219">
        <v>78</v>
      </c>
      <c r="K54" s="219">
        <v>0</v>
      </c>
      <c r="L54" s="219">
        <v>10</v>
      </c>
      <c r="M54" s="219">
        <v>0</v>
      </c>
      <c r="N54" s="219">
        <v>0</v>
      </c>
      <c r="O54" s="97">
        <f t="shared" si="18"/>
        <v>731.06499999999994</v>
      </c>
      <c r="P54" s="94">
        <v>0</v>
      </c>
      <c r="Q54" s="97">
        <f t="shared" si="21"/>
        <v>731.06499999999994</v>
      </c>
      <c r="R54" s="162">
        <f t="shared" si="22"/>
        <v>2.0729140589315083E-2</v>
      </c>
      <c r="S54" s="91">
        <f t="shared" si="6"/>
        <v>1.515434916492763E-2</v>
      </c>
    </row>
    <row r="55" spans="1:19" x14ac:dyDescent="0.35">
      <c r="A55" s="92"/>
      <c r="B55" s="94"/>
      <c r="C55" s="94" t="s">
        <v>207</v>
      </c>
      <c r="D55" s="95">
        <v>4.7318814410959247E-2</v>
      </c>
      <c r="E55" s="96">
        <f t="shared" si="19"/>
        <v>34.402339597642936</v>
      </c>
      <c r="F55" s="95">
        <f t="shared" si="20"/>
        <v>4.6279089379817985E-2</v>
      </c>
      <c r="G55" s="94" t="s">
        <v>9</v>
      </c>
      <c r="H55" s="94" t="s">
        <v>251</v>
      </c>
      <c r="I55" s="219">
        <v>41</v>
      </c>
      <c r="J55" s="219">
        <v>74</v>
      </c>
      <c r="K55" s="219">
        <v>0</v>
      </c>
      <c r="L55" s="219">
        <v>10</v>
      </c>
      <c r="M55" s="219">
        <v>0</v>
      </c>
      <c r="N55" s="219">
        <v>0</v>
      </c>
      <c r="O55" s="97">
        <f t="shared" si="18"/>
        <v>727.03300000000002</v>
      </c>
      <c r="P55" s="94">
        <v>0</v>
      </c>
      <c r="Q55" s="97">
        <f t="shared" si="21"/>
        <v>727.03300000000002</v>
      </c>
      <c r="R55" s="162">
        <f t="shared" si="22"/>
        <v>1.1415521558836562E-2</v>
      </c>
      <c r="S55" s="91">
        <f t="shared" si="6"/>
        <v>8.2994608854856221E-3</v>
      </c>
    </row>
    <row r="56" spans="1:19" x14ac:dyDescent="0.35">
      <c r="A56" s="92"/>
      <c r="B56" s="94"/>
      <c r="C56" s="94" t="s">
        <v>208</v>
      </c>
      <c r="D56" s="95">
        <v>2.6945774357029473E-3</v>
      </c>
      <c r="E56" s="96">
        <f t="shared" si="19"/>
        <v>2.121098603794596</v>
      </c>
      <c r="F56" s="95">
        <f t="shared" si="20"/>
        <v>2.8533673295621678E-3</v>
      </c>
      <c r="G56" s="94" t="s">
        <v>9</v>
      </c>
      <c r="H56" s="94" t="s">
        <v>252</v>
      </c>
      <c r="I56" s="219">
        <v>45</v>
      </c>
      <c r="J56" s="219">
        <v>86</v>
      </c>
      <c r="K56" s="219">
        <v>0</v>
      </c>
      <c r="L56" s="219">
        <v>10</v>
      </c>
      <c r="M56" s="219">
        <v>0</v>
      </c>
      <c r="N56" s="219">
        <v>0</v>
      </c>
      <c r="O56" s="97">
        <f t="shared" si="18"/>
        <v>787.173</v>
      </c>
      <c r="P56" s="94">
        <v>0</v>
      </c>
      <c r="Q56" s="97">
        <f t="shared" si="21"/>
        <v>787.173</v>
      </c>
      <c r="R56" s="162">
        <f t="shared" si="22"/>
        <v>6.500586963585752E-4</v>
      </c>
      <c r="S56" s="91">
        <f t="shared" si="6"/>
        <v>5.1170865418866877E-4</v>
      </c>
    </row>
    <row r="57" spans="1:19" x14ac:dyDescent="0.35">
      <c r="A57" s="92"/>
      <c r="B57" s="94"/>
      <c r="C57" s="94" t="s">
        <v>209</v>
      </c>
      <c r="D57" s="95">
        <v>1.8318783294023127E-2</v>
      </c>
      <c r="E57" s="96">
        <f t="shared" si="19"/>
        <v>14.346190267664568</v>
      </c>
      <c r="F57" s="95">
        <f t="shared" si="20"/>
        <v>1.9298938078694285E-2</v>
      </c>
      <c r="G57" s="94" t="s">
        <v>9</v>
      </c>
      <c r="H57" s="94" t="s">
        <v>253</v>
      </c>
      <c r="I57" s="219">
        <v>45</v>
      </c>
      <c r="J57" s="219">
        <v>82</v>
      </c>
      <c r="K57" s="219">
        <v>0</v>
      </c>
      <c r="L57" s="219">
        <v>10</v>
      </c>
      <c r="M57" s="219">
        <v>0</v>
      </c>
      <c r="N57" s="219">
        <v>0</v>
      </c>
      <c r="O57" s="97">
        <f t="shared" si="18"/>
        <v>783.14100000000008</v>
      </c>
      <c r="P57" s="94">
        <v>0</v>
      </c>
      <c r="Q57" s="97">
        <f t="shared" si="21"/>
        <v>783.14100000000008</v>
      </c>
      <c r="R57" s="162">
        <f t="shared" si="22"/>
        <v>4.4193513347228607E-3</v>
      </c>
      <c r="S57" s="91">
        <f t="shared" si="6"/>
        <v>3.4609752236261959E-3</v>
      </c>
    </row>
    <row r="58" spans="1:19" x14ac:dyDescent="0.35">
      <c r="A58" s="92"/>
      <c r="B58" s="94"/>
      <c r="C58" s="94" t="s">
        <v>210</v>
      </c>
      <c r="D58" s="95">
        <v>3.6707976785245088E-2</v>
      </c>
      <c r="E58" s="96">
        <f t="shared" si="19"/>
        <v>28.599515085175515</v>
      </c>
      <c r="F58" s="95">
        <f t="shared" si="20"/>
        <v>3.8472950686672884E-2</v>
      </c>
      <c r="G58" s="94" t="s">
        <v>9</v>
      </c>
      <c r="H58" s="94" t="s">
        <v>254</v>
      </c>
      <c r="I58" s="219">
        <v>45</v>
      </c>
      <c r="J58" s="219">
        <v>78</v>
      </c>
      <c r="K58" s="219">
        <v>0</v>
      </c>
      <c r="L58" s="219">
        <v>10</v>
      </c>
      <c r="M58" s="219">
        <v>0</v>
      </c>
      <c r="N58" s="219">
        <v>0</v>
      </c>
      <c r="O58" s="97">
        <f t="shared" si="18"/>
        <v>779.10900000000004</v>
      </c>
      <c r="P58" s="94">
        <v>0</v>
      </c>
      <c r="Q58" s="97">
        <f t="shared" si="21"/>
        <v>779.10900000000004</v>
      </c>
      <c r="R58" s="162">
        <f t="shared" si="22"/>
        <v>8.8556889176028379E-3</v>
      </c>
      <c r="S58" s="91">
        <f t="shared" si="6"/>
        <v>6.8995469369046297E-3</v>
      </c>
    </row>
    <row r="59" spans="1:19" x14ac:dyDescent="0.35">
      <c r="A59" s="92"/>
      <c r="B59" s="94"/>
      <c r="C59" s="94" t="s">
        <v>211</v>
      </c>
      <c r="D59" s="95">
        <v>5.5504641316241124E-2</v>
      </c>
      <c r="E59" s="96">
        <f t="shared" si="19"/>
        <v>43.020370877468224</v>
      </c>
      <c r="F59" s="95">
        <f t="shared" si="20"/>
        <v>5.7872331134353416E-2</v>
      </c>
      <c r="G59" s="94" t="s">
        <v>9</v>
      </c>
      <c r="H59" s="94" t="s">
        <v>255</v>
      </c>
      <c r="I59" s="219">
        <v>45</v>
      </c>
      <c r="J59" s="219">
        <v>74</v>
      </c>
      <c r="K59" s="219">
        <v>0</v>
      </c>
      <c r="L59" s="219">
        <v>10</v>
      </c>
      <c r="M59" s="219">
        <v>0</v>
      </c>
      <c r="N59" s="219">
        <v>0</v>
      </c>
      <c r="O59" s="97">
        <f t="shared" si="18"/>
        <v>775.077</v>
      </c>
      <c r="P59" s="94">
        <v>0</v>
      </c>
      <c r="Q59" s="97">
        <f t="shared" si="21"/>
        <v>775.077</v>
      </c>
      <c r="R59" s="162">
        <f t="shared" si="22"/>
        <v>1.3390327662442303E-2</v>
      </c>
      <c r="S59" s="91">
        <f t="shared" si="6"/>
        <v>1.0378534993622793E-2</v>
      </c>
    </row>
    <row r="60" spans="1:19" x14ac:dyDescent="0.35">
      <c r="A60" s="92"/>
      <c r="B60" s="94"/>
      <c r="C60" s="94" t="s">
        <v>212</v>
      </c>
      <c r="D60" s="95">
        <v>1.5806988156635164E-2</v>
      </c>
      <c r="E60" s="96">
        <f t="shared" si="19"/>
        <v>9.6844042059730384</v>
      </c>
      <c r="F60" s="95">
        <f t="shared" si="20"/>
        <v>1.3027759538459378E-2</v>
      </c>
      <c r="G60" s="94" t="s">
        <v>9</v>
      </c>
      <c r="H60" s="94" t="s">
        <v>256</v>
      </c>
      <c r="I60" s="219">
        <v>27</v>
      </c>
      <c r="J60" s="219">
        <v>48</v>
      </c>
      <c r="K60" s="219">
        <v>0</v>
      </c>
      <c r="L60" s="219">
        <v>15</v>
      </c>
      <c r="M60" s="219">
        <v>0</v>
      </c>
      <c r="N60" s="219">
        <v>0</v>
      </c>
      <c r="O60" s="97">
        <f t="shared" si="18"/>
        <v>612.66599999999994</v>
      </c>
      <c r="P60" s="94">
        <v>0</v>
      </c>
      <c r="Q60" s="97">
        <f t="shared" si="21"/>
        <v>612.66599999999994</v>
      </c>
      <c r="R60" s="162">
        <f t="shared" si="22"/>
        <v>3.8133883177037305E-3</v>
      </c>
      <c r="S60" s="91">
        <f t="shared" si="6"/>
        <v>2.3363333670542736E-3</v>
      </c>
    </row>
    <row r="61" spans="1:19" x14ac:dyDescent="0.35">
      <c r="A61" s="92"/>
      <c r="B61" s="94"/>
      <c r="C61" s="94" t="s">
        <v>213</v>
      </c>
      <c r="D61" s="95">
        <v>0</v>
      </c>
      <c r="E61" s="96">
        <f t="shared" si="19"/>
        <v>0</v>
      </c>
      <c r="F61" s="95">
        <f t="shared" si="20"/>
        <v>0</v>
      </c>
      <c r="G61" s="94" t="s">
        <v>9</v>
      </c>
      <c r="H61" s="94" t="s">
        <v>257</v>
      </c>
      <c r="I61" s="219">
        <v>31</v>
      </c>
      <c r="J61" s="219">
        <v>56</v>
      </c>
      <c r="K61" s="219">
        <v>0</v>
      </c>
      <c r="L61" s="219">
        <v>15</v>
      </c>
      <c r="M61" s="219">
        <v>0</v>
      </c>
      <c r="N61" s="219">
        <v>0</v>
      </c>
      <c r="O61" s="97">
        <f t="shared" si="18"/>
        <v>668.77399999999989</v>
      </c>
      <c r="P61" s="94">
        <v>0</v>
      </c>
      <c r="Q61" s="97">
        <f t="shared" si="21"/>
        <v>668.77399999999989</v>
      </c>
      <c r="R61" s="162">
        <f t="shared" si="22"/>
        <v>0</v>
      </c>
      <c r="S61" s="91">
        <f t="shared" si="6"/>
        <v>0</v>
      </c>
    </row>
    <row r="62" spans="1:19" x14ac:dyDescent="0.35">
      <c r="A62" s="92"/>
      <c r="B62" s="94"/>
      <c r="C62" s="94" t="s">
        <v>214</v>
      </c>
      <c r="D62" s="95">
        <v>3.5845324168445179E-2</v>
      </c>
      <c r="E62" s="96">
        <f t="shared" si="19"/>
        <v>25.98363027387088</v>
      </c>
      <c r="F62" s="95">
        <f t="shared" si="20"/>
        <v>3.4953981674519706E-2</v>
      </c>
      <c r="G62" s="94" t="s">
        <v>9</v>
      </c>
      <c r="H62" s="94" t="s">
        <v>258</v>
      </c>
      <c r="I62" s="219">
        <v>35</v>
      </c>
      <c r="J62" s="219">
        <v>64</v>
      </c>
      <c r="K62" s="219">
        <v>0</v>
      </c>
      <c r="L62" s="219">
        <v>15</v>
      </c>
      <c r="M62" s="219">
        <v>0</v>
      </c>
      <c r="N62" s="219">
        <v>0</v>
      </c>
      <c r="O62" s="97">
        <f t="shared" si="18"/>
        <v>724.88200000000006</v>
      </c>
      <c r="P62" s="94">
        <v>0</v>
      </c>
      <c r="Q62" s="97">
        <f t="shared" si="21"/>
        <v>724.88200000000006</v>
      </c>
      <c r="R62" s="162">
        <f t="shared" si="22"/>
        <v>8.6475765701686785E-3</v>
      </c>
      <c r="S62" s="91">
        <f t="shared" si="6"/>
        <v>6.2684725993370129E-3</v>
      </c>
    </row>
    <row r="63" spans="1:19" x14ac:dyDescent="0.35">
      <c r="A63" s="92"/>
      <c r="B63" s="94"/>
      <c r="C63" s="94" t="s">
        <v>215</v>
      </c>
      <c r="D63" s="95">
        <v>1.1070812309775465E-3</v>
      </c>
      <c r="E63" s="96">
        <f t="shared" si="19"/>
        <v>0.86461937058115412</v>
      </c>
      <c r="F63" s="95">
        <f t="shared" si="20"/>
        <v>1.1631126719471351E-3</v>
      </c>
      <c r="G63" s="94" t="s">
        <v>9</v>
      </c>
      <c r="H63" s="94" t="s">
        <v>259</v>
      </c>
      <c r="I63" s="219">
        <v>39</v>
      </c>
      <c r="J63" s="219">
        <v>72</v>
      </c>
      <c r="K63" s="219">
        <v>0</v>
      </c>
      <c r="L63" s="219">
        <v>15</v>
      </c>
      <c r="M63" s="219">
        <v>0</v>
      </c>
      <c r="N63" s="219">
        <v>0</v>
      </c>
      <c r="O63" s="97">
        <f t="shared" si="18"/>
        <v>780.99</v>
      </c>
      <c r="P63" s="94">
        <v>0</v>
      </c>
      <c r="Q63" s="97">
        <f t="shared" si="21"/>
        <v>780.99</v>
      </c>
      <c r="R63" s="162">
        <f t="shared" si="22"/>
        <v>2.6708001493546524E-4</v>
      </c>
      <c r="S63" s="91">
        <f t="shared" si="6"/>
        <v>2.08586820864449E-4</v>
      </c>
    </row>
    <row r="64" spans="1:19" x14ac:dyDescent="0.35">
      <c r="A64" s="92"/>
      <c r="B64" s="94"/>
      <c r="C64" s="94" t="s">
        <v>216</v>
      </c>
      <c r="D64" s="95">
        <v>9.1356155432652138E-3</v>
      </c>
      <c r="E64" s="96">
        <f t="shared" si="19"/>
        <v>7.6474055000362231</v>
      </c>
      <c r="F64" s="95">
        <f t="shared" si="20"/>
        <v>1.0287525988032988E-2</v>
      </c>
      <c r="G64" s="94" t="s">
        <v>9</v>
      </c>
      <c r="H64" s="94" t="s">
        <v>260</v>
      </c>
      <c r="I64" s="219">
        <v>43</v>
      </c>
      <c r="J64" s="219">
        <v>80</v>
      </c>
      <c r="K64" s="219">
        <v>0</v>
      </c>
      <c r="L64" s="219">
        <v>15</v>
      </c>
      <c r="M64" s="219">
        <v>0</v>
      </c>
      <c r="N64" s="219">
        <v>0</v>
      </c>
      <c r="O64" s="97">
        <f t="shared" si="18"/>
        <v>837.09799999999996</v>
      </c>
      <c r="P64" s="94">
        <v>0</v>
      </c>
      <c r="Q64" s="97">
        <f t="shared" si="21"/>
        <v>837.09799999999996</v>
      </c>
      <c r="R64" s="162">
        <f t="shared" si="22"/>
        <v>2.203939753892754E-3</v>
      </c>
      <c r="S64" s="91">
        <f t="shared" si="6"/>
        <v>1.8449135601041164E-3</v>
      </c>
    </row>
    <row r="65" spans="1:19" x14ac:dyDescent="0.35">
      <c r="A65" s="92"/>
      <c r="B65" s="94"/>
      <c r="C65" s="94" t="s">
        <v>217</v>
      </c>
      <c r="D65" s="95">
        <v>5.6862113019828096E-2</v>
      </c>
      <c r="E65" s="96">
        <f t="shared" si="19"/>
        <v>50.789580521988576</v>
      </c>
      <c r="F65" s="95">
        <f t="shared" si="20"/>
        <v>6.8323711818181559E-2</v>
      </c>
      <c r="G65" s="94" t="s">
        <v>9</v>
      </c>
      <c r="H65" s="94" t="s">
        <v>261</v>
      </c>
      <c r="I65" s="219">
        <v>47</v>
      </c>
      <c r="J65" s="219">
        <v>88</v>
      </c>
      <c r="K65" s="219">
        <v>0</v>
      </c>
      <c r="L65" s="219">
        <v>15</v>
      </c>
      <c r="M65" s="219">
        <v>0</v>
      </c>
      <c r="N65" s="219">
        <v>0</v>
      </c>
      <c r="O65" s="97">
        <f t="shared" si="18"/>
        <v>893.20600000000002</v>
      </c>
      <c r="P65" s="94">
        <v>0</v>
      </c>
      <c r="Q65" s="97">
        <f t="shared" si="21"/>
        <v>893.20600000000002</v>
      </c>
      <c r="R65" s="162">
        <f t="shared" si="22"/>
        <v>1.371781362528204E-2</v>
      </c>
      <c r="S65" s="91">
        <f t="shared" si="6"/>
        <v>1.2252833436983669E-2</v>
      </c>
    </row>
    <row r="66" spans="1:19" x14ac:dyDescent="0.35">
      <c r="A66" s="92"/>
      <c r="B66" s="94"/>
      <c r="C66" s="94" t="s">
        <v>218</v>
      </c>
      <c r="D66" s="95">
        <v>3.131392130137009E-2</v>
      </c>
      <c r="E66" s="96">
        <f t="shared" si="19"/>
        <v>27.843524659224446</v>
      </c>
      <c r="F66" s="95">
        <f t="shared" si="20"/>
        <v>3.7455969024900282E-2</v>
      </c>
      <c r="G66" s="94" t="s">
        <v>9</v>
      </c>
      <c r="H66" s="94" t="s">
        <v>262</v>
      </c>
      <c r="I66" s="219">
        <v>47</v>
      </c>
      <c r="J66" s="219">
        <v>84</v>
      </c>
      <c r="K66" s="219">
        <v>0</v>
      </c>
      <c r="L66" s="219">
        <v>15</v>
      </c>
      <c r="M66" s="219">
        <v>0</v>
      </c>
      <c r="N66" s="219">
        <v>0</v>
      </c>
      <c r="O66" s="97">
        <f t="shared" si="18"/>
        <v>889.17399999999998</v>
      </c>
      <c r="P66" s="94">
        <v>0</v>
      </c>
      <c r="Q66" s="97">
        <f t="shared" si="21"/>
        <v>889.17399999999998</v>
      </c>
      <c r="R66" s="162">
        <f t="shared" si="22"/>
        <v>7.5543892668771357E-3</v>
      </c>
      <c r="S66" s="91">
        <f t="shared" si="6"/>
        <v>6.7171665219862104E-3</v>
      </c>
    </row>
    <row r="67" spans="1:19" x14ac:dyDescent="0.35">
      <c r="A67" s="92"/>
      <c r="B67" s="94"/>
      <c r="C67" s="94" t="s">
        <v>219</v>
      </c>
      <c r="D67" s="95">
        <v>1.7831762442151856E-3</v>
      </c>
      <c r="E67" s="96">
        <f t="shared" si="19"/>
        <v>1.6927941731008946</v>
      </c>
      <c r="F67" s="95">
        <f t="shared" si="20"/>
        <v>2.2771989857323215E-3</v>
      </c>
      <c r="G67" s="94" t="s">
        <v>9</v>
      </c>
      <c r="H67" s="94" t="s">
        <v>263</v>
      </c>
      <c r="I67" s="219">
        <v>51</v>
      </c>
      <c r="J67" s="219">
        <v>96</v>
      </c>
      <c r="K67" s="219">
        <v>0</v>
      </c>
      <c r="L67" s="219">
        <v>15</v>
      </c>
      <c r="M67" s="219">
        <v>0</v>
      </c>
      <c r="N67" s="219">
        <v>0</v>
      </c>
      <c r="O67" s="97">
        <f t="shared" si="18"/>
        <v>949.31399999999996</v>
      </c>
      <c r="P67" s="94">
        <v>0</v>
      </c>
      <c r="Q67" s="97">
        <f t="shared" si="21"/>
        <v>949.31399999999996</v>
      </c>
      <c r="R67" s="162">
        <f t="shared" si="22"/>
        <v>4.301859020019983E-4</v>
      </c>
      <c r="S67" s="91">
        <f t="shared" si="6"/>
        <v>4.0838149937312502E-4</v>
      </c>
    </row>
    <row r="68" spans="1:19" x14ac:dyDescent="0.35">
      <c r="A68" s="92"/>
      <c r="B68" s="94"/>
      <c r="C68" s="94" t="s">
        <v>220</v>
      </c>
      <c r="D68" s="95">
        <v>1.2122724238691776E-2</v>
      </c>
      <c r="E68" s="96">
        <f t="shared" si="19"/>
        <v>11.459393013799039</v>
      </c>
      <c r="F68" s="95">
        <f t="shared" si="20"/>
        <v>1.5415529284537466E-2</v>
      </c>
      <c r="G68" s="94" t="s">
        <v>9</v>
      </c>
      <c r="H68" s="94" t="s">
        <v>264</v>
      </c>
      <c r="I68" s="219">
        <v>51</v>
      </c>
      <c r="J68" s="219">
        <v>92</v>
      </c>
      <c r="K68" s="219">
        <v>0</v>
      </c>
      <c r="L68" s="219">
        <v>15</v>
      </c>
      <c r="M68" s="219">
        <v>0</v>
      </c>
      <c r="N68" s="219">
        <v>0</v>
      </c>
      <c r="O68" s="97">
        <f t="shared" si="18"/>
        <v>945.28199999999993</v>
      </c>
      <c r="P68" s="94">
        <v>0</v>
      </c>
      <c r="Q68" s="97">
        <f t="shared" si="21"/>
        <v>945.28199999999993</v>
      </c>
      <c r="R68" s="162">
        <f t="shared" si="22"/>
        <v>2.9245707362136582E-3</v>
      </c>
      <c r="S68" s="91">
        <f t="shared" si="6"/>
        <v>2.7645440746695187E-3</v>
      </c>
    </row>
    <row r="69" spans="1:19" x14ac:dyDescent="0.35">
      <c r="A69" s="92"/>
      <c r="B69" s="94"/>
      <c r="C69" s="94" t="s">
        <v>221</v>
      </c>
      <c r="D69" s="95">
        <v>2.4292043460823955E-2</v>
      </c>
      <c r="E69" s="96">
        <f t="shared" si="19"/>
        <v>22.864885907500543</v>
      </c>
      <c r="F69" s="95">
        <f t="shared" si="20"/>
        <v>3.0758550463383549E-2</v>
      </c>
      <c r="G69" s="94" t="s">
        <v>9</v>
      </c>
      <c r="H69" s="94" t="s">
        <v>265</v>
      </c>
      <c r="I69" s="219">
        <v>51</v>
      </c>
      <c r="J69" s="219">
        <v>88</v>
      </c>
      <c r="K69" s="219">
        <v>0</v>
      </c>
      <c r="L69" s="219">
        <v>15</v>
      </c>
      <c r="M69" s="219">
        <v>0</v>
      </c>
      <c r="N69" s="219">
        <v>0</v>
      </c>
      <c r="O69" s="97">
        <f t="shared" si="18"/>
        <v>941.24999999999989</v>
      </c>
      <c r="P69" s="94">
        <v>0</v>
      </c>
      <c r="Q69" s="97">
        <f t="shared" si="21"/>
        <v>941.24999999999989</v>
      </c>
      <c r="R69" s="162">
        <f t="shared" si="22"/>
        <v>5.8603823719430544E-3</v>
      </c>
      <c r="S69" s="91">
        <f t="shared" si="6"/>
        <v>5.5160849075913997E-3</v>
      </c>
    </row>
    <row r="70" spans="1:19" x14ac:dyDescent="0.35">
      <c r="A70" s="92"/>
      <c r="B70" s="94"/>
      <c r="C70" s="94" t="s">
        <v>222</v>
      </c>
      <c r="D70" s="95">
        <v>3.6731012635747802E-2</v>
      </c>
      <c r="E70" s="96">
        <f t="shared" si="19"/>
        <v>34.424966200450285</v>
      </c>
      <c r="F70" s="95">
        <f t="shared" si="20"/>
        <v>4.6309527384498186E-2</v>
      </c>
      <c r="G70" s="94" t="s">
        <v>9</v>
      </c>
      <c r="H70" s="94" t="s">
        <v>266</v>
      </c>
      <c r="I70" s="219">
        <v>51</v>
      </c>
      <c r="J70" s="219">
        <v>84</v>
      </c>
      <c r="K70" s="219">
        <v>0</v>
      </c>
      <c r="L70" s="219">
        <v>15</v>
      </c>
      <c r="M70" s="219">
        <v>0</v>
      </c>
      <c r="N70" s="219">
        <v>0</v>
      </c>
      <c r="O70" s="97">
        <f t="shared" si="18"/>
        <v>937.21799999999996</v>
      </c>
      <c r="P70" s="94">
        <v>0</v>
      </c>
      <c r="Q70" s="97">
        <f t="shared" si="21"/>
        <v>937.21799999999996</v>
      </c>
      <c r="R70" s="162">
        <f t="shared" si="22"/>
        <v>8.8612462472044649E-3</v>
      </c>
      <c r="S70" s="91">
        <f t="shared" si="6"/>
        <v>8.3049194853124751E-3</v>
      </c>
    </row>
    <row r="71" spans="1:19" x14ac:dyDescent="0.35">
      <c r="A71" s="92"/>
      <c r="B71" s="94"/>
      <c r="C71" s="94" t="s">
        <v>223</v>
      </c>
      <c r="D71" s="95">
        <v>1.3699389735750477E-2</v>
      </c>
      <c r="E71" s="96">
        <f t="shared" si="19"/>
        <v>7.0357462798764665</v>
      </c>
      <c r="F71" s="95">
        <f t="shared" si="20"/>
        <v>9.4647031204364313E-3</v>
      </c>
      <c r="G71" s="94" t="s">
        <v>9</v>
      </c>
      <c r="H71" s="94" t="s">
        <v>267</v>
      </c>
      <c r="I71" s="219">
        <v>21</v>
      </c>
      <c r="J71" s="219">
        <v>37</v>
      </c>
      <c r="K71" s="219">
        <v>0</v>
      </c>
      <c r="L71" s="219">
        <v>12</v>
      </c>
      <c r="M71" s="219">
        <v>0</v>
      </c>
      <c r="N71" s="219">
        <v>1</v>
      </c>
      <c r="O71" s="97">
        <f t="shared" si="18"/>
        <v>513.58100000000002</v>
      </c>
      <c r="P71" s="94">
        <v>0</v>
      </c>
      <c r="Q71" s="97">
        <f t="shared" si="21"/>
        <v>513.58100000000002</v>
      </c>
      <c r="R71" s="162">
        <f t="shared" si="22"/>
        <v>3.3049365420099006E-3</v>
      </c>
      <c r="S71" s="91">
        <f t="shared" si="6"/>
        <v>1.6973526141819868E-3</v>
      </c>
    </row>
    <row r="72" spans="1:19" x14ac:dyDescent="0.35">
      <c r="A72" s="92"/>
      <c r="B72" s="94"/>
      <c r="C72" s="94" t="s">
        <v>224</v>
      </c>
      <c r="D72" s="95">
        <v>0</v>
      </c>
      <c r="E72" s="96">
        <f t="shared" si="19"/>
        <v>0</v>
      </c>
      <c r="F72" s="95">
        <f t="shared" si="20"/>
        <v>0</v>
      </c>
      <c r="G72" s="94" t="s">
        <v>9</v>
      </c>
      <c r="H72" s="94" t="s">
        <v>268</v>
      </c>
      <c r="I72" s="219">
        <v>25</v>
      </c>
      <c r="J72" s="219">
        <v>45</v>
      </c>
      <c r="K72" s="219">
        <v>0</v>
      </c>
      <c r="L72" s="219">
        <v>12</v>
      </c>
      <c r="M72" s="219">
        <v>0</v>
      </c>
      <c r="N72" s="219">
        <v>1</v>
      </c>
      <c r="O72" s="97">
        <f t="shared" si="18"/>
        <v>569.68900000000008</v>
      </c>
      <c r="P72" s="94">
        <v>0</v>
      </c>
      <c r="Q72" s="97">
        <f t="shared" si="21"/>
        <v>569.68900000000008</v>
      </c>
      <c r="R72" s="162">
        <f t="shared" si="22"/>
        <v>0</v>
      </c>
      <c r="S72" s="91">
        <f t="shared" si="6"/>
        <v>0</v>
      </c>
    </row>
    <row r="73" spans="1:19" x14ac:dyDescent="0.35">
      <c r="A73" s="92"/>
      <c r="B73" s="94"/>
      <c r="C73" s="94" t="s">
        <v>225</v>
      </c>
      <c r="D73" s="95">
        <v>3.1065947612652488E-2</v>
      </c>
      <c r="E73" s="96">
        <f t="shared" si="19"/>
        <v>19.440976818155089</v>
      </c>
      <c r="F73" s="95">
        <f t="shared" si="20"/>
        <v>2.6152602245110453E-2</v>
      </c>
      <c r="G73" s="94" t="s">
        <v>9</v>
      </c>
      <c r="H73" s="94" t="s">
        <v>269</v>
      </c>
      <c r="I73" s="219">
        <v>29</v>
      </c>
      <c r="J73" s="219">
        <v>53</v>
      </c>
      <c r="K73" s="219">
        <v>0</v>
      </c>
      <c r="L73" s="219">
        <v>12</v>
      </c>
      <c r="M73" s="219">
        <v>0</v>
      </c>
      <c r="N73" s="219">
        <v>1</v>
      </c>
      <c r="O73" s="97">
        <f t="shared" si="18"/>
        <v>625.79700000000003</v>
      </c>
      <c r="P73" s="94">
        <v>0</v>
      </c>
      <c r="Q73" s="97">
        <f t="shared" si="21"/>
        <v>625.79700000000003</v>
      </c>
      <c r="R73" s="162">
        <f t="shared" si="22"/>
        <v>7.4945663608128555E-3</v>
      </c>
      <c r="S73" s="91">
        <f t="shared" si="6"/>
        <v>4.6900771448976026E-3</v>
      </c>
    </row>
    <row r="74" spans="1:19" x14ac:dyDescent="0.35">
      <c r="A74" s="92"/>
      <c r="B74" s="94"/>
      <c r="C74" s="94" t="s">
        <v>226</v>
      </c>
      <c r="D74" s="95">
        <v>9.5947040018054043E-4</v>
      </c>
      <c r="E74" s="96">
        <f t="shared" si="19"/>
        <v>0.65426766323511143</v>
      </c>
      <c r="F74" s="95">
        <f t="shared" si="20"/>
        <v>8.8014106073346608E-4</v>
      </c>
      <c r="G74" s="94" t="s">
        <v>9</v>
      </c>
      <c r="H74" s="94" t="s">
        <v>270</v>
      </c>
      <c r="I74" s="219">
        <v>33</v>
      </c>
      <c r="J74" s="219">
        <v>61</v>
      </c>
      <c r="K74" s="219">
        <v>0</v>
      </c>
      <c r="L74" s="219">
        <v>12</v>
      </c>
      <c r="M74" s="219">
        <v>0</v>
      </c>
      <c r="N74" s="219">
        <v>1</v>
      </c>
      <c r="O74" s="97">
        <f t="shared" si="18"/>
        <v>681.90499999999997</v>
      </c>
      <c r="P74" s="94">
        <v>0</v>
      </c>
      <c r="Q74" s="97">
        <f t="shared" si="21"/>
        <v>681.90499999999997</v>
      </c>
      <c r="R74" s="162">
        <f t="shared" si="22"/>
        <v>2.3146934627740322E-4</v>
      </c>
      <c r="S74" s="91">
        <f t="shared" si="6"/>
        <v>1.5784010457329265E-4</v>
      </c>
    </row>
    <row r="75" spans="1:19" x14ac:dyDescent="0.35">
      <c r="A75" s="92"/>
      <c r="B75" s="94"/>
      <c r="C75" s="94" t="s">
        <v>227</v>
      </c>
      <c r="D75" s="95">
        <v>7.9175334708298517E-3</v>
      </c>
      <c r="E75" s="96">
        <f t="shared" si="19"/>
        <v>5.843242629407551</v>
      </c>
      <c r="F75" s="95">
        <f t="shared" si="20"/>
        <v>7.8605103919398098E-3</v>
      </c>
      <c r="G75" s="94" t="s">
        <v>9</v>
      </c>
      <c r="H75" s="94" t="s">
        <v>271</v>
      </c>
      <c r="I75" s="219">
        <v>37</v>
      </c>
      <c r="J75" s="219">
        <v>69</v>
      </c>
      <c r="K75" s="219">
        <v>0</v>
      </c>
      <c r="L75" s="219">
        <v>12</v>
      </c>
      <c r="M75" s="219">
        <v>0</v>
      </c>
      <c r="N75" s="219">
        <v>1</v>
      </c>
      <c r="O75" s="97">
        <f t="shared" si="18"/>
        <v>738.01299999999992</v>
      </c>
      <c r="P75" s="94">
        <v>0</v>
      </c>
      <c r="Q75" s="97">
        <f t="shared" si="21"/>
        <v>738.01299999999992</v>
      </c>
      <c r="R75" s="162">
        <f t="shared" si="22"/>
        <v>1.9100811200403872E-3</v>
      </c>
      <c r="S75" s="91">
        <f t="shared" ref="S75:S140" si="23">R75*Q75/1000</f>
        <v>1.409664697644366E-3</v>
      </c>
    </row>
    <row r="76" spans="1:19" x14ac:dyDescent="0.35">
      <c r="A76" s="92"/>
      <c r="B76" s="94"/>
      <c r="C76" s="94" t="s">
        <v>228</v>
      </c>
      <c r="D76" s="95">
        <v>4.9280497950517685E-2</v>
      </c>
      <c r="E76" s="96">
        <f t="shared" si="19"/>
        <v>39.134678312963061</v>
      </c>
      <c r="F76" s="95">
        <f t="shared" si="20"/>
        <v>5.2645177527987953E-2</v>
      </c>
      <c r="G76" s="94" t="s">
        <v>9</v>
      </c>
      <c r="H76" s="94" t="s">
        <v>272</v>
      </c>
      <c r="I76" s="219">
        <v>41</v>
      </c>
      <c r="J76" s="219">
        <v>77</v>
      </c>
      <c r="K76" s="219">
        <v>0</v>
      </c>
      <c r="L76" s="219">
        <v>12</v>
      </c>
      <c r="M76" s="219">
        <v>0</v>
      </c>
      <c r="N76" s="219">
        <v>1</v>
      </c>
      <c r="O76" s="97">
        <f t="shared" si="18"/>
        <v>794.12100000000009</v>
      </c>
      <c r="P76" s="94">
        <v>0</v>
      </c>
      <c r="Q76" s="97">
        <f t="shared" si="21"/>
        <v>794.12100000000009</v>
      </c>
      <c r="R76" s="162">
        <f t="shared" si="22"/>
        <v>1.1888771808577768E-2</v>
      </c>
      <c r="S76" s="91">
        <f t="shared" si="23"/>
        <v>9.4411233573995865E-3</v>
      </c>
    </row>
    <row r="77" spans="1:19" x14ac:dyDescent="0.35">
      <c r="A77" s="92"/>
      <c r="B77" s="94"/>
      <c r="C77" s="94" t="s">
        <v>229</v>
      </c>
      <c r="D77" s="95">
        <v>2.7138731794520744E-2</v>
      </c>
      <c r="E77" s="96">
        <f t="shared" si="19"/>
        <v>21.442013464801096</v>
      </c>
      <c r="F77" s="95">
        <f t="shared" si="20"/>
        <v>2.8844458523070302E-2</v>
      </c>
      <c r="G77" s="94" t="s">
        <v>9</v>
      </c>
      <c r="H77" s="94" t="s">
        <v>273</v>
      </c>
      <c r="I77" s="219">
        <v>41</v>
      </c>
      <c r="J77" s="219">
        <v>73</v>
      </c>
      <c r="K77" s="219">
        <v>0</v>
      </c>
      <c r="L77" s="219">
        <v>12</v>
      </c>
      <c r="M77" s="219">
        <v>0</v>
      </c>
      <c r="N77" s="219">
        <v>1</v>
      </c>
      <c r="O77" s="97">
        <f t="shared" si="18"/>
        <v>790.08899999999994</v>
      </c>
      <c r="P77" s="94">
        <v>0</v>
      </c>
      <c r="Q77" s="97">
        <f t="shared" si="21"/>
        <v>790.08899999999994</v>
      </c>
      <c r="R77" s="162">
        <f t="shared" si="22"/>
        <v>6.5471373646268519E-3</v>
      </c>
      <c r="S77" s="91">
        <f t="shared" si="23"/>
        <v>5.1728212132806642E-3</v>
      </c>
    </row>
    <row r="78" spans="1:19" x14ac:dyDescent="0.35">
      <c r="A78" s="92"/>
      <c r="B78" s="94"/>
      <c r="C78" s="94" t="s">
        <v>230</v>
      </c>
      <c r="D78" s="95">
        <v>1.5454194116531609E-3</v>
      </c>
      <c r="E78" s="96">
        <f t="shared" si="19"/>
        <v>1.3139604009504555</v>
      </c>
      <c r="F78" s="95">
        <f t="shared" si="20"/>
        <v>1.7675800991538934E-3</v>
      </c>
      <c r="G78" s="94" t="s">
        <v>9</v>
      </c>
      <c r="H78" s="94" t="s">
        <v>274</v>
      </c>
      <c r="I78" s="219">
        <v>45</v>
      </c>
      <c r="J78" s="219">
        <v>85</v>
      </c>
      <c r="K78" s="219">
        <v>0</v>
      </c>
      <c r="L78" s="219">
        <v>12</v>
      </c>
      <c r="M78" s="219">
        <v>0</v>
      </c>
      <c r="N78" s="219">
        <v>1</v>
      </c>
      <c r="O78" s="97">
        <f t="shared" si="18"/>
        <v>850.22900000000004</v>
      </c>
      <c r="P78" s="94">
        <v>0</v>
      </c>
      <c r="Q78" s="97">
        <f t="shared" si="21"/>
        <v>850.22900000000004</v>
      </c>
      <c r="R78" s="162">
        <f t="shared" si="22"/>
        <v>3.728277817350653E-4</v>
      </c>
      <c r="S78" s="91">
        <f t="shared" si="23"/>
        <v>3.1698899203682284E-4</v>
      </c>
    </row>
    <row r="79" spans="1:19" x14ac:dyDescent="0.35">
      <c r="A79" s="92"/>
      <c r="B79" s="94"/>
      <c r="C79" s="94" t="s">
        <v>231</v>
      </c>
      <c r="D79" s="95">
        <v>1.0506361006866206E-2</v>
      </c>
      <c r="E79" s="96">
        <f t="shared" si="19"/>
        <v>8.890451164927164</v>
      </c>
      <c r="F79" s="95">
        <f t="shared" si="20"/>
        <v>1.1959709394786655E-2</v>
      </c>
      <c r="G79" s="94" t="s">
        <v>9</v>
      </c>
      <c r="H79" s="94" t="s">
        <v>275</v>
      </c>
      <c r="I79" s="219">
        <v>45</v>
      </c>
      <c r="J79" s="219">
        <v>81</v>
      </c>
      <c r="K79" s="219">
        <v>0</v>
      </c>
      <c r="L79" s="219">
        <v>12</v>
      </c>
      <c r="M79" s="219">
        <v>0</v>
      </c>
      <c r="N79" s="219">
        <v>1</v>
      </c>
      <c r="O79" s="97">
        <f t="shared" si="18"/>
        <v>846.19700000000012</v>
      </c>
      <c r="P79" s="94">
        <v>0</v>
      </c>
      <c r="Q79" s="97">
        <f t="shared" si="21"/>
        <v>846.19700000000012</v>
      </c>
      <c r="R79" s="162">
        <f t="shared" si="22"/>
        <v>2.53462797138517E-3</v>
      </c>
      <c r="S79" s="91">
        <f t="shared" si="23"/>
        <v>2.1447945855022172E-3</v>
      </c>
    </row>
    <row r="80" spans="1:19" x14ac:dyDescent="0.35">
      <c r="A80" s="92"/>
      <c r="B80" s="94"/>
      <c r="C80" s="94" t="s">
        <v>232</v>
      </c>
      <c r="D80" s="95">
        <v>2.1053104332714092E-2</v>
      </c>
      <c r="E80" s="96">
        <f t="shared" si="19"/>
        <v>17.730187610360161</v>
      </c>
      <c r="F80" s="95">
        <f t="shared" si="20"/>
        <v>2.3851195783121046E-2</v>
      </c>
      <c r="G80" s="94" t="s">
        <v>9</v>
      </c>
      <c r="H80" s="94" t="s">
        <v>276</v>
      </c>
      <c r="I80" s="219">
        <v>45</v>
      </c>
      <c r="J80" s="219">
        <v>77</v>
      </c>
      <c r="K80" s="219">
        <v>0</v>
      </c>
      <c r="L80" s="219">
        <v>12</v>
      </c>
      <c r="M80" s="219">
        <v>0</v>
      </c>
      <c r="N80" s="219">
        <v>1</v>
      </c>
      <c r="O80" s="97">
        <f t="shared" si="18"/>
        <v>842.16499999999996</v>
      </c>
      <c r="P80" s="94">
        <v>0</v>
      </c>
      <c r="Q80" s="97">
        <f t="shared" si="21"/>
        <v>842.16499999999996</v>
      </c>
      <c r="R80" s="162">
        <f t="shared" si="22"/>
        <v>5.0789980556839812E-3</v>
      </c>
      <c r="S80" s="91">
        <f t="shared" si="23"/>
        <v>4.2773543975650995E-3</v>
      </c>
    </row>
    <row r="81" spans="1:19" x14ac:dyDescent="0.35">
      <c r="A81" s="92"/>
      <c r="B81" s="94"/>
      <c r="C81" s="94" t="s">
        <v>233</v>
      </c>
      <c r="D81" s="95">
        <v>3.1833544284314758E-2</v>
      </c>
      <c r="E81" s="96">
        <f t="shared" si="19"/>
        <v>26.680743971645583</v>
      </c>
      <c r="F81" s="95">
        <f t="shared" si="20"/>
        <v>3.5891760543763279E-2</v>
      </c>
      <c r="G81" s="94" t="s">
        <v>9</v>
      </c>
      <c r="H81" s="94" t="s">
        <v>277</v>
      </c>
      <c r="I81" s="219">
        <v>45</v>
      </c>
      <c r="J81" s="219">
        <v>73</v>
      </c>
      <c r="K81" s="219">
        <v>0</v>
      </c>
      <c r="L81" s="219">
        <v>12</v>
      </c>
      <c r="M81" s="219">
        <v>0</v>
      </c>
      <c r="N81" s="219">
        <v>1</v>
      </c>
      <c r="O81" s="97">
        <f t="shared" si="18"/>
        <v>838.13300000000004</v>
      </c>
      <c r="P81" s="94">
        <v>0</v>
      </c>
      <c r="Q81" s="97">
        <f t="shared" si="21"/>
        <v>838.13300000000004</v>
      </c>
      <c r="R81" s="162">
        <f t="shared" si="22"/>
        <v>7.6797467475772027E-3</v>
      </c>
      <c r="S81" s="91">
        <f t="shared" si="23"/>
        <v>6.436649180787124E-3</v>
      </c>
    </row>
    <row r="82" spans="1:19" x14ac:dyDescent="0.35">
      <c r="A82" s="92"/>
      <c r="B82" s="94"/>
      <c r="C82" s="94" t="s">
        <v>234</v>
      </c>
      <c r="D82" s="95">
        <v>1.6860787367077509E-2</v>
      </c>
      <c r="E82" s="96">
        <f t="shared" si="19"/>
        <v>7.4429248105984929</v>
      </c>
      <c r="F82" s="95">
        <f t="shared" si="20"/>
        <v>1.0012452251373987E-2</v>
      </c>
      <c r="G82" s="94" t="s">
        <v>9</v>
      </c>
      <c r="H82" s="94" t="s">
        <v>278</v>
      </c>
      <c r="I82" s="219">
        <v>18</v>
      </c>
      <c r="J82" s="219">
        <v>34</v>
      </c>
      <c r="K82" s="219">
        <v>0</v>
      </c>
      <c r="L82" s="219">
        <v>10</v>
      </c>
      <c r="M82" s="219">
        <v>1</v>
      </c>
      <c r="N82" s="219">
        <v>0</v>
      </c>
      <c r="O82" s="97">
        <f t="shared" si="18"/>
        <v>441.43399999999997</v>
      </c>
      <c r="P82" s="94">
        <v>0</v>
      </c>
      <c r="Q82" s="97">
        <f t="shared" si="21"/>
        <v>441.43399999999997</v>
      </c>
      <c r="R82" s="162">
        <f t="shared" si="22"/>
        <v>4.0676142055506457E-3</v>
      </c>
      <c r="S82" s="91">
        <f t="shared" si="23"/>
        <v>1.7955832092130437E-3</v>
      </c>
    </row>
    <row r="83" spans="1:19" x14ac:dyDescent="0.35">
      <c r="A83" s="92"/>
      <c r="B83" s="94"/>
      <c r="C83" s="94" t="s">
        <v>235</v>
      </c>
      <c r="D83" s="95">
        <v>0</v>
      </c>
      <c r="E83" s="96">
        <f t="shared" si="19"/>
        <v>0</v>
      </c>
      <c r="F83" s="95">
        <f t="shared" si="20"/>
        <v>0</v>
      </c>
      <c r="G83" s="94" t="s">
        <v>9</v>
      </c>
      <c r="H83" s="94" t="s">
        <v>279</v>
      </c>
      <c r="I83" s="219">
        <v>22</v>
      </c>
      <c r="J83" s="219">
        <v>42</v>
      </c>
      <c r="K83" s="219">
        <v>0</v>
      </c>
      <c r="L83" s="219">
        <v>10</v>
      </c>
      <c r="M83" s="219">
        <v>1</v>
      </c>
      <c r="N83" s="219">
        <v>0</v>
      </c>
      <c r="O83" s="97">
        <f t="shared" si="18"/>
        <v>497.54199999999997</v>
      </c>
      <c r="P83" s="94">
        <v>0</v>
      </c>
      <c r="Q83" s="97">
        <f t="shared" si="21"/>
        <v>497.54199999999997</v>
      </c>
      <c r="R83" s="162">
        <f t="shared" si="22"/>
        <v>0</v>
      </c>
      <c r="S83" s="91">
        <f t="shared" si="23"/>
        <v>0</v>
      </c>
    </row>
    <row r="84" spans="1:19" x14ac:dyDescent="0.35">
      <c r="A84" s="92"/>
      <c r="B84" s="94"/>
      <c r="C84" s="94" t="s">
        <v>236</v>
      </c>
      <c r="D84" s="95">
        <v>3.8235012446341525E-2</v>
      </c>
      <c r="E84" s="96">
        <f t="shared" si="19"/>
        <v>21.168814640916985</v>
      </c>
      <c r="F84" s="95">
        <f t="shared" si="20"/>
        <v>2.8476943030319911E-2</v>
      </c>
      <c r="G84" s="94" t="s">
        <v>9</v>
      </c>
      <c r="H84" s="94" t="s">
        <v>280</v>
      </c>
      <c r="I84" s="219">
        <v>26</v>
      </c>
      <c r="J84" s="219">
        <v>50</v>
      </c>
      <c r="K84" s="219">
        <v>0</v>
      </c>
      <c r="L84" s="219">
        <v>10</v>
      </c>
      <c r="M84" s="219">
        <v>1</v>
      </c>
      <c r="N84" s="219">
        <v>0</v>
      </c>
      <c r="O84" s="97">
        <f t="shared" si="18"/>
        <v>553.65</v>
      </c>
      <c r="P84" s="94">
        <v>0</v>
      </c>
      <c r="Q84" s="97">
        <f t="shared" si="21"/>
        <v>553.65</v>
      </c>
      <c r="R84" s="162">
        <f t="shared" si="22"/>
        <v>9.2240816748465904E-3</v>
      </c>
      <c r="S84" s="91">
        <f t="shared" si="23"/>
        <v>5.1069128192788148E-3</v>
      </c>
    </row>
    <row r="85" spans="1:19" x14ac:dyDescent="0.35">
      <c r="A85" s="92"/>
      <c r="B85" s="94"/>
      <c r="C85" s="94" t="s">
        <v>237</v>
      </c>
      <c r="D85" s="95">
        <v>1.1808866463760496E-3</v>
      </c>
      <c r="E85" s="96">
        <f t="shared" si="19"/>
        <v>0.72005507972096727</v>
      </c>
      <c r="F85" s="95">
        <f t="shared" si="20"/>
        <v>9.6864032454007157E-4</v>
      </c>
      <c r="G85" s="94" t="s">
        <v>9</v>
      </c>
      <c r="H85" s="94" t="s">
        <v>281</v>
      </c>
      <c r="I85" s="219">
        <v>30</v>
      </c>
      <c r="J85" s="219">
        <v>58</v>
      </c>
      <c r="K85" s="219">
        <v>0</v>
      </c>
      <c r="L85" s="219">
        <v>10</v>
      </c>
      <c r="M85" s="219">
        <v>1</v>
      </c>
      <c r="N85" s="219">
        <v>0</v>
      </c>
      <c r="O85" s="97">
        <f t="shared" si="18"/>
        <v>609.75800000000004</v>
      </c>
      <c r="P85" s="94">
        <v>0</v>
      </c>
      <c r="Q85" s="97">
        <f t="shared" si="21"/>
        <v>609.75800000000004</v>
      </c>
      <c r="R85" s="162">
        <f t="shared" si="22"/>
        <v>2.848853492644962E-4</v>
      </c>
      <c r="S85" s="91">
        <f t="shared" si="23"/>
        <v>1.7371112079682068E-4</v>
      </c>
    </row>
    <row r="86" spans="1:19" x14ac:dyDescent="0.35">
      <c r="A86" s="92"/>
      <c r="B86" s="94"/>
      <c r="C86" s="94" t="s">
        <v>238</v>
      </c>
      <c r="D86" s="95">
        <v>9.7446565794828931E-3</v>
      </c>
      <c r="E86" s="96">
        <f t="shared" si="19"/>
        <v>6.4886354979539567</v>
      </c>
      <c r="F86" s="95">
        <f t="shared" si="20"/>
        <v>8.7287128048536868E-3</v>
      </c>
      <c r="G86" s="94" t="s">
        <v>9</v>
      </c>
      <c r="H86" s="94" t="s">
        <v>282</v>
      </c>
      <c r="I86" s="219">
        <v>34</v>
      </c>
      <c r="J86" s="219">
        <v>66</v>
      </c>
      <c r="K86" s="219">
        <v>0</v>
      </c>
      <c r="L86" s="219">
        <v>10</v>
      </c>
      <c r="M86" s="219">
        <v>1</v>
      </c>
      <c r="N86" s="219">
        <v>0</v>
      </c>
      <c r="O86" s="97">
        <f t="shared" si="18"/>
        <v>665.8660000000001</v>
      </c>
      <c r="P86" s="94">
        <v>0</v>
      </c>
      <c r="Q86" s="97">
        <f t="shared" si="21"/>
        <v>665.8660000000001</v>
      </c>
      <c r="R86" s="162">
        <f t="shared" si="22"/>
        <v>2.3508690708189373E-3</v>
      </c>
      <c r="S86" s="91">
        <f t="shared" si="23"/>
        <v>1.5653637847099226E-3</v>
      </c>
    </row>
    <row r="87" spans="1:19" x14ac:dyDescent="0.35">
      <c r="A87" s="92"/>
      <c r="B87" s="94"/>
      <c r="C87" s="94" t="s">
        <v>239</v>
      </c>
      <c r="D87" s="95">
        <v>6.0652920554483299E-2</v>
      </c>
      <c r="E87" s="96">
        <f t="shared" si="19"/>
        <v>43.789831664402527</v>
      </c>
      <c r="F87" s="95">
        <f t="shared" si="20"/>
        <v>5.890743354161055E-2</v>
      </c>
      <c r="G87" s="94" t="s">
        <v>9</v>
      </c>
      <c r="H87" s="94" t="s">
        <v>283</v>
      </c>
      <c r="I87" s="219">
        <v>38</v>
      </c>
      <c r="J87" s="219">
        <v>74</v>
      </c>
      <c r="K87" s="219">
        <v>0</v>
      </c>
      <c r="L87" s="219">
        <v>10</v>
      </c>
      <c r="M87" s="219">
        <v>1</v>
      </c>
      <c r="N87" s="219">
        <v>0</v>
      </c>
      <c r="O87" s="97">
        <f t="shared" si="18"/>
        <v>721.97400000000005</v>
      </c>
      <c r="P87" s="94">
        <v>0</v>
      </c>
      <c r="Q87" s="97">
        <f t="shared" si="21"/>
        <v>721.97400000000005</v>
      </c>
      <c r="R87" s="162">
        <f t="shared" si="22"/>
        <v>1.4632334533634172E-2</v>
      </c>
      <c r="S87" s="91">
        <f t="shared" si="23"/>
        <v>1.0564165092585998E-2</v>
      </c>
    </row>
    <row r="88" spans="1:19" x14ac:dyDescent="0.35">
      <c r="A88" s="92"/>
      <c r="B88" s="94"/>
      <c r="C88" s="94" t="s">
        <v>240</v>
      </c>
      <c r="D88" s="95">
        <v>3.3401516054794758E-2</v>
      </c>
      <c r="E88" s="96">
        <f t="shared" si="19"/>
        <v>23.980351239411458</v>
      </c>
      <c r="F88" s="95">
        <f t="shared" si="20"/>
        <v>3.2259108867240781E-2</v>
      </c>
      <c r="G88" s="94" t="s">
        <v>9</v>
      </c>
      <c r="H88" s="94" t="s">
        <v>284</v>
      </c>
      <c r="I88" s="219">
        <v>38</v>
      </c>
      <c r="J88" s="219">
        <v>70</v>
      </c>
      <c r="K88" s="219">
        <v>0</v>
      </c>
      <c r="L88" s="219">
        <v>10</v>
      </c>
      <c r="M88" s="219">
        <v>1</v>
      </c>
      <c r="N88" s="219">
        <v>0</v>
      </c>
      <c r="O88" s="97">
        <f t="shared" si="18"/>
        <v>717.94200000000001</v>
      </c>
      <c r="P88" s="94">
        <v>0</v>
      </c>
      <c r="Q88" s="97">
        <f t="shared" si="21"/>
        <v>717.94200000000001</v>
      </c>
      <c r="R88" s="162">
        <f t="shared" si="22"/>
        <v>8.0580152180022777E-3</v>
      </c>
      <c r="S88" s="91">
        <f t="shared" si="23"/>
        <v>5.7851875616429915E-3</v>
      </c>
    </row>
    <row r="89" spans="1:19" x14ac:dyDescent="0.35">
      <c r="A89" s="92"/>
      <c r="B89" s="94"/>
      <c r="C89" s="94" t="s">
        <v>241</v>
      </c>
      <c r="D89" s="95">
        <v>1.9020546604961979E-3</v>
      </c>
      <c r="E89" s="96">
        <f t="shared" si="19"/>
        <v>1.4799544943482026</v>
      </c>
      <c r="F89" s="95">
        <f t="shared" si="20"/>
        <v>1.9908804785676972E-3</v>
      </c>
      <c r="G89" s="94" t="s">
        <v>9</v>
      </c>
      <c r="H89" s="94" t="s">
        <v>285</v>
      </c>
      <c r="I89" s="219">
        <v>42</v>
      </c>
      <c r="J89" s="219">
        <v>82</v>
      </c>
      <c r="K89" s="219">
        <v>0</v>
      </c>
      <c r="L89" s="219">
        <v>10</v>
      </c>
      <c r="M89" s="219">
        <v>1</v>
      </c>
      <c r="N89" s="219">
        <v>0</v>
      </c>
      <c r="O89" s="97">
        <f t="shared" si="18"/>
        <v>778.08199999999999</v>
      </c>
      <c r="P89" s="94">
        <v>0</v>
      </c>
      <c r="Q89" s="97">
        <f t="shared" si="21"/>
        <v>778.08199999999999</v>
      </c>
      <c r="R89" s="162">
        <f t="shared" si="22"/>
        <v>4.5886496213546496E-4</v>
      </c>
      <c r="S89" s="91">
        <f t="shared" si="23"/>
        <v>3.5703456746828682E-4</v>
      </c>
    </row>
    <row r="90" spans="1:19" x14ac:dyDescent="0.35">
      <c r="A90" s="92"/>
      <c r="B90" s="94"/>
      <c r="C90" s="94" t="s">
        <v>244</v>
      </c>
      <c r="D90" s="95">
        <v>1.293090585460456E-2</v>
      </c>
      <c r="E90" s="96">
        <f t="shared" si="19"/>
        <v>10.009167676756661</v>
      </c>
      <c r="F90" s="95">
        <f t="shared" si="20"/>
        <v>1.3464641386248734E-2</v>
      </c>
      <c r="G90" s="94" t="s">
        <v>9</v>
      </c>
      <c r="H90" s="94" t="s">
        <v>286</v>
      </c>
      <c r="I90" s="219">
        <v>42</v>
      </c>
      <c r="J90" s="219">
        <v>78</v>
      </c>
      <c r="K90" s="219">
        <v>0</v>
      </c>
      <c r="L90" s="219">
        <v>10</v>
      </c>
      <c r="M90" s="219">
        <v>1</v>
      </c>
      <c r="N90" s="219">
        <v>0</v>
      </c>
      <c r="O90" s="97">
        <f t="shared" si="18"/>
        <v>774.05000000000007</v>
      </c>
      <c r="P90" s="94">
        <v>0</v>
      </c>
      <c r="Q90" s="97">
        <f t="shared" si="21"/>
        <v>774.05000000000007</v>
      </c>
      <c r="R90" s="162">
        <f t="shared" si="22"/>
        <v>3.1195421186279017E-3</v>
      </c>
      <c r="S90" s="91">
        <f t="shared" si="23"/>
        <v>2.4146815769239276E-3</v>
      </c>
    </row>
    <row r="91" spans="1:19" x14ac:dyDescent="0.35">
      <c r="A91" s="92"/>
      <c r="B91" s="94"/>
      <c r="C91" s="94" t="s">
        <v>243</v>
      </c>
      <c r="D91" s="95">
        <v>2.5911513024878881E-2</v>
      </c>
      <c r="E91" s="96">
        <f t="shared" si="19"/>
        <v>19.952331436391187</v>
      </c>
      <c r="F91" s="95">
        <f>E91/$B$50</f>
        <v>2.68404922653506E-2</v>
      </c>
      <c r="G91" s="94" t="s">
        <v>9</v>
      </c>
      <c r="H91" s="94" t="s">
        <v>287</v>
      </c>
      <c r="I91" s="219">
        <v>42</v>
      </c>
      <c r="J91" s="219">
        <v>74</v>
      </c>
      <c r="K91" s="219">
        <v>0</v>
      </c>
      <c r="L91" s="219">
        <v>10</v>
      </c>
      <c r="M91" s="219">
        <v>1</v>
      </c>
      <c r="N91" s="219">
        <v>0</v>
      </c>
      <c r="O91" s="97">
        <f t="shared" si="18"/>
        <v>770.01800000000003</v>
      </c>
      <c r="P91" s="94">
        <v>0</v>
      </c>
      <c r="Q91" s="97">
        <f t="shared" si="21"/>
        <v>770.01800000000003</v>
      </c>
      <c r="R91" s="162">
        <f t="shared" si="22"/>
        <v>6.2510745300725914E-3</v>
      </c>
      <c r="S91" s="91">
        <f t="shared" si="23"/>
        <v>4.8134399074974367E-3</v>
      </c>
    </row>
    <row r="92" spans="1:19" x14ac:dyDescent="0.35">
      <c r="A92" s="92"/>
      <c r="B92" s="94"/>
      <c r="C92" s="94" t="s">
        <v>242</v>
      </c>
      <c r="D92" s="95">
        <v>3.9179746811464314E-2</v>
      </c>
      <c r="E92" s="96">
        <f t="shared" si="19"/>
        <v>30.011137541126303</v>
      </c>
      <c r="F92" s="95">
        <f t="shared" si="20"/>
        <v>4.0371908797474758E-2</v>
      </c>
      <c r="G92" s="94" t="s">
        <v>9</v>
      </c>
      <c r="H92" s="94" t="s">
        <v>288</v>
      </c>
      <c r="I92" s="219">
        <v>42</v>
      </c>
      <c r="J92" s="219">
        <v>70</v>
      </c>
      <c r="K92" s="219">
        <v>0</v>
      </c>
      <c r="L92" s="219">
        <v>10</v>
      </c>
      <c r="M92" s="219">
        <v>1</v>
      </c>
      <c r="N92" s="219">
        <v>0</v>
      </c>
      <c r="O92" s="97">
        <f t="shared" si="18"/>
        <v>765.98599999999999</v>
      </c>
      <c r="P92" s="94">
        <v>0</v>
      </c>
      <c r="Q92" s="97">
        <f t="shared" si="21"/>
        <v>765.98599999999999</v>
      </c>
      <c r="R92" s="162">
        <f t="shared" si="22"/>
        <v>9.4519959970180943E-3</v>
      </c>
      <c r="S92" s="91">
        <f t="shared" si="23"/>
        <v>7.2400966057719019E-3</v>
      </c>
    </row>
    <row r="93" spans="1:19" x14ac:dyDescent="0.35">
      <c r="A93" s="101" t="s">
        <v>10</v>
      </c>
      <c r="B93" s="66">
        <f>'General composition'!B54</f>
        <v>0.17559503933408055</v>
      </c>
      <c r="C93" s="67" t="s">
        <v>824</v>
      </c>
      <c r="D93" s="66">
        <v>0.36018946622321085</v>
      </c>
      <c r="E93" s="66">
        <f>D93*O93</f>
        <v>123.29177371980641</v>
      </c>
      <c r="F93" s="66">
        <f>E93/$B$94</f>
        <v>0.18541081623864894</v>
      </c>
      <c r="G93" s="67" t="s">
        <v>10</v>
      </c>
      <c r="H93" s="67" t="s">
        <v>825</v>
      </c>
      <c r="I93" s="220">
        <v>12</v>
      </c>
      <c r="J93" s="220">
        <v>22</v>
      </c>
      <c r="K93" s="220">
        <v>0</v>
      </c>
      <c r="L93" s="220">
        <v>11</v>
      </c>
      <c r="M93" s="220">
        <v>0</v>
      </c>
      <c r="N93" s="220">
        <v>0</v>
      </c>
      <c r="O93" s="68">
        <f t="shared" si="18"/>
        <v>342.29700000000003</v>
      </c>
      <c r="P93" s="67">
        <v>0</v>
      </c>
      <c r="Q93" s="68">
        <f t="shared" si="21"/>
        <v>342.29700000000003</v>
      </c>
      <c r="R93" s="163">
        <f>B$93*F93*1000/Q93</f>
        <v>9.5113949495290756E-2</v>
      </c>
      <c r="S93" s="69">
        <f t="shared" si="23"/>
        <v>3.255721957038954E-2</v>
      </c>
    </row>
    <row r="94" spans="1:19" x14ac:dyDescent="0.35">
      <c r="A94" s="247"/>
      <c r="B94" s="248">
        <f>SUM(E93:E96)</f>
        <v>664.96537915626845</v>
      </c>
      <c r="C94" s="253" t="s">
        <v>652</v>
      </c>
      <c r="D94" s="254">
        <v>0.25582369867100591</v>
      </c>
      <c r="E94" s="254">
        <f t="shared" ref="E94:E96" si="24">D94*O94</f>
        <v>124.43853097864671</v>
      </c>
      <c r="F94" s="254">
        <f t="shared" ref="F94:F96" si="25">E94/$B$94</f>
        <v>0.18713535302625636</v>
      </c>
      <c r="G94" s="253" t="s">
        <v>10</v>
      </c>
      <c r="H94" s="253" t="s">
        <v>766</v>
      </c>
      <c r="I94" s="249">
        <v>18</v>
      </c>
      <c r="J94" s="249">
        <v>30</v>
      </c>
      <c r="K94" s="249">
        <v>0</v>
      </c>
      <c r="L94" s="249">
        <v>15</v>
      </c>
      <c r="M94" s="249">
        <v>0</v>
      </c>
      <c r="N94" s="249">
        <v>0</v>
      </c>
      <c r="O94" s="255">
        <f t="shared" si="18"/>
        <v>486.423</v>
      </c>
      <c r="P94" s="253">
        <v>0</v>
      </c>
      <c r="Q94" s="255">
        <f t="shared" si="21"/>
        <v>486.423</v>
      </c>
      <c r="R94" s="256">
        <f>B$93*F94*1000/Q94</f>
        <v>6.7554452966744033E-2</v>
      </c>
      <c r="S94" s="257">
        <f t="shared" si="23"/>
        <v>3.2860039675442536E-2</v>
      </c>
    </row>
    <row r="95" spans="1:19" ht="29" x14ac:dyDescent="0.35">
      <c r="A95" s="247"/>
      <c r="B95" s="248" t="s">
        <v>83</v>
      </c>
      <c r="C95" s="258" t="s">
        <v>757</v>
      </c>
      <c r="D95" s="254">
        <v>8.8522544547160797E-2</v>
      </c>
      <c r="E95" s="254">
        <f t="shared" si="24"/>
        <v>124.4385309786467</v>
      </c>
      <c r="F95" s="254">
        <f t="shared" si="25"/>
        <v>0.18713535302625633</v>
      </c>
      <c r="G95" s="253" t="s">
        <v>10</v>
      </c>
      <c r="H95" s="253" t="s">
        <v>767</v>
      </c>
      <c r="I95" s="249">
        <v>68</v>
      </c>
      <c r="J95" s="249">
        <v>130</v>
      </c>
      <c r="K95" s="249">
        <v>2</v>
      </c>
      <c r="L95" s="249">
        <v>23</v>
      </c>
      <c r="M95" s="249">
        <v>2</v>
      </c>
      <c r="N95" s="249">
        <v>0</v>
      </c>
      <c r="O95" s="255">
        <f t="shared" si="18"/>
        <v>1405.7269999999999</v>
      </c>
      <c r="P95" s="253">
        <v>0</v>
      </c>
      <c r="Q95" s="255">
        <f t="shared" si="21"/>
        <v>1405.7269999999999</v>
      </c>
      <c r="R95" s="256">
        <f>B$93*F95*1000/Q95</f>
        <v>2.3375833056804438E-2</v>
      </c>
      <c r="S95" s="257">
        <f t="shared" si="23"/>
        <v>3.2860039675442529E-2</v>
      </c>
    </row>
    <row r="96" spans="1:19" x14ac:dyDescent="0.35">
      <c r="A96" s="102"/>
      <c r="B96" s="103"/>
      <c r="C96" s="104" t="s">
        <v>290</v>
      </c>
      <c r="D96" s="105">
        <v>0.2954642905586225</v>
      </c>
      <c r="E96" s="105">
        <f t="shared" si="24"/>
        <v>292.79654347916869</v>
      </c>
      <c r="F96" s="105">
        <f t="shared" si="25"/>
        <v>0.44031847770883842</v>
      </c>
      <c r="G96" s="104" t="s">
        <v>10</v>
      </c>
      <c r="H96" s="104" t="s">
        <v>302</v>
      </c>
      <c r="I96" s="221">
        <v>40</v>
      </c>
      <c r="J96" s="221">
        <v>62</v>
      </c>
      <c r="K96" s="221">
        <v>8</v>
      </c>
      <c r="L96" s="221">
        <v>21</v>
      </c>
      <c r="M96" s="221">
        <v>0</v>
      </c>
      <c r="N96" s="221">
        <v>0</v>
      </c>
      <c r="O96" s="106">
        <f t="shared" si="18"/>
        <v>990.971</v>
      </c>
      <c r="P96" s="104">
        <v>0</v>
      </c>
      <c r="Q96" s="106">
        <f t="shared" si="21"/>
        <v>990.971</v>
      </c>
      <c r="R96" s="164">
        <f>B$93*F96*1000/Q96</f>
        <v>7.8022202882633243E-2</v>
      </c>
      <c r="S96" s="107">
        <f t="shared" si="23"/>
        <v>7.7317740412805952E-2</v>
      </c>
    </row>
    <row r="97" spans="1:19" x14ac:dyDescent="0.35">
      <c r="A97" s="265" t="s">
        <v>655</v>
      </c>
      <c r="B97" s="266">
        <f>'General composition'!B60</f>
        <v>3.4702944962605861E-3</v>
      </c>
      <c r="C97" s="267" t="s">
        <v>660</v>
      </c>
      <c r="D97" s="267"/>
      <c r="E97" s="267"/>
      <c r="F97" s="266">
        <v>2.9322000636878478E-2</v>
      </c>
      <c r="G97" s="267" t="s">
        <v>662</v>
      </c>
      <c r="H97" s="267" t="s">
        <v>792</v>
      </c>
      <c r="I97" s="268">
        <v>20</v>
      </c>
      <c r="J97" s="268">
        <v>23</v>
      </c>
      <c r="K97" s="268">
        <v>7</v>
      </c>
      <c r="L97" s="268">
        <v>7</v>
      </c>
      <c r="M97" s="268">
        <v>0</v>
      </c>
      <c r="N97" s="268">
        <v>0</v>
      </c>
      <c r="O97" s="269">
        <f t="shared" si="18"/>
        <v>473.44599999999997</v>
      </c>
      <c r="P97" s="267">
        <v>0</v>
      </c>
      <c r="Q97" s="269">
        <f>O97-P97</f>
        <v>473.44599999999997</v>
      </c>
      <c r="R97" s="270">
        <f>B$97*F97*1000/Q97</f>
        <v>2.1492625860078824E-4</v>
      </c>
      <c r="S97" s="271">
        <f t="shared" si="23"/>
        <v>1.0175597742950878E-4</v>
      </c>
    </row>
    <row r="98" spans="1:19" x14ac:dyDescent="0.35">
      <c r="A98" s="272"/>
      <c r="B98" s="273"/>
      <c r="C98" s="273" t="s">
        <v>666</v>
      </c>
      <c r="D98" s="273"/>
      <c r="E98" s="273"/>
      <c r="F98" s="274">
        <v>2.8514981655770998E-2</v>
      </c>
      <c r="G98" s="273" t="s">
        <v>662</v>
      </c>
      <c r="H98" s="273" t="s">
        <v>793</v>
      </c>
      <c r="I98" s="275">
        <v>20</v>
      </c>
      <c r="J98" s="275">
        <v>25</v>
      </c>
      <c r="K98" s="275">
        <v>7</v>
      </c>
      <c r="L98" s="275">
        <v>6</v>
      </c>
      <c r="M98" s="275">
        <v>0</v>
      </c>
      <c r="N98" s="275">
        <v>0</v>
      </c>
      <c r="O98" s="276">
        <f t="shared" si="18"/>
        <v>459.46299999999997</v>
      </c>
      <c r="P98" s="273">
        <v>0</v>
      </c>
      <c r="Q98" s="276">
        <f t="shared" ref="Q98:Q141" si="26">O98-P98</f>
        <v>459.46299999999997</v>
      </c>
      <c r="R98" s="277">
        <f t="shared" ref="R98:R126" si="27">B$97*F98*1000/Q98</f>
        <v>2.1537182297811503E-4</v>
      </c>
      <c r="S98" s="278">
        <f t="shared" si="23"/>
        <v>9.8955383900993667E-5</v>
      </c>
    </row>
    <row r="99" spans="1:19" x14ac:dyDescent="0.35">
      <c r="A99" s="272"/>
      <c r="B99" s="273"/>
      <c r="C99" s="273" t="s">
        <v>668</v>
      </c>
      <c r="D99" s="273"/>
      <c r="E99" s="273"/>
      <c r="F99" s="274">
        <v>6.2629104541061978E-2</v>
      </c>
      <c r="G99" s="273" t="s">
        <v>662</v>
      </c>
      <c r="H99" s="273" t="s">
        <v>794</v>
      </c>
      <c r="I99" s="275">
        <v>23</v>
      </c>
      <c r="J99" s="275">
        <v>38</v>
      </c>
      <c r="K99" s="275">
        <v>7</v>
      </c>
      <c r="L99" s="275">
        <v>17</v>
      </c>
      <c r="M99" s="275">
        <v>3</v>
      </c>
      <c r="N99" s="275">
        <v>1</v>
      </c>
      <c r="O99" s="276">
        <f t="shared" si="18"/>
        <v>809.577</v>
      </c>
      <c r="P99" s="273">
        <v>0</v>
      </c>
      <c r="Q99" s="276">
        <f t="shared" ref="Q99:Q105" si="28">O99-P99</f>
        <v>809.577</v>
      </c>
      <c r="R99" s="277">
        <f t="shared" ref="R99:R105" si="29">B$97*F99*1000/Q99</f>
        <v>2.6846295879771317E-4</v>
      </c>
      <c r="S99" s="278">
        <f t="shared" ref="S99:S105" si="30">R99*Q99/1000</f>
        <v>2.1734143679457625E-4</v>
      </c>
    </row>
    <row r="100" spans="1:19" x14ac:dyDescent="0.35">
      <c r="A100" s="272"/>
      <c r="B100" s="273"/>
      <c r="C100" s="273" t="s">
        <v>670</v>
      </c>
      <c r="D100" s="273"/>
      <c r="E100" s="273"/>
      <c r="F100" s="274">
        <v>4.1774772553229797E-4</v>
      </c>
      <c r="G100" s="273" t="s">
        <v>672</v>
      </c>
      <c r="H100" s="273" t="s">
        <v>314</v>
      </c>
      <c r="I100" s="275">
        <v>72</v>
      </c>
      <c r="J100" s="275">
        <v>102</v>
      </c>
      <c r="K100" s="275">
        <v>18</v>
      </c>
      <c r="L100" s="275">
        <v>17</v>
      </c>
      <c r="M100" s="275">
        <v>1</v>
      </c>
      <c r="N100" s="275">
        <v>0</v>
      </c>
      <c r="O100" s="276">
        <f>(I100*12.011)+(J100*1.008)+(L100*15.999)+(14.007*K100)+(M100*30.974)+(N100*32.066)+58.933</f>
        <v>1581.6239999999998</v>
      </c>
      <c r="P100" s="273">
        <v>0</v>
      </c>
      <c r="Q100" s="276">
        <f t="shared" si="28"/>
        <v>1581.6239999999998</v>
      </c>
      <c r="R100" s="277">
        <f t="shared" si="29"/>
        <v>9.1659435664867996E-7</v>
      </c>
      <c r="S100" s="278">
        <f t="shared" si="30"/>
        <v>1.4497076327401116E-6</v>
      </c>
    </row>
    <row r="101" spans="1:19" x14ac:dyDescent="0.35">
      <c r="A101" s="272"/>
      <c r="B101" s="273"/>
      <c r="C101" s="273" t="s">
        <v>673</v>
      </c>
      <c r="D101" s="273"/>
      <c r="E101" s="273"/>
      <c r="F101" s="274">
        <v>2.4845113375055433E-2</v>
      </c>
      <c r="G101" s="273" t="s">
        <v>662</v>
      </c>
      <c r="H101" s="273" t="s">
        <v>795</v>
      </c>
      <c r="I101" s="275">
        <v>15</v>
      </c>
      <c r="J101" s="275">
        <v>22</v>
      </c>
      <c r="K101" s="275">
        <v>6</v>
      </c>
      <c r="L101" s="275">
        <v>5</v>
      </c>
      <c r="M101" s="275">
        <v>0</v>
      </c>
      <c r="N101" s="275">
        <v>1</v>
      </c>
      <c r="O101" s="276">
        <f t="shared" si="18"/>
        <v>398.44400000000007</v>
      </c>
      <c r="P101" s="273">
        <v>0</v>
      </c>
      <c r="Q101" s="276">
        <f t="shared" si="28"/>
        <v>398.44400000000007</v>
      </c>
      <c r="R101" s="277">
        <f t="shared" si="29"/>
        <v>2.1639141310805313E-4</v>
      </c>
      <c r="S101" s="278">
        <f t="shared" si="30"/>
        <v>8.6219860204425142E-5</v>
      </c>
    </row>
    <row r="102" spans="1:19" x14ac:dyDescent="0.35">
      <c r="A102" s="272"/>
      <c r="B102" s="273"/>
      <c r="C102" s="273" t="s">
        <v>675</v>
      </c>
      <c r="D102" s="273"/>
      <c r="E102" s="273"/>
      <c r="F102" s="274">
        <v>5.0129727063875753E-5</v>
      </c>
      <c r="G102" s="273" t="s">
        <v>672</v>
      </c>
      <c r="H102" s="273" t="s">
        <v>796</v>
      </c>
      <c r="I102" s="275">
        <v>10</v>
      </c>
      <c r="J102" s="275">
        <v>16</v>
      </c>
      <c r="K102" s="275">
        <v>2</v>
      </c>
      <c r="L102" s="275">
        <v>3</v>
      </c>
      <c r="M102" s="275">
        <v>0</v>
      </c>
      <c r="N102" s="275">
        <v>1</v>
      </c>
      <c r="O102" s="276">
        <f t="shared" si="18"/>
        <v>244.31500000000003</v>
      </c>
      <c r="P102" s="273">
        <v>0</v>
      </c>
      <c r="Q102" s="276">
        <f t="shared" si="28"/>
        <v>244.31500000000003</v>
      </c>
      <c r="R102" s="277">
        <f t="shared" si="29"/>
        <v>7.1205171982405254E-7</v>
      </c>
      <c r="S102" s="278">
        <f t="shared" si="30"/>
        <v>1.7396491592881341E-7</v>
      </c>
    </row>
    <row r="103" spans="1:19" x14ac:dyDescent="0.35">
      <c r="A103" s="272"/>
      <c r="B103" s="273"/>
      <c r="C103" s="273" t="s">
        <v>677</v>
      </c>
      <c r="D103" s="273"/>
      <c r="E103" s="273"/>
      <c r="F103" s="274">
        <v>1.3942800073749602E-2</v>
      </c>
      <c r="G103" s="273" t="s">
        <v>662</v>
      </c>
      <c r="H103" s="273" t="s">
        <v>797</v>
      </c>
      <c r="I103" s="275">
        <v>10</v>
      </c>
      <c r="J103" s="275">
        <v>10</v>
      </c>
      <c r="K103" s="275">
        <v>0</v>
      </c>
      <c r="L103" s="275">
        <v>6</v>
      </c>
      <c r="M103" s="275">
        <v>0</v>
      </c>
      <c r="N103" s="275">
        <v>0</v>
      </c>
      <c r="O103" s="276">
        <f t="shared" si="18"/>
        <v>226.184</v>
      </c>
      <c r="P103" s="273">
        <v>0</v>
      </c>
      <c r="Q103" s="276">
        <f t="shared" si="28"/>
        <v>226.184</v>
      </c>
      <c r="R103" s="277">
        <f t="shared" si="29"/>
        <v>2.1392150796871104E-4</v>
      </c>
      <c r="S103" s="278">
        <f t="shared" si="30"/>
        <v>4.8385622358394934E-5</v>
      </c>
    </row>
    <row r="104" spans="1:19" x14ac:dyDescent="0.35">
      <c r="A104" s="272"/>
      <c r="B104" s="273"/>
      <c r="C104" s="273" t="s">
        <v>679</v>
      </c>
      <c r="D104" s="273"/>
      <c r="E104" s="273"/>
      <c r="F104" s="274">
        <v>3.5616499897538047E-2</v>
      </c>
      <c r="G104" s="273" t="s">
        <v>662</v>
      </c>
      <c r="H104" s="273" t="s">
        <v>799</v>
      </c>
      <c r="I104" s="275">
        <v>21</v>
      </c>
      <c r="J104" s="275">
        <v>36</v>
      </c>
      <c r="K104" s="275">
        <v>7</v>
      </c>
      <c r="L104" s="275">
        <v>16</v>
      </c>
      <c r="M104" s="275">
        <v>3</v>
      </c>
      <c r="N104" s="275">
        <v>1</v>
      </c>
      <c r="O104" s="276">
        <f t="shared" si="18"/>
        <v>767.54000000000008</v>
      </c>
      <c r="P104" s="273">
        <v>0</v>
      </c>
      <c r="Q104" s="276">
        <f t="shared" si="28"/>
        <v>767.54000000000008</v>
      </c>
      <c r="R104" s="277">
        <f t="shared" si="29"/>
        <v>1.6103361853517993E-4</v>
      </c>
      <c r="S104" s="278">
        <f t="shared" si="30"/>
        <v>1.2359974357049202E-4</v>
      </c>
    </row>
    <row r="105" spans="1:19" x14ac:dyDescent="0.35">
      <c r="A105" s="272"/>
      <c r="B105" s="273"/>
      <c r="C105" s="273" t="s">
        <v>681</v>
      </c>
      <c r="D105" s="273"/>
      <c r="E105" s="273"/>
      <c r="F105" s="274">
        <v>4.8734678957682791E-2</v>
      </c>
      <c r="G105" s="273" t="s">
        <v>662</v>
      </c>
      <c r="H105" s="273" t="s">
        <v>800</v>
      </c>
      <c r="I105" s="275">
        <v>27</v>
      </c>
      <c r="J105" s="275">
        <v>33</v>
      </c>
      <c r="K105" s="275">
        <v>9</v>
      </c>
      <c r="L105" s="275">
        <v>15</v>
      </c>
      <c r="M105" s="275">
        <v>2</v>
      </c>
      <c r="N105" s="275">
        <v>0</v>
      </c>
      <c r="O105" s="276">
        <f t="shared" si="18"/>
        <v>785.55700000000002</v>
      </c>
      <c r="P105" s="273">
        <v>0</v>
      </c>
      <c r="Q105" s="276">
        <f t="shared" si="28"/>
        <v>785.55700000000002</v>
      </c>
      <c r="R105" s="277">
        <f t="shared" si="29"/>
        <v>2.15291427819844E-4</v>
      </c>
      <c r="S105" s="278">
        <f t="shared" si="30"/>
        <v>1.6912368816387319E-4</v>
      </c>
    </row>
    <row r="106" spans="1:19" x14ac:dyDescent="0.35">
      <c r="A106" s="272"/>
      <c r="B106" s="273"/>
      <c r="C106" s="273" t="s">
        <v>683</v>
      </c>
      <c r="D106" s="273"/>
      <c r="E106" s="273"/>
      <c r="F106" s="274">
        <v>4.1774772553229795E-3</v>
      </c>
      <c r="G106" s="273" t="s">
        <v>672</v>
      </c>
      <c r="H106" s="273" t="s">
        <v>801</v>
      </c>
      <c r="I106" s="275">
        <v>19</v>
      </c>
      <c r="J106" s="275">
        <v>19</v>
      </c>
      <c r="K106" s="275">
        <v>7</v>
      </c>
      <c r="L106" s="275">
        <v>6</v>
      </c>
      <c r="M106" s="275">
        <v>0</v>
      </c>
      <c r="N106" s="275">
        <v>0</v>
      </c>
      <c r="O106" s="276">
        <f t="shared" ref="O106:O110" si="31">(I106*12.011)+(J106*1.008)+(L106*15.999)+(14.007*K106)+(M106*30.974)+(N106*32.066)</f>
        <v>441.404</v>
      </c>
      <c r="P106" s="273">
        <v>0</v>
      </c>
      <c r="Q106" s="276">
        <f t="shared" ref="Q106:Q107" si="32">O106-P106</f>
        <v>441.404</v>
      </c>
      <c r="R106" s="277">
        <f t="shared" ref="R106:R107" si="33">B$97*F106*1000/Q106</f>
        <v>3.2843101393283964E-5</v>
      </c>
      <c r="S106" s="278">
        <f t="shared" ref="S106:S107" si="34">R106*Q106/1000</f>
        <v>1.4497076327401114E-5</v>
      </c>
    </row>
    <row r="107" spans="1:19" x14ac:dyDescent="0.35">
      <c r="A107" s="272"/>
      <c r="B107" s="273"/>
      <c r="C107" s="273" t="s">
        <v>687</v>
      </c>
      <c r="D107" s="273"/>
      <c r="E107" s="273"/>
      <c r="F107" s="274">
        <v>1.9052427535557727E-2</v>
      </c>
      <c r="G107" s="273" t="s">
        <v>662</v>
      </c>
      <c r="H107" s="273" t="s">
        <v>802</v>
      </c>
      <c r="I107" s="275">
        <v>10</v>
      </c>
      <c r="J107" s="275">
        <v>17</v>
      </c>
      <c r="K107" s="275">
        <v>3</v>
      </c>
      <c r="L107" s="275">
        <v>6</v>
      </c>
      <c r="M107" s="275">
        <v>0</v>
      </c>
      <c r="N107" s="275">
        <v>1</v>
      </c>
      <c r="O107" s="276">
        <f t="shared" si="31"/>
        <v>307.327</v>
      </c>
      <c r="P107" s="273">
        <v>0</v>
      </c>
      <c r="Q107" s="276">
        <f t="shared" si="32"/>
        <v>307.327</v>
      </c>
      <c r="R107" s="277">
        <f t="shared" si="33"/>
        <v>2.1513740874394251E-4</v>
      </c>
      <c r="S107" s="278">
        <f t="shared" si="34"/>
        <v>6.6117534417049626E-5</v>
      </c>
    </row>
    <row r="108" spans="1:19" x14ac:dyDescent="0.35">
      <c r="A108" s="272"/>
      <c r="B108" s="273"/>
      <c r="C108" s="273" t="s">
        <v>689</v>
      </c>
      <c r="D108" s="273"/>
      <c r="E108" s="273"/>
      <c r="F108" s="274">
        <v>5.205629444632754E-2</v>
      </c>
      <c r="G108" s="273" t="s">
        <v>662</v>
      </c>
      <c r="H108" s="273" t="s">
        <v>803</v>
      </c>
      <c r="I108" s="275">
        <v>49</v>
      </c>
      <c r="J108" s="275">
        <v>58</v>
      </c>
      <c r="K108" s="275">
        <v>4</v>
      </c>
      <c r="L108" s="275">
        <v>5</v>
      </c>
      <c r="M108" s="275">
        <v>0</v>
      </c>
      <c r="N108" s="275">
        <v>0</v>
      </c>
      <c r="O108" s="276">
        <f>(I108*12.011)+(J108*1.008)+(L108*15.999)+(14.007*K108)+(M108*30.974)+(N108*32.066)+55.845</f>
        <v>838.87099999999998</v>
      </c>
      <c r="P108" s="273">
        <v>0</v>
      </c>
      <c r="Q108" s="276">
        <f t="shared" ref="Q108:Q112" si="35">O108-P108</f>
        <v>838.87099999999998</v>
      </c>
      <c r="R108" s="277">
        <f t="shared" ref="R108:R112" si="36">B$97*F108*1000/Q108</f>
        <v>2.1534976428176796E-4</v>
      </c>
      <c r="S108" s="278">
        <f t="shared" ref="S108:S112" si="37">R108*Q108/1000</f>
        <v>1.8065067211281096E-4</v>
      </c>
    </row>
    <row r="109" spans="1:19" x14ac:dyDescent="0.35">
      <c r="A109" s="272"/>
      <c r="B109" s="273"/>
      <c r="C109" s="273" t="s">
        <v>691</v>
      </c>
      <c r="D109" s="273"/>
      <c r="E109" s="273"/>
      <c r="F109" s="274">
        <v>7.3889003443541905E-3</v>
      </c>
      <c r="G109" s="273" t="s">
        <v>662</v>
      </c>
      <c r="H109" s="273" t="s">
        <v>804</v>
      </c>
      <c r="I109" s="275">
        <v>24</v>
      </c>
      <c r="J109" s="275">
        <v>38</v>
      </c>
      <c r="K109" s="275">
        <v>7</v>
      </c>
      <c r="L109" s="275">
        <v>19</v>
      </c>
      <c r="M109" s="275">
        <v>3</v>
      </c>
      <c r="N109" s="275">
        <v>1</v>
      </c>
      <c r="O109" s="276">
        <f t="shared" si="31"/>
        <v>853.58600000000001</v>
      </c>
      <c r="P109" s="273">
        <v>0</v>
      </c>
      <c r="Q109" s="276">
        <f t="shared" si="35"/>
        <v>853.58600000000001</v>
      </c>
      <c r="R109" s="277">
        <f t="shared" si="36"/>
        <v>3.0039925910722871E-5</v>
      </c>
      <c r="S109" s="278">
        <f t="shared" si="37"/>
        <v>2.5641660198430295E-5</v>
      </c>
    </row>
    <row r="110" spans="1:19" x14ac:dyDescent="0.35">
      <c r="A110" s="272"/>
      <c r="B110" s="273"/>
      <c r="C110" s="273" t="s">
        <v>693</v>
      </c>
      <c r="D110" s="273"/>
      <c r="E110" s="273"/>
      <c r="F110" s="274">
        <v>2.8326894919827334E-2</v>
      </c>
      <c r="G110" s="273" t="s">
        <v>662</v>
      </c>
      <c r="H110" s="273" t="s">
        <v>805</v>
      </c>
      <c r="I110" s="275">
        <v>20</v>
      </c>
      <c r="J110" s="275">
        <v>23</v>
      </c>
      <c r="K110" s="275">
        <v>7</v>
      </c>
      <c r="L110" s="275">
        <v>6</v>
      </c>
      <c r="M110" s="275">
        <v>0</v>
      </c>
      <c r="N110" s="275">
        <v>0</v>
      </c>
      <c r="O110" s="276">
        <f t="shared" si="31"/>
        <v>457.447</v>
      </c>
      <c r="P110" s="273">
        <v>0</v>
      </c>
      <c r="Q110" s="276">
        <f t="shared" si="35"/>
        <v>457.447</v>
      </c>
      <c r="R110" s="277">
        <f t="shared" si="36"/>
        <v>2.1489411349605257E-4</v>
      </c>
      <c r="S110" s="278">
        <f t="shared" si="37"/>
        <v>9.8302667536428757E-5</v>
      </c>
    </row>
    <row r="111" spans="1:19" x14ac:dyDescent="0.35">
      <c r="A111" s="272"/>
      <c r="B111" s="273"/>
      <c r="C111" s="273" t="s">
        <v>695</v>
      </c>
      <c r="D111" s="273"/>
      <c r="E111" s="273"/>
      <c r="F111" s="274">
        <v>2.1722881727679496E-2</v>
      </c>
      <c r="G111" s="273" t="s">
        <v>672</v>
      </c>
      <c r="H111" s="273" t="s">
        <v>788</v>
      </c>
      <c r="I111" s="275">
        <v>6</v>
      </c>
      <c r="J111" s="275">
        <v>5</v>
      </c>
      <c r="K111" s="275">
        <v>1</v>
      </c>
      <c r="L111" s="275">
        <v>2</v>
      </c>
      <c r="M111" s="275">
        <v>0</v>
      </c>
      <c r="N111" s="275">
        <v>0</v>
      </c>
      <c r="O111" s="276">
        <f t="shared" ref="O111:O122" si="38">(I111*12.011)+(J111*1.008)+(L111*15.999)+(14.007*K111)+(M111*30.974)+(N111*32.066)</f>
        <v>123.11100000000002</v>
      </c>
      <c r="P111" s="273">
        <v>0</v>
      </c>
      <c r="Q111" s="276">
        <f t="shared" si="35"/>
        <v>123.11100000000002</v>
      </c>
      <c r="R111" s="277">
        <f t="shared" si="36"/>
        <v>6.1233193542807552E-4</v>
      </c>
      <c r="S111" s="278">
        <f t="shared" si="37"/>
        <v>7.5384796902485808E-5</v>
      </c>
    </row>
    <row r="112" spans="1:19" x14ac:dyDescent="0.35">
      <c r="A112" s="272"/>
      <c r="B112" s="273"/>
      <c r="C112" s="273" t="s">
        <v>698</v>
      </c>
      <c r="D112" s="273"/>
      <c r="E112" s="273"/>
      <c r="F112" s="274">
        <v>0.32961056031024433</v>
      </c>
      <c r="G112" s="273" t="s">
        <v>662</v>
      </c>
      <c r="H112" s="273" t="s">
        <v>806</v>
      </c>
      <c r="I112" s="275">
        <v>21</v>
      </c>
      <c r="J112" s="275">
        <v>28</v>
      </c>
      <c r="K112" s="275">
        <v>7</v>
      </c>
      <c r="L112" s="275">
        <v>14</v>
      </c>
      <c r="M112" s="275">
        <v>2</v>
      </c>
      <c r="N112" s="275">
        <v>0</v>
      </c>
      <c r="O112" s="276">
        <f t="shared" si="38"/>
        <v>664.43799999999999</v>
      </c>
      <c r="P112" s="273">
        <v>0</v>
      </c>
      <c r="Q112" s="276">
        <f t="shared" si="35"/>
        <v>664.43799999999999</v>
      </c>
      <c r="R112" s="277">
        <f t="shared" si="36"/>
        <v>1.7215236235043883E-3</v>
      </c>
      <c r="S112" s="278">
        <f t="shared" si="37"/>
        <v>1.1438457133540088E-3</v>
      </c>
    </row>
    <row r="113" spans="1:19" x14ac:dyDescent="0.35">
      <c r="A113" s="272"/>
      <c r="B113" s="273"/>
      <c r="C113" s="273" t="s">
        <v>700</v>
      </c>
      <c r="D113" s="273"/>
      <c r="E113" s="273"/>
      <c r="F113" s="274">
        <v>8.2528031234856882E-3</v>
      </c>
      <c r="G113" s="273" t="s">
        <v>662</v>
      </c>
      <c r="H113" s="273" t="s">
        <v>807</v>
      </c>
      <c r="I113" s="275">
        <v>21</v>
      </c>
      <c r="J113" s="275">
        <v>29</v>
      </c>
      <c r="K113" s="275">
        <v>7</v>
      </c>
      <c r="L113" s="275">
        <v>14</v>
      </c>
      <c r="M113" s="275">
        <v>2</v>
      </c>
      <c r="N113" s="275">
        <v>0</v>
      </c>
      <c r="O113" s="276">
        <f t="shared" si="38"/>
        <v>665.44599999999991</v>
      </c>
      <c r="P113" s="273">
        <v>0</v>
      </c>
      <c r="Q113" s="276">
        <f t="shared" ref="Q113:Q122" si="39">O113-P113</f>
        <v>665.44599999999991</v>
      </c>
      <c r="R113" s="277">
        <f t="shared" ref="R113:R122" si="40">B$97*F113*1000/Q113</f>
        <v>4.3038288994380547E-5</v>
      </c>
      <c r="S113" s="278">
        <f t="shared" ref="S113:S122" si="41">R113*Q113/1000</f>
        <v>2.8639657258154553E-5</v>
      </c>
    </row>
    <row r="114" spans="1:19" x14ac:dyDescent="0.35">
      <c r="A114" s="272"/>
      <c r="B114" s="273"/>
      <c r="C114" s="273" t="s">
        <v>702</v>
      </c>
      <c r="D114" s="273"/>
      <c r="E114" s="273"/>
      <c r="F114" s="274">
        <v>2.3025231149412715E-2</v>
      </c>
      <c r="G114" s="273" t="s">
        <v>662</v>
      </c>
      <c r="H114" s="273" t="s">
        <v>809</v>
      </c>
      <c r="I114" s="275">
        <v>21</v>
      </c>
      <c r="J114" s="275">
        <v>29</v>
      </c>
      <c r="K114" s="275">
        <v>7</v>
      </c>
      <c r="L114" s="275">
        <v>17</v>
      </c>
      <c r="M114" s="275">
        <v>3</v>
      </c>
      <c r="N114" s="275">
        <v>0</v>
      </c>
      <c r="O114" s="276">
        <f t="shared" si="38"/>
        <v>744.41699999999992</v>
      </c>
      <c r="P114" s="273">
        <v>0</v>
      </c>
      <c r="Q114" s="276">
        <f t="shared" si="39"/>
        <v>744.41699999999992</v>
      </c>
      <c r="R114" s="277">
        <f t="shared" si="40"/>
        <v>1.0733813565909264E-4</v>
      </c>
      <c r="S114" s="278">
        <f t="shared" si="41"/>
        <v>7.9904332932934747E-5</v>
      </c>
    </row>
    <row r="115" spans="1:19" x14ac:dyDescent="0.35">
      <c r="A115" s="272"/>
      <c r="B115" s="273"/>
      <c r="C115" s="273" t="s">
        <v>704</v>
      </c>
      <c r="D115" s="273"/>
      <c r="E115" s="273"/>
      <c r="F115" s="274">
        <v>6.9169736816209984E-2</v>
      </c>
      <c r="G115" s="273" t="s">
        <v>662</v>
      </c>
      <c r="H115" s="273" t="s">
        <v>808</v>
      </c>
      <c r="I115" s="275">
        <v>21</v>
      </c>
      <c r="J115" s="275">
        <v>30</v>
      </c>
      <c r="K115" s="275">
        <v>7</v>
      </c>
      <c r="L115" s="275">
        <v>17</v>
      </c>
      <c r="M115" s="275">
        <v>3</v>
      </c>
      <c r="N115" s="275">
        <v>0</v>
      </c>
      <c r="O115" s="276">
        <f t="shared" si="38"/>
        <v>745.42499999999995</v>
      </c>
      <c r="P115" s="273">
        <v>0</v>
      </c>
      <c r="Q115" s="276">
        <f t="shared" si="39"/>
        <v>745.42499999999995</v>
      </c>
      <c r="R115" s="277">
        <f t="shared" si="40"/>
        <v>3.2201677832254991E-4</v>
      </c>
      <c r="S115" s="278">
        <f t="shared" si="41"/>
        <v>2.4003935698108675E-4</v>
      </c>
    </row>
    <row r="116" spans="1:19" x14ac:dyDescent="0.35">
      <c r="A116" s="272"/>
      <c r="B116" s="273"/>
      <c r="C116" s="273" t="s">
        <v>706</v>
      </c>
      <c r="D116" s="273"/>
      <c r="E116" s="273"/>
      <c r="F116" s="274">
        <v>2.4507866564561481E-2</v>
      </c>
      <c r="G116" s="273" t="s">
        <v>672</v>
      </c>
      <c r="H116" s="273" t="s">
        <v>798</v>
      </c>
      <c r="I116" s="275">
        <v>9</v>
      </c>
      <c r="J116" s="275">
        <v>17</v>
      </c>
      <c r="K116" s="275">
        <v>1</v>
      </c>
      <c r="L116" s="275">
        <v>5</v>
      </c>
      <c r="M116" s="275">
        <v>0</v>
      </c>
      <c r="N116" s="275">
        <v>0</v>
      </c>
      <c r="O116" s="276">
        <f t="shared" si="38"/>
        <v>219.23699999999999</v>
      </c>
      <c r="P116" s="273">
        <v>0</v>
      </c>
      <c r="Q116" s="276">
        <f t="shared" si="39"/>
        <v>219.23699999999999</v>
      </c>
      <c r="R116" s="277">
        <f t="shared" si="40"/>
        <v>3.8793412815394545E-4</v>
      </c>
      <c r="S116" s="278">
        <f t="shared" si="41"/>
        <v>8.5049514454086541E-5</v>
      </c>
    </row>
    <row r="117" spans="1:19" x14ac:dyDescent="0.35">
      <c r="A117" s="272"/>
      <c r="B117" s="273"/>
      <c r="C117" s="273" t="s">
        <v>708</v>
      </c>
      <c r="D117" s="273"/>
      <c r="E117" s="273"/>
      <c r="F117" s="274">
        <v>4.2955608259222816E-2</v>
      </c>
      <c r="G117" s="273" t="s">
        <v>662</v>
      </c>
      <c r="H117" s="273" t="s">
        <v>810</v>
      </c>
      <c r="I117" s="275">
        <v>34</v>
      </c>
      <c r="J117" s="275">
        <v>32</v>
      </c>
      <c r="K117" s="275">
        <v>4</v>
      </c>
      <c r="L117" s="275">
        <v>4</v>
      </c>
      <c r="M117" s="275">
        <v>0</v>
      </c>
      <c r="N117" s="275">
        <v>0</v>
      </c>
      <c r="O117" s="276">
        <f>(I117*12.011)+(J117*1.008)+(L117*15.999)+(14.007*K117)+(M117*30.974)+(N117*32.066)+55.845</f>
        <v>616.49900000000002</v>
      </c>
      <c r="P117" s="273">
        <v>0</v>
      </c>
      <c r="Q117" s="276">
        <f t="shared" si="39"/>
        <v>616.49900000000002</v>
      </c>
      <c r="R117" s="277">
        <f t="shared" si="40"/>
        <v>2.4179862566769242E-4</v>
      </c>
      <c r="S117" s="278">
        <f t="shared" si="41"/>
        <v>1.4906861092550672E-4</v>
      </c>
    </row>
    <row r="118" spans="1:19" x14ac:dyDescent="0.35">
      <c r="A118" s="272"/>
      <c r="B118" s="273"/>
      <c r="C118" s="273" t="s">
        <v>710</v>
      </c>
      <c r="D118" s="273"/>
      <c r="E118" s="273"/>
      <c r="F118" s="274">
        <v>9.8200236339360987E-3</v>
      </c>
      <c r="G118" s="273" t="s">
        <v>712</v>
      </c>
      <c r="H118" s="273" t="s">
        <v>811</v>
      </c>
      <c r="I118" s="275">
        <v>4</v>
      </c>
      <c r="J118" s="275">
        <v>12</v>
      </c>
      <c r="K118" s="275">
        <v>2</v>
      </c>
      <c r="L118" s="275">
        <v>0</v>
      </c>
      <c r="M118" s="275">
        <v>0</v>
      </c>
      <c r="N118" s="275">
        <v>0</v>
      </c>
      <c r="O118" s="276">
        <f t="shared" si="38"/>
        <v>88.153999999999996</v>
      </c>
      <c r="P118" s="273">
        <v>0</v>
      </c>
      <c r="Q118" s="276">
        <f t="shared" si="39"/>
        <v>88.153999999999996</v>
      </c>
      <c r="R118" s="277">
        <f t="shared" si="40"/>
        <v>3.8657773861648171E-4</v>
      </c>
      <c r="S118" s="278">
        <f t="shared" si="41"/>
        <v>3.4078373969997325E-5</v>
      </c>
    </row>
    <row r="119" spans="1:19" x14ac:dyDescent="0.35">
      <c r="A119" s="272"/>
      <c r="B119" s="273"/>
      <c r="C119" s="273" t="s">
        <v>716</v>
      </c>
      <c r="D119" s="273"/>
      <c r="E119" s="273"/>
      <c r="F119" s="274">
        <v>1.9494893858173906E-3</v>
      </c>
      <c r="G119" s="273" t="s">
        <v>672</v>
      </c>
      <c r="H119" s="273" t="s">
        <v>789</v>
      </c>
      <c r="I119" s="275">
        <v>8</v>
      </c>
      <c r="J119" s="275">
        <v>10</v>
      </c>
      <c r="K119" s="275">
        <v>1</v>
      </c>
      <c r="L119" s="275">
        <v>6</v>
      </c>
      <c r="M119" s="275">
        <v>1</v>
      </c>
      <c r="N119" s="275">
        <v>0</v>
      </c>
      <c r="O119" s="276">
        <f t="shared" si="38"/>
        <v>247.14299999999997</v>
      </c>
      <c r="P119" s="273">
        <v>0</v>
      </c>
      <c r="Q119" s="276">
        <f t="shared" si="39"/>
        <v>247.14299999999997</v>
      </c>
      <c r="R119" s="277">
        <f t="shared" si="40"/>
        <v>2.7374039669828894E-5</v>
      </c>
      <c r="S119" s="278">
        <f t="shared" si="41"/>
        <v>6.7653022861205212E-6</v>
      </c>
    </row>
    <row r="120" spans="1:19" x14ac:dyDescent="0.35">
      <c r="A120" s="272"/>
      <c r="B120" s="273"/>
      <c r="C120" s="273" t="s">
        <v>307</v>
      </c>
      <c r="D120" s="273"/>
      <c r="E120" s="273"/>
      <c r="F120" s="274">
        <v>3.2305824107831042E-3</v>
      </c>
      <c r="G120" s="273" t="s">
        <v>672</v>
      </c>
      <c r="H120" s="273" t="s">
        <v>787</v>
      </c>
      <c r="I120" s="275">
        <v>17</v>
      </c>
      <c r="J120" s="275">
        <v>20</v>
      </c>
      <c r="K120" s="275">
        <v>4</v>
      </c>
      <c r="L120" s="275">
        <v>6</v>
      </c>
      <c r="M120" s="275">
        <v>0</v>
      </c>
      <c r="N120" s="275">
        <v>0</v>
      </c>
      <c r="O120" s="276">
        <f t="shared" si="38"/>
        <v>376.36900000000003</v>
      </c>
      <c r="P120" s="273">
        <v>0</v>
      </c>
      <c r="Q120" s="276">
        <f t="shared" si="39"/>
        <v>376.36900000000003</v>
      </c>
      <c r="R120" s="277">
        <f t="shared" si="40"/>
        <v>2.9787448912787346E-5</v>
      </c>
      <c r="S120" s="278">
        <f t="shared" si="41"/>
        <v>1.1211072359856862E-5</v>
      </c>
    </row>
    <row r="121" spans="1:19" x14ac:dyDescent="0.35">
      <c r="A121" s="272"/>
      <c r="B121" s="273"/>
      <c r="C121" s="273" t="s">
        <v>719</v>
      </c>
      <c r="D121" s="273"/>
      <c r="E121" s="273"/>
      <c r="F121" s="274">
        <v>1.1270287777833371E-2</v>
      </c>
      <c r="G121" s="273" t="s">
        <v>712</v>
      </c>
      <c r="H121" s="273" t="s">
        <v>812</v>
      </c>
      <c r="I121" s="275">
        <v>10</v>
      </c>
      <c r="J121" s="275">
        <v>26</v>
      </c>
      <c r="K121" s="275">
        <v>4</v>
      </c>
      <c r="L121" s="275">
        <v>0</v>
      </c>
      <c r="M121" s="275">
        <v>0</v>
      </c>
      <c r="N121" s="275">
        <v>0</v>
      </c>
      <c r="O121" s="276">
        <f t="shared" si="38"/>
        <v>202.34599999999998</v>
      </c>
      <c r="P121" s="273">
        <v>0</v>
      </c>
      <c r="Q121" s="276">
        <f t="shared" si="39"/>
        <v>202.34599999999998</v>
      </c>
      <c r="R121" s="277">
        <f t="shared" si="40"/>
        <v>1.9328881048643462E-4</v>
      </c>
      <c r="S121" s="278">
        <f t="shared" si="41"/>
        <v>3.9111217646688099E-5</v>
      </c>
    </row>
    <row r="122" spans="1:19" x14ac:dyDescent="0.35">
      <c r="A122" s="272"/>
      <c r="B122" s="273"/>
      <c r="C122" s="273" t="s">
        <v>722</v>
      </c>
      <c r="D122" s="273"/>
      <c r="E122" s="273"/>
      <c r="F122" s="274">
        <v>3.236061032954219E-2</v>
      </c>
      <c r="G122" s="273" t="s">
        <v>712</v>
      </c>
      <c r="H122" s="273" t="s">
        <v>813</v>
      </c>
      <c r="I122" s="275">
        <v>7</v>
      </c>
      <c r="J122" s="275">
        <v>19</v>
      </c>
      <c r="K122" s="275">
        <v>3</v>
      </c>
      <c r="L122" s="275">
        <v>0</v>
      </c>
      <c r="M122" s="275">
        <v>0</v>
      </c>
      <c r="N122" s="275">
        <v>0</v>
      </c>
      <c r="O122" s="276">
        <f t="shared" si="38"/>
        <v>145.25</v>
      </c>
      <c r="P122" s="273">
        <v>0</v>
      </c>
      <c r="Q122" s="276">
        <f t="shared" si="39"/>
        <v>145.25</v>
      </c>
      <c r="R122" s="277">
        <f t="shared" si="40"/>
        <v>7.7315557949909626E-4</v>
      </c>
      <c r="S122" s="278">
        <f t="shared" si="41"/>
        <v>1.1230084792224374E-4</v>
      </c>
    </row>
    <row r="123" spans="1:19" x14ac:dyDescent="0.35">
      <c r="A123" s="272"/>
      <c r="B123" s="273"/>
      <c r="C123" s="273" t="s">
        <v>724</v>
      </c>
      <c r="D123" s="273"/>
      <c r="E123" s="273"/>
      <c r="F123" s="274">
        <v>2.3606136784582735E-2</v>
      </c>
      <c r="G123" s="273" t="s">
        <v>662</v>
      </c>
      <c r="H123" s="273" t="s">
        <v>814</v>
      </c>
      <c r="I123" s="275">
        <v>25</v>
      </c>
      <c r="J123" s="275">
        <v>40</v>
      </c>
      <c r="K123" s="275">
        <v>7</v>
      </c>
      <c r="L123" s="275">
        <v>19</v>
      </c>
      <c r="M123" s="275">
        <v>3</v>
      </c>
      <c r="N123" s="275">
        <v>1</v>
      </c>
      <c r="O123" s="276">
        <f t="shared" si="18"/>
        <v>867.61300000000006</v>
      </c>
      <c r="P123" s="273">
        <v>0</v>
      </c>
      <c r="Q123" s="276">
        <f t="shared" si="26"/>
        <v>867.61300000000006</v>
      </c>
      <c r="R123" s="277">
        <f t="shared" si="27"/>
        <v>9.4420261754390522E-5</v>
      </c>
      <c r="S123" s="278">
        <f t="shared" si="23"/>
        <v>8.192024656151204E-5</v>
      </c>
    </row>
    <row r="124" spans="1:19" x14ac:dyDescent="0.35">
      <c r="A124" s="272"/>
      <c r="B124" s="273"/>
      <c r="C124" s="273" t="s">
        <v>726</v>
      </c>
      <c r="D124" s="273"/>
      <c r="E124" s="273"/>
      <c r="F124" s="274">
        <v>2.7579834805601368E-2</v>
      </c>
      <c r="G124" s="273" t="s">
        <v>662</v>
      </c>
      <c r="H124" s="273" t="s">
        <v>815</v>
      </c>
      <c r="I124" s="275">
        <v>19</v>
      </c>
      <c r="J124" s="275">
        <v>23</v>
      </c>
      <c r="K124" s="275">
        <v>7</v>
      </c>
      <c r="L124" s="275">
        <v>6</v>
      </c>
      <c r="M124" s="275">
        <v>0</v>
      </c>
      <c r="N124" s="275">
        <v>0</v>
      </c>
      <c r="O124" s="276">
        <f t="shared" si="18"/>
        <v>445.43599999999992</v>
      </c>
      <c r="P124" s="273">
        <v>0</v>
      </c>
      <c r="Q124" s="276">
        <f t="shared" si="26"/>
        <v>445.43599999999992</v>
      </c>
      <c r="R124" s="277">
        <f t="shared" si="27"/>
        <v>2.1486846355852376E-4</v>
      </c>
      <c r="S124" s="278">
        <f t="shared" si="23"/>
        <v>9.5710148933654584E-5</v>
      </c>
    </row>
    <row r="125" spans="1:19" x14ac:dyDescent="0.35">
      <c r="A125" s="272"/>
      <c r="B125" s="273"/>
      <c r="C125" s="273" t="s">
        <v>308</v>
      </c>
      <c r="D125" s="273"/>
      <c r="E125" s="273"/>
      <c r="F125" s="274">
        <v>1.6152912053915521E-3</v>
      </c>
      <c r="G125" s="273" t="s">
        <v>672</v>
      </c>
      <c r="H125" s="273" t="s">
        <v>313</v>
      </c>
      <c r="I125" s="275">
        <v>12</v>
      </c>
      <c r="J125" s="275">
        <v>17</v>
      </c>
      <c r="K125" s="275">
        <v>4</v>
      </c>
      <c r="L125" s="275">
        <v>1</v>
      </c>
      <c r="M125" s="275">
        <v>0</v>
      </c>
      <c r="N125" s="275">
        <v>1</v>
      </c>
      <c r="O125" s="276">
        <f t="shared" si="18"/>
        <v>265.36099999999999</v>
      </c>
      <c r="P125" s="273">
        <v>0</v>
      </c>
      <c r="Q125" s="276">
        <f t="shared" si="26"/>
        <v>265.36099999999999</v>
      </c>
      <c r="R125" s="277">
        <f t="shared" si="27"/>
        <v>2.1124189989970008E-5</v>
      </c>
      <c r="S125" s="278">
        <f t="shared" si="23"/>
        <v>5.6055361799284311E-6</v>
      </c>
    </row>
    <row r="126" spans="1:19" x14ac:dyDescent="0.35">
      <c r="A126" s="272"/>
      <c r="B126" s="273"/>
      <c r="C126" s="273" t="s">
        <v>729</v>
      </c>
      <c r="D126" s="273"/>
      <c r="E126" s="273"/>
      <c r="F126" s="274">
        <v>1.4248004623972493E-2</v>
      </c>
      <c r="G126" s="273" t="s">
        <v>662</v>
      </c>
      <c r="H126" s="273" t="s">
        <v>816</v>
      </c>
      <c r="I126" s="275">
        <v>55</v>
      </c>
      <c r="J126" s="275">
        <v>92</v>
      </c>
      <c r="K126" s="275">
        <v>0</v>
      </c>
      <c r="L126" s="275">
        <v>7</v>
      </c>
      <c r="M126" s="275">
        <v>2</v>
      </c>
      <c r="N126" s="275">
        <v>0</v>
      </c>
      <c r="O126" s="276">
        <f>(I126*12.011)+(J126*1.008)+(L126*15.999)+(14.007*K126)+(M126*30.974)+(N126*32.066)</f>
        <v>927.28199999999993</v>
      </c>
      <c r="P126" s="273">
        <v>0</v>
      </c>
      <c r="Q126" s="276">
        <f t="shared" si="26"/>
        <v>927.28199999999993</v>
      </c>
      <c r="R126" s="277">
        <f t="shared" si="27"/>
        <v>5.3322260142294495E-5</v>
      </c>
      <c r="S126" s="278">
        <f t="shared" si="23"/>
        <v>4.9444772029267124E-5</v>
      </c>
    </row>
    <row r="127" spans="1:19" x14ac:dyDescent="0.35">
      <c r="A127" s="117" t="s">
        <v>656</v>
      </c>
      <c r="B127" s="108">
        <f>'General composition'!B61</f>
        <v>2.1054235160302994E-2</v>
      </c>
      <c r="C127" s="109" t="s">
        <v>320</v>
      </c>
      <c r="D127" s="109"/>
      <c r="E127" s="109"/>
      <c r="F127" s="108">
        <v>0.43746428006283178</v>
      </c>
      <c r="G127" s="109" t="s">
        <v>656</v>
      </c>
      <c r="H127" s="109" t="s">
        <v>321</v>
      </c>
      <c r="I127" s="222">
        <v>0</v>
      </c>
      <c r="J127" s="222">
        <v>0</v>
      </c>
      <c r="K127" s="222">
        <v>0</v>
      </c>
      <c r="L127" s="222">
        <v>0</v>
      </c>
      <c r="M127" s="222">
        <v>0</v>
      </c>
      <c r="N127" s="222">
        <v>0</v>
      </c>
      <c r="O127" s="110">
        <v>39.098300000000002</v>
      </c>
      <c r="P127" s="109">
        <v>0</v>
      </c>
      <c r="Q127" s="110">
        <f t="shared" si="26"/>
        <v>39.098300000000002</v>
      </c>
      <c r="R127" s="165">
        <f>B$127*F127*1000/Q127</f>
        <v>0.23557228387616619</v>
      </c>
      <c r="S127" s="115">
        <f t="shared" si="23"/>
        <v>9.2104758266755085E-3</v>
      </c>
    </row>
    <row r="128" spans="1:19" x14ac:dyDescent="0.35">
      <c r="A128" s="264"/>
      <c r="B128" s="113"/>
      <c r="C128" s="112" t="s">
        <v>736</v>
      </c>
      <c r="D128" s="112"/>
      <c r="E128" s="112"/>
      <c r="F128" s="113">
        <v>9.4067754733418198E-3</v>
      </c>
      <c r="G128" s="112" t="s">
        <v>656</v>
      </c>
      <c r="H128" s="112" t="s">
        <v>817</v>
      </c>
      <c r="I128" s="223">
        <v>0</v>
      </c>
      <c r="J128" s="223">
        <v>4</v>
      </c>
      <c r="K128" s="223">
        <v>1</v>
      </c>
      <c r="L128" s="223">
        <v>0</v>
      </c>
      <c r="M128" s="223">
        <v>0</v>
      </c>
      <c r="N128" s="223">
        <v>0</v>
      </c>
      <c r="O128" s="114">
        <f t="shared" ref="O128" si="42">(I128*12.011)+(J128*1.008)+(L128*15.999)+(14.007*K128)+(M128*30.974)+(N128*32.066)</f>
        <v>18.039000000000001</v>
      </c>
      <c r="P128" s="112">
        <v>0</v>
      </c>
      <c r="Q128" s="114">
        <f t="shared" si="26"/>
        <v>18.039000000000001</v>
      </c>
      <c r="R128" s="166">
        <f t="shared" ref="R128:R135" si="43">B$127*F128*1000/Q128</f>
        <v>1.0979126499024845E-2</v>
      </c>
      <c r="S128" s="116">
        <f t="shared" si="23"/>
        <v>1.9805246291590918E-4</v>
      </c>
    </row>
    <row r="129" spans="1:19" x14ac:dyDescent="0.35">
      <c r="A129" s="264"/>
      <c r="B129" s="113"/>
      <c r="C129" s="112" t="s">
        <v>739</v>
      </c>
      <c r="D129" s="112"/>
      <c r="E129" s="112"/>
      <c r="F129" s="113">
        <v>0.17627102155732152</v>
      </c>
      <c r="G129" s="112" t="s">
        <v>656</v>
      </c>
      <c r="H129" s="112" t="s">
        <v>322</v>
      </c>
      <c r="I129" s="223">
        <v>0</v>
      </c>
      <c r="J129" s="223">
        <v>0</v>
      </c>
      <c r="K129" s="223">
        <v>0</v>
      </c>
      <c r="L129" s="223">
        <v>0</v>
      </c>
      <c r="M129" s="223">
        <v>0</v>
      </c>
      <c r="N129" s="223">
        <v>0</v>
      </c>
      <c r="O129" s="114">
        <v>24.305</v>
      </c>
      <c r="P129" s="112">
        <v>0</v>
      </c>
      <c r="Q129" s="114">
        <f t="shared" si="26"/>
        <v>24.305</v>
      </c>
      <c r="R129" s="166">
        <f t="shared" si="43"/>
        <v>0.15269498209482352</v>
      </c>
      <c r="S129" s="116">
        <f t="shared" si="23"/>
        <v>3.7112515398146856E-3</v>
      </c>
    </row>
    <row r="130" spans="1:19" x14ac:dyDescent="0.35">
      <c r="A130" s="264"/>
      <c r="B130" s="113"/>
      <c r="C130" s="112" t="s">
        <v>324</v>
      </c>
      <c r="D130" s="112"/>
      <c r="E130" s="112"/>
      <c r="F130" s="113">
        <v>0.14413828325260145</v>
      </c>
      <c r="G130" s="112" t="s">
        <v>656</v>
      </c>
      <c r="H130" s="112" t="s">
        <v>323</v>
      </c>
      <c r="I130" s="223">
        <v>0</v>
      </c>
      <c r="J130" s="223">
        <v>0</v>
      </c>
      <c r="K130" s="223">
        <v>0</v>
      </c>
      <c r="L130" s="223">
        <v>0</v>
      </c>
      <c r="M130" s="223">
        <v>0</v>
      </c>
      <c r="N130" s="223">
        <v>0</v>
      </c>
      <c r="O130" s="114">
        <v>40.078000000000003</v>
      </c>
      <c r="P130" s="112">
        <v>0</v>
      </c>
      <c r="Q130" s="114">
        <f t="shared" si="26"/>
        <v>40.078000000000003</v>
      </c>
      <c r="R130" s="166">
        <f t="shared" si="43"/>
        <v>7.5720378042882217E-2</v>
      </c>
      <c r="S130" s="116">
        <f t="shared" si="23"/>
        <v>3.0347213112026337E-3</v>
      </c>
    </row>
    <row r="131" spans="1:19" x14ac:dyDescent="0.35">
      <c r="A131" s="264"/>
      <c r="B131" s="113"/>
      <c r="C131" s="112" t="s">
        <v>326</v>
      </c>
      <c r="D131" s="112"/>
      <c r="E131" s="112"/>
      <c r="F131" s="113">
        <v>2.7221019735284287E-2</v>
      </c>
      <c r="G131" s="112" t="s">
        <v>656</v>
      </c>
      <c r="H131" s="112" t="s">
        <v>328</v>
      </c>
      <c r="I131" s="223">
        <v>0</v>
      </c>
      <c r="J131" s="223">
        <v>0</v>
      </c>
      <c r="K131" s="223">
        <v>0</v>
      </c>
      <c r="L131" s="223">
        <v>0</v>
      </c>
      <c r="M131" s="223">
        <v>0</v>
      </c>
      <c r="N131" s="223">
        <v>0</v>
      </c>
      <c r="O131" s="114">
        <v>55.844999999999999</v>
      </c>
      <c r="P131" s="112">
        <v>0</v>
      </c>
      <c r="Q131" s="114">
        <f t="shared" si="26"/>
        <v>55.844999999999999</v>
      </c>
      <c r="R131" s="166">
        <f t="shared" si="43"/>
        <v>1.0262651102335466E-2</v>
      </c>
      <c r="S131" s="116">
        <f t="shared" si="23"/>
        <v>5.7311775080992416E-4</v>
      </c>
    </row>
    <row r="132" spans="1:19" x14ac:dyDescent="0.35">
      <c r="A132" s="264"/>
      <c r="B132" s="113"/>
      <c r="C132" s="112" t="s">
        <v>742</v>
      </c>
      <c r="D132" s="112"/>
      <c r="E132" s="112"/>
      <c r="F132" s="113">
        <v>1.7500982718238065E-2</v>
      </c>
      <c r="G132" s="112" t="s">
        <v>656</v>
      </c>
      <c r="H132" s="112" t="s">
        <v>328</v>
      </c>
      <c r="I132" s="223">
        <v>0</v>
      </c>
      <c r="J132" s="223">
        <v>0</v>
      </c>
      <c r="K132" s="223">
        <v>0</v>
      </c>
      <c r="L132" s="223">
        <v>0</v>
      </c>
      <c r="M132" s="223">
        <v>0</v>
      </c>
      <c r="N132" s="223">
        <v>0</v>
      </c>
      <c r="O132" s="114">
        <v>55.844999999999999</v>
      </c>
      <c r="P132" s="112">
        <v>0</v>
      </c>
      <c r="Q132" s="114">
        <f t="shared" si="26"/>
        <v>55.844999999999999</v>
      </c>
      <c r="R132" s="166">
        <f t="shared" si="43"/>
        <v>6.5980805029310224E-3</v>
      </c>
      <c r="S132" s="116">
        <f t="shared" si="23"/>
        <v>3.6846980568618293E-4</v>
      </c>
    </row>
    <row r="133" spans="1:19" x14ac:dyDescent="0.35">
      <c r="A133" s="264"/>
      <c r="B133" s="113"/>
      <c r="C133" s="112" t="s">
        <v>744</v>
      </c>
      <c r="D133" s="112"/>
      <c r="E133" s="112"/>
      <c r="F133" s="113">
        <v>8.8366015001419794E-3</v>
      </c>
      <c r="G133" s="112" t="s">
        <v>656</v>
      </c>
      <c r="H133" s="112" t="s">
        <v>818</v>
      </c>
      <c r="I133" s="223">
        <v>0</v>
      </c>
      <c r="J133" s="223">
        <v>0</v>
      </c>
      <c r="K133" s="223">
        <v>0</v>
      </c>
      <c r="L133" s="223">
        <v>0</v>
      </c>
      <c r="M133" s="223">
        <v>0</v>
      </c>
      <c r="N133" s="223">
        <v>0</v>
      </c>
      <c r="O133" s="114">
        <v>63.545999999999999</v>
      </c>
      <c r="P133" s="112">
        <v>0</v>
      </c>
      <c r="Q133" s="114">
        <f t="shared" si="26"/>
        <v>63.545999999999999</v>
      </c>
      <c r="R133" s="166">
        <f t="shared" si="43"/>
        <v>2.9277670664066258E-3</v>
      </c>
      <c r="S133" s="116">
        <f t="shared" si="23"/>
        <v>1.8604788600187544E-4</v>
      </c>
    </row>
    <row r="134" spans="1:19" x14ac:dyDescent="0.35">
      <c r="A134" s="264"/>
      <c r="B134" s="113"/>
      <c r="C134" s="112" t="s">
        <v>746</v>
      </c>
      <c r="D134" s="112"/>
      <c r="E134" s="112"/>
      <c r="F134" s="113">
        <v>7.6395872787398114E-3</v>
      </c>
      <c r="G134" s="112" t="s">
        <v>656</v>
      </c>
      <c r="H134" s="112" t="s">
        <v>819</v>
      </c>
      <c r="I134" s="223">
        <v>0</v>
      </c>
      <c r="J134" s="223">
        <v>0</v>
      </c>
      <c r="K134" s="223">
        <v>0</v>
      </c>
      <c r="L134" s="223">
        <v>0</v>
      </c>
      <c r="M134" s="223">
        <v>0</v>
      </c>
      <c r="N134" s="223">
        <v>0</v>
      </c>
      <c r="O134" s="114">
        <v>54.938043999999998</v>
      </c>
      <c r="P134" s="112">
        <v>0</v>
      </c>
      <c r="Q134" s="114">
        <f t="shared" si="26"/>
        <v>54.938043999999998</v>
      </c>
      <c r="R134" s="166">
        <f t="shared" si="43"/>
        <v>2.927764721551557E-3</v>
      </c>
      <c r="S134" s="116">
        <f t="shared" si="23"/>
        <v>1.608456670942472E-4</v>
      </c>
    </row>
    <row r="135" spans="1:19" x14ac:dyDescent="0.35">
      <c r="A135" s="264"/>
      <c r="B135" s="113"/>
      <c r="C135" s="112" t="s">
        <v>790</v>
      </c>
      <c r="D135" s="112"/>
      <c r="E135" s="112"/>
      <c r="F135" s="113">
        <v>2.2240991469686656E-2</v>
      </c>
      <c r="G135" s="112" t="s">
        <v>656</v>
      </c>
      <c r="H135" s="112" t="s">
        <v>821</v>
      </c>
      <c r="I135" s="223">
        <v>0</v>
      </c>
      <c r="J135" s="223">
        <v>0</v>
      </c>
      <c r="K135" s="223">
        <v>0</v>
      </c>
      <c r="L135" s="223">
        <v>4</v>
      </c>
      <c r="M135" s="223">
        <v>0</v>
      </c>
      <c r="N135" s="223">
        <v>0</v>
      </c>
      <c r="O135" s="114">
        <f>(I135*12.011)+(J135*1.008)+(L135*15.999)+(14.007*K135)+(M135*30.974)+(N135*32.066)+95.95</f>
        <v>159.946</v>
      </c>
      <c r="P135" s="112">
        <v>0</v>
      </c>
      <c r="Q135" s="114">
        <f t="shared" si="26"/>
        <v>159.946</v>
      </c>
      <c r="R135" s="166">
        <f t="shared" si="43"/>
        <v>2.9276572380745737E-3</v>
      </c>
      <c r="S135" s="116">
        <f t="shared" si="23"/>
        <v>4.6826706460107576E-4</v>
      </c>
    </row>
    <row r="136" spans="1:19" x14ac:dyDescent="0.35">
      <c r="A136" s="111"/>
      <c r="B136" s="112"/>
      <c r="C136" s="112" t="s">
        <v>750</v>
      </c>
      <c r="D136" s="112"/>
      <c r="E136" s="112"/>
      <c r="F136" s="113">
        <v>8.1951531729482167E-3</v>
      </c>
      <c r="G136" s="112" t="s">
        <v>656</v>
      </c>
      <c r="H136" s="112" t="s">
        <v>820</v>
      </c>
      <c r="I136" s="223">
        <v>0</v>
      </c>
      <c r="J136" s="223">
        <v>0</v>
      </c>
      <c r="K136" s="223">
        <v>0</v>
      </c>
      <c r="L136" s="223">
        <v>0</v>
      </c>
      <c r="M136" s="223">
        <v>0</v>
      </c>
      <c r="N136" s="223">
        <v>0</v>
      </c>
      <c r="O136" s="114">
        <v>58.933194999999998</v>
      </c>
      <c r="P136" s="112">
        <v>0</v>
      </c>
      <c r="Q136" s="114">
        <f t="shared" si="26"/>
        <v>58.933194999999998</v>
      </c>
      <c r="R136" s="166">
        <f t="shared" ref="R136:R140" si="44">B$127*F136*1000/Q136</f>
        <v>2.9277673148037364E-3</v>
      </c>
      <c r="S136" s="116">
        <f t="shared" si="23"/>
        <v>1.7254268207795499E-4</v>
      </c>
    </row>
    <row r="137" spans="1:19" x14ac:dyDescent="0.35">
      <c r="A137" s="111"/>
      <c r="B137" s="112"/>
      <c r="C137" s="112" t="s">
        <v>329</v>
      </c>
      <c r="D137" s="112"/>
      <c r="E137" s="112"/>
      <c r="F137" s="113">
        <v>7.4823376338133867E-4</v>
      </c>
      <c r="G137" s="112" t="s">
        <v>656</v>
      </c>
      <c r="H137" s="112" t="s">
        <v>330</v>
      </c>
      <c r="I137" s="223">
        <v>0</v>
      </c>
      <c r="J137" s="223">
        <v>0</v>
      </c>
      <c r="K137" s="223">
        <v>0</v>
      </c>
      <c r="L137" s="223">
        <v>0</v>
      </c>
      <c r="M137" s="223">
        <v>0</v>
      </c>
      <c r="N137" s="223">
        <v>0</v>
      </c>
      <c r="O137" s="114">
        <v>65.38</v>
      </c>
      <c r="P137" s="112">
        <v>0</v>
      </c>
      <c r="Q137" s="114">
        <f t="shared" si="26"/>
        <v>65.38</v>
      </c>
      <c r="R137" s="166">
        <f t="shared" si="44"/>
        <v>2.4095273186156645E-4</v>
      </c>
      <c r="S137" s="116">
        <f t="shared" si="23"/>
        <v>1.5753489609109213E-5</v>
      </c>
    </row>
    <row r="138" spans="1:19" x14ac:dyDescent="0.35">
      <c r="A138" s="111"/>
      <c r="B138" s="112"/>
      <c r="C138" s="112" t="s">
        <v>791</v>
      </c>
      <c r="D138" s="112"/>
      <c r="E138" s="112"/>
      <c r="F138" s="113">
        <v>1.669777824935163E-2</v>
      </c>
      <c r="G138" s="112" t="s">
        <v>656</v>
      </c>
      <c r="H138" s="112" t="s">
        <v>791</v>
      </c>
      <c r="I138" s="223">
        <v>0</v>
      </c>
      <c r="J138" s="223">
        <v>0</v>
      </c>
      <c r="K138" s="223">
        <v>0</v>
      </c>
      <c r="L138" s="223">
        <v>4</v>
      </c>
      <c r="M138" s="223">
        <v>0</v>
      </c>
      <c r="N138" s="223">
        <v>1</v>
      </c>
      <c r="O138" s="114">
        <f t="shared" ref="O138:O139" si="45">(I138*12.011)+(J138*1.008)+(L138*15.999)+(14.007*K138)+(M138*30.974)+(N138*32.066)</f>
        <v>96.062000000000012</v>
      </c>
      <c r="P138" s="112">
        <v>0</v>
      </c>
      <c r="Q138" s="114">
        <f t="shared" si="26"/>
        <v>96.062000000000012</v>
      </c>
      <c r="R138" s="166">
        <f t="shared" si="44"/>
        <v>3.6597088330082824E-3</v>
      </c>
      <c r="S138" s="116">
        <f t="shared" si="23"/>
        <v>3.5155894991644165E-4</v>
      </c>
    </row>
    <row r="139" spans="1:19" x14ac:dyDescent="0.35">
      <c r="A139" s="111"/>
      <c r="B139" s="112"/>
      <c r="C139" s="112" t="s">
        <v>755</v>
      </c>
      <c r="D139" s="112"/>
      <c r="E139" s="112"/>
      <c r="F139" s="113">
        <v>1.6683177123277371E-2</v>
      </c>
      <c r="G139" s="112" t="s">
        <v>656</v>
      </c>
      <c r="H139" s="112" t="s">
        <v>822</v>
      </c>
      <c r="I139" s="223">
        <v>0</v>
      </c>
      <c r="J139" s="223">
        <v>1</v>
      </c>
      <c r="K139" s="223">
        <v>0</v>
      </c>
      <c r="L139" s="223">
        <v>4</v>
      </c>
      <c r="M139" s="223">
        <v>1</v>
      </c>
      <c r="N139" s="223">
        <v>0</v>
      </c>
      <c r="O139" s="114">
        <f t="shared" si="45"/>
        <v>95.978000000000009</v>
      </c>
      <c r="P139" s="112">
        <v>0</v>
      </c>
      <c r="Q139" s="114">
        <f t="shared" si="26"/>
        <v>95.978000000000009</v>
      </c>
      <c r="R139" s="166">
        <f t="shared" si="44"/>
        <v>3.6597088330082828E-3</v>
      </c>
      <c r="S139" s="116">
        <f t="shared" si="23"/>
        <v>3.5125153437446901E-4</v>
      </c>
    </row>
    <row r="140" spans="1:19" x14ac:dyDescent="0.35">
      <c r="A140" s="111"/>
      <c r="B140" s="112"/>
      <c r="C140" s="112" t="s">
        <v>325</v>
      </c>
      <c r="D140" s="112"/>
      <c r="E140" s="112"/>
      <c r="F140" s="113">
        <v>0.10695611464285394</v>
      </c>
      <c r="G140" s="112" t="s">
        <v>656</v>
      </c>
      <c r="H140" s="112" t="s">
        <v>327</v>
      </c>
      <c r="I140" s="223">
        <v>0</v>
      </c>
      <c r="J140" s="223">
        <v>0</v>
      </c>
      <c r="K140" s="223">
        <v>0</v>
      </c>
      <c r="L140" s="223">
        <v>0</v>
      </c>
      <c r="M140" s="223">
        <v>0</v>
      </c>
      <c r="N140" s="223">
        <v>0</v>
      </c>
      <c r="O140" s="114">
        <v>22.989768999999999</v>
      </c>
      <c r="P140" s="112">
        <v>0</v>
      </c>
      <c r="Q140" s="114">
        <f t="shared" si="26"/>
        <v>22.989768999999999</v>
      </c>
      <c r="R140" s="166">
        <f t="shared" si="44"/>
        <v>9.7951362169971065E-2</v>
      </c>
      <c r="S140" s="116">
        <f t="shared" si="23"/>
        <v>2.2518791895229733E-3</v>
      </c>
    </row>
    <row r="141" spans="1:19" x14ac:dyDescent="0.35">
      <c r="A141" s="123" t="s">
        <v>383</v>
      </c>
      <c r="B141" s="124"/>
      <c r="C141" s="124" t="s">
        <v>89</v>
      </c>
      <c r="D141" s="124"/>
      <c r="E141" s="124"/>
      <c r="F141" s="124"/>
      <c r="G141" s="124" t="s">
        <v>384</v>
      </c>
      <c r="H141" s="124" t="s">
        <v>770</v>
      </c>
      <c r="I141" s="224">
        <v>10</v>
      </c>
      <c r="J141" s="224">
        <v>16</v>
      </c>
      <c r="K141" s="224">
        <v>5</v>
      </c>
      <c r="L141" s="224">
        <v>13</v>
      </c>
      <c r="M141" s="224">
        <v>3</v>
      </c>
      <c r="N141" s="224">
        <v>0</v>
      </c>
      <c r="O141" s="124">
        <f t="shared" ref="O141" si="46">(I141*12.011)+(J141*1.008)+(L141*15.999)+(14.007*K141)+(M141*30.974)+(N141*32.066)</f>
        <v>507.18200000000002</v>
      </c>
      <c r="P141" s="124">
        <v>0</v>
      </c>
      <c r="Q141" s="125">
        <f t="shared" si="26"/>
        <v>507.18200000000002</v>
      </c>
      <c r="R141" s="126">
        <f>'Maintenance ATP'!$M$32</f>
        <v>18.61</v>
      </c>
      <c r="S141" s="129"/>
    </row>
    <row r="142" spans="1:19" x14ac:dyDescent="0.35">
      <c r="A142" s="127" t="s">
        <v>385</v>
      </c>
      <c r="B142" s="120"/>
      <c r="C142" s="120" t="s">
        <v>89</v>
      </c>
      <c r="D142" s="120"/>
      <c r="E142" s="120"/>
      <c r="F142" s="120"/>
      <c r="G142" s="120" t="s">
        <v>386</v>
      </c>
      <c r="H142" s="120" t="s">
        <v>770</v>
      </c>
      <c r="I142" s="225">
        <v>10</v>
      </c>
      <c r="J142" s="225">
        <v>16</v>
      </c>
      <c r="K142" s="225">
        <v>5</v>
      </c>
      <c r="L142" s="225">
        <v>13</v>
      </c>
      <c r="M142" s="225">
        <v>3</v>
      </c>
      <c r="N142" s="225">
        <v>0</v>
      </c>
      <c r="O142" s="120">
        <f t="shared" ref="O142:O144" si="47">(I142*12.011)+(J142*1.008)+(L142*15.999)+(14.007*K142)+(M142*30.974)+(N142*32.066)</f>
        <v>507.18200000000002</v>
      </c>
      <c r="P142" s="120">
        <v>0</v>
      </c>
      <c r="Q142" s="121">
        <f t="shared" ref="Q142:Q147" si="48">O142-P142</f>
        <v>507.18200000000002</v>
      </c>
      <c r="R142" s="122">
        <f>'Maintenance ATP'!$M$31</f>
        <v>35.39243113772455</v>
      </c>
      <c r="S142" s="130"/>
    </row>
    <row r="143" spans="1:19" x14ac:dyDescent="0.35">
      <c r="A143" s="145" t="s">
        <v>407</v>
      </c>
      <c r="B143" s="120"/>
      <c r="C143" s="120" t="s">
        <v>89</v>
      </c>
      <c r="D143" s="120"/>
      <c r="E143" s="120"/>
      <c r="F143" s="120"/>
      <c r="G143" s="120" t="s">
        <v>89</v>
      </c>
      <c r="H143" s="120" t="s">
        <v>770</v>
      </c>
      <c r="I143" s="225">
        <v>10</v>
      </c>
      <c r="J143" s="225">
        <v>16</v>
      </c>
      <c r="K143" s="225">
        <v>5</v>
      </c>
      <c r="L143" s="225">
        <v>13</v>
      </c>
      <c r="M143" s="225">
        <v>3</v>
      </c>
      <c r="N143" s="225">
        <v>0</v>
      </c>
      <c r="O143" s="120">
        <f t="shared" ref="O143" si="49">(I143*12.011)+(J143*1.008)+(L143*15.999)+(14.007*K143)+(M143*30.974)+(N143*32.066)</f>
        <v>507.18200000000002</v>
      </c>
      <c r="P143" s="120">
        <v>0</v>
      </c>
      <c r="Q143" s="121">
        <f t="shared" si="48"/>
        <v>507.18200000000002</v>
      </c>
      <c r="R143" s="147">
        <f>R30+R141+R142</f>
        <v>54.02548811471177</v>
      </c>
      <c r="S143" s="130"/>
    </row>
    <row r="144" spans="1:19" x14ac:dyDescent="0.35">
      <c r="A144" s="127" t="s">
        <v>387</v>
      </c>
      <c r="B144" s="120"/>
      <c r="C144" s="120" t="s">
        <v>388</v>
      </c>
      <c r="D144" s="120"/>
      <c r="E144" s="120"/>
      <c r="F144" s="120"/>
      <c r="G144" s="120" t="s">
        <v>389</v>
      </c>
      <c r="H144" s="120" t="s">
        <v>388</v>
      </c>
      <c r="I144" s="225">
        <v>0</v>
      </c>
      <c r="J144" s="225">
        <v>2</v>
      </c>
      <c r="K144" s="225">
        <v>0</v>
      </c>
      <c r="L144" s="225">
        <v>1</v>
      </c>
      <c r="M144" s="225">
        <v>0</v>
      </c>
      <c r="N144" s="225">
        <v>0</v>
      </c>
      <c r="O144" s="120">
        <f t="shared" si="47"/>
        <v>18.015000000000001</v>
      </c>
      <c r="P144" s="120">
        <v>0</v>
      </c>
      <c r="Q144" s="120">
        <f t="shared" si="48"/>
        <v>18.015000000000001</v>
      </c>
      <c r="R144" s="122">
        <f>SUM(R5:R24)</f>
        <v>3.9496940287083313</v>
      </c>
      <c r="S144" s="130"/>
    </row>
    <row r="145" spans="1:19" x14ac:dyDescent="0.35">
      <c r="A145" s="146" t="s">
        <v>408</v>
      </c>
      <c r="B145" s="128"/>
      <c r="C145" s="128" t="s">
        <v>388</v>
      </c>
      <c r="D145" s="128"/>
      <c r="E145" s="128"/>
      <c r="F145" s="128"/>
      <c r="G145" s="128" t="s">
        <v>389</v>
      </c>
      <c r="H145" s="128" t="s">
        <v>388</v>
      </c>
      <c r="I145" s="226">
        <v>0</v>
      </c>
      <c r="J145" s="226">
        <v>2</v>
      </c>
      <c r="K145" s="226">
        <v>0</v>
      </c>
      <c r="L145" s="226">
        <v>1</v>
      </c>
      <c r="M145" s="226">
        <v>0</v>
      </c>
      <c r="N145" s="226">
        <v>0</v>
      </c>
      <c r="O145" s="128">
        <f t="shared" ref="O145:O147" si="50">(I145*12.011)+(J145*1.008)+(L145*15.999)+(14.007*K145)+(M145*30.974)+(N145*32.066)</f>
        <v>18.015000000000001</v>
      </c>
      <c r="P145" s="128">
        <v>0</v>
      </c>
      <c r="Q145" s="128">
        <f t="shared" si="48"/>
        <v>18.015000000000001</v>
      </c>
      <c r="R145" s="148">
        <f>SUM(R141:R142)-R144</f>
        <v>50.052737109016221</v>
      </c>
      <c r="S145" s="131"/>
    </row>
    <row r="146" spans="1:19" ht="21" x14ac:dyDescent="0.5">
      <c r="A146" s="295" t="s">
        <v>390</v>
      </c>
      <c r="B146" s="296"/>
      <c r="C146" s="296"/>
      <c r="D146" s="296"/>
      <c r="E146" s="296"/>
      <c r="F146" s="296"/>
      <c r="G146" s="296"/>
      <c r="H146" s="296"/>
      <c r="I146" s="296"/>
      <c r="J146" s="296"/>
      <c r="K146" s="296"/>
      <c r="L146" s="296"/>
      <c r="M146" s="296"/>
      <c r="N146" s="296"/>
      <c r="O146" s="296"/>
      <c r="P146" s="296"/>
      <c r="Q146" s="296"/>
      <c r="R146" s="296"/>
      <c r="S146" s="297"/>
    </row>
    <row r="147" spans="1:19" x14ac:dyDescent="0.35">
      <c r="A147" s="132" t="s">
        <v>391</v>
      </c>
      <c r="B147" s="133"/>
      <c r="C147" s="133" t="s">
        <v>392</v>
      </c>
      <c r="D147" s="133"/>
      <c r="E147" s="133"/>
      <c r="F147" s="133"/>
      <c r="G147" s="133" t="s">
        <v>384</v>
      </c>
      <c r="H147" s="133" t="s">
        <v>393</v>
      </c>
      <c r="I147" s="227">
        <v>10</v>
      </c>
      <c r="J147" s="227">
        <v>16</v>
      </c>
      <c r="K147" s="227">
        <v>5</v>
      </c>
      <c r="L147" s="227">
        <v>10</v>
      </c>
      <c r="M147" s="227">
        <v>2</v>
      </c>
      <c r="N147" s="227">
        <v>0</v>
      </c>
      <c r="O147" s="133">
        <f t="shared" si="50"/>
        <v>428.21100000000001</v>
      </c>
      <c r="P147" s="133">
        <v>0</v>
      </c>
      <c r="Q147" s="133">
        <f t="shared" si="48"/>
        <v>428.21100000000001</v>
      </c>
      <c r="R147" s="134">
        <f>R141</f>
        <v>18.61</v>
      </c>
      <c r="S147" s="140"/>
    </row>
    <row r="148" spans="1:19" x14ac:dyDescent="0.35">
      <c r="A148" s="135" t="s">
        <v>394</v>
      </c>
      <c r="B148" s="136"/>
      <c r="C148" s="136" t="s">
        <v>392</v>
      </c>
      <c r="D148" s="136"/>
      <c r="E148" s="136"/>
      <c r="F148" s="136"/>
      <c r="G148" s="136" t="s">
        <v>386</v>
      </c>
      <c r="H148" s="136" t="s">
        <v>393</v>
      </c>
      <c r="I148" s="228">
        <v>10</v>
      </c>
      <c r="J148" s="228">
        <v>16</v>
      </c>
      <c r="K148" s="228">
        <v>5</v>
      </c>
      <c r="L148" s="228">
        <v>10</v>
      </c>
      <c r="M148" s="228">
        <v>2</v>
      </c>
      <c r="N148" s="228">
        <v>0</v>
      </c>
      <c r="O148" s="136">
        <f t="shared" ref="O148:O152" si="51">(I148*12.011)+(J148*1.008)+(L148*15.999)+(14.007*K148)+(M148*30.974)+(N148*32.066)</f>
        <v>428.21100000000001</v>
      </c>
      <c r="P148" s="136">
        <v>0</v>
      </c>
      <c r="Q148" s="136">
        <f t="shared" ref="Q148" si="52">O148-P148</f>
        <v>428.21100000000001</v>
      </c>
      <c r="R148" s="137">
        <f>R142</f>
        <v>35.39243113772455</v>
      </c>
      <c r="S148" s="141"/>
    </row>
    <row r="149" spans="1:19" x14ac:dyDescent="0.35">
      <c r="A149" s="149" t="s">
        <v>409</v>
      </c>
      <c r="B149" s="136"/>
      <c r="C149" s="136" t="s">
        <v>392</v>
      </c>
      <c r="D149" s="136"/>
      <c r="E149" s="136"/>
      <c r="F149" s="136"/>
      <c r="G149" s="136" t="s">
        <v>386</v>
      </c>
      <c r="H149" s="136" t="s">
        <v>393</v>
      </c>
      <c r="I149" s="228">
        <v>10</v>
      </c>
      <c r="J149" s="228">
        <v>16</v>
      </c>
      <c r="K149" s="228">
        <v>5</v>
      </c>
      <c r="L149" s="228">
        <v>10</v>
      </c>
      <c r="M149" s="228">
        <v>2</v>
      </c>
      <c r="N149" s="228">
        <v>0</v>
      </c>
      <c r="O149" s="136">
        <f t="shared" ref="O149" si="53">(I149*12.011)+(J149*1.008)+(L149*15.999)+(14.007*K149)+(M149*30.974)+(N149*32.066)</f>
        <v>428.21100000000001</v>
      </c>
      <c r="P149" s="136">
        <v>0</v>
      </c>
      <c r="Q149" s="136">
        <f t="shared" ref="Q149" si="54">O149-P149</f>
        <v>428.21100000000001</v>
      </c>
      <c r="R149" s="150">
        <f>R147+R148</f>
        <v>54.00243113772455</v>
      </c>
      <c r="S149" s="141"/>
    </row>
    <row r="150" spans="1:19" x14ac:dyDescent="0.35">
      <c r="A150" s="135" t="s">
        <v>395</v>
      </c>
      <c r="B150" s="136"/>
      <c r="C150" s="136" t="s">
        <v>396</v>
      </c>
      <c r="D150" s="136"/>
      <c r="E150" s="136"/>
      <c r="F150" s="136"/>
      <c r="G150" s="136" t="s">
        <v>397</v>
      </c>
      <c r="H150" s="136" t="s">
        <v>23</v>
      </c>
      <c r="I150" s="228">
        <v>0</v>
      </c>
      <c r="J150" s="228">
        <v>1</v>
      </c>
      <c r="K150" s="228">
        <v>0</v>
      </c>
      <c r="L150" s="228">
        <v>0</v>
      </c>
      <c r="M150" s="228">
        <v>0</v>
      </c>
      <c r="N150" s="228">
        <v>0</v>
      </c>
      <c r="O150" s="136">
        <f t="shared" si="51"/>
        <v>1.008</v>
      </c>
      <c r="P150" s="136">
        <v>0</v>
      </c>
      <c r="Q150" s="136">
        <f t="shared" ref="Q150:Q152" si="55">O150-P150</f>
        <v>1.008</v>
      </c>
      <c r="R150" s="150">
        <f>SUM(R141:R142)</f>
        <v>54.00243113772455</v>
      </c>
      <c r="S150" s="141"/>
    </row>
    <row r="151" spans="1:19" x14ac:dyDescent="0.35">
      <c r="A151" s="135" t="s">
        <v>398</v>
      </c>
      <c r="B151" s="136"/>
      <c r="C151" s="136" t="s">
        <v>399</v>
      </c>
      <c r="D151" s="136"/>
      <c r="E151" s="136"/>
      <c r="F151" s="136"/>
      <c r="G151" s="136" t="s">
        <v>399</v>
      </c>
      <c r="H151" s="136" t="s">
        <v>400</v>
      </c>
      <c r="I151" s="228">
        <v>0</v>
      </c>
      <c r="J151" s="228">
        <v>1</v>
      </c>
      <c r="K151" s="228">
        <v>0</v>
      </c>
      <c r="L151" s="228">
        <v>4</v>
      </c>
      <c r="M151" s="228">
        <v>1</v>
      </c>
      <c r="N151" s="228"/>
      <c r="O151" s="136">
        <f t="shared" si="51"/>
        <v>95.978000000000009</v>
      </c>
      <c r="P151" s="136">
        <v>0</v>
      </c>
      <c r="Q151" s="136">
        <f t="shared" si="55"/>
        <v>95.978000000000009</v>
      </c>
      <c r="R151" s="150">
        <f>SUM(R141:R142)</f>
        <v>54.00243113772455</v>
      </c>
      <c r="S151" s="141"/>
    </row>
    <row r="152" spans="1:19" x14ac:dyDescent="0.35">
      <c r="A152" s="135" t="s">
        <v>401</v>
      </c>
      <c r="B152" s="136"/>
      <c r="C152" s="136" t="s">
        <v>403</v>
      </c>
      <c r="D152" s="136"/>
      <c r="E152" s="136"/>
      <c r="F152" s="136"/>
      <c r="G152" s="136" t="s">
        <v>403</v>
      </c>
      <c r="H152" s="136" t="s">
        <v>404</v>
      </c>
      <c r="I152" s="228">
        <v>0</v>
      </c>
      <c r="J152" s="228">
        <v>1</v>
      </c>
      <c r="K152" s="228">
        <v>0</v>
      </c>
      <c r="L152" s="228">
        <v>7</v>
      </c>
      <c r="M152" s="228">
        <v>2</v>
      </c>
      <c r="N152" s="228"/>
      <c r="O152" s="136">
        <f t="shared" si="51"/>
        <v>174.94900000000001</v>
      </c>
      <c r="P152" s="136">
        <v>0</v>
      </c>
      <c r="Q152" s="136">
        <f t="shared" si="55"/>
        <v>174.94900000000001</v>
      </c>
      <c r="R152" s="137">
        <f>SUM(R26:R29)</f>
        <v>1.5431632217043027E-2</v>
      </c>
      <c r="S152" s="141"/>
    </row>
    <row r="153" spans="1:19" x14ac:dyDescent="0.35">
      <c r="A153" s="135" t="s">
        <v>402</v>
      </c>
      <c r="B153" s="136"/>
      <c r="C153" s="136" t="s">
        <v>403</v>
      </c>
      <c r="D153" s="136"/>
      <c r="E153" s="136"/>
      <c r="F153" s="136"/>
      <c r="G153" s="136" t="s">
        <v>403</v>
      </c>
      <c r="H153" s="136" t="s">
        <v>404</v>
      </c>
      <c r="I153" s="228">
        <v>0</v>
      </c>
      <c r="J153" s="228">
        <v>1</v>
      </c>
      <c r="K153" s="228">
        <v>0</v>
      </c>
      <c r="L153" s="228">
        <v>7</v>
      </c>
      <c r="M153" s="228">
        <v>2</v>
      </c>
      <c r="N153" s="228"/>
      <c r="O153" s="136">
        <f t="shared" ref="O153" si="56">(I153*12.011)+(J153*1.008)+(L153*15.999)+(14.007*K153)+(M153*30.974)+(N153*32.066)</f>
        <v>174.94900000000001</v>
      </c>
      <c r="P153" s="136">
        <v>0</v>
      </c>
      <c r="Q153" s="136">
        <f t="shared" ref="Q153:Q155" si="57">O153-P153</f>
        <v>174.94900000000001</v>
      </c>
      <c r="R153" s="137">
        <f>SUM(R30:R33)</f>
        <v>8.673940319356388E-2</v>
      </c>
      <c r="S153" s="141"/>
    </row>
    <row r="154" spans="1:19" x14ac:dyDescent="0.35">
      <c r="A154" s="149" t="s">
        <v>410</v>
      </c>
      <c r="B154" s="136"/>
      <c r="C154" s="136" t="s">
        <v>403</v>
      </c>
      <c r="D154" s="136"/>
      <c r="E154" s="136"/>
      <c r="F154" s="136"/>
      <c r="G154" s="136" t="s">
        <v>403</v>
      </c>
      <c r="H154" s="136" t="s">
        <v>404</v>
      </c>
      <c r="I154" s="228">
        <v>0</v>
      </c>
      <c r="J154" s="228">
        <v>1</v>
      </c>
      <c r="K154" s="228">
        <v>0</v>
      </c>
      <c r="L154" s="228">
        <v>7</v>
      </c>
      <c r="M154" s="228">
        <v>2</v>
      </c>
      <c r="N154" s="228"/>
      <c r="O154" s="136">
        <f t="shared" ref="O154" si="58">(I154*12.011)+(J154*1.008)+(L154*15.999)+(14.007*K154)+(M154*30.974)+(N154*32.066)</f>
        <v>174.94900000000001</v>
      </c>
      <c r="P154" s="136">
        <v>1</v>
      </c>
      <c r="Q154" s="136">
        <f t="shared" ref="Q154" si="59">O154-P154</f>
        <v>173.94900000000001</v>
      </c>
      <c r="R154" s="150">
        <f>R152+R153</f>
        <v>0.1021710354106069</v>
      </c>
      <c r="S154" s="141"/>
    </row>
    <row r="155" spans="1:19" x14ac:dyDescent="0.35">
      <c r="A155" s="138" t="s">
        <v>406</v>
      </c>
      <c r="B155" s="139"/>
      <c r="C155" s="139" t="s">
        <v>405</v>
      </c>
      <c r="D155" s="139"/>
      <c r="E155" s="139"/>
      <c r="F155" s="139"/>
      <c r="G155" s="139" t="s">
        <v>405</v>
      </c>
      <c r="H155" s="139"/>
      <c r="I155" s="229"/>
      <c r="J155" s="229"/>
      <c r="K155" s="229"/>
      <c r="L155" s="229"/>
      <c r="M155" s="229"/>
      <c r="N155" s="229"/>
      <c r="O155" s="139">
        <v>1000</v>
      </c>
      <c r="P155" s="139">
        <v>0</v>
      </c>
      <c r="Q155" s="139">
        <f t="shared" si="57"/>
        <v>1000</v>
      </c>
      <c r="R155" s="151">
        <f>1*O155/Q155</f>
        <v>1</v>
      </c>
      <c r="S155" s="142"/>
    </row>
    <row r="156" spans="1:19" x14ac:dyDescent="0.35">
      <c r="A156" s="119"/>
      <c r="B156" s="119"/>
      <c r="C156" s="119"/>
      <c r="D156" s="119"/>
      <c r="E156" s="119"/>
      <c r="F156" s="119"/>
      <c r="G156" s="119"/>
      <c r="H156" s="119"/>
      <c r="I156" s="230"/>
      <c r="J156" s="230"/>
      <c r="K156" s="230"/>
      <c r="L156" s="230"/>
      <c r="M156" s="230"/>
      <c r="N156" s="230"/>
      <c r="O156" s="119"/>
      <c r="P156" s="119"/>
      <c r="Q156" s="119"/>
      <c r="R156" s="119"/>
      <c r="S156" s="119"/>
    </row>
    <row r="162" spans="18:18" x14ac:dyDescent="0.35">
      <c r="R162" s="17"/>
    </row>
  </sheetData>
  <mergeCells count="2">
    <mergeCell ref="A3:S3"/>
    <mergeCell ref="A146:S14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6"/>
  <sheetViews>
    <sheetView zoomScale="70" zoomScaleNormal="70" workbookViewId="0">
      <selection activeCell="W154" sqref="W154"/>
    </sheetView>
  </sheetViews>
  <sheetFormatPr defaultRowHeight="14.5" x14ac:dyDescent="0.35"/>
  <cols>
    <col min="1" max="1" width="20.81640625" customWidth="1"/>
    <col min="2" max="2" width="17.26953125" customWidth="1"/>
    <col min="3" max="3" width="22" customWidth="1"/>
    <col min="4" max="6" width="18.54296875" customWidth="1"/>
    <col min="7" max="7" width="19" customWidth="1"/>
    <col min="8" max="8" width="29.54296875" customWidth="1"/>
    <col min="9" max="10" width="8.453125" style="206" customWidth="1"/>
    <col min="11" max="11" width="6" style="206" customWidth="1"/>
    <col min="12" max="12" width="6.1796875" style="206" customWidth="1"/>
    <col min="13" max="13" width="4.453125" style="206" customWidth="1"/>
    <col min="14" max="14" width="5.453125" style="206" customWidth="1"/>
    <col min="15" max="15" width="15" customWidth="1"/>
    <col min="16" max="16" width="15.1796875" customWidth="1"/>
    <col min="17" max="17" width="13.7265625" customWidth="1"/>
    <col min="18" max="18" width="17" customWidth="1"/>
    <col min="19" max="19" width="12" customWidth="1"/>
    <col min="22" max="22" width="15.36328125" customWidth="1"/>
    <col min="23" max="23" width="10.81640625" customWidth="1"/>
  </cols>
  <sheetData>
    <row r="1" spans="1:23" ht="23.5" x14ac:dyDescent="0.55000000000000004">
      <c r="A1" s="143" t="s">
        <v>826</v>
      </c>
      <c r="B1" s="144"/>
      <c r="C1" s="144"/>
      <c r="D1" s="144"/>
      <c r="E1" s="144"/>
      <c r="F1" s="144"/>
      <c r="G1" s="144"/>
      <c r="H1" s="144"/>
      <c r="I1" s="205"/>
      <c r="J1" s="205"/>
      <c r="K1" s="205"/>
      <c r="L1" s="205"/>
      <c r="M1" s="205"/>
      <c r="N1" s="205"/>
      <c r="O1" s="144"/>
      <c r="P1" s="144"/>
      <c r="Q1" s="144"/>
      <c r="R1" s="144"/>
      <c r="S1" s="144"/>
      <c r="T1" s="144"/>
    </row>
    <row r="2" spans="1:23" ht="21" x14ac:dyDescent="0.5">
      <c r="A2" s="21"/>
    </row>
    <row r="3" spans="1:23" ht="21" x14ac:dyDescent="0.5">
      <c r="A3" s="295" t="s">
        <v>382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7"/>
      <c r="V3" s="280">
        <f>1-W3</f>
        <v>0.85</v>
      </c>
      <c r="W3" s="281">
        <v>0.15</v>
      </c>
    </row>
    <row r="4" spans="1:23" ht="36" customHeight="1" x14ac:dyDescent="0.35">
      <c r="A4" s="27" t="s">
        <v>18</v>
      </c>
      <c r="B4" s="28" t="s">
        <v>19</v>
      </c>
      <c r="C4" s="28" t="s">
        <v>303</v>
      </c>
      <c r="D4" s="28" t="s">
        <v>31</v>
      </c>
      <c r="E4" s="28" t="s">
        <v>82</v>
      </c>
      <c r="F4" s="28" t="s">
        <v>30</v>
      </c>
      <c r="G4" s="28" t="s">
        <v>20</v>
      </c>
      <c r="H4" s="28" t="s">
        <v>786</v>
      </c>
      <c r="I4" s="207" t="s">
        <v>22</v>
      </c>
      <c r="J4" s="207" t="s">
        <v>23</v>
      </c>
      <c r="K4" s="207" t="s">
        <v>24</v>
      </c>
      <c r="L4" s="207" t="s">
        <v>25</v>
      </c>
      <c r="M4" s="207" t="s">
        <v>26</v>
      </c>
      <c r="N4" s="207" t="s">
        <v>6</v>
      </c>
      <c r="O4" s="28" t="s">
        <v>27</v>
      </c>
      <c r="P4" s="28" t="s">
        <v>28</v>
      </c>
      <c r="Q4" s="28" t="s">
        <v>29</v>
      </c>
      <c r="R4" s="29" t="s">
        <v>32</v>
      </c>
      <c r="S4" s="29" t="s">
        <v>37</v>
      </c>
      <c r="V4" s="279" t="s">
        <v>827</v>
      </c>
      <c r="W4" s="279" t="s">
        <v>828</v>
      </c>
    </row>
    <row r="5" spans="1:23" x14ac:dyDescent="0.35">
      <c r="A5" s="47" t="s">
        <v>17</v>
      </c>
      <c r="B5" s="30">
        <f>'General composition'!J55*'Protein composition'!J36</f>
        <v>0.49615006119963095</v>
      </c>
      <c r="C5" s="31" t="s">
        <v>50</v>
      </c>
      <c r="D5" s="30">
        <v>8.6914994384415981E-2</v>
      </c>
      <c r="E5" s="30">
        <f>D5*Q5</f>
        <v>6.1778308858499038</v>
      </c>
      <c r="F5" s="30">
        <f>E5/$B$6</f>
        <v>5.5475436725239247E-2</v>
      </c>
      <c r="G5" s="32" t="s">
        <v>42</v>
      </c>
      <c r="H5" s="32" t="s">
        <v>43</v>
      </c>
      <c r="I5" s="208">
        <v>3</v>
      </c>
      <c r="J5" s="208">
        <v>7</v>
      </c>
      <c r="K5" s="208">
        <v>1</v>
      </c>
      <c r="L5" s="208">
        <v>2</v>
      </c>
      <c r="M5" s="208">
        <v>0</v>
      </c>
      <c r="N5" s="208">
        <v>0</v>
      </c>
      <c r="O5" s="33">
        <f t="shared" ref="O5:O25" si="0">(I5*12.011)+(J5*1.008)+(L5*15.999)+(14.007*K5)+(M5*30.974)+(N5*32.066)</f>
        <v>89.094000000000008</v>
      </c>
      <c r="P5" s="32">
        <f>18.015</f>
        <v>18.015000000000001</v>
      </c>
      <c r="Q5" s="33">
        <f>O5-P5</f>
        <v>71.079000000000008</v>
      </c>
      <c r="R5" s="152">
        <f>B$5*F5*1000/Q5</f>
        <v>0.3872330973466665</v>
      </c>
      <c r="S5" s="34">
        <f>R5*Q5/1000</f>
        <v>2.7524141326303708E-2</v>
      </c>
      <c r="V5" s="283">
        <f>R5*$V$3</f>
        <v>0.32914813274466653</v>
      </c>
      <c r="W5" s="289">
        <f>R5*$W$3</f>
        <v>5.8084964601999974E-2</v>
      </c>
    </row>
    <row r="6" spans="1:23" x14ac:dyDescent="0.35">
      <c r="A6" s="35"/>
      <c r="B6" s="36">
        <f>SUM(E5:E24)</f>
        <v>111.36155478050021</v>
      </c>
      <c r="C6" s="37" t="s">
        <v>51</v>
      </c>
      <c r="D6" s="36">
        <v>6.3887826667224659E-2</v>
      </c>
      <c r="E6" s="36">
        <f t="shared" ref="E6:E24" si="1">D6*Q6</f>
        <v>10.042974688607716</v>
      </c>
      <c r="F6" s="36">
        <f t="shared" ref="F6:F24" si="2">E6/$B$6</f>
        <v>9.018349921930395E-2</v>
      </c>
      <c r="G6" s="38" t="s">
        <v>42</v>
      </c>
      <c r="H6" s="38" t="s">
        <v>44</v>
      </c>
      <c r="I6" s="209">
        <v>6</v>
      </c>
      <c r="J6" s="209">
        <v>15</v>
      </c>
      <c r="K6" s="209">
        <v>4</v>
      </c>
      <c r="L6" s="209">
        <v>2</v>
      </c>
      <c r="M6" s="209">
        <v>0</v>
      </c>
      <c r="N6" s="209">
        <v>0</v>
      </c>
      <c r="O6" s="39">
        <f t="shared" si="0"/>
        <v>175.21200000000002</v>
      </c>
      <c r="P6" s="38">
        <f t="shared" ref="P6:P24" si="3">18.015</f>
        <v>18.015000000000001</v>
      </c>
      <c r="Q6" s="39">
        <f t="shared" ref="Q6:Q24" si="4">O6-P6</f>
        <v>157.197</v>
      </c>
      <c r="R6" s="153">
        <f t="shared" ref="R6:R24" si="5">B$5*F6*1000/Q6</f>
        <v>0.28463996550096077</v>
      </c>
      <c r="S6" s="40">
        <f t="shared" ref="S6:S74" si="6">R6*Q6/1000</f>
        <v>4.4744548656854531E-2</v>
      </c>
      <c r="V6" s="284">
        <f t="shared" ref="V6:V24" si="7">R6*$V$3</f>
        <v>0.24194397067581663</v>
      </c>
      <c r="W6" s="290">
        <f t="shared" ref="W6:W24" si="8">R6*$W$3</f>
        <v>4.2695994825144114E-2</v>
      </c>
    </row>
    <row r="7" spans="1:23" x14ac:dyDescent="0.35">
      <c r="A7" s="35"/>
      <c r="B7" s="41" t="s">
        <v>83</v>
      </c>
      <c r="C7" s="37" t="s">
        <v>52</v>
      </c>
      <c r="D7" s="36">
        <v>4.0553193666075918E-2</v>
      </c>
      <c r="E7" s="36">
        <f t="shared" si="1"/>
        <v>4.6272816100739265</v>
      </c>
      <c r="F7" s="36">
        <f t="shared" si="2"/>
        <v>4.155187685009027E-2</v>
      </c>
      <c r="G7" s="38" t="s">
        <v>42</v>
      </c>
      <c r="H7" s="38" t="s">
        <v>45</v>
      </c>
      <c r="I7" s="209">
        <v>4</v>
      </c>
      <c r="J7" s="209">
        <v>8</v>
      </c>
      <c r="K7" s="209">
        <v>2</v>
      </c>
      <c r="L7" s="209">
        <v>3</v>
      </c>
      <c r="M7" s="209">
        <v>0</v>
      </c>
      <c r="N7" s="209">
        <v>0</v>
      </c>
      <c r="O7" s="39">
        <f t="shared" si="0"/>
        <v>132.119</v>
      </c>
      <c r="P7" s="38">
        <f t="shared" si="3"/>
        <v>18.015000000000001</v>
      </c>
      <c r="Q7" s="39">
        <f t="shared" si="4"/>
        <v>114.104</v>
      </c>
      <c r="R7" s="153">
        <f t="shared" si="5"/>
        <v>0.18067698101847279</v>
      </c>
      <c r="S7" s="40">
        <f t="shared" si="6"/>
        <v>2.0615966242131818E-2</v>
      </c>
      <c r="V7" s="284">
        <f t="shared" si="7"/>
        <v>0.15357543386570188</v>
      </c>
      <c r="W7" s="290">
        <f t="shared" si="8"/>
        <v>2.7101547152770918E-2</v>
      </c>
    </row>
    <row r="8" spans="1:23" x14ac:dyDescent="0.35">
      <c r="A8" s="35"/>
      <c r="B8" s="38"/>
      <c r="C8" s="37" t="s">
        <v>53</v>
      </c>
      <c r="D8" s="36">
        <v>4.8330036693337901E-2</v>
      </c>
      <c r="E8" s="36">
        <f t="shared" si="1"/>
        <v>5.5134905859759877</v>
      </c>
      <c r="F8" s="36">
        <f t="shared" si="2"/>
        <v>4.9509820483769132E-2</v>
      </c>
      <c r="G8" s="38" t="s">
        <v>42</v>
      </c>
      <c r="H8" s="38" t="s">
        <v>46</v>
      </c>
      <c r="I8" s="209">
        <v>4</v>
      </c>
      <c r="J8" s="209">
        <v>6</v>
      </c>
      <c r="K8" s="209">
        <v>1</v>
      </c>
      <c r="L8" s="209">
        <v>4</v>
      </c>
      <c r="M8" s="209">
        <v>0</v>
      </c>
      <c r="N8" s="209">
        <v>0</v>
      </c>
      <c r="O8" s="39">
        <f t="shared" si="0"/>
        <v>132.095</v>
      </c>
      <c r="P8" s="38">
        <f t="shared" si="3"/>
        <v>18.015000000000001</v>
      </c>
      <c r="Q8" s="39">
        <f t="shared" si="4"/>
        <v>114.08</v>
      </c>
      <c r="R8" s="153">
        <f t="shared" si="5"/>
        <v>0.21532521443727909</v>
      </c>
      <c r="S8" s="40">
        <f t="shared" si="6"/>
        <v>2.4564300463004798E-2</v>
      </c>
      <c r="V8" s="284">
        <f t="shared" si="7"/>
        <v>0.18302643227168722</v>
      </c>
      <c r="W8" s="290">
        <f t="shared" si="8"/>
        <v>3.2298782165591865E-2</v>
      </c>
    </row>
    <row r="9" spans="1:23" x14ac:dyDescent="0.35">
      <c r="A9" s="35"/>
      <c r="B9" s="38"/>
      <c r="C9" s="37" t="s">
        <v>54</v>
      </c>
      <c r="D9" s="36">
        <v>9.4189686391806509E-3</v>
      </c>
      <c r="E9" s="36">
        <f t="shared" si="1"/>
        <v>0.97151952028828836</v>
      </c>
      <c r="F9" s="36">
        <f t="shared" si="2"/>
        <v>8.7240118208048289E-3</v>
      </c>
      <c r="G9" s="38" t="s">
        <v>42</v>
      </c>
      <c r="H9" s="38" t="s">
        <v>47</v>
      </c>
      <c r="I9" s="209">
        <v>3</v>
      </c>
      <c r="J9" s="209">
        <v>7</v>
      </c>
      <c r="K9" s="209">
        <v>1</v>
      </c>
      <c r="L9" s="209">
        <v>2</v>
      </c>
      <c r="M9" s="209">
        <v>0</v>
      </c>
      <c r="N9" s="209">
        <v>1</v>
      </c>
      <c r="O9" s="39">
        <f t="shared" si="0"/>
        <v>121.16000000000001</v>
      </c>
      <c r="P9" s="38">
        <f t="shared" si="3"/>
        <v>18.015000000000001</v>
      </c>
      <c r="Q9" s="39">
        <f t="shared" si="4"/>
        <v>103.14500000000001</v>
      </c>
      <c r="R9" s="153">
        <f t="shared" si="5"/>
        <v>4.1964409315028546E-2</v>
      </c>
      <c r="S9" s="40">
        <f t="shared" si="6"/>
        <v>4.3284189987986199E-3</v>
      </c>
      <c r="V9" s="284">
        <f t="shared" si="7"/>
        <v>3.5669747917774261E-2</v>
      </c>
      <c r="W9" s="290">
        <f t="shared" si="8"/>
        <v>6.2946613972542816E-3</v>
      </c>
    </row>
    <row r="10" spans="1:23" x14ac:dyDescent="0.35">
      <c r="A10" s="35"/>
      <c r="B10" s="38"/>
      <c r="C10" s="37" t="s">
        <v>55</v>
      </c>
      <c r="D10" s="36">
        <v>7.3399100309733137E-2</v>
      </c>
      <c r="E10" s="36">
        <f t="shared" si="1"/>
        <v>9.4029385433789852</v>
      </c>
      <c r="F10" s="36">
        <f t="shared" si="2"/>
        <v>8.4436128445877903E-2</v>
      </c>
      <c r="G10" s="38" t="s">
        <v>42</v>
      </c>
      <c r="H10" s="38" t="s">
        <v>48</v>
      </c>
      <c r="I10" s="209">
        <v>5</v>
      </c>
      <c r="J10" s="209">
        <v>8</v>
      </c>
      <c r="K10" s="209">
        <v>1</v>
      </c>
      <c r="L10" s="209">
        <v>4</v>
      </c>
      <c r="M10" s="209">
        <v>0</v>
      </c>
      <c r="N10" s="209">
        <v>0</v>
      </c>
      <c r="O10" s="39">
        <f t="shared" si="0"/>
        <v>146.12200000000001</v>
      </c>
      <c r="P10" s="38">
        <f t="shared" si="3"/>
        <v>18.015000000000001</v>
      </c>
      <c r="Q10" s="39">
        <f t="shared" si="4"/>
        <v>128.10700000000003</v>
      </c>
      <c r="R10" s="153">
        <f t="shared" si="5"/>
        <v>0.32701562206500984</v>
      </c>
      <c r="S10" s="40">
        <f t="shared" si="6"/>
        <v>4.189299029588222E-2</v>
      </c>
      <c r="V10" s="284">
        <f t="shared" si="7"/>
        <v>0.27796327875525834</v>
      </c>
      <c r="W10" s="290">
        <f t="shared" si="8"/>
        <v>4.9052343309751473E-2</v>
      </c>
    </row>
    <row r="11" spans="1:23" x14ac:dyDescent="0.35">
      <c r="A11" s="35"/>
      <c r="B11" s="38"/>
      <c r="C11" s="37" t="s">
        <v>56</v>
      </c>
      <c r="D11" s="36">
        <v>4.9373222935659072E-2</v>
      </c>
      <c r="E11" s="36">
        <f t="shared" si="1"/>
        <v>6.3262404279689308</v>
      </c>
      <c r="F11" s="36">
        <f t="shared" si="2"/>
        <v>5.6808118748326572E-2</v>
      </c>
      <c r="G11" s="38" t="s">
        <v>42</v>
      </c>
      <c r="H11" s="38" t="s">
        <v>49</v>
      </c>
      <c r="I11" s="209">
        <v>5</v>
      </c>
      <c r="J11" s="209">
        <v>10</v>
      </c>
      <c r="K11" s="209">
        <v>2</v>
      </c>
      <c r="L11" s="209">
        <v>3</v>
      </c>
      <c r="M11" s="209">
        <v>0</v>
      </c>
      <c r="N11" s="209">
        <v>0</v>
      </c>
      <c r="O11" s="39">
        <f t="shared" si="0"/>
        <v>146.14599999999999</v>
      </c>
      <c r="P11" s="38">
        <f t="shared" si="3"/>
        <v>18.015000000000001</v>
      </c>
      <c r="Q11" s="39">
        <f t="shared" si="4"/>
        <v>128.13099999999997</v>
      </c>
      <c r="R11" s="153">
        <f t="shared" si="5"/>
        <v>0.21997293077879776</v>
      </c>
      <c r="S11" s="40">
        <f t="shared" si="6"/>
        <v>2.8185351593618131E-2</v>
      </c>
      <c r="V11" s="284">
        <f t="shared" si="7"/>
        <v>0.18697699116197808</v>
      </c>
      <c r="W11" s="290">
        <f t="shared" si="8"/>
        <v>3.299593961681966E-2</v>
      </c>
    </row>
    <row r="12" spans="1:23" x14ac:dyDescent="0.35">
      <c r="A12" s="35"/>
      <c r="B12" s="38"/>
      <c r="C12" s="37" t="s">
        <v>57</v>
      </c>
      <c r="D12" s="36">
        <v>7.1309495353017852E-2</v>
      </c>
      <c r="E12" s="36">
        <f t="shared" si="1"/>
        <v>4.0683493288803749</v>
      </c>
      <c r="F12" s="36">
        <f t="shared" si="2"/>
        <v>3.6532799285169074E-2</v>
      </c>
      <c r="G12" s="38" t="s">
        <v>42</v>
      </c>
      <c r="H12" s="38" t="s">
        <v>70</v>
      </c>
      <c r="I12" s="209">
        <v>2</v>
      </c>
      <c r="J12" s="209">
        <v>5</v>
      </c>
      <c r="K12" s="209">
        <v>1</v>
      </c>
      <c r="L12" s="209">
        <v>2</v>
      </c>
      <c r="M12" s="209">
        <v>0</v>
      </c>
      <c r="N12" s="209">
        <v>0</v>
      </c>
      <c r="O12" s="39">
        <f t="shared" si="0"/>
        <v>75.067000000000007</v>
      </c>
      <c r="P12" s="38">
        <f t="shared" si="3"/>
        <v>18.015000000000001</v>
      </c>
      <c r="Q12" s="39">
        <f t="shared" si="4"/>
        <v>57.052000000000007</v>
      </c>
      <c r="R12" s="153">
        <f t="shared" si="5"/>
        <v>0.3177057877222616</v>
      </c>
      <c r="S12" s="40">
        <f t="shared" si="6"/>
        <v>1.8125750601130471E-2</v>
      </c>
      <c r="V12" s="284">
        <f t="shared" si="7"/>
        <v>0.27004991956392238</v>
      </c>
      <c r="W12" s="290">
        <f t="shared" si="8"/>
        <v>4.7655868158339242E-2</v>
      </c>
    </row>
    <row r="13" spans="1:23" x14ac:dyDescent="0.35">
      <c r="A13" s="35"/>
      <c r="B13" s="38"/>
      <c r="C13" s="37" t="s">
        <v>58</v>
      </c>
      <c r="D13" s="36">
        <v>1.6873170772542544E-2</v>
      </c>
      <c r="E13" s="36">
        <f t="shared" si="1"/>
        <v>2.3140203860880293</v>
      </c>
      <c r="F13" s="36">
        <f t="shared" si="2"/>
        <v>2.0779346971664427E-2</v>
      </c>
      <c r="G13" s="38" t="s">
        <v>42</v>
      </c>
      <c r="H13" s="38" t="s">
        <v>71</v>
      </c>
      <c r="I13" s="209">
        <v>6</v>
      </c>
      <c r="J13" s="209">
        <v>9</v>
      </c>
      <c r="K13" s="209">
        <v>3</v>
      </c>
      <c r="L13" s="209">
        <v>2</v>
      </c>
      <c r="M13" s="209">
        <v>0</v>
      </c>
      <c r="N13" s="209">
        <v>0</v>
      </c>
      <c r="O13" s="39">
        <f t="shared" si="0"/>
        <v>155.15700000000001</v>
      </c>
      <c r="P13" s="38">
        <f t="shared" si="3"/>
        <v>18.015000000000001</v>
      </c>
      <c r="Q13" s="39">
        <f t="shared" si="4"/>
        <v>137.142</v>
      </c>
      <c r="R13" s="153">
        <f t="shared" si="5"/>
        <v>7.5175178075860577E-2</v>
      </c>
      <c r="S13" s="40">
        <f t="shared" si="6"/>
        <v>1.030967427167967E-2</v>
      </c>
      <c r="V13" s="284">
        <f t="shared" si="7"/>
        <v>6.3898901364481495E-2</v>
      </c>
      <c r="W13" s="290">
        <f t="shared" si="8"/>
        <v>1.1276276711379086E-2</v>
      </c>
    </row>
    <row r="14" spans="1:23" x14ac:dyDescent="0.35">
      <c r="A14" s="35"/>
      <c r="B14" s="38"/>
      <c r="C14" s="37" t="s">
        <v>59</v>
      </c>
      <c r="D14" s="36">
        <v>6.1930581259617923E-2</v>
      </c>
      <c r="E14" s="36">
        <f t="shared" si="1"/>
        <v>7.0080645753383646</v>
      </c>
      <c r="F14" s="36">
        <f t="shared" si="2"/>
        <v>6.2930735738663562E-2</v>
      </c>
      <c r="G14" s="38" t="s">
        <v>42</v>
      </c>
      <c r="H14" s="38" t="s">
        <v>72</v>
      </c>
      <c r="I14" s="209">
        <v>6</v>
      </c>
      <c r="J14" s="209">
        <v>13</v>
      </c>
      <c r="K14" s="209">
        <v>1</v>
      </c>
      <c r="L14" s="209">
        <v>2</v>
      </c>
      <c r="M14" s="209">
        <v>0</v>
      </c>
      <c r="N14" s="209">
        <v>0</v>
      </c>
      <c r="O14" s="39">
        <f t="shared" si="0"/>
        <v>131.17500000000001</v>
      </c>
      <c r="P14" s="38">
        <f t="shared" si="3"/>
        <v>18.015000000000001</v>
      </c>
      <c r="Q14" s="39">
        <f t="shared" si="4"/>
        <v>113.16000000000001</v>
      </c>
      <c r="R14" s="153">
        <f t="shared" si="5"/>
        <v>0.27591983375818069</v>
      </c>
      <c r="S14" s="40">
        <f t="shared" si="6"/>
        <v>3.1223088388075731E-2</v>
      </c>
      <c r="V14" s="284">
        <f t="shared" si="7"/>
        <v>0.23453185869445359</v>
      </c>
      <c r="W14" s="290">
        <f t="shared" si="8"/>
        <v>4.13879750637271E-2</v>
      </c>
    </row>
    <row r="15" spans="1:23" x14ac:dyDescent="0.35">
      <c r="A15" s="35"/>
      <c r="B15" s="38"/>
      <c r="C15" s="37" t="s">
        <v>60</v>
      </c>
      <c r="D15" s="36">
        <v>9.5499436953096428E-2</v>
      </c>
      <c r="E15" s="36">
        <f t="shared" si="1"/>
        <v>10.806716285612392</v>
      </c>
      <c r="F15" s="36">
        <f t="shared" si="2"/>
        <v>9.7041715221316979E-2</v>
      </c>
      <c r="G15" s="38" t="s">
        <v>42</v>
      </c>
      <c r="H15" s="38" t="s">
        <v>72</v>
      </c>
      <c r="I15" s="209">
        <v>6</v>
      </c>
      <c r="J15" s="209">
        <v>13</v>
      </c>
      <c r="K15" s="209">
        <v>1</v>
      </c>
      <c r="L15" s="209">
        <v>2</v>
      </c>
      <c r="M15" s="209">
        <v>0</v>
      </c>
      <c r="N15" s="209">
        <v>0</v>
      </c>
      <c r="O15" s="39">
        <f t="shared" si="0"/>
        <v>131.17500000000001</v>
      </c>
      <c r="P15" s="38">
        <f t="shared" si="3"/>
        <v>18.015000000000001</v>
      </c>
      <c r="Q15" s="39">
        <f t="shared" si="4"/>
        <v>113.16000000000001</v>
      </c>
      <c r="R15" s="153">
        <f t="shared" si="5"/>
        <v>0.42547943571910191</v>
      </c>
      <c r="S15" s="40">
        <f t="shared" si="6"/>
        <v>4.8147252945973579E-2</v>
      </c>
      <c r="V15" s="284">
        <f t="shared" si="7"/>
        <v>0.36165752036123661</v>
      </c>
      <c r="W15" s="290">
        <f t="shared" si="8"/>
        <v>6.3821915357865286E-2</v>
      </c>
    </row>
    <row r="16" spans="1:23" x14ac:dyDescent="0.35">
      <c r="A16" s="35"/>
      <c r="B16" s="38"/>
      <c r="C16" s="37" t="s">
        <v>61</v>
      </c>
      <c r="D16" s="36">
        <v>5.7362862366554718E-2</v>
      </c>
      <c r="E16" s="36">
        <f t="shared" si="1"/>
        <v>7.4103066490986373</v>
      </c>
      <c r="F16" s="36">
        <f t="shared" si="2"/>
        <v>6.6542772895949245E-2</v>
      </c>
      <c r="G16" s="38" t="s">
        <v>42</v>
      </c>
      <c r="H16" s="38" t="s">
        <v>73</v>
      </c>
      <c r="I16" s="209">
        <v>6</v>
      </c>
      <c r="J16" s="209">
        <v>15</v>
      </c>
      <c r="K16" s="209">
        <v>2</v>
      </c>
      <c r="L16" s="209">
        <v>2</v>
      </c>
      <c r="M16" s="209">
        <v>0</v>
      </c>
      <c r="N16" s="209">
        <v>0</v>
      </c>
      <c r="O16" s="39">
        <f t="shared" si="0"/>
        <v>147.19800000000001</v>
      </c>
      <c r="P16" s="38">
        <f t="shared" si="3"/>
        <v>18.015000000000001</v>
      </c>
      <c r="Q16" s="39">
        <f t="shared" si="4"/>
        <v>129.18299999999999</v>
      </c>
      <c r="R16" s="153">
        <f t="shared" si="5"/>
        <v>0.2555692377845255</v>
      </c>
      <c r="S16" s="40">
        <f t="shared" si="6"/>
        <v>3.3015200844718359E-2</v>
      </c>
      <c r="V16" s="284">
        <f t="shared" si="7"/>
        <v>0.21723385211684668</v>
      </c>
      <c r="W16" s="290">
        <f t="shared" si="8"/>
        <v>3.8335385667678822E-2</v>
      </c>
    </row>
    <row r="17" spans="1:23" x14ac:dyDescent="0.35">
      <c r="A17" s="35"/>
      <c r="B17" s="38"/>
      <c r="C17" s="37" t="s">
        <v>62</v>
      </c>
      <c r="D17" s="36">
        <v>2.3677942703975469E-2</v>
      </c>
      <c r="E17" s="36">
        <f t="shared" si="1"/>
        <v>3.106522404818878</v>
      </c>
      <c r="F17" s="36">
        <f t="shared" si="2"/>
        <v>2.7895824649197883E-2</v>
      </c>
      <c r="G17" s="38" t="s">
        <v>42</v>
      </c>
      <c r="H17" s="38" t="s">
        <v>74</v>
      </c>
      <c r="I17" s="209">
        <v>5</v>
      </c>
      <c r="J17" s="209">
        <v>11</v>
      </c>
      <c r="K17" s="209">
        <v>1</v>
      </c>
      <c r="L17" s="209">
        <v>2</v>
      </c>
      <c r="M17" s="209">
        <v>0</v>
      </c>
      <c r="N17" s="209">
        <v>1</v>
      </c>
      <c r="O17" s="39">
        <f t="shared" si="0"/>
        <v>149.214</v>
      </c>
      <c r="P17" s="38">
        <f t="shared" si="3"/>
        <v>18.015000000000001</v>
      </c>
      <c r="Q17" s="39">
        <f t="shared" si="4"/>
        <v>131.19900000000001</v>
      </c>
      <c r="R17" s="153">
        <f t="shared" si="5"/>
        <v>0.10549253505677407</v>
      </c>
      <c r="S17" s="40">
        <f t="shared" si="6"/>
        <v>1.3840515106913703E-2</v>
      </c>
      <c r="V17" s="284">
        <f t="shared" si="7"/>
        <v>8.966865479825796E-2</v>
      </c>
      <c r="W17" s="290">
        <f t="shared" si="8"/>
        <v>1.582388025851611E-2</v>
      </c>
    </row>
    <row r="18" spans="1:23" x14ac:dyDescent="0.35">
      <c r="A18" s="35"/>
      <c r="B18" s="38"/>
      <c r="C18" s="37" t="s">
        <v>63</v>
      </c>
      <c r="D18" s="36">
        <v>3.3159888883230473E-2</v>
      </c>
      <c r="E18" s="36">
        <f t="shared" si="1"/>
        <v>4.8803729661672106</v>
      </c>
      <c r="F18" s="36">
        <f t="shared" si="2"/>
        <v>4.3824576405984056E-2</v>
      </c>
      <c r="G18" s="38" t="s">
        <v>42</v>
      </c>
      <c r="H18" s="38" t="s">
        <v>75</v>
      </c>
      <c r="I18" s="209">
        <v>9</v>
      </c>
      <c r="J18" s="209">
        <v>11</v>
      </c>
      <c r="K18" s="209">
        <v>1</v>
      </c>
      <c r="L18" s="209">
        <v>2</v>
      </c>
      <c r="M18" s="209">
        <v>0</v>
      </c>
      <c r="N18" s="209">
        <v>0</v>
      </c>
      <c r="O18" s="39">
        <f t="shared" si="0"/>
        <v>165.19199999999998</v>
      </c>
      <c r="P18" s="38">
        <f t="shared" si="3"/>
        <v>18.015000000000001</v>
      </c>
      <c r="Q18" s="39">
        <f t="shared" si="4"/>
        <v>147.17699999999996</v>
      </c>
      <c r="R18" s="153">
        <f t="shared" si="5"/>
        <v>0.14773752872987558</v>
      </c>
      <c r="S18" s="40">
        <f t="shared" si="6"/>
        <v>2.1743566265876892E-2</v>
      </c>
      <c r="V18" s="284">
        <f t="shared" si="7"/>
        <v>0.12557689942039424</v>
      </c>
      <c r="W18" s="290">
        <f t="shared" si="8"/>
        <v>2.2160629309481338E-2</v>
      </c>
    </row>
    <row r="19" spans="1:23" x14ac:dyDescent="0.35">
      <c r="A19" s="35"/>
      <c r="B19" s="38"/>
      <c r="C19" s="37" t="s">
        <v>64</v>
      </c>
      <c r="D19" s="36">
        <v>4.2013200193930449E-2</v>
      </c>
      <c r="E19" s="36">
        <f t="shared" si="1"/>
        <v>4.080195963233944</v>
      </c>
      <c r="F19" s="36">
        <f t="shared" si="2"/>
        <v>3.6639179214732011E-2</v>
      </c>
      <c r="G19" s="38" t="s">
        <v>42</v>
      </c>
      <c r="H19" s="38" t="s">
        <v>76</v>
      </c>
      <c r="I19" s="209">
        <v>5</v>
      </c>
      <c r="J19" s="209">
        <v>9</v>
      </c>
      <c r="K19" s="209">
        <v>1</v>
      </c>
      <c r="L19" s="209">
        <v>2</v>
      </c>
      <c r="M19" s="209">
        <v>0</v>
      </c>
      <c r="N19" s="209">
        <v>0</v>
      </c>
      <c r="O19" s="39">
        <f t="shared" si="0"/>
        <v>115.13200000000001</v>
      </c>
      <c r="P19" s="38">
        <f t="shared" si="3"/>
        <v>18.015000000000001</v>
      </c>
      <c r="Q19" s="39">
        <f t="shared" si="4"/>
        <v>97.117000000000004</v>
      </c>
      <c r="R19" s="153">
        <f t="shared" si="5"/>
        <v>0.18718176024479269</v>
      </c>
      <c r="S19" s="40">
        <f t="shared" si="6"/>
        <v>1.8178531009693532E-2</v>
      </c>
      <c r="V19" s="284">
        <f t="shared" si="7"/>
        <v>0.15910449620807379</v>
      </c>
      <c r="W19" s="290">
        <f t="shared" si="8"/>
        <v>2.8077264036718903E-2</v>
      </c>
    </row>
    <row r="20" spans="1:23" x14ac:dyDescent="0.35">
      <c r="A20" s="35"/>
      <c r="B20" s="38"/>
      <c r="C20" s="37" t="s">
        <v>65</v>
      </c>
      <c r="D20" s="36">
        <v>5.7358140339026156E-2</v>
      </c>
      <c r="E20" s="36">
        <f t="shared" si="1"/>
        <v>4.9946321444417201</v>
      </c>
      <c r="F20" s="36">
        <f t="shared" si="2"/>
        <v>4.4850596368615867E-2</v>
      </c>
      <c r="G20" s="38" t="s">
        <v>42</v>
      </c>
      <c r="H20" s="38" t="s">
        <v>77</v>
      </c>
      <c r="I20" s="209">
        <v>3</v>
      </c>
      <c r="J20" s="209">
        <v>7</v>
      </c>
      <c r="K20" s="209">
        <v>1</v>
      </c>
      <c r="L20" s="209">
        <v>3</v>
      </c>
      <c r="M20" s="209">
        <v>0</v>
      </c>
      <c r="N20" s="209">
        <v>0</v>
      </c>
      <c r="O20" s="39">
        <f t="shared" si="0"/>
        <v>105.093</v>
      </c>
      <c r="P20" s="38">
        <f t="shared" si="3"/>
        <v>18.015000000000001</v>
      </c>
      <c r="Q20" s="39">
        <f t="shared" si="4"/>
        <v>87.078000000000003</v>
      </c>
      <c r="R20" s="153">
        <f t="shared" si="5"/>
        <v>0.25554819969600479</v>
      </c>
      <c r="S20" s="40">
        <f t="shared" si="6"/>
        <v>2.2252626133128704E-2</v>
      </c>
      <c r="V20" s="284">
        <f t="shared" si="7"/>
        <v>0.21721596974160406</v>
      </c>
      <c r="W20" s="290">
        <f t="shared" si="8"/>
        <v>3.8332229954400714E-2</v>
      </c>
    </row>
    <row r="21" spans="1:23" x14ac:dyDescent="0.35">
      <c r="A21" s="35"/>
      <c r="B21" s="38"/>
      <c r="C21" s="37" t="s">
        <v>66</v>
      </c>
      <c r="D21" s="36">
        <v>5.7859639900651426E-2</v>
      </c>
      <c r="E21" s="36">
        <f t="shared" si="1"/>
        <v>5.8498988921553625</v>
      </c>
      <c r="F21" s="36">
        <f t="shared" si="2"/>
        <v>5.2530686229065648E-2</v>
      </c>
      <c r="G21" s="38" t="s">
        <v>42</v>
      </c>
      <c r="H21" s="38" t="s">
        <v>78</v>
      </c>
      <c r="I21" s="209">
        <v>4</v>
      </c>
      <c r="J21" s="209">
        <v>9</v>
      </c>
      <c r="K21" s="209">
        <v>1</v>
      </c>
      <c r="L21" s="209">
        <v>3</v>
      </c>
      <c r="M21" s="209">
        <v>0</v>
      </c>
      <c r="N21" s="209">
        <v>0</v>
      </c>
      <c r="O21" s="39">
        <f t="shared" si="0"/>
        <v>119.12</v>
      </c>
      <c r="P21" s="38">
        <f t="shared" si="3"/>
        <v>18.015000000000001</v>
      </c>
      <c r="Q21" s="39">
        <f t="shared" si="4"/>
        <v>101.105</v>
      </c>
      <c r="R21" s="153">
        <f t="shared" si="5"/>
        <v>0.25778253486384978</v>
      </c>
      <c r="S21" s="40">
        <f t="shared" si="6"/>
        <v>2.6063103187409533E-2</v>
      </c>
      <c r="V21" s="284">
        <f t="shared" si="7"/>
        <v>0.21911515463427231</v>
      </c>
      <c r="W21" s="290">
        <f t="shared" si="8"/>
        <v>3.8667380229577462E-2</v>
      </c>
    </row>
    <row r="22" spans="1:23" x14ac:dyDescent="0.35">
      <c r="A22" s="35"/>
      <c r="B22" s="38"/>
      <c r="C22" s="37" t="s">
        <v>67</v>
      </c>
      <c r="D22" s="36">
        <v>1.1349335208995467E-2</v>
      </c>
      <c r="E22" s="36">
        <f t="shared" si="1"/>
        <v>2.1134051066078818</v>
      </c>
      <c r="F22" s="36">
        <f t="shared" si="2"/>
        <v>1.8977869972932042E-2</v>
      </c>
      <c r="G22" s="38" t="s">
        <v>42</v>
      </c>
      <c r="H22" s="38" t="s">
        <v>79</v>
      </c>
      <c r="I22" s="209">
        <v>11</v>
      </c>
      <c r="J22" s="209">
        <v>12</v>
      </c>
      <c r="K22" s="209">
        <v>2</v>
      </c>
      <c r="L22" s="209">
        <v>2</v>
      </c>
      <c r="M22" s="209">
        <v>0</v>
      </c>
      <c r="N22" s="209">
        <v>0</v>
      </c>
      <c r="O22" s="39">
        <f t="shared" si="0"/>
        <v>204.22899999999998</v>
      </c>
      <c r="P22" s="38">
        <f t="shared" si="3"/>
        <v>18.015000000000001</v>
      </c>
      <c r="Q22" s="39">
        <f t="shared" si="4"/>
        <v>186.214</v>
      </c>
      <c r="R22" s="153">
        <f t="shared" si="5"/>
        <v>5.056478754824488E-2</v>
      </c>
      <c r="S22" s="40">
        <f t="shared" si="6"/>
        <v>9.4158713485088721E-3</v>
      </c>
      <c r="V22" s="284">
        <f t="shared" si="7"/>
        <v>4.2980069416008147E-2</v>
      </c>
      <c r="W22" s="290">
        <f t="shared" si="8"/>
        <v>7.5847181322367318E-3</v>
      </c>
    </row>
    <row r="23" spans="1:23" x14ac:dyDescent="0.35">
      <c r="A23" s="35"/>
      <c r="B23" s="38"/>
      <c r="C23" s="37" t="s">
        <v>68</v>
      </c>
      <c r="D23" s="36">
        <v>2.7799487058095592E-2</v>
      </c>
      <c r="E23" s="36">
        <f t="shared" si="1"/>
        <v>4.5362091001918063</v>
      </c>
      <c r="F23" s="36">
        <f t="shared" si="2"/>
        <v>4.0734067597501901E-2</v>
      </c>
      <c r="G23" s="38" t="s">
        <v>42</v>
      </c>
      <c r="H23" s="38" t="s">
        <v>80</v>
      </c>
      <c r="I23" s="209">
        <v>9</v>
      </c>
      <c r="J23" s="209">
        <v>11</v>
      </c>
      <c r="K23" s="209">
        <v>1</v>
      </c>
      <c r="L23" s="209">
        <v>3</v>
      </c>
      <c r="M23" s="209">
        <v>0</v>
      </c>
      <c r="N23" s="209">
        <v>0</v>
      </c>
      <c r="O23" s="39">
        <f t="shared" si="0"/>
        <v>181.19099999999997</v>
      </c>
      <c r="P23" s="38">
        <f t="shared" si="3"/>
        <v>18.015000000000001</v>
      </c>
      <c r="Q23" s="39">
        <f t="shared" si="4"/>
        <v>163.17599999999999</v>
      </c>
      <c r="R23" s="153">
        <f t="shared" si="5"/>
        <v>0.12385528589627443</v>
      </c>
      <c r="S23" s="40">
        <f t="shared" si="6"/>
        <v>2.0210210131410472E-2</v>
      </c>
      <c r="V23" s="284">
        <f t="shared" si="7"/>
        <v>0.10527699301183326</v>
      </c>
      <c r="W23" s="290">
        <f t="shared" si="8"/>
        <v>1.8578292884441162E-2</v>
      </c>
    </row>
    <row r="24" spans="1:23" x14ac:dyDescent="0.35">
      <c r="A24" s="35"/>
      <c r="B24" s="38"/>
      <c r="C24" s="37" t="s">
        <v>69</v>
      </c>
      <c r="D24" s="36">
        <v>7.1929475711638283E-2</v>
      </c>
      <c r="E24" s="36">
        <f t="shared" si="1"/>
        <v>7.1305847157218389</v>
      </c>
      <c r="F24" s="36">
        <f t="shared" si="2"/>
        <v>6.4030937155795067E-2</v>
      </c>
      <c r="G24" s="38" t="s">
        <v>42</v>
      </c>
      <c r="H24" s="38" t="s">
        <v>81</v>
      </c>
      <c r="I24" s="209">
        <v>5</v>
      </c>
      <c r="J24" s="209">
        <v>11</v>
      </c>
      <c r="K24" s="209">
        <v>1</v>
      </c>
      <c r="L24" s="209">
        <v>2</v>
      </c>
      <c r="M24" s="209">
        <v>0</v>
      </c>
      <c r="N24" s="209">
        <v>0</v>
      </c>
      <c r="O24" s="39">
        <f t="shared" si="0"/>
        <v>117.14800000000001</v>
      </c>
      <c r="P24" s="38">
        <f t="shared" si="3"/>
        <v>18.015000000000001</v>
      </c>
      <c r="Q24" s="39">
        <f t="shared" si="4"/>
        <v>99.13300000000001</v>
      </c>
      <c r="R24" s="153">
        <f t="shared" si="5"/>
        <v>0.32046799137035537</v>
      </c>
      <c r="S24" s="40">
        <f t="shared" si="6"/>
        <v>3.1768953388517443E-2</v>
      </c>
      <c r="V24" s="285">
        <f t="shared" si="7"/>
        <v>0.27239779266480207</v>
      </c>
      <c r="W24" s="291">
        <f t="shared" si="8"/>
        <v>4.8070198705553305E-2</v>
      </c>
    </row>
    <row r="25" spans="1:23" x14ac:dyDescent="0.35">
      <c r="A25" s="48" t="s">
        <v>331</v>
      </c>
      <c r="B25" s="42">
        <f>'General composition'!J55*'Protein composition'!J35</f>
        <v>1.3832672623662846E-3</v>
      </c>
      <c r="C25" s="43" t="s">
        <v>331</v>
      </c>
      <c r="D25" s="42">
        <v>1</v>
      </c>
      <c r="E25" s="42">
        <f>D25*Q25</f>
        <v>560.56899999999996</v>
      </c>
      <c r="F25" s="42">
        <f>E25/$Q$25</f>
        <v>1</v>
      </c>
      <c r="G25" s="44" t="s">
        <v>42</v>
      </c>
      <c r="H25" s="44" t="s">
        <v>332</v>
      </c>
      <c r="I25" s="210">
        <v>20</v>
      </c>
      <c r="J25" s="210">
        <v>36</v>
      </c>
      <c r="K25" s="210">
        <v>10</v>
      </c>
      <c r="L25" s="210">
        <v>9</v>
      </c>
      <c r="M25" s="210">
        <v>0</v>
      </c>
      <c r="N25" s="210">
        <v>0</v>
      </c>
      <c r="O25" s="45">
        <f t="shared" si="0"/>
        <v>560.56899999999996</v>
      </c>
      <c r="P25" s="44">
        <v>0</v>
      </c>
      <c r="Q25" s="45">
        <f>O25-P25</f>
        <v>560.56899999999996</v>
      </c>
      <c r="R25" s="154">
        <f>B$25*F25*1000/Q25</f>
        <v>2.4676128404643935E-3</v>
      </c>
      <c r="S25" s="46">
        <f t="shared" si="6"/>
        <v>1.3832672623662846E-3</v>
      </c>
      <c r="V25" s="286">
        <f>R25*$V$3</f>
        <v>2.0974709143947346E-3</v>
      </c>
      <c r="W25" s="282">
        <f>R25*$W$3</f>
        <v>3.7014192606965899E-4</v>
      </c>
    </row>
    <row r="26" spans="1:23" x14ac:dyDescent="0.35">
      <c r="A26" s="64" t="s">
        <v>11</v>
      </c>
      <c r="B26" s="50">
        <f>'General composition'!J58</f>
        <v>3.6508492284297541E-3</v>
      </c>
      <c r="C26" s="51" t="s">
        <v>84</v>
      </c>
      <c r="D26" s="50">
        <v>0.29380116362250752</v>
      </c>
      <c r="E26" s="50">
        <f>D26*Q26</f>
        <v>92.90991717700004</v>
      </c>
      <c r="F26" s="50">
        <f>E26/$B$27</f>
        <v>0.29785286904121994</v>
      </c>
      <c r="G26" s="51" t="s">
        <v>88</v>
      </c>
      <c r="H26" s="51" t="s">
        <v>768</v>
      </c>
      <c r="I26" s="211">
        <v>10</v>
      </c>
      <c r="J26" s="211">
        <v>16</v>
      </c>
      <c r="K26" s="211">
        <v>5</v>
      </c>
      <c r="L26" s="211">
        <v>12</v>
      </c>
      <c r="M26" s="211">
        <v>3</v>
      </c>
      <c r="N26" s="211">
        <v>0</v>
      </c>
      <c r="O26" s="52">
        <f>(I26*12.011)+(J26*1.008)+(L26*15.999)+(14.007*K26)+(M26*30.974)+(N26*32.066)</f>
        <v>491.18299999999999</v>
      </c>
      <c r="P26" s="51">
        <v>174.94900000000001</v>
      </c>
      <c r="Q26" s="52">
        <f>O26-P26</f>
        <v>316.23399999999998</v>
      </c>
      <c r="R26" s="155">
        <f>B$26*F26*1000/Q26</f>
        <v>3.4386432740462014E-3</v>
      </c>
      <c r="S26" s="53">
        <f t="shared" si="6"/>
        <v>1.0874159171247264E-3</v>
      </c>
      <c r="V26" s="283">
        <f>R26*$V$3</f>
        <v>2.9228467829392714E-3</v>
      </c>
      <c r="W26" s="289">
        <f>R26*$W$3</f>
        <v>5.1579649110693019E-4</v>
      </c>
    </row>
    <row r="27" spans="1:23" x14ac:dyDescent="0.35">
      <c r="A27" s="49"/>
      <c r="B27" s="50">
        <f>SUM(E26:E29)</f>
        <v>311.93225526440108</v>
      </c>
      <c r="C27" s="51" t="s">
        <v>85</v>
      </c>
      <c r="D27" s="50">
        <v>0.20632661327168611</v>
      </c>
      <c r="E27" s="50">
        <f t="shared" ref="E27:E33" si="9">D27*Q27</f>
        <v>60.290287010892861</v>
      </c>
      <c r="F27" s="50">
        <f>E27/$B$27</f>
        <v>0.19328006640348688</v>
      </c>
      <c r="G27" s="51" t="s">
        <v>88</v>
      </c>
      <c r="H27" s="51" t="s">
        <v>769</v>
      </c>
      <c r="I27" s="211">
        <v>9</v>
      </c>
      <c r="J27" s="211">
        <v>16</v>
      </c>
      <c r="K27" s="211">
        <v>3</v>
      </c>
      <c r="L27" s="211">
        <v>13</v>
      </c>
      <c r="M27" s="211">
        <v>3</v>
      </c>
      <c r="N27" s="211">
        <v>0</v>
      </c>
      <c r="O27" s="52">
        <f>(I27*12.011)+(J27*1.008)+(L27*15.999)+(14.007*K27)+(M27*30.974)+(N27*32.066)</f>
        <v>467.15700000000004</v>
      </c>
      <c r="P27" s="51">
        <v>174.94900000000001</v>
      </c>
      <c r="Q27" s="52">
        <f t="shared" ref="Q27:Q33" si="10">O27-P27</f>
        <v>292.20800000000003</v>
      </c>
      <c r="R27" s="155">
        <f t="shared" ref="R27:R29" si="11">B$26*F27*1000/Q27</f>
        <v>2.4148427876718699E-3</v>
      </c>
      <c r="S27" s="53">
        <f t="shared" si="6"/>
        <v>7.0563638130002177E-4</v>
      </c>
      <c r="V27" s="284">
        <f t="shared" ref="V27:V33" si="12">R27*$V$3</f>
        <v>2.0526163695210892E-3</v>
      </c>
      <c r="W27" s="290">
        <f t="shared" ref="W27:W33" si="13">R27*$W$3</f>
        <v>3.6222641815078049E-4</v>
      </c>
    </row>
    <row r="28" spans="1:23" x14ac:dyDescent="0.35">
      <c r="A28" s="49"/>
      <c r="B28" s="54" t="s">
        <v>83</v>
      </c>
      <c r="C28" s="51" t="s">
        <v>86</v>
      </c>
      <c r="D28" s="50">
        <v>0.20635670289299923</v>
      </c>
      <c r="E28" s="50">
        <f t="shared" si="9"/>
        <v>68.558506472249817</v>
      </c>
      <c r="F28" s="50">
        <f>E28/$B$27</f>
        <v>0.21978652516758174</v>
      </c>
      <c r="G28" s="51" t="s">
        <v>88</v>
      </c>
      <c r="H28" s="51" t="s">
        <v>770</v>
      </c>
      <c r="I28" s="211">
        <v>10</v>
      </c>
      <c r="J28" s="211">
        <v>16</v>
      </c>
      <c r="K28" s="211">
        <v>5</v>
      </c>
      <c r="L28" s="211">
        <v>13</v>
      </c>
      <c r="M28" s="211">
        <v>3</v>
      </c>
      <c r="N28" s="211">
        <v>0</v>
      </c>
      <c r="O28" s="52">
        <f>(I28*12.011)+(J28*1.008)+(L28*15.999)+(14.007*K28)+(M28*30.974)+(N28*32.066)</f>
        <v>507.18200000000002</v>
      </c>
      <c r="P28" s="51">
        <v>174.94900000000001</v>
      </c>
      <c r="Q28" s="52">
        <f t="shared" si="10"/>
        <v>332.233</v>
      </c>
      <c r="R28" s="155">
        <f t="shared" si="11"/>
        <v>2.4151949560318286E-3</v>
      </c>
      <c r="S28" s="53">
        <f t="shared" si="6"/>
        <v>8.0240746582732256E-4</v>
      </c>
      <c r="V28" s="284">
        <f t="shared" si="12"/>
        <v>2.0529157126270544E-3</v>
      </c>
      <c r="W28" s="290">
        <f t="shared" si="13"/>
        <v>3.6227924340477427E-4</v>
      </c>
    </row>
    <row r="29" spans="1:23" x14ac:dyDescent="0.35">
      <c r="A29" s="55"/>
      <c r="B29" s="56"/>
      <c r="C29" s="56" t="s">
        <v>87</v>
      </c>
      <c r="D29" s="57">
        <v>0.29351552021280714</v>
      </c>
      <c r="E29" s="57">
        <f t="shared" si="9"/>
        <v>90.173544604258396</v>
      </c>
      <c r="F29" s="57">
        <f>E29/$B$27</f>
        <v>0.28908053938771155</v>
      </c>
      <c r="G29" s="56" t="s">
        <v>88</v>
      </c>
      <c r="H29" s="56" t="s">
        <v>771</v>
      </c>
      <c r="I29" s="212">
        <v>10</v>
      </c>
      <c r="J29" s="212">
        <v>17</v>
      </c>
      <c r="K29" s="212">
        <v>2</v>
      </c>
      <c r="L29" s="212">
        <v>14</v>
      </c>
      <c r="M29" s="212">
        <v>3</v>
      </c>
      <c r="N29" s="212">
        <v>0</v>
      </c>
      <c r="O29" s="58">
        <f>(I29*12.011)+(J29*1.008)+(L29*15.999)+(14.007*K29)+(M29*30.974)+(N29*32.066)</f>
        <v>482.16800000000001</v>
      </c>
      <c r="P29" s="56">
        <v>174.94900000000001</v>
      </c>
      <c r="Q29" s="58">
        <f t="shared" si="10"/>
        <v>307.21899999999999</v>
      </c>
      <c r="R29" s="156">
        <f t="shared" si="11"/>
        <v>3.4353001089700956E-3</v>
      </c>
      <c r="S29" s="59">
        <f t="shared" si="6"/>
        <v>1.0553894641776838E-3</v>
      </c>
      <c r="V29" s="285">
        <f t="shared" si="12"/>
        <v>2.920005092624581E-3</v>
      </c>
      <c r="W29" s="291">
        <f t="shared" si="13"/>
        <v>5.1529501634551428E-4</v>
      </c>
    </row>
    <row r="30" spans="1:23" x14ac:dyDescent="0.35">
      <c r="A30" s="65" t="s">
        <v>12</v>
      </c>
      <c r="B30" s="60">
        <f>'General composition'!J59</f>
        <v>2.0296000465277988E-2</v>
      </c>
      <c r="C30" s="61" t="s">
        <v>89</v>
      </c>
      <c r="D30" s="60">
        <v>0.26581894892414282</v>
      </c>
      <c r="E30" s="60">
        <f t="shared" si="9"/>
        <v>88.313826857914748</v>
      </c>
      <c r="F30" s="60">
        <f>E30/$B$31</f>
        <v>0.27022224319441213</v>
      </c>
      <c r="G30" s="61" t="s">
        <v>88</v>
      </c>
      <c r="H30" s="61" t="s">
        <v>770</v>
      </c>
      <c r="I30" s="213">
        <v>10</v>
      </c>
      <c r="J30" s="213">
        <v>16</v>
      </c>
      <c r="K30" s="213">
        <v>5</v>
      </c>
      <c r="L30" s="213">
        <v>13</v>
      </c>
      <c r="M30" s="213">
        <v>3</v>
      </c>
      <c r="N30" s="213">
        <v>0</v>
      </c>
      <c r="O30" s="62">
        <f t="shared" ref="O30:O33" si="14">(I30*12.011)+(J30*1.008)+(L30*15.999)+(14.007*K30)+(M30*30.974)+(N30*32.066)</f>
        <v>507.18200000000002</v>
      </c>
      <c r="P30" s="61">
        <v>174.94900000000001</v>
      </c>
      <c r="Q30" s="62">
        <f t="shared" si="10"/>
        <v>332.233</v>
      </c>
      <c r="R30" s="167">
        <f>B$30*F30*1000/Q30</f>
        <v>1.6507784517499017E-2</v>
      </c>
      <c r="S30" s="63">
        <f t="shared" si="6"/>
        <v>5.484430773602251E-3</v>
      </c>
      <c r="V30" s="287">
        <f t="shared" si="12"/>
        <v>1.4031616839874163E-2</v>
      </c>
      <c r="W30" s="292">
        <f t="shared" si="13"/>
        <v>2.4761676776248525E-3</v>
      </c>
    </row>
    <row r="31" spans="1:23" x14ac:dyDescent="0.35">
      <c r="A31" s="49"/>
      <c r="B31" s="50">
        <f>SUM(E30:E33)</f>
        <v>326.81923521142971</v>
      </c>
      <c r="C31" s="51" t="s">
        <v>90</v>
      </c>
      <c r="D31" s="50">
        <v>0.22396320190421518</v>
      </c>
      <c r="E31" s="50">
        <f t="shared" si="9"/>
        <v>69.02702656929246</v>
      </c>
      <c r="F31" s="50">
        <f>E31/$B$31</f>
        <v>0.21120857994982054</v>
      </c>
      <c r="G31" s="51" t="s">
        <v>88</v>
      </c>
      <c r="H31" s="51" t="s">
        <v>772</v>
      </c>
      <c r="I31" s="211">
        <v>9</v>
      </c>
      <c r="J31" s="211">
        <v>16</v>
      </c>
      <c r="K31" s="211">
        <v>3</v>
      </c>
      <c r="L31" s="211">
        <v>14</v>
      </c>
      <c r="M31" s="211">
        <v>3</v>
      </c>
      <c r="N31" s="211">
        <v>0</v>
      </c>
      <c r="O31" s="52">
        <f t="shared" si="14"/>
        <v>483.15600000000006</v>
      </c>
      <c r="P31" s="51">
        <v>174.94900000000001</v>
      </c>
      <c r="Q31" s="52">
        <f t="shared" si="10"/>
        <v>308.20700000000005</v>
      </c>
      <c r="R31" s="155">
        <f t="shared" ref="R31:R33" si="15">B$30*F31*1000/Q31</f>
        <v>1.3908475268025257E-2</v>
      </c>
      <c r="S31" s="53">
        <f t="shared" si="6"/>
        <v>4.286689436932261E-3</v>
      </c>
      <c r="V31" s="284">
        <f t="shared" si="12"/>
        <v>1.1822203977821468E-2</v>
      </c>
      <c r="W31" s="290">
        <f t="shared" si="13"/>
        <v>2.0862712902037883E-3</v>
      </c>
    </row>
    <row r="32" spans="1:23" x14ac:dyDescent="0.35">
      <c r="A32" s="49"/>
      <c r="B32" s="54" t="s">
        <v>83</v>
      </c>
      <c r="C32" s="51" t="s">
        <v>91</v>
      </c>
      <c r="D32" s="50">
        <v>0.30028981790920722</v>
      </c>
      <c r="E32" s="50">
        <f t="shared" si="9"/>
        <v>104.57052387015906</v>
      </c>
      <c r="F32" s="50">
        <f>E32/$B$31</f>
        <v>0.31996441030317291</v>
      </c>
      <c r="G32" s="51" t="s">
        <v>88</v>
      </c>
      <c r="H32" s="51" t="s">
        <v>773</v>
      </c>
      <c r="I32" s="211">
        <v>10</v>
      </c>
      <c r="J32" s="211">
        <v>16</v>
      </c>
      <c r="K32" s="211">
        <v>5</v>
      </c>
      <c r="L32" s="211">
        <v>14</v>
      </c>
      <c r="M32" s="211">
        <v>3</v>
      </c>
      <c r="N32" s="211">
        <v>0</v>
      </c>
      <c r="O32" s="52">
        <f t="shared" si="14"/>
        <v>523.18100000000004</v>
      </c>
      <c r="P32" s="51">
        <v>174.94900000000001</v>
      </c>
      <c r="Q32" s="52">
        <f t="shared" si="10"/>
        <v>348.23200000000003</v>
      </c>
      <c r="R32" s="155">
        <f t="shared" si="15"/>
        <v>1.8648480956332543E-2</v>
      </c>
      <c r="S32" s="53">
        <f t="shared" si="6"/>
        <v>6.4939978203855941E-3</v>
      </c>
      <c r="V32" s="284">
        <f t="shared" si="12"/>
        <v>1.5851208812882663E-2</v>
      </c>
      <c r="W32" s="290">
        <f t="shared" si="13"/>
        <v>2.7972721434498813E-3</v>
      </c>
    </row>
    <row r="33" spans="1:23" x14ac:dyDescent="0.35">
      <c r="A33" s="55"/>
      <c r="B33" s="56"/>
      <c r="C33" s="56" t="s">
        <v>92</v>
      </c>
      <c r="D33" s="57">
        <v>0.20992803126243487</v>
      </c>
      <c r="E33" s="57">
        <f t="shared" si="9"/>
        <v>64.907857914063499</v>
      </c>
      <c r="F33" s="57">
        <f>E33/$B$31</f>
        <v>0.1986047665525946</v>
      </c>
      <c r="G33" s="56" t="s">
        <v>88</v>
      </c>
      <c r="H33" s="56" t="s">
        <v>774</v>
      </c>
      <c r="I33" s="212">
        <v>9</v>
      </c>
      <c r="J33" s="212">
        <v>15</v>
      </c>
      <c r="K33" s="212">
        <v>2</v>
      </c>
      <c r="L33" s="212">
        <v>15</v>
      </c>
      <c r="M33" s="212">
        <v>3</v>
      </c>
      <c r="N33" s="212">
        <v>0</v>
      </c>
      <c r="O33" s="58">
        <f t="shared" si="14"/>
        <v>484.14</v>
      </c>
      <c r="P33" s="56">
        <v>174.94900000000001</v>
      </c>
      <c r="Q33" s="58">
        <f t="shared" si="10"/>
        <v>309.19099999999997</v>
      </c>
      <c r="R33" s="156">
        <f t="shared" si="15"/>
        <v>1.3036868584007575E-2</v>
      </c>
      <c r="S33" s="59">
        <f t="shared" si="6"/>
        <v>4.030882434357886E-3</v>
      </c>
      <c r="V33" s="285">
        <f t="shared" si="12"/>
        <v>1.1081338296406439E-2</v>
      </c>
      <c r="W33" s="291">
        <f t="shared" si="13"/>
        <v>1.9555302876011361E-3</v>
      </c>
    </row>
    <row r="34" spans="1:23" x14ac:dyDescent="0.35">
      <c r="A34" s="99" t="s">
        <v>102</v>
      </c>
      <c r="B34" s="203">
        <f>'General composition'!J56</f>
        <v>5.311346723463569E-2</v>
      </c>
      <c r="C34" s="74" t="s">
        <v>93</v>
      </c>
      <c r="D34" s="71"/>
      <c r="E34" s="71"/>
      <c r="F34" s="70">
        <f>Phycobiliproteins!D43</f>
        <v>9.0304454722391084E-2</v>
      </c>
      <c r="G34" s="71" t="s">
        <v>104</v>
      </c>
      <c r="H34" s="71" t="s">
        <v>775</v>
      </c>
      <c r="I34" s="214">
        <v>1660</v>
      </c>
      <c r="J34" s="214">
        <v>2574</v>
      </c>
      <c r="K34" s="214">
        <v>456</v>
      </c>
      <c r="L34" s="214">
        <v>509</v>
      </c>
      <c r="M34" s="214">
        <v>0</v>
      </c>
      <c r="N34" s="214">
        <v>13</v>
      </c>
      <c r="O34" s="200">
        <f>(I34*12.011)+(J34*1.008)+(L34*15.999)+(14.007*K34)+(M34*30.974)+(N34*32.066)</f>
        <v>37480.393000000004</v>
      </c>
      <c r="P34" s="71">
        <v>0</v>
      </c>
      <c r="Q34" s="200">
        <f>O34-P34</f>
        <v>37480.393000000004</v>
      </c>
      <c r="R34" s="157">
        <f>B$34*F34*1000/Q34</f>
        <v>1.2797044836321115E-4</v>
      </c>
      <c r="S34" s="72">
        <f t="shared" si="6"/>
        <v>4.7963826970393612E-3</v>
      </c>
      <c r="T34" s="17"/>
      <c r="V34" s="283">
        <f>R34*$V$3</f>
        <v>1.0877488110872947E-4</v>
      </c>
      <c r="W34" s="289">
        <f>R34*$W$3</f>
        <v>1.9195567254481673E-5</v>
      </c>
    </row>
    <row r="35" spans="1:23" x14ac:dyDescent="0.35">
      <c r="A35" s="194"/>
      <c r="B35" s="75"/>
      <c r="C35" s="74" t="s">
        <v>94</v>
      </c>
      <c r="D35" s="74"/>
      <c r="E35" s="74"/>
      <c r="F35" s="75">
        <f>Phycobiliproteins!D44</f>
        <v>0.74587826827063286</v>
      </c>
      <c r="G35" s="74" t="s">
        <v>104</v>
      </c>
      <c r="H35" s="74" t="s">
        <v>776</v>
      </c>
      <c r="I35" s="215">
        <v>1662</v>
      </c>
      <c r="J35" s="215">
        <v>2616</v>
      </c>
      <c r="K35" s="215">
        <v>460</v>
      </c>
      <c r="L35" s="215">
        <v>516</v>
      </c>
      <c r="M35" s="215">
        <v>0</v>
      </c>
      <c r="N35" s="215">
        <v>9</v>
      </c>
      <c r="O35" s="202">
        <f>(I35*12.011)+(J35*1.008)+(L35*15.999)+(14.007*K35)+(M35*30.974)+(N35*32.066)</f>
        <v>37586.507999999994</v>
      </c>
      <c r="P35" s="74">
        <v>0</v>
      </c>
      <c r="Q35" s="202">
        <f>O35-P35</f>
        <v>37586.507999999994</v>
      </c>
      <c r="R35" s="158">
        <f>B$34*F35*1000/Q35</f>
        <v>1.0540000407278875E-3</v>
      </c>
      <c r="S35" s="76">
        <f t="shared" si="6"/>
        <v>3.9616180962819068E-2</v>
      </c>
      <c r="T35" s="17"/>
      <c r="V35" s="284">
        <f t="shared" ref="V35:V36" si="16">R35*$V$3</f>
        <v>8.9590003461870432E-4</v>
      </c>
      <c r="W35" s="290">
        <f t="shared" ref="W35:W36" si="17">R35*$W$3</f>
        <v>1.5810000610918311E-4</v>
      </c>
    </row>
    <row r="36" spans="1:23" x14ac:dyDescent="0.35">
      <c r="A36" s="73"/>
      <c r="B36" s="74"/>
      <c r="C36" s="74" t="s">
        <v>95</v>
      </c>
      <c r="D36" s="74"/>
      <c r="E36" s="74"/>
      <c r="F36" s="75">
        <f>Phycobiliproteins!D45</f>
        <v>0.16381727700697607</v>
      </c>
      <c r="G36" s="74" t="s">
        <v>104</v>
      </c>
      <c r="H36" s="74" t="s">
        <v>777</v>
      </c>
      <c r="I36" s="215">
        <v>1594</v>
      </c>
      <c r="J36" s="215">
        <v>2539</v>
      </c>
      <c r="K36" s="215">
        <v>423</v>
      </c>
      <c r="L36" s="215">
        <v>493</v>
      </c>
      <c r="M36" s="215">
        <v>0</v>
      </c>
      <c r="N36" s="215">
        <v>9</v>
      </c>
      <c r="O36" s="202">
        <f>(I36*12.011)+(J36*1.008)+(L36*15.999)+(14.007*K36)+(M36*30.974)+(N36*32.066)</f>
        <v>35805.907999999996</v>
      </c>
      <c r="P36" s="74">
        <v>0</v>
      </c>
      <c r="Q36" s="202">
        <f t="shared" ref="Q36:Q48" si="18">O36-P36</f>
        <v>35805.907999999996</v>
      </c>
      <c r="R36" s="158">
        <f>B$34*F36*1000/Q36</f>
        <v>2.4300189719465468E-4</v>
      </c>
      <c r="S36" s="76">
        <f t="shared" si="6"/>
        <v>8.7009035747772617E-3</v>
      </c>
      <c r="T36" s="17"/>
      <c r="V36" s="285">
        <f t="shared" si="16"/>
        <v>2.0655161261545649E-4</v>
      </c>
      <c r="W36" s="291">
        <f t="shared" si="17"/>
        <v>3.6450284579198204E-5</v>
      </c>
    </row>
    <row r="37" spans="1:23" x14ac:dyDescent="0.35">
      <c r="A37" s="100" t="s">
        <v>121</v>
      </c>
      <c r="B37" s="77">
        <f>'General composition'!J57</f>
        <v>1.38482689584214E-2</v>
      </c>
      <c r="C37" s="78" t="s">
        <v>124</v>
      </c>
      <c r="D37" s="78"/>
      <c r="E37" s="78"/>
      <c r="F37" s="77">
        <v>0.6868948898384043</v>
      </c>
      <c r="G37" s="78" t="s">
        <v>118</v>
      </c>
      <c r="H37" s="78" t="s">
        <v>130</v>
      </c>
      <c r="I37" s="216">
        <v>55</v>
      </c>
      <c r="J37" s="216">
        <v>72</v>
      </c>
      <c r="K37" s="216">
        <v>4</v>
      </c>
      <c r="L37" s="216">
        <v>5</v>
      </c>
      <c r="M37" s="216">
        <v>0</v>
      </c>
      <c r="N37" s="216">
        <v>0</v>
      </c>
      <c r="O37" s="79">
        <f>(I37*12.011)+(J37*1.008)+(L37*15.999)+(14.007*K37)+(M37*30.974)+(N37*32.066)+24.305</f>
        <v>893.5089999999999</v>
      </c>
      <c r="P37" s="78">
        <v>0</v>
      </c>
      <c r="Q37" s="79">
        <f t="shared" si="18"/>
        <v>893.5089999999999</v>
      </c>
      <c r="R37" s="159">
        <f>B$37*F37*1000/Q37</f>
        <v>1.0646009363808828E-2</v>
      </c>
      <c r="S37" s="80">
        <f t="shared" si="6"/>
        <v>9.5123051806474609E-3</v>
      </c>
      <c r="V37" s="283">
        <f>R37*$V$3</f>
        <v>9.0491079592375043E-3</v>
      </c>
      <c r="W37" s="289">
        <f>R37*$W$3</f>
        <v>1.5969014045713241E-3</v>
      </c>
    </row>
    <row r="38" spans="1:23" x14ac:dyDescent="0.35">
      <c r="A38" s="81"/>
      <c r="B38" s="82"/>
      <c r="C38" s="82" t="s">
        <v>126</v>
      </c>
      <c r="D38" s="82"/>
      <c r="E38" s="82"/>
      <c r="F38" s="83">
        <v>0.11515012000016936</v>
      </c>
      <c r="G38" s="82" t="s">
        <v>118</v>
      </c>
      <c r="H38" s="82" t="s">
        <v>133</v>
      </c>
      <c r="I38" s="217">
        <v>40</v>
      </c>
      <c r="J38" s="217">
        <v>56</v>
      </c>
      <c r="K38" s="217">
        <v>0</v>
      </c>
      <c r="L38" s="217">
        <v>0</v>
      </c>
      <c r="M38" s="217">
        <v>0</v>
      </c>
      <c r="N38" s="217">
        <v>0</v>
      </c>
      <c r="O38" s="84">
        <f t="shared" ref="O38:O101" si="19">(I38*12.011)+(J38*1.008)+(L38*15.999)+(14.007*K38)+(M38*30.974)+(N38*32.066)</f>
        <v>536.88799999999992</v>
      </c>
      <c r="P38" s="82">
        <v>0</v>
      </c>
      <c r="Q38" s="84">
        <f t="shared" si="18"/>
        <v>536.88799999999992</v>
      </c>
      <c r="R38" s="160">
        <f t="shared" ref="R38:R48" si="20">B$37*F38*1000/Q38</f>
        <v>2.9701349859874771E-3</v>
      </c>
      <c r="S38" s="85">
        <f t="shared" si="6"/>
        <v>1.5946298323568444E-3</v>
      </c>
      <c r="V38" s="284">
        <f t="shared" ref="V38:V48" si="21">R38*$V$3</f>
        <v>2.5246147380893554E-3</v>
      </c>
      <c r="W38" s="290">
        <f t="shared" ref="W38:W48" si="22">R38*$W$3</f>
        <v>4.4552024789812155E-4</v>
      </c>
    </row>
    <row r="39" spans="1:23" x14ac:dyDescent="0.35">
      <c r="A39" s="81"/>
      <c r="B39" s="82"/>
      <c r="C39" s="82" t="s">
        <v>127</v>
      </c>
      <c r="D39" s="82"/>
      <c r="E39" s="82"/>
      <c r="F39" s="83">
        <v>5.7545338781153756E-3</v>
      </c>
      <c r="G39" s="82" t="s">
        <v>118</v>
      </c>
      <c r="H39" s="82" t="s">
        <v>136</v>
      </c>
      <c r="I39" s="217">
        <v>40</v>
      </c>
      <c r="J39" s="217">
        <v>56</v>
      </c>
      <c r="K39" s="217">
        <v>0</v>
      </c>
      <c r="L39" s="217">
        <v>2</v>
      </c>
      <c r="M39" s="217">
        <v>0</v>
      </c>
      <c r="N39" s="217">
        <v>0</v>
      </c>
      <c r="O39" s="84">
        <f t="shared" si="19"/>
        <v>568.88599999999997</v>
      </c>
      <c r="P39" s="82">
        <v>0</v>
      </c>
      <c r="Q39" s="84">
        <f t="shared" si="18"/>
        <v>568.88599999999997</v>
      </c>
      <c r="R39" s="160">
        <f t="shared" si="20"/>
        <v>1.4008137460666894E-4</v>
      </c>
      <c r="S39" s="85">
        <f t="shared" si="6"/>
        <v>7.9690332874489465E-5</v>
      </c>
      <c r="V39" s="284">
        <f t="shared" si="21"/>
        <v>1.190691684156686E-4</v>
      </c>
      <c r="W39" s="290">
        <f t="shared" si="22"/>
        <v>2.1012206191000341E-5</v>
      </c>
    </row>
    <row r="40" spans="1:23" x14ac:dyDescent="0.35">
      <c r="A40" s="81"/>
      <c r="B40" s="82"/>
      <c r="C40" s="82" t="s">
        <v>120</v>
      </c>
      <c r="D40" s="82"/>
      <c r="E40" s="82"/>
      <c r="F40" s="83">
        <v>8.5581933728420059E-2</v>
      </c>
      <c r="G40" s="82" t="s">
        <v>118</v>
      </c>
      <c r="H40" s="82" t="s">
        <v>135</v>
      </c>
      <c r="I40" s="217">
        <v>40</v>
      </c>
      <c r="J40" s="217">
        <v>54</v>
      </c>
      <c r="K40" s="217">
        <v>0</v>
      </c>
      <c r="L40" s="217">
        <v>1</v>
      </c>
      <c r="M40" s="217">
        <v>0</v>
      </c>
      <c r="N40" s="217">
        <v>0</v>
      </c>
      <c r="O40" s="84">
        <f t="shared" si="19"/>
        <v>550.87099999999998</v>
      </c>
      <c r="P40" s="82">
        <v>0</v>
      </c>
      <c r="Q40" s="84">
        <f t="shared" si="18"/>
        <v>550.87099999999998</v>
      </c>
      <c r="R40" s="160">
        <f t="shared" si="20"/>
        <v>2.1514322522931083E-3</v>
      </c>
      <c r="S40" s="85">
        <f t="shared" si="6"/>
        <v>1.1851616362529569E-3</v>
      </c>
      <c r="V40" s="284">
        <f t="shared" si="21"/>
        <v>1.828717414449142E-3</v>
      </c>
      <c r="W40" s="290">
        <f t="shared" si="22"/>
        <v>3.2271483784396623E-4</v>
      </c>
    </row>
    <row r="41" spans="1:23" x14ac:dyDescent="0.35">
      <c r="A41" s="81"/>
      <c r="B41" s="82"/>
      <c r="C41" s="82" t="s">
        <v>778</v>
      </c>
      <c r="D41" s="82"/>
      <c r="E41" s="82"/>
      <c r="F41" s="83">
        <v>1.7133724625758632E-2</v>
      </c>
      <c r="G41" s="82" t="s">
        <v>118</v>
      </c>
      <c r="H41" s="82" t="s">
        <v>132</v>
      </c>
      <c r="I41" s="217">
        <v>29</v>
      </c>
      <c r="J41" s="217">
        <v>50</v>
      </c>
      <c r="K41" s="217">
        <v>0</v>
      </c>
      <c r="L41" s="217">
        <v>2</v>
      </c>
      <c r="M41" s="217">
        <v>0</v>
      </c>
      <c r="N41" s="217">
        <v>0</v>
      </c>
      <c r="O41" s="84">
        <f t="shared" si="19"/>
        <v>430.71699999999993</v>
      </c>
      <c r="P41" s="82">
        <v>0</v>
      </c>
      <c r="Q41" s="84">
        <f t="shared" si="18"/>
        <v>430.71699999999993</v>
      </c>
      <c r="R41" s="160">
        <f t="shared" si="20"/>
        <v>5.5087778489596091E-4</v>
      </c>
      <c r="S41" s="85">
        <f t="shared" si="6"/>
        <v>2.3727242687703357E-4</v>
      </c>
      <c r="V41" s="284">
        <f t="shared" si="21"/>
        <v>4.6824611716156676E-4</v>
      </c>
      <c r="W41" s="290">
        <f t="shared" si="22"/>
        <v>8.2631667734394133E-5</v>
      </c>
    </row>
    <row r="42" spans="1:23" x14ac:dyDescent="0.35">
      <c r="A42" s="81"/>
      <c r="B42" s="82"/>
      <c r="C42" s="260" t="s">
        <v>779</v>
      </c>
      <c r="D42" s="82"/>
      <c r="E42" s="82"/>
      <c r="F42" s="83">
        <v>7.5088036208503968E-4</v>
      </c>
      <c r="G42" s="82" t="s">
        <v>118</v>
      </c>
      <c r="H42" s="82" t="s">
        <v>782</v>
      </c>
      <c r="I42" s="217">
        <v>28</v>
      </c>
      <c r="J42" s="217">
        <v>48</v>
      </c>
      <c r="K42" s="217">
        <v>0</v>
      </c>
      <c r="L42" s="217">
        <v>2</v>
      </c>
      <c r="M42" s="217">
        <v>0</v>
      </c>
      <c r="N42" s="217">
        <v>0</v>
      </c>
      <c r="O42" s="84">
        <f t="shared" si="19"/>
        <v>416.69</v>
      </c>
      <c r="P42" s="82">
        <v>0</v>
      </c>
      <c r="Q42" s="84">
        <f t="shared" si="18"/>
        <v>416.69</v>
      </c>
      <c r="R42" s="160">
        <f t="shared" si="20"/>
        <v>2.4954746237611836E-5</v>
      </c>
      <c r="S42" s="85">
        <f t="shared" si="6"/>
        <v>1.0398393209750477E-5</v>
      </c>
      <c r="V42" s="284">
        <f t="shared" si="21"/>
        <v>2.1211534301970059E-5</v>
      </c>
      <c r="W42" s="290">
        <f t="shared" si="22"/>
        <v>3.7432119356417755E-6</v>
      </c>
    </row>
    <row r="43" spans="1:23" x14ac:dyDescent="0.35">
      <c r="A43" s="81"/>
      <c r="B43" s="82"/>
      <c r="C43" s="260" t="s">
        <v>780</v>
      </c>
      <c r="D43" s="82"/>
      <c r="E43" s="82"/>
      <c r="F43" s="83">
        <v>7.5088036208503968E-4</v>
      </c>
      <c r="G43" s="82" t="s">
        <v>118</v>
      </c>
      <c r="H43" s="82" t="s">
        <v>782</v>
      </c>
      <c r="I43" s="217">
        <v>28</v>
      </c>
      <c r="J43" s="217">
        <v>48</v>
      </c>
      <c r="K43" s="217">
        <v>0</v>
      </c>
      <c r="L43" s="217">
        <v>2</v>
      </c>
      <c r="M43" s="217">
        <v>0</v>
      </c>
      <c r="N43" s="217">
        <v>0</v>
      </c>
      <c r="O43" s="84">
        <f t="shared" si="19"/>
        <v>416.69</v>
      </c>
      <c r="P43" s="82">
        <v>0</v>
      </c>
      <c r="Q43" s="84">
        <f t="shared" si="18"/>
        <v>416.69</v>
      </c>
      <c r="R43" s="160">
        <f t="shared" si="20"/>
        <v>2.4954746237611836E-5</v>
      </c>
      <c r="S43" s="85">
        <f t="shared" si="6"/>
        <v>1.0398393209750477E-5</v>
      </c>
      <c r="V43" s="284">
        <f t="shared" si="21"/>
        <v>2.1211534301970059E-5</v>
      </c>
      <c r="W43" s="290">
        <f t="shared" si="22"/>
        <v>3.7432119356417755E-6</v>
      </c>
    </row>
    <row r="44" spans="1:23" x14ac:dyDescent="0.35">
      <c r="A44" s="81"/>
      <c r="B44" s="82"/>
      <c r="C44" s="260" t="s">
        <v>781</v>
      </c>
      <c r="D44" s="82"/>
      <c r="E44" s="82"/>
      <c r="F44" s="83">
        <v>1.1604514686768796E-2</v>
      </c>
      <c r="G44" s="82" t="s">
        <v>118</v>
      </c>
      <c r="H44" s="82" t="s">
        <v>783</v>
      </c>
      <c r="I44" s="217">
        <v>27</v>
      </c>
      <c r="J44" s="217">
        <v>46</v>
      </c>
      <c r="K44" s="217">
        <v>0</v>
      </c>
      <c r="L44" s="217">
        <v>2</v>
      </c>
      <c r="M44" s="217">
        <v>0</v>
      </c>
      <c r="N44" s="217">
        <v>0</v>
      </c>
      <c r="O44" s="84">
        <f t="shared" si="19"/>
        <v>402.66299999999995</v>
      </c>
      <c r="P44" s="82">
        <v>0</v>
      </c>
      <c r="Q44" s="84">
        <f t="shared" si="18"/>
        <v>402.66299999999995</v>
      </c>
      <c r="R44" s="160">
        <f t="shared" si="20"/>
        <v>3.9909909903399512E-4</v>
      </c>
      <c r="S44" s="85">
        <f t="shared" si="6"/>
        <v>1.6070244051432555E-4</v>
      </c>
      <c r="V44" s="284">
        <f t="shared" si="21"/>
        <v>3.3923423417889584E-4</v>
      </c>
      <c r="W44" s="290">
        <f t="shared" si="22"/>
        <v>5.9864864855099267E-5</v>
      </c>
    </row>
    <row r="45" spans="1:23" x14ac:dyDescent="0.35">
      <c r="A45" s="81"/>
      <c r="B45" s="82"/>
      <c r="C45" s="82" t="s">
        <v>123</v>
      </c>
      <c r="D45" s="82"/>
      <c r="E45" s="82"/>
      <c r="F45" s="83">
        <v>8.240049857009055E-3</v>
      </c>
      <c r="G45" s="82" t="s">
        <v>118</v>
      </c>
      <c r="H45" s="82" t="s">
        <v>134</v>
      </c>
      <c r="I45" s="217">
        <v>40</v>
      </c>
      <c r="J45" s="217">
        <v>52</v>
      </c>
      <c r="K45" s="217">
        <v>0</v>
      </c>
      <c r="L45" s="217">
        <v>2</v>
      </c>
      <c r="M45" s="217">
        <v>0</v>
      </c>
      <c r="N45" s="217">
        <v>0</v>
      </c>
      <c r="O45" s="84">
        <f t="shared" si="19"/>
        <v>564.85400000000004</v>
      </c>
      <c r="P45" s="82">
        <v>0</v>
      </c>
      <c r="Q45" s="84">
        <f t="shared" si="18"/>
        <v>564.85400000000004</v>
      </c>
      <c r="R45" s="160">
        <f t="shared" si="20"/>
        <v>2.0201755967146057E-4</v>
      </c>
      <c r="S45" s="85">
        <f t="shared" si="6"/>
        <v>1.1411042665066319E-4</v>
      </c>
      <c r="V45" s="284">
        <f t="shared" si="21"/>
        <v>1.7171492572074149E-4</v>
      </c>
      <c r="W45" s="290">
        <f t="shared" si="22"/>
        <v>3.0302633950719084E-5</v>
      </c>
    </row>
    <row r="46" spans="1:23" x14ac:dyDescent="0.35">
      <c r="A46" s="81"/>
      <c r="B46" s="82"/>
      <c r="C46" s="82" t="s">
        <v>125</v>
      </c>
      <c r="D46" s="82"/>
      <c r="E46" s="82"/>
      <c r="F46" s="83">
        <v>1.5905011305983114E-2</v>
      </c>
      <c r="G46" s="82" t="s">
        <v>118</v>
      </c>
      <c r="H46" s="82" t="s">
        <v>131</v>
      </c>
      <c r="I46" s="217">
        <v>31</v>
      </c>
      <c r="J46" s="217">
        <v>46</v>
      </c>
      <c r="K46" s="217">
        <v>0</v>
      </c>
      <c r="L46" s="217">
        <v>2</v>
      </c>
      <c r="M46" s="217">
        <v>0</v>
      </c>
      <c r="N46" s="217">
        <v>0</v>
      </c>
      <c r="O46" s="84">
        <f t="shared" si="19"/>
        <v>450.70699999999994</v>
      </c>
      <c r="P46" s="82">
        <v>0</v>
      </c>
      <c r="Q46" s="84">
        <f t="shared" si="18"/>
        <v>450.70699999999994</v>
      </c>
      <c r="R46" s="160">
        <f t="shared" si="20"/>
        <v>4.8869193145876903E-4</v>
      </c>
      <c r="S46" s="85">
        <f t="shared" si="6"/>
        <v>2.2025687435198738E-4</v>
      </c>
      <c r="V46" s="284">
        <f t="shared" si="21"/>
        <v>4.1538814173995369E-4</v>
      </c>
      <c r="W46" s="290">
        <f t="shared" si="22"/>
        <v>7.3303789718815352E-5</v>
      </c>
    </row>
    <row r="47" spans="1:23" ht="29" x14ac:dyDescent="0.35">
      <c r="A47" s="81"/>
      <c r="B47" s="82"/>
      <c r="C47" s="261" t="s">
        <v>615</v>
      </c>
      <c r="D47" s="82"/>
      <c r="E47" s="82"/>
      <c r="F47" s="83">
        <v>2.7223371808007359E-2</v>
      </c>
      <c r="G47" s="82" t="s">
        <v>118</v>
      </c>
      <c r="H47" s="82" t="s">
        <v>784</v>
      </c>
      <c r="I47" s="217">
        <v>46</v>
      </c>
      <c r="J47" s="217">
        <v>64</v>
      </c>
      <c r="K47" s="217">
        <v>0</v>
      </c>
      <c r="L47" s="217">
        <v>8</v>
      </c>
      <c r="M47" s="217">
        <v>0</v>
      </c>
      <c r="N47" s="217">
        <v>0</v>
      </c>
      <c r="O47" s="84">
        <f t="shared" si="19"/>
        <v>745.01</v>
      </c>
      <c r="P47" s="82">
        <v>0</v>
      </c>
      <c r="Q47" s="84">
        <f t="shared" si="18"/>
        <v>745.01</v>
      </c>
      <c r="R47" s="160">
        <f t="shared" si="20"/>
        <v>5.0602887847464139E-4</v>
      </c>
      <c r="S47" s="85">
        <f t="shared" si="6"/>
        <v>3.7699657475239259E-4</v>
      </c>
      <c r="V47" s="284">
        <f t="shared" si="21"/>
        <v>4.3012454670344515E-4</v>
      </c>
      <c r="W47" s="290">
        <f t="shared" si="22"/>
        <v>7.5904331771196206E-5</v>
      </c>
    </row>
    <row r="48" spans="1:23" ht="29" x14ac:dyDescent="0.35">
      <c r="A48" s="86"/>
      <c r="B48" s="87"/>
      <c r="C48" s="263" t="s">
        <v>617</v>
      </c>
      <c r="D48" s="87"/>
      <c r="E48" s="87"/>
      <c r="F48" s="88">
        <v>2.5010089547193748E-2</v>
      </c>
      <c r="G48" s="87" t="s">
        <v>118</v>
      </c>
      <c r="H48" s="87" t="s">
        <v>785</v>
      </c>
      <c r="I48" s="218">
        <v>46</v>
      </c>
      <c r="J48" s="218">
        <v>66</v>
      </c>
      <c r="K48" s="218">
        <v>0</v>
      </c>
      <c r="L48" s="218">
        <v>7</v>
      </c>
      <c r="M48" s="218">
        <v>0</v>
      </c>
      <c r="N48" s="218">
        <v>0</v>
      </c>
      <c r="O48" s="89">
        <f t="shared" si="19"/>
        <v>731.02700000000004</v>
      </c>
      <c r="P48" s="87">
        <v>0</v>
      </c>
      <c r="Q48" s="89">
        <f t="shared" si="18"/>
        <v>731.02700000000004</v>
      </c>
      <c r="R48" s="161">
        <f t="shared" si="20"/>
        <v>4.7378064931082254E-4</v>
      </c>
      <c r="S48" s="90">
        <f t="shared" si="6"/>
        <v>3.4634644672374272E-4</v>
      </c>
      <c r="V48" s="285">
        <f t="shared" si="21"/>
        <v>4.0271355191419915E-4</v>
      </c>
      <c r="W48" s="291">
        <f t="shared" si="22"/>
        <v>7.1067097396623375E-5</v>
      </c>
    </row>
    <row r="49" spans="1:23" x14ac:dyDescent="0.35">
      <c r="A49" s="262" t="s">
        <v>9</v>
      </c>
      <c r="B49" s="95">
        <f>'General composition'!J53</f>
        <v>0.18914500783116467</v>
      </c>
      <c r="C49" s="94" t="s">
        <v>201</v>
      </c>
      <c r="D49" s="95">
        <v>1.7253288928453239E-3</v>
      </c>
      <c r="E49" s="93">
        <f>D49*Q49</f>
        <v>0.77730379944913952</v>
      </c>
      <c r="F49" s="95">
        <f>E49/$B$50</f>
        <v>1.0250426748490814E-3</v>
      </c>
      <c r="G49" s="94" t="s">
        <v>9</v>
      </c>
      <c r="H49" s="94" t="s">
        <v>245</v>
      </c>
      <c r="I49" s="219">
        <v>21</v>
      </c>
      <c r="J49" s="219">
        <v>38</v>
      </c>
      <c r="K49" s="219">
        <v>0</v>
      </c>
      <c r="L49" s="219">
        <v>10</v>
      </c>
      <c r="M49" s="219">
        <v>0</v>
      </c>
      <c r="N49" s="219">
        <v>0</v>
      </c>
      <c r="O49" s="97">
        <f t="shared" si="19"/>
        <v>450.52499999999998</v>
      </c>
      <c r="P49" s="94">
        <v>0</v>
      </c>
      <c r="Q49" s="97">
        <f>O49-P49</f>
        <v>450.52499999999998</v>
      </c>
      <c r="R49" s="162">
        <f>B$49*F49*1000/Q49</f>
        <v>4.3034616228091116E-4</v>
      </c>
      <c r="S49" s="91">
        <f t="shared" si="6"/>
        <v>1.9388170476160749E-4</v>
      </c>
      <c r="V49" s="283">
        <f>R49*$V$3</f>
        <v>3.6579423793877449E-4</v>
      </c>
      <c r="W49" s="289">
        <f>R49*$W$3</f>
        <v>6.4551924342136672E-5</v>
      </c>
    </row>
    <row r="50" spans="1:23" x14ac:dyDescent="0.35">
      <c r="A50" s="92"/>
      <c r="B50" s="93">
        <f>SUM(E49:E92)</f>
        <v>758.31359856659935</v>
      </c>
      <c r="C50" s="94" t="s">
        <v>202</v>
      </c>
      <c r="D50" s="95">
        <v>0</v>
      </c>
      <c r="E50" s="96">
        <f t="shared" ref="E50:E92" si="23">D50*Q50</f>
        <v>0</v>
      </c>
      <c r="F50" s="95">
        <f t="shared" ref="F50:F92" si="24">E50/$B$50</f>
        <v>0</v>
      </c>
      <c r="G50" s="94" t="s">
        <v>9</v>
      </c>
      <c r="H50" s="94" t="s">
        <v>246</v>
      </c>
      <c r="I50" s="219">
        <v>25</v>
      </c>
      <c r="J50" s="219">
        <v>46</v>
      </c>
      <c r="K50" s="219">
        <v>0</v>
      </c>
      <c r="L50" s="219">
        <v>10</v>
      </c>
      <c r="M50" s="219">
        <v>0</v>
      </c>
      <c r="N50" s="219">
        <v>0</v>
      </c>
      <c r="O50" s="97">
        <f t="shared" si="19"/>
        <v>506.63299999999998</v>
      </c>
      <c r="P50" s="94">
        <v>0</v>
      </c>
      <c r="Q50" s="97">
        <f t="shared" ref="Q50:Q96" si="25">O50-P50</f>
        <v>506.63299999999998</v>
      </c>
      <c r="R50" s="162">
        <f t="shared" ref="R50:R92" si="26">B$49*F50*1000/Q50</f>
        <v>0</v>
      </c>
      <c r="S50" s="91">
        <f t="shared" si="6"/>
        <v>0</v>
      </c>
      <c r="V50" s="284">
        <f t="shared" ref="V50:V68" si="27">R50*$V$3</f>
        <v>0</v>
      </c>
      <c r="W50" s="290">
        <f t="shared" ref="W50:W68" si="28">R50*$W$3</f>
        <v>0</v>
      </c>
    </row>
    <row r="51" spans="1:23" x14ac:dyDescent="0.35">
      <c r="A51" s="92"/>
      <c r="B51" s="98" t="s">
        <v>83</v>
      </c>
      <c r="C51" s="94" t="s">
        <v>203</v>
      </c>
      <c r="D51" s="95">
        <v>6.2476907736714923E-2</v>
      </c>
      <c r="E51" s="96">
        <f t="shared" si="23"/>
        <v>35.158317536666694</v>
      </c>
      <c r="F51" s="95">
        <f t="shared" si="24"/>
        <v>4.6363823097890673E-2</v>
      </c>
      <c r="G51" s="94" t="s">
        <v>9</v>
      </c>
      <c r="H51" s="94" t="s">
        <v>247</v>
      </c>
      <c r="I51" s="219">
        <v>29</v>
      </c>
      <c r="J51" s="219">
        <v>54</v>
      </c>
      <c r="K51" s="219">
        <v>0</v>
      </c>
      <c r="L51" s="219">
        <v>10</v>
      </c>
      <c r="M51" s="219">
        <v>0</v>
      </c>
      <c r="N51" s="219">
        <v>0</v>
      </c>
      <c r="O51" s="97">
        <f t="shared" si="19"/>
        <v>562.74099999999999</v>
      </c>
      <c r="P51" s="94">
        <v>0</v>
      </c>
      <c r="Q51" s="97">
        <f t="shared" si="25"/>
        <v>562.74099999999999</v>
      </c>
      <c r="R51" s="162">
        <f t="shared" si="26"/>
        <v>1.5583520097048669E-2</v>
      </c>
      <c r="S51" s="91">
        <f t="shared" si="6"/>
        <v>8.7694856829332642E-3</v>
      </c>
      <c r="V51" s="284">
        <f t="shared" si="27"/>
        <v>1.3245992082491369E-2</v>
      </c>
      <c r="W51" s="290">
        <f t="shared" si="28"/>
        <v>2.3375280145573004E-3</v>
      </c>
    </row>
    <row r="52" spans="1:23" x14ac:dyDescent="0.35">
      <c r="A52" s="92"/>
      <c r="B52" s="94"/>
      <c r="C52" s="94" t="s">
        <v>204</v>
      </c>
      <c r="D52" s="95">
        <v>1.9295964963185084E-3</v>
      </c>
      <c r="E52" s="96">
        <f t="shared" si="23"/>
        <v>1.1941288621502124</v>
      </c>
      <c r="F52" s="95">
        <f t="shared" si="24"/>
        <v>1.5747164028278168E-3</v>
      </c>
      <c r="G52" s="94" t="s">
        <v>9</v>
      </c>
      <c r="H52" s="94" t="s">
        <v>248</v>
      </c>
      <c r="I52" s="219">
        <v>33</v>
      </c>
      <c r="J52" s="219">
        <v>62</v>
      </c>
      <c r="K52" s="219">
        <v>0</v>
      </c>
      <c r="L52" s="219">
        <v>10</v>
      </c>
      <c r="M52" s="219">
        <v>0</v>
      </c>
      <c r="N52" s="219">
        <v>0</v>
      </c>
      <c r="O52" s="97">
        <f t="shared" si="19"/>
        <v>618.84899999999993</v>
      </c>
      <c r="P52" s="94">
        <v>0</v>
      </c>
      <c r="Q52" s="97">
        <f t="shared" si="25"/>
        <v>618.84899999999993</v>
      </c>
      <c r="R52" s="162">
        <f t="shared" si="26"/>
        <v>4.8129632001462529E-4</v>
      </c>
      <c r="S52" s="91">
        <f t="shared" si="6"/>
        <v>2.9784974634473085E-4</v>
      </c>
      <c r="V52" s="284">
        <f t="shared" si="27"/>
        <v>4.0910187201243149E-4</v>
      </c>
      <c r="W52" s="290">
        <f t="shared" si="28"/>
        <v>7.2194448002193794E-5</v>
      </c>
    </row>
    <row r="53" spans="1:23" x14ac:dyDescent="0.35">
      <c r="A53" s="92"/>
      <c r="B53" s="94"/>
      <c r="C53" s="94" t="s">
        <v>205</v>
      </c>
      <c r="D53" s="95">
        <v>1.5922997563992656E-2</v>
      </c>
      <c r="E53" s="96">
        <f t="shared" si="23"/>
        <v>10.747338666799791</v>
      </c>
      <c r="F53" s="95">
        <f t="shared" si="24"/>
        <v>1.4172683553499403E-2</v>
      </c>
      <c r="G53" s="94" t="s">
        <v>9</v>
      </c>
      <c r="H53" s="94" t="s">
        <v>249</v>
      </c>
      <c r="I53" s="219">
        <v>37</v>
      </c>
      <c r="J53" s="219">
        <v>70</v>
      </c>
      <c r="K53" s="219">
        <v>0</v>
      </c>
      <c r="L53" s="219">
        <v>10</v>
      </c>
      <c r="M53" s="219">
        <v>0</v>
      </c>
      <c r="N53" s="219">
        <v>0</v>
      </c>
      <c r="O53" s="97">
        <f t="shared" si="19"/>
        <v>674.95699999999999</v>
      </c>
      <c r="P53" s="94">
        <v>0</v>
      </c>
      <c r="Q53" s="97">
        <f t="shared" si="25"/>
        <v>674.95699999999999</v>
      </c>
      <c r="R53" s="162">
        <f t="shared" si="26"/>
        <v>3.9716490705559958E-3</v>
      </c>
      <c r="S53" s="91">
        <f t="shared" si="6"/>
        <v>2.6806923417152634E-3</v>
      </c>
      <c r="V53" s="284">
        <f t="shared" si="27"/>
        <v>3.3759017099725965E-3</v>
      </c>
      <c r="W53" s="290">
        <f t="shared" si="28"/>
        <v>5.9574736058339939E-4</v>
      </c>
    </row>
    <row r="54" spans="1:23" x14ac:dyDescent="0.35">
      <c r="A54" s="92"/>
      <c r="B54" s="94"/>
      <c r="C54" s="94" t="s">
        <v>206</v>
      </c>
      <c r="D54" s="95">
        <v>9.9108295747588782E-2</v>
      </c>
      <c r="E54" s="96">
        <f t="shared" si="23"/>
        <v>72.454606230710993</v>
      </c>
      <c r="F54" s="95">
        <f t="shared" si="24"/>
        <v>9.5547022191964065E-2</v>
      </c>
      <c r="G54" s="94" t="s">
        <v>9</v>
      </c>
      <c r="H54" s="94" t="s">
        <v>250</v>
      </c>
      <c r="I54" s="219">
        <v>41</v>
      </c>
      <c r="J54" s="219">
        <v>78</v>
      </c>
      <c r="K54" s="219">
        <v>0</v>
      </c>
      <c r="L54" s="219">
        <v>10</v>
      </c>
      <c r="M54" s="219">
        <v>0</v>
      </c>
      <c r="N54" s="219">
        <v>0</v>
      </c>
      <c r="O54" s="97">
        <f t="shared" si="19"/>
        <v>731.06499999999994</v>
      </c>
      <c r="P54" s="94">
        <v>0</v>
      </c>
      <c r="Q54" s="97">
        <f t="shared" si="25"/>
        <v>731.06499999999994</v>
      </c>
      <c r="R54" s="162">
        <f t="shared" si="26"/>
        <v>2.4720431508475318E-2</v>
      </c>
      <c r="S54" s="91">
        <f t="shared" si="6"/>
        <v>1.8072242260743509E-2</v>
      </c>
      <c r="V54" s="284">
        <f t="shared" si="27"/>
        <v>2.1012366782204021E-2</v>
      </c>
      <c r="W54" s="290">
        <f t="shared" si="28"/>
        <v>3.7080647262712975E-3</v>
      </c>
    </row>
    <row r="55" spans="1:23" x14ac:dyDescent="0.35">
      <c r="A55" s="92"/>
      <c r="B55" s="94"/>
      <c r="C55" s="94" t="s">
        <v>207</v>
      </c>
      <c r="D55" s="95">
        <v>3.6801658520848317E-2</v>
      </c>
      <c r="E55" s="96">
        <f t="shared" si="23"/>
        <v>26.756020199387915</v>
      </c>
      <c r="F55" s="95">
        <f t="shared" si="24"/>
        <v>3.5283582214486756E-2</v>
      </c>
      <c r="G55" s="94" t="s">
        <v>9</v>
      </c>
      <c r="H55" s="94" t="s">
        <v>251</v>
      </c>
      <c r="I55" s="219">
        <v>41</v>
      </c>
      <c r="J55" s="219">
        <v>74</v>
      </c>
      <c r="K55" s="219">
        <v>0</v>
      </c>
      <c r="L55" s="219">
        <v>10</v>
      </c>
      <c r="M55" s="219">
        <v>0</v>
      </c>
      <c r="N55" s="219">
        <v>0</v>
      </c>
      <c r="O55" s="97">
        <f t="shared" si="19"/>
        <v>727.03300000000002</v>
      </c>
      <c r="P55" s="94">
        <v>0</v>
      </c>
      <c r="Q55" s="97">
        <f t="shared" si="25"/>
        <v>727.03300000000002</v>
      </c>
      <c r="R55" s="162">
        <f t="shared" si="26"/>
        <v>9.1793817258235041E-3</v>
      </c>
      <c r="S55" s="91">
        <f t="shared" si="6"/>
        <v>6.6737134342706398E-3</v>
      </c>
      <c r="V55" s="284">
        <f t="shared" si="27"/>
        <v>7.802474466949978E-3</v>
      </c>
      <c r="W55" s="290">
        <f t="shared" si="28"/>
        <v>1.3769072588735256E-3</v>
      </c>
    </row>
    <row r="56" spans="1:23" x14ac:dyDescent="0.35">
      <c r="A56" s="92"/>
      <c r="B56" s="94"/>
      <c r="C56" s="94" t="s">
        <v>208</v>
      </c>
      <c r="D56" s="95">
        <v>3.10800195765021E-3</v>
      </c>
      <c r="E56" s="96">
        <f t="shared" si="23"/>
        <v>2.4465352250093888</v>
      </c>
      <c r="F56" s="95">
        <f t="shared" si="24"/>
        <v>3.2262842571120268E-3</v>
      </c>
      <c r="G56" s="94" t="s">
        <v>9</v>
      </c>
      <c r="H56" s="94" t="s">
        <v>252</v>
      </c>
      <c r="I56" s="219">
        <v>45</v>
      </c>
      <c r="J56" s="219">
        <v>86</v>
      </c>
      <c r="K56" s="219">
        <v>0</v>
      </c>
      <c r="L56" s="219">
        <v>10</v>
      </c>
      <c r="M56" s="219">
        <v>0</v>
      </c>
      <c r="N56" s="219">
        <v>0</v>
      </c>
      <c r="O56" s="97">
        <f t="shared" si="19"/>
        <v>787.173</v>
      </c>
      <c r="P56" s="94">
        <v>0</v>
      </c>
      <c r="Q56" s="97">
        <f t="shared" si="25"/>
        <v>787.173</v>
      </c>
      <c r="R56" s="162">
        <f t="shared" si="26"/>
        <v>7.7522420240152753E-4</v>
      </c>
      <c r="S56" s="91">
        <f t="shared" si="6"/>
        <v>6.1023556107701763E-4</v>
      </c>
      <c r="V56" s="284">
        <f t="shared" si="27"/>
        <v>6.5894057204129834E-4</v>
      </c>
      <c r="W56" s="290">
        <f t="shared" si="28"/>
        <v>1.1628363036022913E-4</v>
      </c>
    </row>
    <row r="57" spans="1:23" x14ac:dyDescent="0.35">
      <c r="A57" s="92"/>
      <c r="B57" s="94"/>
      <c r="C57" s="94" t="s">
        <v>209</v>
      </c>
      <c r="D57" s="95">
        <v>1.2566566779325069E-2</v>
      </c>
      <c r="E57" s="96">
        <f t="shared" si="23"/>
        <v>9.8413936741274153</v>
      </c>
      <c r="F57" s="95">
        <f t="shared" si="24"/>
        <v>1.2977999725614954E-2</v>
      </c>
      <c r="G57" s="94" t="s">
        <v>9</v>
      </c>
      <c r="H57" s="94" t="s">
        <v>253</v>
      </c>
      <c r="I57" s="219">
        <v>45</v>
      </c>
      <c r="J57" s="219">
        <v>82</v>
      </c>
      <c r="K57" s="219">
        <v>0</v>
      </c>
      <c r="L57" s="219">
        <v>10</v>
      </c>
      <c r="M57" s="219">
        <v>0</v>
      </c>
      <c r="N57" s="219">
        <v>0</v>
      </c>
      <c r="O57" s="97">
        <f t="shared" si="19"/>
        <v>783.14100000000008</v>
      </c>
      <c r="P57" s="94">
        <v>0</v>
      </c>
      <c r="Q57" s="97">
        <f t="shared" si="25"/>
        <v>783.14100000000008</v>
      </c>
      <c r="R57" s="162">
        <f t="shared" si="26"/>
        <v>3.1344596435817986E-3</v>
      </c>
      <c r="S57" s="91">
        <f t="shared" si="6"/>
        <v>2.4547238597342935E-3</v>
      </c>
      <c r="V57" s="284">
        <f t="shared" si="27"/>
        <v>2.6642906970445286E-3</v>
      </c>
      <c r="W57" s="290">
        <f t="shared" si="28"/>
        <v>4.7016894653726976E-4</v>
      </c>
    </row>
    <row r="58" spans="1:23" x14ac:dyDescent="0.35">
      <c r="A58" s="92"/>
      <c r="B58" s="94"/>
      <c r="C58" s="94" t="s">
        <v>210</v>
      </c>
      <c r="D58" s="95">
        <v>4.2340020441890697E-2</v>
      </c>
      <c r="E58" s="96">
        <f t="shared" si="23"/>
        <v>32.987490986461019</v>
      </c>
      <c r="F58" s="95">
        <f t="shared" si="24"/>
        <v>4.3501120181433581E-2</v>
      </c>
      <c r="G58" s="94" t="s">
        <v>9</v>
      </c>
      <c r="H58" s="94" t="s">
        <v>254</v>
      </c>
      <c r="I58" s="219">
        <v>45</v>
      </c>
      <c r="J58" s="219">
        <v>78</v>
      </c>
      <c r="K58" s="219">
        <v>0</v>
      </c>
      <c r="L58" s="219">
        <v>10</v>
      </c>
      <c r="M58" s="219">
        <v>0</v>
      </c>
      <c r="N58" s="219">
        <v>0</v>
      </c>
      <c r="O58" s="97">
        <f t="shared" si="19"/>
        <v>779.10900000000004</v>
      </c>
      <c r="P58" s="94">
        <v>0</v>
      </c>
      <c r="Q58" s="97">
        <f t="shared" si="25"/>
        <v>779.10900000000004</v>
      </c>
      <c r="R58" s="162">
        <f t="shared" si="26"/>
        <v>1.0560806918392278E-2</v>
      </c>
      <c r="S58" s="91">
        <f t="shared" si="6"/>
        <v>8.2280197173816901E-3</v>
      </c>
      <c r="V58" s="284">
        <f t="shared" si="27"/>
        <v>8.9766858806334358E-3</v>
      </c>
      <c r="W58" s="290">
        <f t="shared" si="28"/>
        <v>1.5841210377588416E-3</v>
      </c>
    </row>
    <row r="59" spans="1:23" x14ac:dyDescent="0.35">
      <c r="A59" s="92"/>
      <c r="B59" s="94"/>
      <c r="C59" s="94" t="s">
        <v>211</v>
      </c>
      <c r="D59" s="95">
        <v>6.4020625862825503E-2</v>
      </c>
      <c r="E59" s="96">
        <f t="shared" si="23"/>
        <v>49.620914631881199</v>
      </c>
      <c r="F59" s="95">
        <f t="shared" si="24"/>
        <v>6.5435876035557089E-2</v>
      </c>
      <c r="G59" s="94" t="s">
        <v>9</v>
      </c>
      <c r="H59" s="94" t="s">
        <v>255</v>
      </c>
      <c r="I59" s="219">
        <v>45</v>
      </c>
      <c r="J59" s="219">
        <v>74</v>
      </c>
      <c r="K59" s="219">
        <v>0</v>
      </c>
      <c r="L59" s="219">
        <v>10</v>
      </c>
      <c r="M59" s="219">
        <v>0</v>
      </c>
      <c r="N59" s="219">
        <v>0</v>
      </c>
      <c r="O59" s="97">
        <f t="shared" si="19"/>
        <v>775.077</v>
      </c>
      <c r="P59" s="94">
        <v>0</v>
      </c>
      <c r="Q59" s="97">
        <f t="shared" si="25"/>
        <v>775.077</v>
      </c>
      <c r="R59" s="162">
        <f t="shared" si="26"/>
        <v>1.5968567361932511E-2</v>
      </c>
      <c r="S59" s="91">
        <f t="shared" si="6"/>
        <v>1.2376869285184566E-2</v>
      </c>
      <c r="V59" s="284">
        <f t="shared" si="27"/>
        <v>1.3573282257642634E-2</v>
      </c>
      <c r="W59" s="290">
        <f t="shared" si="28"/>
        <v>2.3952851042898767E-3</v>
      </c>
    </row>
    <row r="60" spans="1:23" x14ac:dyDescent="0.35">
      <c r="A60" s="92"/>
      <c r="B60" s="94"/>
      <c r="C60" s="94" t="s">
        <v>212</v>
      </c>
      <c r="D60" s="95">
        <v>1.1417617673241114E-3</v>
      </c>
      <c r="E60" s="96">
        <f t="shared" si="23"/>
        <v>0.69951861493939393</v>
      </c>
      <c r="F60" s="95">
        <f t="shared" si="24"/>
        <v>9.2246613572756378E-4</v>
      </c>
      <c r="G60" s="94" t="s">
        <v>9</v>
      </c>
      <c r="H60" s="94" t="s">
        <v>256</v>
      </c>
      <c r="I60" s="219">
        <v>27</v>
      </c>
      <c r="J60" s="219">
        <v>48</v>
      </c>
      <c r="K60" s="219">
        <v>0</v>
      </c>
      <c r="L60" s="219">
        <v>15</v>
      </c>
      <c r="M60" s="219">
        <v>0</v>
      </c>
      <c r="N60" s="219">
        <v>0</v>
      </c>
      <c r="O60" s="97">
        <f t="shared" si="19"/>
        <v>612.66599999999994</v>
      </c>
      <c r="P60" s="94">
        <v>0</v>
      </c>
      <c r="Q60" s="97">
        <f t="shared" si="25"/>
        <v>612.66599999999994</v>
      </c>
      <c r="R60" s="162">
        <f t="shared" si="26"/>
        <v>2.8478790150942651E-4</v>
      </c>
      <c r="S60" s="91">
        <f t="shared" si="6"/>
        <v>1.7447986446617427E-4</v>
      </c>
      <c r="V60" s="284">
        <f t="shared" si="27"/>
        <v>2.4206971628301253E-4</v>
      </c>
      <c r="W60" s="290">
        <f t="shared" si="28"/>
        <v>4.2718185226413973E-5</v>
      </c>
    </row>
    <row r="61" spans="1:23" x14ac:dyDescent="0.35">
      <c r="A61" s="92"/>
      <c r="B61" s="94"/>
      <c r="C61" s="94" t="s">
        <v>213</v>
      </c>
      <c r="D61" s="95">
        <v>0</v>
      </c>
      <c r="E61" s="96">
        <f t="shared" si="23"/>
        <v>0</v>
      </c>
      <c r="F61" s="95">
        <f t="shared" si="24"/>
        <v>0</v>
      </c>
      <c r="G61" s="94" t="s">
        <v>9</v>
      </c>
      <c r="H61" s="94" t="s">
        <v>257</v>
      </c>
      <c r="I61" s="219">
        <v>31</v>
      </c>
      <c r="J61" s="219">
        <v>56</v>
      </c>
      <c r="K61" s="219">
        <v>0</v>
      </c>
      <c r="L61" s="219">
        <v>15</v>
      </c>
      <c r="M61" s="219">
        <v>0</v>
      </c>
      <c r="N61" s="219">
        <v>0</v>
      </c>
      <c r="O61" s="97">
        <f t="shared" si="19"/>
        <v>668.77399999999989</v>
      </c>
      <c r="P61" s="94">
        <v>0</v>
      </c>
      <c r="Q61" s="97">
        <f t="shared" si="25"/>
        <v>668.77399999999989</v>
      </c>
      <c r="R61" s="162">
        <f t="shared" si="26"/>
        <v>0</v>
      </c>
      <c r="S61" s="91">
        <f t="shared" si="6"/>
        <v>0</v>
      </c>
      <c r="V61" s="284">
        <f t="shared" si="27"/>
        <v>0</v>
      </c>
      <c r="W61" s="290">
        <f t="shared" si="28"/>
        <v>0</v>
      </c>
    </row>
    <row r="62" spans="1:23" x14ac:dyDescent="0.35">
      <c r="A62" s="92"/>
      <c r="B62" s="94"/>
      <c r="C62" s="94" t="s">
        <v>214</v>
      </c>
      <c r="D62" s="95">
        <v>4.134501247282605E-2</v>
      </c>
      <c r="E62" s="96">
        <f t="shared" si="23"/>
        <v>29.970255331327095</v>
      </c>
      <c r="F62" s="95">
        <f t="shared" si="24"/>
        <v>3.9522244343208807E-2</v>
      </c>
      <c r="G62" s="94" t="s">
        <v>9</v>
      </c>
      <c r="H62" s="94" t="s">
        <v>258</v>
      </c>
      <c r="I62" s="219">
        <v>35</v>
      </c>
      <c r="J62" s="219">
        <v>64</v>
      </c>
      <c r="K62" s="219">
        <v>0</v>
      </c>
      <c r="L62" s="219">
        <v>15</v>
      </c>
      <c r="M62" s="219">
        <v>0</v>
      </c>
      <c r="N62" s="219">
        <v>0</v>
      </c>
      <c r="O62" s="97">
        <f t="shared" si="19"/>
        <v>724.88200000000006</v>
      </c>
      <c r="P62" s="94">
        <v>0</v>
      </c>
      <c r="Q62" s="97">
        <f t="shared" si="25"/>
        <v>724.88200000000006</v>
      </c>
      <c r="R62" s="162">
        <f t="shared" si="26"/>
        <v>1.0312623593635146E-2</v>
      </c>
      <c r="S62" s="91">
        <f t="shared" si="6"/>
        <v>7.475435215801433E-3</v>
      </c>
      <c r="V62" s="284">
        <f t="shared" si="27"/>
        <v>8.7657300545898736E-3</v>
      </c>
      <c r="W62" s="290">
        <f t="shared" si="28"/>
        <v>1.5468935390452719E-3</v>
      </c>
    </row>
    <row r="63" spans="1:23" x14ac:dyDescent="0.35">
      <c r="A63" s="92"/>
      <c r="B63" s="94"/>
      <c r="C63" s="94" t="s">
        <v>215</v>
      </c>
      <c r="D63" s="95">
        <v>1.2769388578578364E-3</v>
      </c>
      <c r="E63" s="96">
        <f t="shared" si="23"/>
        <v>0.99727647859839175</v>
      </c>
      <c r="F63" s="95">
        <f t="shared" si="24"/>
        <v>1.3151240865039101E-3</v>
      </c>
      <c r="G63" s="94" t="s">
        <v>9</v>
      </c>
      <c r="H63" s="94" t="s">
        <v>259</v>
      </c>
      <c r="I63" s="219">
        <v>39</v>
      </c>
      <c r="J63" s="219">
        <v>72</v>
      </c>
      <c r="K63" s="219">
        <v>0</v>
      </c>
      <c r="L63" s="219">
        <v>15</v>
      </c>
      <c r="M63" s="219">
        <v>0</v>
      </c>
      <c r="N63" s="219">
        <v>0</v>
      </c>
      <c r="O63" s="97">
        <f t="shared" si="19"/>
        <v>780.99</v>
      </c>
      <c r="P63" s="94">
        <v>0</v>
      </c>
      <c r="Q63" s="97">
        <f t="shared" si="25"/>
        <v>780.99</v>
      </c>
      <c r="R63" s="162">
        <f t="shared" si="26"/>
        <v>3.1850491765673743E-4</v>
      </c>
      <c r="S63" s="91">
        <f t="shared" si="6"/>
        <v>2.4874915564073537E-4</v>
      </c>
      <c r="V63" s="284">
        <f t="shared" si="27"/>
        <v>2.7072918000822679E-4</v>
      </c>
      <c r="W63" s="290">
        <f t="shared" si="28"/>
        <v>4.7775737648510615E-5</v>
      </c>
    </row>
    <row r="64" spans="1:23" x14ac:dyDescent="0.35">
      <c r="A64" s="92"/>
      <c r="B64" s="94"/>
      <c r="C64" s="94" t="s">
        <v>216</v>
      </c>
      <c r="D64" s="95">
        <v>1.0537277799701022E-2</v>
      </c>
      <c r="E64" s="96">
        <f t="shared" si="23"/>
        <v>8.8207341715741254</v>
      </c>
      <c r="F64" s="95">
        <f t="shared" si="24"/>
        <v>1.1632040079786909E-2</v>
      </c>
      <c r="G64" s="94" t="s">
        <v>9</v>
      </c>
      <c r="H64" s="94" t="s">
        <v>260</v>
      </c>
      <c r="I64" s="219">
        <v>43</v>
      </c>
      <c r="J64" s="219">
        <v>80</v>
      </c>
      <c r="K64" s="219">
        <v>0</v>
      </c>
      <c r="L64" s="219">
        <v>15</v>
      </c>
      <c r="M64" s="219">
        <v>0</v>
      </c>
      <c r="N64" s="219">
        <v>0</v>
      </c>
      <c r="O64" s="97">
        <f t="shared" si="19"/>
        <v>837.09799999999996</v>
      </c>
      <c r="P64" s="94">
        <v>0</v>
      </c>
      <c r="Q64" s="97">
        <f t="shared" si="25"/>
        <v>837.09799999999996</v>
      </c>
      <c r="R64" s="162">
        <f t="shared" si="26"/>
        <v>2.6282971790444086E-3</v>
      </c>
      <c r="S64" s="91">
        <f t="shared" si="6"/>
        <v>2.2001423119837162E-3</v>
      </c>
      <c r="V64" s="284">
        <f t="shared" si="27"/>
        <v>2.2340526021877474E-3</v>
      </c>
      <c r="W64" s="290">
        <f t="shared" si="28"/>
        <v>3.9424457685666126E-4</v>
      </c>
    </row>
    <row r="65" spans="1:23" x14ac:dyDescent="0.35">
      <c r="A65" s="92"/>
      <c r="B65" s="94"/>
      <c r="C65" s="94" t="s">
        <v>217</v>
      </c>
      <c r="D65" s="95">
        <v>6.5586372185904337E-2</v>
      </c>
      <c r="E65" s="96">
        <f t="shared" si="23"/>
        <v>58.582141154682873</v>
      </c>
      <c r="F65" s="95">
        <f t="shared" si="24"/>
        <v>7.7253185575753405E-2</v>
      </c>
      <c r="G65" s="94" t="s">
        <v>9</v>
      </c>
      <c r="H65" s="94" t="s">
        <v>261</v>
      </c>
      <c r="I65" s="219">
        <v>47</v>
      </c>
      <c r="J65" s="219">
        <v>88</v>
      </c>
      <c r="K65" s="219">
        <v>0</v>
      </c>
      <c r="L65" s="219">
        <v>15</v>
      </c>
      <c r="M65" s="219">
        <v>0</v>
      </c>
      <c r="N65" s="219">
        <v>0</v>
      </c>
      <c r="O65" s="97">
        <f t="shared" si="19"/>
        <v>893.20600000000002</v>
      </c>
      <c r="P65" s="94">
        <v>0</v>
      </c>
      <c r="Q65" s="97">
        <f t="shared" si="25"/>
        <v>893.20600000000002</v>
      </c>
      <c r="R65" s="162">
        <f t="shared" si="26"/>
        <v>1.6359109086491016E-2</v>
      </c>
      <c r="S65" s="91">
        <f t="shared" si="6"/>
        <v>1.4612054390708295E-2</v>
      </c>
      <c r="V65" s="284">
        <f t="shared" si="27"/>
        <v>1.3905242723517362E-2</v>
      </c>
      <c r="W65" s="290">
        <f t="shared" si="28"/>
        <v>2.4538663629736523E-3</v>
      </c>
    </row>
    <row r="66" spans="1:23" x14ac:dyDescent="0.35">
      <c r="A66" s="92"/>
      <c r="B66" s="94"/>
      <c r="C66" s="94" t="s">
        <v>218</v>
      </c>
      <c r="D66" s="95">
        <v>2.4354038727031974E-2</v>
      </c>
      <c r="E66" s="96">
        <f t="shared" si="23"/>
        <v>21.654978031069927</v>
      </c>
      <c r="F66" s="95">
        <f t="shared" si="24"/>
        <v>2.8556758143337007E-2</v>
      </c>
      <c r="G66" s="94" t="s">
        <v>9</v>
      </c>
      <c r="H66" s="94" t="s">
        <v>262</v>
      </c>
      <c r="I66" s="219">
        <v>47</v>
      </c>
      <c r="J66" s="219">
        <v>84</v>
      </c>
      <c r="K66" s="219">
        <v>0</v>
      </c>
      <c r="L66" s="219">
        <v>15</v>
      </c>
      <c r="M66" s="219">
        <v>0</v>
      </c>
      <c r="N66" s="219">
        <v>0</v>
      </c>
      <c r="O66" s="97">
        <f t="shared" si="19"/>
        <v>889.17399999999998</v>
      </c>
      <c r="P66" s="94">
        <v>0</v>
      </c>
      <c r="Q66" s="97">
        <f t="shared" si="25"/>
        <v>889.17399999999998</v>
      </c>
      <c r="R66" s="162">
        <f t="shared" si="26"/>
        <v>6.0745908479714365E-3</v>
      </c>
      <c r="S66" s="91">
        <f t="shared" si="6"/>
        <v>5.4013682426541539E-3</v>
      </c>
      <c r="V66" s="284">
        <f t="shared" si="27"/>
        <v>5.1634022207757207E-3</v>
      </c>
      <c r="W66" s="290">
        <f t="shared" si="28"/>
        <v>9.1118862719571545E-4</v>
      </c>
    </row>
    <row r="67" spans="1:23" x14ac:dyDescent="0.35">
      <c r="A67" s="92"/>
      <c r="B67" s="94"/>
      <c r="C67" s="94" t="s">
        <v>219</v>
      </c>
      <c r="D67" s="95">
        <v>2.0567660013861683E-3</v>
      </c>
      <c r="E67" s="96">
        <f t="shared" si="23"/>
        <v>1.9525167598399089</v>
      </c>
      <c r="F67" s="95">
        <f t="shared" si="24"/>
        <v>2.5748143822432426E-3</v>
      </c>
      <c r="G67" s="94" t="s">
        <v>9</v>
      </c>
      <c r="H67" s="94" t="s">
        <v>263</v>
      </c>
      <c r="I67" s="219">
        <v>51</v>
      </c>
      <c r="J67" s="219">
        <v>96</v>
      </c>
      <c r="K67" s="219">
        <v>0</v>
      </c>
      <c r="L67" s="219">
        <v>15</v>
      </c>
      <c r="M67" s="219">
        <v>0</v>
      </c>
      <c r="N67" s="219">
        <v>0</v>
      </c>
      <c r="O67" s="97">
        <f t="shared" si="19"/>
        <v>949.31399999999996</v>
      </c>
      <c r="P67" s="94">
        <v>0</v>
      </c>
      <c r="Q67" s="97">
        <f t="shared" si="25"/>
        <v>949.31399999999996</v>
      </c>
      <c r="R67" s="162">
        <f t="shared" si="26"/>
        <v>5.1301601629512848E-4</v>
      </c>
      <c r="S67" s="91">
        <f t="shared" si="6"/>
        <v>4.870132864931936E-4</v>
      </c>
      <c r="V67" s="284">
        <f t="shared" si="27"/>
        <v>4.3606361385085918E-4</v>
      </c>
      <c r="W67" s="290">
        <f t="shared" si="28"/>
        <v>7.6952402444269266E-5</v>
      </c>
    </row>
    <row r="68" spans="1:23" x14ac:dyDescent="0.35">
      <c r="A68" s="92"/>
      <c r="B68" s="94"/>
      <c r="C68" s="94" t="s">
        <v>220</v>
      </c>
      <c r="D68" s="95">
        <v>8.3161103686710015E-3</v>
      </c>
      <c r="E68" s="96">
        <f t="shared" si="23"/>
        <v>7.8610694415180609</v>
      </c>
      <c r="F68" s="95">
        <f t="shared" si="24"/>
        <v>1.0366515194211775E-2</v>
      </c>
      <c r="G68" s="94" t="s">
        <v>9</v>
      </c>
      <c r="H68" s="94" t="s">
        <v>264</v>
      </c>
      <c r="I68" s="219">
        <v>51</v>
      </c>
      <c r="J68" s="219">
        <v>92</v>
      </c>
      <c r="K68" s="219">
        <v>0</v>
      </c>
      <c r="L68" s="219">
        <v>15</v>
      </c>
      <c r="M68" s="219">
        <v>0</v>
      </c>
      <c r="N68" s="219">
        <v>0</v>
      </c>
      <c r="O68" s="97">
        <f t="shared" si="19"/>
        <v>945.28199999999993</v>
      </c>
      <c r="P68" s="94">
        <v>0</v>
      </c>
      <c r="Q68" s="97">
        <f t="shared" si="25"/>
        <v>945.28199999999993</v>
      </c>
      <c r="R68" s="162">
        <f t="shared" si="26"/>
        <v>2.0742747641350132E-3</v>
      </c>
      <c r="S68" s="91">
        <f t="shared" si="6"/>
        <v>1.9607745975910732E-3</v>
      </c>
      <c r="V68" s="284">
        <f t="shared" si="27"/>
        <v>1.7631335495147612E-3</v>
      </c>
      <c r="W68" s="290">
        <f t="shared" si="28"/>
        <v>3.1114121462025198E-4</v>
      </c>
    </row>
    <row r="69" spans="1:23" x14ac:dyDescent="0.35">
      <c r="A69" s="92"/>
      <c r="B69" s="94"/>
      <c r="C69" s="94" t="s">
        <v>221</v>
      </c>
      <c r="D69" s="95">
        <v>2.8019131174780609E-2</v>
      </c>
      <c r="E69" s="96">
        <f t="shared" si="23"/>
        <v>26.373007218262245</v>
      </c>
      <c r="F69" s="95">
        <f t="shared" si="24"/>
        <v>3.4778497007193022E-2</v>
      </c>
      <c r="G69" s="94" t="s">
        <v>9</v>
      </c>
      <c r="H69" s="94" t="s">
        <v>265</v>
      </c>
      <c r="I69" s="219">
        <v>51</v>
      </c>
      <c r="J69" s="219">
        <v>88</v>
      </c>
      <c r="K69" s="219">
        <v>0</v>
      </c>
      <c r="L69" s="219">
        <v>15</v>
      </c>
      <c r="M69" s="219">
        <v>0</v>
      </c>
      <c r="N69" s="219">
        <v>0</v>
      </c>
      <c r="O69" s="97">
        <f t="shared" si="19"/>
        <v>941.24999999999989</v>
      </c>
      <c r="P69" s="94">
        <v>0</v>
      </c>
      <c r="Q69" s="97">
        <f t="shared" si="25"/>
        <v>941.24999999999989</v>
      </c>
      <c r="R69" s="162">
        <f t="shared" si="26"/>
        <v>6.9887692842301851E-3</v>
      </c>
      <c r="S69" s="91">
        <f t="shared" si="6"/>
        <v>6.5781790887816608E-3</v>
      </c>
      <c r="V69" s="284">
        <f>R69*$V$3</f>
        <v>5.9404538915956576E-3</v>
      </c>
      <c r="W69" s="290">
        <f>R69*$W$3</f>
        <v>1.0483153926345277E-3</v>
      </c>
    </row>
    <row r="70" spans="1:23" x14ac:dyDescent="0.35">
      <c r="A70" s="92"/>
      <c r="B70" s="94"/>
      <c r="C70" s="94" t="s">
        <v>222</v>
      </c>
      <c r="D70" s="95">
        <v>4.236659064451688E-2</v>
      </c>
      <c r="E70" s="96">
        <f t="shared" si="23"/>
        <v>39.706731350672818</v>
      </c>
      <c r="F70" s="95">
        <f t="shared" si="24"/>
        <v>5.2361887516890616E-2</v>
      </c>
      <c r="G70" s="94" t="s">
        <v>9</v>
      </c>
      <c r="H70" s="94" t="s">
        <v>266</v>
      </c>
      <c r="I70" s="219">
        <v>51</v>
      </c>
      <c r="J70" s="219">
        <v>84</v>
      </c>
      <c r="K70" s="219">
        <v>0</v>
      </c>
      <c r="L70" s="219">
        <v>15</v>
      </c>
      <c r="M70" s="219">
        <v>0</v>
      </c>
      <c r="N70" s="219">
        <v>0</v>
      </c>
      <c r="O70" s="97">
        <f t="shared" si="19"/>
        <v>937.21799999999996</v>
      </c>
      <c r="P70" s="94">
        <v>0</v>
      </c>
      <c r="Q70" s="97">
        <f t="shared" si="25"/>
        <v>937.21799999999996</v>
      </c>
      <c r="R70" s="162">
        <f t="shared" si="26"/>
        <v>1.0567434283631811E-2</v>
      </c>
      <c r="S70" s="91">
        <f t="shared" si="6"/>
        <v>9.9039896244368392E-3</v>
      </c>
      <c r="V70" s="284">
        <f>R70*$V$3</f>
        <v>8.9823191410870386E-3</v>
      </c>
      <c r="W70" s="290">
        <f>R70*$W$3</f>
        <v>1.5851151425447716E-3</v>
      </c>
    </row>
    <row r="71" spans="1:23" x14ac:dyDescent="0.35">
      <c r="A71" s="92"/>
      <c r="B71" s="94"/>
      <c r="C71" s="94" t="s">
        <v>223</v>
      </c>
      <c r="D71" s="95">
        <v>9.8952686501422985E-4</v>
      </c>
      <c r="E71" s="96">
        <f t="shared" si="23"/>
        <v>0.5082021968608732</v>
      </c>
      <c r="F71" s="95">
        <f t="shared" si="24"/>
        <v>6.7017418363787926E-4</v>
      </c>
      <c r="G71" s="94" t="s">
        <v>9</v>
      </c>
      <c r="H71" s="94" t="s">
        <v>267</v>
      </c>
      <c r="I71" s="219">
        <v>21</v>
      </c>
      <c r="J71" s="219">
        <v>37</v>
      </c>
      <c r="K71" s="219">
        <v>0</v>
      </c>
      <c r="L71" s="219">
        <v>12</v>
      </c>
      <c r="M71" s="219">
        <v>0</v>
      </c>
      <c r="N71" s="219">
        <v>1</v>
      </c>
      <c r="O71" s="97">
        <f t="shared" si="19"/>
        <v>513.58100000000002</v>
      </c>
      <c r="P71" s="94">
        <v>0</v>
      </c>
      <c r="Q71" s="97">
        <f t="shared" si="25"/>
        <v>513.58100000000002</v>
      </c>
      <c r="R71" s="162">
        <f t="shared" si="26"/>
        <v>2.4681618130816961E-4</v>
      </c>
      <c r="S71" s="91">
        <f t="shared" si="6"/>
        <v>1.2676010121243105E-4</v>
      </c>
      <c r="V71" s="284">
        <f t="shared" ref="V71:V77" si="29">R71*$V$3</f>
        <v>2.0979375411194417E-4</v>
      </c>
      <c r="W71" s="290">
        <f t="shared" ref="W71:W77" si="30">R71*$W$3</f>
        <v>3.7022427196225442E-5</v>
      </c>
    </row>
    <row r="72" spans="1:23" x14ac:dyDescent="0.35">
      <c r="A72" s="92"/>
      <c r="B72" s="94"/>
      <c r="C72" s="94" t="s">
        <v>224</v>
      </c>
      <c r="D72" s="95">
        <v>0</v>
      </c>
      <c r="E72" s="96">
        <f t="shared" si="23"/>
        <v>0</v>
      </c>
      <c r="F72" s="95">
        <f t="shared" si="24"/>
        <v>0</v>
      </c>
      <c r="G72" s="94" t="s">
        <v>9</v>
      </c>
      <c r="H72" s="94" t="s">
        <v>268</v>
      </c>
      <c r="I72" s="219">
        <v>25</v>
      </c>
      <c r="J72" s="219">
        <v>45</v>
      </c>
      <c r="K72" s="219">
        <v>0</v>
      </c>
      <c r="L72" s="219">
        <v>12</v>
      </c>
      <c r="M72" s="219">
        <v>0</v>
      </c>
      <c r="N72" s="219">
        <v>1</v>
      </c>
      <c r="O72" s="97">
        <f t="shared" si="19"/>
        <v>569.68900000000008</v>
      </c>
      <c r="P72" s="94">
        <v>0</v>
      </c>
      <c r="Q72" s="97">
        <f t="shared" si="25"/>
        <v>569.68900000000008</v>
      </c>
      <c r="R72" s="162">
        <f t="shared" si="26"/>
        <v>0</v>
      </c>
      <c r="S72" s="91">
        <f t="shared" si="6"/>
        <v>0</v>
      </c>
      <c r="V72" s="284">
        <f t="shared" si="29"/>
        <v>0</v>
      </c>
      <c r="W72" s="290">
        <f t="shared" si="30"/>
        <v>0</v>
      </c>
    </row>
    <row r="73" spans="1:23" x14ac:dyDescent="0.35">
      <c r="A73" s="92"/>
      <c r="B73" s="94"/>
      <c r="C73" s="94" t="s">
        <v>225</v>
      </c>
      <c r="D73" s="95">
        <v>3.583234414311591E-2</v>
      </c>
      <c r="E73" s="96">
        <f t="shared" si="23"/>
        <v>22.423773467729507</v>
      </c>
      <c r="F73" s="95">
        <f t="shared" si="24"/>
        <v>2.9570580707132244E-2</v>
      </c>
      <c r="G73" s="94" t="s">
        <v>9</v>
      </c>
      <c r="H73" s="94" t="s">
        <v>269</v>
      </c>
      <c r="I73" s="219">
        <v>29</v>
      </c>
      <c r="J73" s="219">
        <v>53</v>
      </c>
      <c r="K73" s="219">
        <v>0</v>
      </c>
      <c r="L73" s="219">
        <v>12</v>
      </c>
      <c r="M73" s="219">
        <v>0</v>
      </c>
      <c r="N73" s="219">
        <v>1</v>
      </c>
      <c r="O73" s="97">
        <f t="shared" si="19"/>
        <v>625.79700000000003</v>
      </c>
      <c r="P73" s="94">
        <v>0</v>
      </c>
      <c r="Q73" s="97">
        <f t="shared" si="25"/>
        <v>625.79700000000003</v>
      </c>
      <c r="R73" s="162">
        <f t="shared" si="26"/>
        <v>8.9376071144837942E-3</v>
      </c>
      <c r="S73" s="91">
        <f t="shared" si="6"/>
        <v>5.5931277194226151E-3</v>
      </c>
      <c r="V73" s="284">
        <f t="shared" si="29"/>
        <v>7.5969660473112245E-3</v>
      </c>
      <c r="W73" s="290">
        <f t="shared" si="30"/>
        <v>1.340641067172569E-3</v>
      </c>
    </row>
    <row r="74" spans="1:23" x14ac:dyDescent="0.35">
      <c r="A74" s="92"/>
      <c r="B74" s="94"/>
      <c r="C74" s="94" t="s">
        <v>226</v>
      </c>
      <c r="D74" s="95">
        <v>1.1066803434767916E-3</v>
      </c>
      <c r="E74" s="96">
        <f t="shared" si="23"/>
        <v>0.7546508596185415</v>
      </c>
      <c r="F74" s="95">
        <f t="shared" si="24"/>
        <v>9.9516988887581427E-4</v>
      </c>
      <c r="G74" s="94" t="s">
        <v>9</v>
      </c>
      <c r="H74" s="94" t="s">
        <v>270</v>
      </c>
      <c r="I74" s="219">
        <v>33</v>
      </c>
      <c r="J74" s="219">
        <v>61</v>
      </c>
      <c r="K74" s="219">
        <v>0</v>
      </c>
      <c r="L74" s="219">
        <v>12</v>
      </c>
      <c r="M74" s="219">
        <v>0</v>
      </c>
      <c r="N74" s="219">
        <v>1</v>
      </c>
      <c r="O74" s="97">
        <f t="shared" si="19"/>
        <v>681.90499999999997</v>
      </c>
      <c r="P74" s="94">
        <v>0</v>
      </c>
      <c r="Q74" s="97">
        <f t="shared" si="25"/>
        <v>681.90499999999997</v>
      </c>
      <c r="R74" s="162">
        <f t="shared" si="26"/>
        <v>2.7603759530250572E-4</v>
      </c>
      <c r="S74" s="91">
        <f t="shared" si="6"/>
        <v>1.8823141642475516E-4</v>
      </c>
      <c r="V74" s="284">
        <f t="shared" si="29"/>
        <v>2.3463195600712986E-4</v>
      </c>
      <c r="W74" s="290">
        <f t="shared" si="30"/>
        <v>4.1405639295375854E-5</v>
      </c>
    </row>
    <row r="75" spans="1:23" x14ac:dyDescent="0.35">
      <c r="A75" s="92"/>
      <c r="B75" s="94"/>
      <c r="C75" s="94" t="s">
        <v>227</v>
      </c>
      <c r="D75" s="95">
        <v>9.1323074264075526E-3</v>
      </c>
      <c r="E75" s="96">
        <f t="shared" si="23"/>
        <v>6.7397616006853163</v>
      </c>
      <c r="F75" s="95">
        <f t="shared" si="24"/>
        <v>8.8878290108803746E-3</v>
      </c>
      <c r="G75" s="94" t="s">
        <v>9</v>
      </c>
      <c r="H75" s="94" t="s">
        <v>271</v>
      </c>
      <c r="I75" s="219">
        <v>37</v>
      </c>
      <c r="J75" s="219">
        <v>69</v>
      </c>
      <c r="K75" s="219">
        <v>0</v>
      </c>
      <c r="L75" s="219">
        <v>12</v>
      </c>
      <c r="M75" s="219">
        <v>0</v>
      </c>
      <c r="N75" s="219">
        <v>1</v>
      </c>
      <c r="O75" s="97">
        <f t="shared" si="19"/>
        <v>738.01299999999992</v>
      </c>
      <c r="P75" s="94">
        <v>0</v>
      </c>
      <c r="Q75" s="97">
        <f t="shared" si="25"/>
        <v>738.01299999999992</v>
      </c>
      <c r="R75" s="162">
        <f t="shared" si="26"/>
        <v>2.2778575551718212E-3</v>
      </c>
      <c r="S75" s="91">
        <f t="shared" ref="S75:S140" si="31">R75*Q75/1000</f>
        <v>1.681088487865021E-3</v>
      </c>
      <c r="V75" s="284">
        <f t="shared" si="29"/>
        <v>1.936178921896048E-3</v>
      </c>
      <c r="W75" s="290">
        <f t="shared" si="30"/>
        <v>3.4167863327577317E-4</v>
      </c>
    </row>
    <row r="76" spans="1:23" x14ac:dyDescent="0.35">
      <c r="A76" s="92"/>
      <c r="B76" s="94"/>
      <c r="C76" s="94" t="s">
        <v>228</v>
      </c>
      <c r="D76" s="95">
        <v>5.6841522561117089E-2</v>
      </c>
      <c r="E76" s="96">
        <f t="shared" si="23"/>
        <v>45.139046737756871</v>
      </c>
      <c r="F76" s="95">
        <f t="shared" si="24"/>
        <v>5.9525566761668071E-2</v>
      </c>
      <c r="G76" s="94" t="s">
        <v>9</v>
      </c>
      <c r="H76" s="94" t="s">
        <v>272</v>
      </c>
      <c r="I76" s="219">
        <v>41</v>
      </c>
      <c r="J76" s="219">
        <v>77</v>
      </c>
      <c r="K76" s="219">
        <v>0</v>
      </c>
      <c r="L76" s="219">
        <v>12</v>
      </c>
      <c r="M76" s="219">
        <v>0</v>
      </c>
      <c r="N76" s="219">
        <v>1</v>
      </c>
      <c r="O76" s="97">
        <f t="shared" si="19"/>
        <v>794.12100000000009</v>
      </c>
      <c r="P76" s="94">
        <v>0</v>
      </c>
      <c r="Q76" s="97">
        <f t="shared" si="25"/>
        <v>794.12100000000009</v>
      </c>
      <c r="R76" s="162">
        <f t="shared" si="26"/>
        <v>1.4177894541625546E-2</v>
      </c>
      <c r="S76" s="91">
        <f t="shared" si="31"/>
        <v>1.1258963791290223E-2</v>
      </c>
      <c r="V76" s="284">
        <f t="shared" si="29"/>
        <v>1.2051210360381714E-2</v>
      </c>
      <c r="W76" s="290">
        <f t="shared" si="30"/>
        <v>2.1266841812438318E-3</v>
      </c>
    </row>
    <row r="77" spans="1:23" x14ac:dyDescent="0.35">
      <c r="A77" s="92"/>
      <c r="B77" s="94"/>
      <c r="C77" s="94" t="s">
        <v>229</v>
      </c>
      <c r="D77" s="95">
        <v>2.1106833563427709E-2</v>
      </c>
      <c r="E77" s="96">
        <f t="shared" si="23"/>
        <v>16.676277023295032</v>
      </c>
      <c r="F77" s="95">
        <f t="shared" si="24"/>
        <v>2.1991267273615202E-2</v>
      </c>
      <c r="G77" s="94" t="s">
        <v>9</v>
      </c>
      <c r="H77" s="94" t="s">
        <v>273</v>
      </c>
      <c r="I77" s="219">
        <v>41</v>
      </c>
      <c r="J77" s="219">
        <v>73</v>
      </c>
      <c r="K77" s="219">
        <v>0</v>
      </c>
      <c r="L77" s="219">
        <v>12</v>
      </c>
      <c r="M77" s="219">
        <v>0</v>
      </c>
      <c r="N77" s="219">
        <v>1</v>
      </c>
      <c r="O77" s="97">
        <f t="shared" si="19"/>
        <v>790.08899999999994</v>
      </c>
      <c r="P77" s="94">
        <v>0</v>
      </c>
      <c r="Q77" s="97">
        <f t="shared" si="25"/>
        <v>790.08899999999994</v>
      </c>
      <c r="R77" s="162">
        <f t="shared" si="26"/>
        <v>5.2646454015752445E-3</v>
      </c>
      <c r="S77" s="91">
        <f t="shared" si="31"/>
        <v>4.1595384206851828E-3</v>
      </c>
      <c r="V77" s="284">
        <f t="shared" si="29"/>
        <v>4.4749485913389581E-3</v>
      </c>
      <c r="W77" s="290">
        <f t="shared" si="30"/>
        <v>7.896968102362867E-4</v>
      </c>
    </row>
    <row r="78" spans="1:23" x14ac:dyDescent="0.35">
      <c r="A78" s="92"/>
      <c r="B78" s="94"/>
      <c r="C78" s="94" t="s">
        <v>230</v>
      </c>
      <c r="D78" s="95">
        <v>1.7825305345346792E-3</v>
      </c>
      <c r="E78" s="96">
        <f t="shared" si="23"/>
        <v>1.5155591538468858</v>
      </c>
      <c r="F78" s="95">
        <f t="shared" si="24"/>
        <v>1.9985915546175993E-3</v>
      </c>
      <c r="G78" s="94" t="s">
        <v>9</v>
      </c>
      <c r="H78" s="94" t="s">
        <v>274</v>
      </c>
      <c r="I78" s="219">
        <v>45</v>
      </c>
      <c r="J78" s="219">
        <v>85</v>
      </c>
      <c r="K78" s="219">
        <v>0</v>
      </c>
      <c r="L78" s="219">
        <v>12</v>
      </c>
      <c r="M78" s="219">
        <v>0</v>
      </c>
      <c r="N78" s="219">
        <v>1</v>
      </c>
      <c r="O78" s="97">
        <f t="shared" si="19"/>
        <v>850.22900000000004</v>
      </c>
      <c r="P78" s="94">
        <v>0</v>
      </c>
      <c r="Q78" s="97">
        <f t="shared" si="25"/>
        <v>850.22900000000004</v>
      </c>
      <c r="R78" s="162">
        <f t="shared" si="26"/>
        <v>4.4461388078911141E-4</v>
      </c>
      <c r="S78" s="91">
        <f t="shared" si="31"/>
        <v>3.7802361524944542E-4</v>
      </c>
      <c r="V78" s="284">
        <f>R78*$V$3</f>
        <v>3.7792179867074469E-4</v>
      </c>
      <c r="W78" s="290">
        <f>R78*$W$3</f>
        <v>6.6692082118366704E-5</v>
      </c>
    </row>
    <row r="79" spans="1:23" x14ac:dyDescent="0.35">
      <c r="A79" s="92"/>
      <c r="B79" s="94"/>
      <c r="C79" s="94" t="s">
        <v>231</v>
      </c>
      <c r="D79" s="95">
        <v>7.2072956528482007E-3</v>
      </c>
      <c r="E79" s="96">
        <f t="shared" si="23"/>
        <v>6.0987919595531901</v>
      </c>
      <c r="F79" s="95">
        <f t="shared" si="24"/>
        <v>8.0425723224288974E-3</v>
      </c>
      <c r="G79" s="94" t="s">
        <v>9</v>
      </c>
      <c r="H79" s="94" t="s">
        <v>275</v>
      </c>
      <c r="I79" s="219">
        <v>45</v>
      </c>
      <c r="J79" s="219">
        <v>81</v>
      </c>
      <c r="K79" s="219">
        <v>0</v>
      </c>
      <c r="L79" s="219">
        <v>12</v>
      </c>
      <c r="M79" s="219">
        <v>0</v>
      </c>
      <c r="N79" s="219">
        <v>1</v>
      </c>
      <c r="O79" s="97">
        <f t="shared" si="19"/>
        <v>846.19700000000012</v>
      </c>
      <c r="P79" s="94">
        <v>0</v>
      </c>
      <c r="Q79" s="97">
        <f t="shared" si="25"/>
        <v>846.19700000000012</v>
      </c>
      <c r="R79" s="162">
        <f t="shared" si="26"/>
        <v>1.7977047955836784E-3</v>
      </c>
      <c r="S79" s="91">
        <f t="shared" si="31"/>
        <v>1.5212124049085222E-3</v>
      </c>
      <c r="V79" s="284">
        <f t="shared" ref="V79:V80" si="32">R79*$V$3</f>
        <v>1.5280490762461267E-3</v>
      </c>
      <c r="W79" s="290">
        <f t="shared" ref="W79:W80" si="33">R79*$W$3</f>
        <v>2.6965571933755176E-4</v>
      </c>
    </row>
    <row r="80" spans="1:23" x14ac:dyDescent="0.35">
      <c r="A80" s="92"/>
      <c r="B80" s="94"/>
      <c r="C80" s="94" t="s">
        <v>232</v>
      </c>
      <c r="D80" s="95">
        <v>2.4283247018143196E-2</v>
      </c>
      <c r="E80" s="96">
        <f t="shared" si="23"/>
        <v>20.450500725034566</v>
      </c>
      <c r="F80" s="95">
        <f t="shared" si="24"/>
        <v>2.6968395085741677E-2</v>
      </c>
      <c r="G80" s="94" t="s">
        <v>9</v>
      </c>
      <c r="H80" s="94" t="s">
        <v>276</v>
      </c>
      <c r="I80" s="219">
        <v>45</v>
      </c>
      <c r="J80" s="219">
        <v>77</v>
      </c>
      <c r="K80" s="219">
        <v>0</v>
      </c>
      <c r="L80" s="219">
        <v>12</v>
      </c>
      <c r="M80" s="219">
        <v>0</v>
      </c>
      <c r="N80" s="219">
        <v>1</v>
      </c>
      <c r="O80" s="97">
        <f t="shared" si="19"/>
        <v>842.16499999999996</v>
      </c>
      <c r="P80" s="94">
        <v>0</v>
      </c>
      <c r="Q80" s="97">
        <f t="shared" si="25"/>
        <v>842.16499999999996</v>
      </c>
      <c r="R80" s="162">
        <f t="shared" si="26"/>
        <v>6.0569333796661609E-3</v>
      </c>
      <c r="S80" s="91">
        <f t="shared" si="31"/>
        <v>5.1009372996865523E-3</v>
      </c>
      <c r="V80" s="284">
        <f t="shared" si="32"/>
        <v>5.1483933727162366E-3</v>
      </c>
      <c r="W80" s="290">
        <f t="shared" si="33"/>
        <v>9.0854000694992414E-4</v>
      </c>
    </row>
    <row r="81" spans="1:23" x14ac:dyDescent="0.35">
      <c r="A81" s="92"/>
      <c r="B81" s="94"/>
      <c r="C81" s="94" t="s">
        <v>233</v>
      </c>
      <c r="D81" s="95">
        <v>3.6717711891914633E-2</v>
      </c>
      <c r="E81" s="96">
        <f t="shared" si="23"/>
        <v>30.774326021106088</v>
      </c>
      <c r="F81" s="95">
        <f t="shared" si="24"/>
        <v>4.0582584934883391E-2</v>
      </c>
      <c r="G81" s="94" t="s">
        <v>9</v>
      </c>
      <c r="H81" s="94" t="s">
        <v>277</v>
      </c>
      <c r="I81" s="219">
        <v>45</v>
      </c>
      <c r="J81" s="219">
        <v>73</v>
      </c>
      <c r="K81" s="219">
        <v>0</v>
      </c>
      <c r="L81" s="219">
        <v>12</v>
      </c>
      <c r="M81" s="219">
        <v>0</v>
      </c>
      <c r="N81" s="219">
        <v>1</v>
      </c>
      <c r="O81" s="97">
        <f t="shared" si="19"/>
        <v>838.13300000000004</v>
      </c>
      <c r="P81" s="94">
        <v>0</v>
      </c>
      <c r="Q81" s="97">
        <f t="shared" si="25"/>
        <v>838.13300000000004</v>
      </c>
      <c r="R81" s="162">
        <f t="shared" si="26"/>
        <v>9.1584430458142366E-3</v>
      </c>
      <c r="S81" s="91">
        <f t="shared" si="31"/>
        <v>7.6759933453174238E-3</v>
      </c>
      <c r="V81" s="284">
        <f>R81*$V$3</f>
        <v>7.7846765889421007E-3</v>
      </c>
      <c r="W81" s="290">
        <f>R81*$W$3</f>
        <v>1.3737664568721354E-3</v>
      </c>
    </row>
    <row r="82" spans="1:23" x14ac:dyDescent="0.35">
      <c r="A82" s="92"/>
      <c r="B82" s="94"/>
      <c r="C82" s="94" t="s">
        <v>234</v>
      </c>
      <c r="D82" s="95">
        <v>1.217879218479052E-3</v>
      </c>
      <c r="E82" s="96">
        <f t="shared" si="23"/>
        <v>0.53761329493008181</v>
      </c>
      <c r="F82" s="95">
        <f t="shared" si="24"/>
        <v>7.0895905855612262E-4</v>
      </c>
      <c r="G82" s="94" t="s">
        <v>9</v>
      </c>
      <c r="H82" s="94" t="s">
        <v>278</v>
      </c>
      <c r="I82" s="219">
        <v>18</v>
      </c>
      <c r="J82" s="219">
        <v>34</v>
      </c>
      <c r="K82" s="219">
        <v>0</v>
      </c>
      <c r="L82" s="219">
        <v>10</v>
      </c>
      <c r="M82" s="219">
        <v>1</v>
      </c>
      <c r="N82" s="219">
        <v>0</v>
      </c>
      <c r="O82" s="97">
        <f t="shared" si="19"/>
        <v>441.43399999999997</v>
      </c>
      <c r="P82" s="94">
        <v>0</v>
      </c>
      <c r="Q82" s="97">
        <f t="shared" si="25"/>
        <v>441.43399999999997</v>
      </c>
      <c r="R82" s="162">
        <f t="shared" si="26"/>
        <v>3.0377376161005488E-4</v>
      </c>
      <c r="S82" s="91">
        <f t="shared" si="31"/>
        <v>1.3409606668257295E-4</v>
      </c>
      <c r="V82" s="284">
        <f t="shared" ref="V82:V92" si="34">R82*$V$3</f>
        <v>2.5820769736854663E-4</v>
      </c>
      <c r="W82" s="290">
        <f t="shared" ref="W82:W92" si="35">R82*$W$3</f>
        <v>4.5566064241508228E-5</v>
      </c>
    </row>
    <row r="83" spans="1:23" x14ac:dyDescent="0.35">
      <c r="A83" s="92"/>
      <c r="B83" s="94"/>
      <c r="C83" s="94" t="s">
        <v>235</v>
      </c>
      <c r="D83" s="95">
        <v>0</v>
      </c>
      <c r="E83" s="96">
        <f t="shared" si="23"/>
        <v>0</v>
      </c>
      <c r="F83" s="95">
        <f t="shared" si="24"/>
        <v>0</v>
      </c>
      <c r="G83" s="94" t="s">
        <v>9</v>
      </c>
      <c r="H83" s="94" t="s">
        <v>279</v>
      </c>
      <c r="I83" s="219">
        <v>22</v>
      </c>
      <c r="J83" s="219">
        <v>42</v>
      </c>
      <c r="K83" s="219">
        <v>0</v>
      </c>
      <c r="L83" s="219">
        <v>10</v>
      </c>
      <c r="M83" s="219">
        <v>1</v>
      </c>
      <c r="N83" s="219">
        <v>0</v>
      </c>
      <c r="O83" s="97">
        <f t="shared" si="19"/>
        <v>497.54199999999997</v>
      </c>
      <c r="P83" s="94">
        <v>0</v>
      </c>
      <c r="Q83" s="97">
        <f t="shared" si="25"/>
        <v>497.54199999999997</v>
      </c>
      <c r="R83" s="162">
        <f t="shared" si="26"/>
        <v>0</v>
      </c>
      <c r="S83" s="91">
        <f t="shared" si="31"/>
        <v>0</v>
      </c>
      <c r="V83" s="284">
        <f t="shared" si="34"/>
        <v>0</v>
      </c>
      <c r="W83" s="290">
        <f t="shared" si="35"/>
        <v>0</v>
      </c>
    </row>
    <row r="84" spans="1:23" x14ac:dyDescent="0.35">
      <c r="A84" s="92"/>
      <c r="B84" s="94"/>
      <c r="C84" s="94" t="s">
        <v>236</v>
      </c>
      <c r="D84" s="95">
        <v>4.4101346637681116E-2</v>
      </c>
      <c r="E84" s="96">
        <f t="shared" si="23"/>
        <v>24.416710565952148</v>
      </c>
      <c r="F84" s="95">
        <f t="shared" si="24"/>
        <v>3.2198698021644059E-2</v>
      </c>
      <c r="G84" s="94" t="s">
        <v>9</v>
      </c>
      <c r="H84" s="94" t="s">
        <v>280</v>
      </c>
      <c r="I84" s="219">
        <v>26</v>
      </c>
      <c r="J84" s="219">
        <v>50</v>
      </c>
      <c r="K84" s="219">
        <v>0</v>
      </c>
      <c r="L84" s="219">
        <v>10</v>
      </c>
      <c r="M84" s="219">
        <v>1</v>
      </c>
      <c r="N84" s="219">
        <v>0</v>
      </c>
      <c r="O84" s="97">
        <f t="shared" si="19"/>
        <v>553.65</v>
      </c>
      <c r="P84" s="94">
        <v>0</v>
      </c>
      <c r="Q84" s="97">
        <f t="shared" si="25"/>
        <v>553.65</v>
      </c>
      <c r="R84" s="162">
        <f t="shared" si="26"/>
        <v>1.1000131833210823E-2</v>
      </c>
      <c r="S84" s="91">
        <f t="shared" si="31"/>
        <v>6.0902229894571717E-3</v>
      </c>
      <c r="V84" s="284">
        <f t="shared" si="34"/>
        <v>9.3501120582291999E-3</v>
      </c>
      <c r="W84" s="290">
        <f t="shared" si="35"/>
        <v>1.6500197749816233E-3</v>
      </c>
    </row>
    <row r="85" spans="1:23" x14ac:dyDescent="0.35">
      <c r="A85" s="92"/>
      <c r="B85" s="94"/>
      <c r="C85" s="94" t="s">
        <v>237</v>
      </c>
      <c r="D85" s="95">
        <v>1.3620681150483588E-3</v>
      </c>
      <c r="E85" s="96">
        <f t="shared" si="23"/>
        <v>0.83053192969565726</v>
      </c>
      <c r="F85" s="95">
        <f t="shared" si="24"/>
        <v>1.0952354425208363E-3</v>
      </c>
      <c r="G85" s="94" t="s">
        <v>9</v>
      </c>
      <c r="H85" s="94" t="s">
        <v>281</v>
      </c>
      <c r="I85" s="219">
        <v>30</v>
      </c>
      <c r="J85" s="219">
        <v>58</v>
      </c>
      <c r="K85" s="219">
        <v>0</v>
      </c>
      <c r="L85" s="219">
        <v>10</v>
      </c>
      <c r="M85" s="219">
        <v>1</v>
      </c>
      <c r="N85" s="219">
        <v>0</v>
      </c>
      <c r="O85" s="97">
        <f t="shared" si="19"/>
        <v>609.75800000000004</v>
      </c>
      <c r="P85" s="94">
        <v>0</v>
      </c>
      <c r="Q85" s="97">
        <f t="shared" si="25"/>
        <v>609.75800000000004</v>
      </c>
      <c r="R85" s="162">
        <f t="shared" si="26"/>
        <v>3.3973857883385326E-4</v>
      </c>
      <c r="S85" s="91">
        <f t="shared" si="31"/>
        <v>2.071583163525727E-4</v>
      </c>
      <c r="V85" s="284">
        <f t="shared" si="34"/>
        <v>2.8877779200877528E-4</v>
      </c>
      <c r="W85" s="290">
        <f t="shared" si="35"/>
        <v>5.0960786825077985E-5</v>
      </c>
    </row>
    <row r="86" spans="1:23" x14ac:dyDescent="0.35">
      <c r="A86" s="92"/>
      <c r="B86" s="94"/>
      <c r="C86" s="94" t="s">
        <v>238</v>
      </c>
      <c r="D86" s="95">
        <v>1.1239762986347756E-2</v>
      </c>
      <c r="E86" s="96">
        <f t="shared" si="23"/>
        <v>7.4841760206674355</v>
      </c>
      <c r="F86" s="95">
        <f t="shared" si="24"/>
        <v>9.8694999467428563E-3</v>
      </c>
      <c r="G86" s="94" t="s">
        <v>9</v>
      </c>
      <c r="H86" s="94" t="s">
        <v>282</v>
      </c>
      <c r="I86" s="219">
        <v>34</v>
      </c>
      <c r="J86" s="219">
        <v>66</v>
      </c>
      <c r="K86" s="219">
        <v>0</v>
      </c>
      <c r="L86" s="219">
        <v>10</v>
      </c>
      <c r="M86" s="219">
        <v>1</v>
      </c>
      <c r="N86" s="219">
        <v>0</v>
      </c>
      <c r="O86" s="97">
        <f t="shared" si="19"/>
        <v>665.8660000000001</v>
      </c>
      <c r="P86" s="94">
        <v>0</v>
      </c>
      <c r="Q86" s="97">
        <f t="shared" si="25"/>
        <v>665.8660000000001</v>
      </c>
      <c r="R86" s="162">
        <f t="shared" si="26"/>
        <v>2.8035169909807027E-3</v>
      </c>
      <c r="S86" s="91">
        <f t="shared" si="31"/>
        <v>1.8667666447163569E-3</v>
      </c>
      <c r="V86" s="284">
        <f t="shared" si="34"/>
        <v>2.3829894423335971E-3</v>
      </c>
      <c r="W86" s="290">
        <f t="shared" si="35"/>
        <v>4.2052754864710542E-4</v>
      </c>
    </row>
    <row r="87" spans="1:23" x14ac:dyDescent="0.35">
      <c r="A87" s="92"/>
      <c r="B87" s="94"/>
      <c r="C87" s="94" t="s">
        <v>239</v>
      </c>
      <c r="D87" s="95">
        <v>6.9958796998297948E-2</v>
      </c>
      <c r="E87" s="96">
        <f t="shared" si="23"/>
        <v>50.508432504049168</v>
      </c>
      <c r="F87" s="95">
        <f t="shared" si="24"/>
        <v>6.6606259731491854E-2</v>
      </c>
      <c r="G87" s="94" t="s">
        <v>9</v>
      </c>
      <c r="H87" s="94" t="s">
        <v>283</v>
      </c>
      <c r="I87" s="219">
        <v>38</v>
      </c>
      <c r="J87" s="219">
        <v>74</v>
      </c>
      <c r="K87" s="219">
        <v>0</v>
      </c>
      <c r="L87" s="219">
        <v>10</v>
      </c>
      <c r="M87" s="219">
        <v>1</v>
      </c>
      <c r="N87" s="219">
        <v>0</v>
      </c>
      <c r="O87" s="97">
        <f t="shared" si="19"/>
        <v>721.97400000000005</v>
      </c>
      <c r="P87" s="94">
        <v>0</v>
      </c>
      <c r="Q87" s="97">
        <f t="shared" si="25"/>
        <v>721.97400000000005</v>
      </c>
      <c r="R87" s="162">
        <f t="shared" si="26"/>
        <v>1.7449716358923749E-2</v>
      </c>
      <c r="S87" s="91">
        <f t="shared" si="31"/>
        <v>1.2598241518517616E-2</v>
      </c>
      <c r="V87" s="284">
        <f t="shared" si="34"/>
        <v>1.4832258905085187E-2</v>
      </c>
      <c r="W87" s="290">
        <f t="shared" si="35"/>
        <v>2.6174574538385623E-3</v>
      </c>
    </row>
    <row r="88" spans="1:23" x14ac:dyDescent="0.35">
      <c r="A88" s="92"/>
      <c r="B88" s="94"/>
      <c r="C88" s="94" t="s">
        <v>240</v>
      </c>
      <c r="D88" s="95">
        <v>2.5977641308834103E-2</v>
      </c>
      <c r="E88" s="96">
        <f t="shared" si="23"/>
        <v>18.650439756546973</v>
      </c>
      <c r="F88" s="95">
        <f t="shared" si="24"/>
        <v>2.4594626539469852E-2</v>
      </c>
      <c r="G88" s="94" t="s">
        <v>9</v>
      </c>
      <c r="H88" s="94" t="s">
        <v>284</v>
      </c>
      <c r="I88" s="219">
        <v>38</v>
      </c>
      <c r="J88" s="219">
        <v>70</v>
      </c>
      <c r="K88" s="219">
        <v>0</v>
      </c>
      <c r="L88" s="219">
        <v>10</v>
      </c>
      <c r="M88" s="219">
        <v>1</v>
      </c>
      <c r="N88" s="219">
        <v>0</v>
      </c>
      <c r="O88" s="97">
        <f t="shared" si="19"/>
        <v>717.94200000000001</v>
      </c>
      <c r="P88" s="94">
        <v>0</v>
      </c>
      <c r="Q88" s="97">
        <f t="shared" si="25"/>
        <v>717.94200000000001</v>
      </c>
      <c r="R88" s="162">
        <f t="shared" si="26"/>
        <v>6.4795635711695299E-3</v>
      </c>
      <c r="S88" s="91">
        <f t="shared" si="31"/>
        <v>4.6519508294125952E-3</v>
      </c>
      <c r="V88" s="284">
        <f t="shared" si="34"/>
        <v>5.5076290354940998E-3</v>
      </c>
      <c r="W88" s="290">
        <f t="shared" si="35"/>
        <v>9.719345356754294E-4</v>
      </c>
    </row>
    <row r="89" spans="1:23" x14ac:dyDescent="0.35">
      <c r="A89" s="92"/>
      <c r="B89" s="94"/>
      <c r="C89" s="94" t="s">
        <v>241</v>
      </c>
      <c r="D89" s="95">
        <v>2.1938837348119129E-3</v>
      </c>
      <c r="E89" s="96">
        <f t="shared" si="23"/>
        <v>1.7070214441499227</v>
      </c>
      <c r="F89" s="95">
        <f t="shared" si="24"/>
        <v>2.2510758706907226E-3</v>
      </c>
      <c r="G89" s="94" t="s">
        <v>9</v>
      </c>
      <c r="H89" s="94" t="s">
        <v>285</v>
      </c>
      <c r="I89" s="219">
        <v>42</v>
      </c>
      <c r="J89" s="219">
        <v>82</v>
      </c>
      <c r="K89" s="219">
        <v>0</v>
      </c>
      <c r="L89" s="219">
        <v>10</v>
      </c>
      <c r="M89" s="219">
        <v>1</v>
      </c>
      <c r="N89" s="219">
        <v>0</v>
      </c>
      <c r="O89" s="97">
        <f t="shared" si="19"/>
        <v>778.08199999999999</v>
      </c>
      <c r="P89" s="94">
        <v>0</v>
      </c>
      <c r="Q89" s="97">
        <f t="shared" si="25"/>
        <v>778.08199999999999</v>
      </c>
      <c r="R89" s="162">
        <f t="shared" si="26"/>
        <v>5.4721708404813706E-4</v>
      </c>
      <c r="S89" s="91">
        <f t="shared" si="31"/>
        <v>4.2577976319034256E-4</v>
      </c>
      <c r="V89" s="284">
        <f t="shared" si="34"/>
        <v>4.6513452144091651E-4</v>
      </c>
      <c r="W89" s="290">
        <f t="shared" si="35"/>
        <v>8.2082562607220554E-5</v>
      </c>
    </row>
    <row r="90" spans="1:23" x14ac:dyDescent="0.35">
      <c r="A90" s="92"/>
      <c r="B90" s="94"/>
      <c r="C90" s="94" t="s">
        <v>244</v>
      </c>
      <c r="D90" s="95">
        <v>8.8705177265823998E-3</v>
      </c>
      <c r="E90" s="96">
        <f t="shared" si="23"/>
        <v>6.8662242462611074</v>
      </c>
      <c r="F90" s="95">
        <f t="shared" si="24"/>
        <v>9.0545972790676225E-3</v>
      </c>
      <c r="G90" s="94" t="s">
        <v>9</v>
      </c>
      <c r="H90" s="94" t="s">
        <v>286</v>
      </c>
      <c r="I90" s="219">
        <v>42</v>
      </c>
      <c r="J90" s="219">
        <v>78</v>
      </c>
      <c r="K90" s="219">
        <v>0</v>
      </c>
      <c r="L90" s="219">
        <v>10</v>
      </c>
      <c r="M90" s="219">
        <v>1</v>
      </c>
      <c r="N90" s="219">
        <v>0</v>
      </c>
      <c r="O90" s="97">
        <f t="shared" si="19"/>
        <v>774.05000000000007</v>
      </c>
      <c r="P90" s="94">
        <v>0</v>
      </c>
      <c r="Q90" s="97">
        <f t="shared" si="25"/>
        <v>774.05000000000007</v>
      </c>
      <c r="R90" s="162">
        <f t="shared" si="26"/>
        <v>2.2125597484106809E-3</v>
      </c>
      <c r="S90" s="91">
        <f t="shared" si="31"/>
        <v>1.7126318732572877E-3</v>
      </c>
      <c r="V90" s="284">
        <f t="shared" si="34"/>
        <v>1.8806757861490786E-3</v>
      </c>
      <c r="W90" s="290">
        <f t="shared" si="35"/>
        <v>3.318839622616021E-4</v>
      </c>
    </row>
    <row r="91" spans="1:23" x14ac:dyDescent="0.35">
      <c r="A91" s="92"/>
      <c r="B91" s="94"/>
      <c r="C91" s="94" t="s">
        <v>243</v>
      </c>
      <c r="D91" s="95">
        <v>2.9887073253099316E-2</v>
      </c>
      <c r="E91" s="96">
        <f t="shared" si="23"/>
        <v>23.013584372205031</v>
      </c>
      <c r="F91" s="95">
        <f>E91/$B$50</f>
        <v>3.0348373569597603E-2</v>
      </c>
      <c r="G91" s="94" t="s">
        <v>9</v>
      </c>
      <c r="H91" s="94" t="s">
        <v>287</v>
      </c>
      <c r="I91" s="219">
        <v>42</v>
      </c>
      <c r="J91" s="219">
        <v>74</v>
      </c>
      <c r="K91" s="219">
        <v>0</v>
      </c>
      <c r="L91" s="219">
        <v>10</v>
      </c>
      <c r="M91" s="219">
        <v>1</v>
      </c>
      <c r="N91" s="219">
        <v>0</v>
      </c>
      <c r="O91" s="97">
        <f t="shared" si="19"/>
        <v>770.01800000000003</v>
      </c>
      <c r="P91" s="94">
        <v>0</v>
      </c>
      <c r="Q91" s="97">
        <f t="shared" si="25"/>
        <v>770.01800000000003</v>
      </c>
      <c r="R91" s="162">
        <f t="shared" si="26"/>
        <v>7.4546872365121985E-3</v>
      </c>
      <c r="S91" s="91">
        <f t="shared" si="31"/>
        <v>5.7402433564846499E-3</v>
      </c>
      <c r="V91" s="284">
        <f t="shared" si="34"/>
        <v>6.336484151035369E-3</v>
      </c>
      <c r="W91" s="290">
        <f t="shared" si="35"/>
        <v>1.1182030854768297E-3</v>
      </c>
    </row>
    <row r="92" spans="1:23" x14ac:dyDescent="0.35">
      <c r="A92" s="92"/>
      <c r="B92" s="94"/>
      <c r="C92" s="94" t="s">
        <v>242</v>
      </c>
      <c r="D92" s="95">
        <v>4.5191030020818E-2</v>
      </c>
      <c r="E92" s="96">
        <f t="shared" si="23"/>
        <v>34.615696321526293</v>
      </c>
      <c r="F92" s="95">
        <f t="shared" si="24"/>
        <v>4.5648260016645542E-2</v>
      </c>
      <c r="G92" s="94" t="s">
        <v>9</v>
      </c>
      <c r="H92" s="94" t="s">
        <v>288</v>
      </c>
      <c r="I92" s="219">
        <v>42</v>
      </c>
      <c r="J92" s="219">
        <v>70</v>
      </c>
      <c r="K92" s="219">
        <v>0</v>
      </c>
      <c r="L92" s="219">
        <v>10</v>
      </c>
      <c r="M92" s="219">
        <v>1</v>
      </c>
      <c r="N92" s="219">
        <v>0</v>
      </c>
      <c r="O92" s="97">
        <f t="shared" si="19"/>
        <v>765.98599999999999</v>
      </c>
      <c r="P92" s="94">
        <v>0</v>
      </c>
      <c r="Q92" s="97">
        <f t="shared" si="25"/>
        <v>765.98599999999999</v>
      </c>
      <c r="R92" s="162">
        <f t="shared" si="26"/>
        <v>1.12719299025406E-2</v>
      </c>
      <c r="S92" s="91">
        <f t="shared" si="31"/>
        <v>8.6341404983274628E-3</v>
      </c>
      <c r="V92" s="285">
        <f t="shared" si="34"/>
        <v>9.5811404171595102E-3</v>
      </c>
      <c r="W92" s="291">
        <f t="shared" si="35"/>
        <v>1.69078948538109E-3</v>
      </c>
    </row>
    <row r="93" spans="1:23" x14ac:dyDescent="0.35">
      <c r="A93" s="101" t="s">
        <v>10</v>
      </c>
      <c r="B93" s="66">
        <f>'General composition'!J54</f>
        <v>0.19842557319620591</v>
      </c>
      <c r="C93" s="67" t="s">
        <v>824</v>
      </c>
      <c r="D93" s="66">
        <v>0.49741187974147488</v>
      </c>
      <c r="E93" s="66">
        <f>D93*O93</f>
        <v>170.26259419986764</v>
      </c>
      <c r="F93" s="66">
        <f>E93/$B$94</f>
        <v>0.28539316400592235</v>
      </c>
      <c r="G93" s="67" t="s">
        <v>10</v>
      </c>
      <c r="H93" s="67" t="s">
        <v>825</v>
      </c>
      <c r="I93" s="220">
        <v>12</v>
      </c>
      <c r="J93" s="220">
        <v>22</v>
      </c>
      <c r="K93" s="220">
        <v>0</v>
      </c>
      <c r="L93" s="220">
        <v>11</v>
      </c>
      <c r="M93" s="220">
        <v>0</v>
      </c>
      <c r="N93" s="220">
        <v>0</v>
      </c>
      <c r="O93" s="68">
        <f t="shared" si="19"/>
        <v>342.29700000000003</v>
      </c>
      <c r="P93" s="67">
        <v>0</v>
      </c>
      <c r="Q93" s="68">
        <f t="shared" si="25"/>
        <v>342.29700000000003</v>
      </c>
      <c r="R93" s="163">
        <f>B$93*F93*1000/Q93</f>
        <v>0.16543908405318755</v>
      </c>
      <c r="S93" s="69">
        <f t="shared" si="31"/>
        <v>5.6629302154153939E-2</v>
      </c>
      <c r="V93" s="283">
        <f>R93*$V$3</f>
        <v>0.14062322144520942</v>
      </c>
      <c r="W93" s="289">
        <f>R93*$W$3</f>
        <v>2.4815862607978131E-2</v>
      </c>
    </row>
    <row r="94" spans="1:23" x14ac:dyDescent="0.35">
      <c r="A94" s="247"/>
      <c r="B94" s="248">
        <f>SUM(E93:E96)</f>
        <v>596.58960225247165</v>
      </c>
      <c r="C94" s="253" t="s">
        <v>652</v>
      </c>
      <c r="D94" s="254">
        <v>0.19866273146059482</v>
      </c>
      <c r="E94" s="254">
        <f t="shared" ref="E94:E96" si="36">D94*O94</f>
        <v>96.634121825256912</v>
      </c>
      <c r="F94" s="254">
        <f t="shared" ref="F94:F96" si="37">E94/$B$94</f>
        <v>0.16197754949199095</v>
      </c>
      <c r="G94" s="253" t="s">
        <v>10</v>
      </c>
      <c r="H94" s="253" t="s">
        <v>766</v>
      </c>
      <c r="I94" s="249">
        <v>18</v>
      </c>
      <c r="J94" s="249">
        <v>30</v>
      </c>
      <c r="K94" s="249">
        <v>0</v>
      </c>
      <c r="L94" s="249">
        <v>15</v>
      </c>
      <c r="M94" s="249">
        <v>0</v>
      </c>
      <c r="N94" s="249">
        <v>0</v>
      </c>
      <c r="O94" s="255">
        <f t="shared" si="19"/>
        <v>486.423</v>
      </c>
      <c r="P94" s="253">
        <v>0</v>
      </c>
      <c r="Q94" s="255">
        <f t="shared" si="25"/>
        <v>486.423</v>
      </c>
      <c r="R94" s="256">
        <f>B$93*F94*1000/Q94</f>
        <v>6.6075181689322082E-2</v>
      </c>
      <c r="S94" s="257">
        <f t="shared" si="31"/>
        <v>3.2140488102865114E-2</v>
      </c>
      <c r="V94" s="284">
        <f t="shared" ref="V94:V96" si="38">R94*$V$3</f>
        <v>5.616390443592377E-2</v>
      </c>
      <c r="W94" s="290">
        <f t="shared" ref="W94:W96" si="39">R94*$W$3</f>
        <v>9.9112772533983123E-3</v>
      </c>
    </row>
    <row r="95" spans="1:23" ht="29" x14ac:dyDescent="0.35">
      <c r="A95" s="247"/>
      <c r="B95" s="248" t="s">
        <v>83</v>
      </c>
      <c r="C95" s="258" t="s">
        <v>757</v>
      </c>
      <c r="D95" s="254">
        <v>6.8743164088942529E-2</v>
      </c>
      <c r="E95" s="254">
        <f t="shared" si="36"/>
        <v>96.634121825256912</v>
      </c>
      <c r="F95" s="254">
        <f t="shared" si="37"/>
        <v>0.16197754949199095</v>
      </c>
      <c r="G95" s="253" t="s">
        <v>10</v>
      </c>
      <c r="H95" s="253" t="s">
        <v>767</v>
      </c>
      <c r="I95" s="249">
        <v>68</v>
      </c>
      <c r="J95" s="249">
        <v>130</v>
      </c>
      <c r="K95" s="249">
        <v>2</v>
      </c>
      <c r="L95" s="249">
        <v>23</v>
      </c>
      <c r="M95" s="249">
        <v>2</v>
      </c>
      <c r="N95" s="249">
        <v>0</v>
      </c>
      <c r="O95" s="255">
        <f t="shared" si="19"/>
        <v>1405.7269999999999</v>
      </c>
      <c r="P95" s="253">
        <v>0</v>
      </c>
      <c r="Q95" s="255">
        <f t="shared" si="25"/>
        <v>1405.7269999999999</v>
      </c>
      <c r="R95" s="256">
        <f>B$93*F95*1000/Q95</f>
        <v>2.2863961567832956E-2</v>
      </c>
      <c r="S95" s="257">
        <f t="shared" si="31"/>
        <v>3.2140488102865114E-2</v>
      </c>
      <c r="V95" s="284">
        <f t="shared" si="38"/>
        <v>1.9434367332658013E-2</v>
      </c>
      <c r="W95" s="290">
        <f t="shared" si="39"/>
        <v>3.4295942351749435E-3</v>
      </c>
    </row>
    <row r="96" spans="1:23" x14ac:dyDescent="0.35">
      <c r="A96" s="102"/>
      <c r="B96" s="103"/>
      <c r="C96" s="104" t="s">
        <v>290</v>
      </c>
      <c r="D96" s="105">
        <v>0.23518222470898764</v>
      </c>
      <c r="E96" s="105">
        <f t="shared" si="36"/>
        <v>233.05876440209019</v>
      </c>
      <c r="F96" s="105">
        <f t="shared" si="37"/>
        <v>0.39065173701009576</v>
      </c>
      <c r="G96" s="104" t="s">
        <v>10</v>
      </c>
      <c r="H96" s="104" t="s">
        <v>302</v>
      </c>
      <c r="I96" s="221">
        <v>40</v>
      </c>
      <c r="J96" s="221">
        <v>62</v>
      </c>
      <c r="K96" s="221">
        <v>8</v>
      </c>
      <c r="L96" s="221">
        <v>21</v>
      </c>
      <c r="M96" s="221">
        <v>0</v>
      </c>
      <c r="N96" s="221">
        <v>0</v>
      </c>
      <c r="O96" s="106">
        <f t="shared" si="19"/>
        <v>990.971</v>
      </c>
      <c r="P96" s="104">
        <v>0</v>
      </c>
      <c r="Q96" s="106">
        <f t="shared" si="25"/>
        <v>990.971</v>
      </c>
      <c r="R96" s="164">
        <f>B$93*F96*1000/Q96</f>
        <v>7.8221557276975537E-2</v>
      </c>
      <c r="S96" s="107">
        <f t="shared" si="31"/>
        <v>7.7515294836321733E-2</v>
      </c>
      <c r="V96" s="285">
        <f t="shared" si="38"/>
        <v>6.6488323685429201E-2</v>
      </c>
      <c r="W96" s="291">
        <f t="shared" si="39"/>
        <v>1.173323359154633E-2</v>
      </c>
    </row>
    <row r="97" spans="1:23" x14ac:dyDescent="0.35">
      <c r="A97" s="265" t="s">
        <v>655</v>
      </c>
      <c r="B97" s="266">
        <f>'General composition'!J60</f>
        <v>3.3943038435786535E-3</v>
      </c>
      <c r="C97" s="267" t="s">
        <v>660</v>
      </c>
      <c r="D97" s="267"/>
      <c r="E97" s="267"/>
      <c r="F97" s="266">
        <v>2.9322000636878478E-2</v>
      </c>
      <c r="G97" s="267" t="s">
        <v>662</v>
      </c>
      <c r="H97" s="267" t="s">
        <v>792</v>
      </c>
      <c r="I97" s="268">
        <v>20</v>
      </c>
      <c r="J97" s="268">
        <v>23</v>
      </c>
      <c r="K97" s="268">
        <v>7</v>
      </c>
      <c r="L97" s="268">
        <v>7</v>
      </c>
      <c r="M97" s="268">
        <v>0</v>
      </c>
      <c r="N97" s="268">
        <v>0</v>
      </c>
      <c r="O97" s="269">
        <f t="shared" si="19"/>
        <v>473.44599999999997</v>
      </c>
      <c r="P97" s="267">
        <v>0</v>
      </c>
      <c r="Q97" s="269">
        <f>O97-P97</f>
        <v>473.44599999999997</v>
      </c>
      <c r="R97" s="270">
        <f>B$97*F97*1000/Q97</f>
        <v>2.1021991835008078E-4</v>
      </c>
      <c r="S97" s="271">
        <f t="shared" si="31"/>
        <v>9.9527779463172349E-5</v>
      </c>
      <c r="V97" s="283">
        <f>R97*$V$3</f>
        <v>1.7868693059756865E-4</v>
      </c>
      <c r="W97" s="289">
        <f>R97*$W$3</f>
        <v>3.1532987752512116E-5</v>
      </c>
    </row>
    <row r="98" spans="1:23" x14ac:dyDescent="0.35">
      <c r="A98" s="272"/>
      <c r="B98" s="273"/>
      <c r="C98" s="273" t="s">
        <v>666</v>
      </c>
      <c r="D98" s="273"/>
      <c r="E98" s="273"/>
      <c r="F98" s="274">
        <v>2.8514981655770998E-2</v>
      </c>
      <c r="G98" s="273" t="s">
        <v>662</v>
      </c>
      <c r="H98" s="273" t="s">
        <v>793</v>
      </c>
      <c r="I98" s="275">
        <v>20</v>
      </c>
      <c r="J98" s="275">
        <v>25</v>
      </c>
      <c r="K98" s="275">
        <v>7</v>
      </c>
      <c r="L98" s="275">
        <v>6</v>
      </c>
      <c r="M98" s="275">
        <v>0</v>
      </c>
      <c r="N98" s="275">
        <v>0</v>
      </c>
      <c r="O98" s="276">
        <f t="shared" si="19"/>
        <v>459.46299999999997</v>
      </c>
      <c r="P98" s="273">
        <v>0</v>
      </c>
      <c r="Q98" s="276">
        <f t="shared" ref="Q98:Q155" si="40">O98-P98</f>
        <v>459.46299999999997</v>
      </c>
      <c r="R98" s="277">
        <f t="shared" ref="R98:R126" si="41">B$97*F98*1000/Q98</f>
        <v>2.1065572599699719E-4</v>
      </c>
      <c r="S98" s="278">
        <f t="shared" si="31"/>
        <v>9.6788511833758301E-5</v>
      </c>
      <c r="V98" s="284">
        <f t="shared" ref="V98:V116" si="42">R98*$V$3</f>
        <v>1.7905736709744762E-4</v>
      </c>
      <c r="W98" s="290">
        <f t="shared" ref="W98:W116" si="43">R98*$W$3</f>
        <v>3.1598358899549577E-5</v>
      </c>
    </row>
    <row r="99" spans="1:23" x14ac:dyDescent="0.35">
      <c r="A99" s="272"/>
      <c r="B99" s="273"/>
      <c r="C99" s="273" t="s">
        <v>668</v>
      </c>
      <c r="D99" s="273"/>
      <c r="E99" s="273"/>
      <c r="F99" s="274">
        <v>6.2629104541061978E-2</v>
      </c>
      <c r="G99" s="273" t="s">
        <v>662</v>
      </c>
      <c r="H99" s="273" t="s">
        <v>794</v>
      </c>
      <c r="I99" s="275">
        <v>23</v>
      </c>
      <c r="J99" s="275">
        <v>38</v>
      </c>
      <c r="K99" s="275">
        <v>7</v>
      </c>
      <c r="L99" s="275">
        <v>17</v>
      </c>
      <c r="M99" s="275">
        <v>3</v>
      </c>
      <c r="N99" s="275">
        <v>1</v>
      </c>
      <c r="O99" s="276">
        <f t="shared" si="19"/>
        <v>809.577</v>
      </c>
      <c r="P99" s="273">
        <v>0</v>
      </c>
      <c r="Q99" s="276">
        <f t="shared" si="40"/>
        <v>809.577</v>
      </c>
      <c r="R99" s="277">
        <f t="shared" si="41"/>
        <v>2.6258430052189719E-4</v>
      </c>
      <c r="S99" s="278">
        <f t="shared" si="31"/>
        <v>2.1258221026361596E-4</v>
      </c>
      <c r="V99" s="284">
        <f t="shared" si="42"/>
        <v>2.231966554436126E-4</v>
      </c>
      <c r="W99" s="290">
        <f t="shared" si="43"/>
        <v>3.9387645078284579E-5</v>
      </c>
    </row>
    <row r="100" spans="1:23" x14ac:dyDescent="0.35">
      <c r="A100" s="272"/>
      <c r="B100" s="273"/>
      <c r="C100" s="273" t="s">
        <v>670</v>
      </c>
      <c r="D100" s="273"/>
      <c r="E100" s="273"/>
      <c r="F100" s="274">
        <v>4.1774772553229797E-4</v>
      </c>
      <c r="G100" s="273" t="s">
        <v>672</v>
      </c>
      <c r="H100" s="273" t="s">
        <v>314</v>
      </c>
      <c r="I100" s="275">
        <v>72</v>
      </c>
      <c r="J100" s="275">
        <v>102</v>
      </c>
      <c r="K100" s="275">
        <v>18</v>
      </c>
      <c r="L100" s="275">
        <v>17</v>
      </c>
      <c r="M100" s="275">
        <v>1</v>
      </c>
      <c r="N100" s="275">
        <v>0</v>
      </c>
      <c r="O100" s="276">
        <f>(I100*12.011)+(J100*1.008)+(L100*15.999)+(14.007*K100)+(M100*30.974)+(N100*32.066)+58.933</f>
        <v>1581.6239999999998</v>
      </c>
      <c r="P100" s="273">
        <v>0</v>
      </c>
      <c r="Q100" s="276">
        <f t="shared" si="40"/>
        <v>1581.6239999999998</v>
      </c>
      <c r="R100" s="277">
        <f t="shared" si="41"/>
        <v>8.9652326369637778E-7</v>
      </c>
      <c r="S100" s="278">
        <f t="shared" si="31"/>
        <v>1.4179627104205195E-6</v>
      </c>
      <c r="V100" s="284">
        <f t="shared" si="42"/>
        <v>7.6204477414192108E-7</v>
      </c>
      <c r="W100" s="290">
        <f t="shared" si="43"/>
        <v>1.3447848955445667E-7</v>
      </c>
    </row>
    <row r="101" spans="1:23" x14ac:dyDescent="0.35">
      <c r="A101" s="272"/>
      <c r="B101" s="273"/>
      <c r="C101" s="273" t="s">
        <v>673</v>
      </c>
      <c r="D101" s="273"/>
      <c r="E101" s="273"/>
      <c r="F101" s="274">
        <v>2.4845113375055433E-2</v>
      </c>
      <c r="G101" s="273" t="s">
        <v>662</v>
      </c>
      <c r="H101" s="273" t="s">
        <v>795</v>
      </c>
      <c r="I101" s="275">
        <v>15</v>
      </c>
      <c r="J101" s="275">
        <v>22</v>
      </c>
      <c r="K101" s="275">
        <v>6</v>
      </c>
      <c r="L101" s="275">
        <v>5</v>
      </c>
      <c r="M101" s="275">
        <v>0</v>
      </c>
      <c r="N101" s="275">
        <v>1</v>
      </c>
      <c r="O101" s="276">
        <f t="shared" si="19"/>
        <v>398.44400000000007</v>
      </c>
      <c r="P101" s="273">
        <v>0</v>
      </c>
      <c r="Q101" s="276">
        <f t="shared" si="40"/>
        <v>398.44400000000007</v>
      </c>
      <c r="R101" s="277">
        <f t="shared" si="41"/>
        <v>2.1165298968763002E-4</v>
      </c>
      <c r="S101" s="278">
        <f t="shared" si="31"/>
        <v>8.433186382309807E-5</v>
      </c>
      <c r="V101" s="284">
        <f t="shared" si="42"/>
        <v>1.799050412344855E-4</v>
      </c>
      <c r="W101" s="290">
        <f t="shared" si="43"/>
        <v>3.17479484531445E-5</v>
      </c>
    </row>
    <row r="102" spans="1:23" x14ac:dyDescent="0.35">
      <c r="A102" s="272"/>
      <c r="B102" s="273"/>
      <c r="C102" s="273" t="s">
        <v>675</v>
      </c>
      <c r="D102" s="273"/>
      <c r="E102" s="273"/>
      <c r="F102" s="274">
        <v>5.0129727063875753E-5</v>
      </c>
      <c r="G102" s="273" t="s">
        <v>672</v>
      </c>
      <c r="H102" s="273" t="s">
        <v>796</v>
      </c>
      <c r="I102" s="275">
        <v>10</v>
      </c>
      <c r="J102" s="275">
        <v>16</v>
      </c>
      <c r="K102" s="275">
        <v>2</v>
      </c>
      <c r="L102" s="275">
        <v>3</v>
      </c>
      <c r="M102" s="275">
        <v>0</v>
      </c>
      <c r="N102" s="275">
        <v>1</v>
      </c>
      <c r="O102" s="276">
        <f t="shared" ref="O102:O125" si="44">(I102*12.011)+(J102*1.008)+(L102*15.999)+(14.007*K102)+(M102*30.974)+(N102*32.066)</f>
        <v>244.31500000000003</v>
      </c>
      <c r="P102" s="273">
        <v>0</v>
      </c>
      <c r="Q102" s="276">
        <f t="shared" si="40"/>
        <v>244.31500000000003</v>
      </c>
      <c r="R102" s="277">
        <f t="shared" si="41"/>
        <v>6.9645959212681299E-7</v>
      </c>
      <c r="S102" s="278">
        <f t="shared" si="31"/>
        <v>1.7015552525046232E-7</v>
      </c>
      <c r="V102" s="284">
        <f t="shared" si="42"/>
        <v>5.91990653307791E-7</v>
      </c>
      <c r="W102" s="290">
        <f t="shared" si="43"/>
        <v>1.0446893881902195E-7</v>
      </c>
    </row>
    <row r="103" spans="1:23" x14ac:dyDescent="0.35">
      <c r="A103" s="272"/>
      <c r="B103" s="273"/>
      <c r="C103" s="273" t="s">
        <v>677</v>
      </c>
      <c r="D103" s="273"/>
      <c r="E103" s="273"/>
      <c r="F103" s="274">
        <v>1.3942800073749602E-2</v>
      </c>
      <c r="G103" s="273" t="s">
        <v>662</v>
      </c>
      <c r="H103" s="273" t="s">
        <v>797</v>
      </c>
      <c r="I103" s="275">
        <v>10</v>
      </c>
      <c r="J103" s="275">
        <v>10</v>
      </c>
      <c r="K103" s="275">
        <v>0</v>
      </c>
      <c r="L103" s="275">
        <v>6</v>
      </c>
      <c r="M103" s="275">
        <v>0</v>
      </c>
      <c r="N103" s="275">
        <v>0</v>
      </c>
      <c r="O103" s="276">
        <f t="shared" si="44"/>
        <v>226.184</v>
      </c>
      <c r="P103" s="273">
        <v>0</v>
      </c>
      <c r="Q103" s="276">
        <f t="shared" si="40"/>
        <v>226.184</v>
      </c>
      <c r="R103" s="277">
        <f t="shared" si="41"/>
        <v>2.0923716920992206E-4</v>
      </c>
      <c r="S103" s="278">
        <f t="shared" si="31"/>
        <v>4.7326099880577008E-5</v>
      </c>
      <c r="V103" s="284">
        <f t="shared" si="42"/>
        <v>1.7785159382843375E-4</v>
      </c>
      <c r="W103" s="290">
        <f t="shared" si="43"/>
        <v>3.138557538148831E-5</v>
      </c>
    </row>
    <row r="104" spans="1:23" x14ac:dyDescent="0.35">
      <c r="A104" s="272"/>
      <c r="B104" s="273"/>
      <c r="C104" s="273" t="s">
        <v>679</v>
      </c>
      <c r="D104" s="273"/>
      <c r="E104" s="273"/>
      <c r="F104" s="274">
        <v>3.5616499897538047E-2</v>
      </c>
      <c r="G104" s="273" t="s">
        <v>662</v>
      </c>
      <c r="H104" s="273" t="s">
        <v>799</v>
      </c>
      <c r="I104" s="275">
        <v>21</v>
      </c>
      <c r="J104" s="275">
        <v>36</v>
      </c>
      <c r="K104" s="275">
        <v>7</v>
      </c>
      <c r="L104" s="275">
        <v>16</v>
      </c>
      <c r="M104" s="275">
        <v>3</v>
      </c>
      <c r="N104" s="275">
        <v>1</v>
      </c>
      <c r="O104" s="276">
        <f t="shared" si="44"/>
        <v>767.54000000000008</v>
      </c>
      <c r="P104" s="273">
        <v>0</v>
      </c>
      <c r="Q104" s="276">
        <f t="shared" si="40"/>
        <v>767.54000000000008</v>
      </c>
      <c r="R104" s="277">
        <f t="shared" si="41"/>
        <v>1.5750739049043972E-4</v>
      </c>
      <c r="S104" s="278">
        <f t="shared" si="31"/>
        <v>1.2089322249703211E-4</v>
      </c>
      <c r="V104" s="284">
        <f t="shared" si="42"/>
        <v>1.3388128191687374E-4</v>
      </c>
      <c r="W104" s="290">
        <f t="shared" si="43"/>
        <v>2.3626108573565957E-5</v>
      </c>
    </row>
    <row r="105" spans="1:23" x14ac:dyDescent="0.35">
      <c r="A105" s="272"/>
      <c r="B105" s="273"/>
      <c r="C105" s="273" t="s">
        <v>681</v>
      </c>
      <c r="D105" s="273"/>
      <c r="E105" s="273"/>
      <c r="F105" s="274">
        <v>4.8734678957682791E-2</v>
      </c>
      <c r="G105" s="273" t="s">
        <v>662</v>
      </c>
      <c r="H105" s="273" t="s">
        <v>800</v>
      </c>
      <c r="I105" s="275">
        <v>27</v>
      </c>
      <c r="J105" s="275">
        <v>33</v>
      </c>
      <c r="K105" s="275">
        <v>9</v>
      </c>
      <c r="L105" s="275">
        <v>15</v>
      </c>
      <c r="M105" s="275">
        <v>2</v>
      </c>
      <c r="N105" s="275">
        <v>0</v>
      </c>
      <c r="O105" s="276">
        <f t="shared" si="44"/>
        <v>785.55700000000002</v>
      </c>
      <c r="P105" s="273">
        <v>0</v>
      </c>
      <c r="Q105" s="276">
        <f t="shared" si="40"/>
        <v>785.55700000000002</v>
      </c>
      <c r="R105" s="277">
        <f t="shared" si="41"/>
        <v>2.1057709128890001E-4</v>
      </c>
      <c r="S105" s="278">
        <f t="shared" si="31"/>
        <v>1.6542030810163443E-4</v>
      </c>
      <c r="V105" s="284">
        <f t="shared" si="42"/>
        <v>1.7899052759556499E-4</v>
      </c>
      <c r="W105" s="290">
        <f t="shared" si="43"/>
        <v>3.1586563693335003E-5</v>
      </c>
    </row>
    <row r="106" spans="1:23" x14ac:dyDescent="0.35">
      <c r="A106" s="272"/>
      <c r="B106" s="273"/>
      <c r="C106" s="273" t="s">
        <v>683</v>
      </c>
      <c r="D106" s="273"/>
      <c r="E106" s="273"/>
      <c r="F106" s="274">
        <v>4.1774772553229795E-3</v>
      </c>
      <c r="G106" s="273" t="s">
        <v>672</v>
      </c>
      <c r="H106" s="273" t="s">
        <v>801</v>
      </c>
      <c r="I106" s="275">
        <v>19</v>
      </c>
      <c r="J106" s="275">
        <v>19</v>
      </c>
      <c r="K106" s="275">
        <v>7</v>
      </c>
      <c r="L106" s="275">
        <v>6</v>
      </c>
      <c r="M106" s="275">
        <v>0</v>
      </c>
      <c r="N106" s="275">
        <v>0</v>
      </c>
      <c r="O106" s="276">
        <f t="shared" si="44"/>
        <v>441.404</v>
      </c>
      <c r="P106" s="273">
        <v>0</v>
      </c>
      <c r="Q106" s="276">
        <f t="shared" si="40"/>
        <v>441.404</v>
      </c>
      <c r="R106" s="277">
        <f t="shared" si="41"/>
        <v>3.2123920726149278E-5</v>
      </c>
      <c r="S106" s="278">
        <f t="shared" si="31"/>
        <v>1.4179627104205194E-5</v>
      </c>
      <c r="V106" s="284">
        <f t="shared" si="42"/>
        <v>2.7305332617226886E-5</v>
      </c>
      <c r="W106" s="290">
        <f t="shared" si="43"/>
        <v>4.8185881089223913E-6</v>
      </c>
    </row>
    <row r="107" spans="1:23" x14ac:dyDescent="0.35">
      <c r="A107" s="272"/>
      <c r="B107" s="273"/>
      <c r="C107" s="273" t="s">
        <v>687</v>
      </c>
      <c r="D107" s="273"/>
      <c r="E107" s="273"/>
      <c r="F107" s="274">
        <v>1.9052427535557727E-2</v>
      </c>
      <c r="G107" s="273" t="s">
        <v>662</v>
      </c>
      <c r="H107" s="273" t="s">
        <v>802</v>
      </c>
      <c r="I107" s="275">
        <v>10</v>
      </c>
      <c r="J107" s="275">
        <v>17</v>
      </c>
      <c r="K107" s="275">
        <v>3</v>
      </c>
      <c r="L107" s="275">
        <v>6</v>
      </c>
      <c r="M107" s="275">
        <v>0</v>
      </c>
      <c r="N107" s="275">
        <v>1</v>
      </c>
      <c r="O107" s="276">
        <f t="shared" si="44"/>
        <v>307.327</v>
      </c>
      <c r="P107" s="273">
        <v>0</v>
      </c>
      <c r="Q107" s="276">
        <f t="shared" si="40"/>
        <v>307.327</v>
      </c>
      <c r="R107" s="277">
        <f t="shared" si="41"/>
        <v>2.1042644484034064E-4</v>
      </c>
      <c r="S107" s="278">
        <f t="shared" si="31"/>
        <v>6.4669728013447365E-5</v>
      </c>
      <c r="V107" s="284">
        <f t="shared" si="42"/>
        <v>1.7886247811428954E-4</v>
      </c>
      <c r="W107" s="290">
        <f t="shared" si="43"/>
        <v>3.1563966726051094E-5</v>
      </c>
    </row>
    <row r="108" spans="1:23" x14ac:dyDescent="0.35">
      <c r="A108" s="272"/>
      <c r="B108" s="273"/>
      <c r="C108" s="273" t="s">
        <v>689</v>
      </c>
      <c r="D108" s="273"/>
      <c r="E108" s="273"/>
      <c r="F108" s="274">
        <v>5.205629444632754E-2</v>
      </c>
      <c r="G108" s="273" t="s">
        <v>662</v>
      </c>
      <c r="H108" s="273" t="s">
        <v>803</v>
      </c>
      <c r="I108" s="275">
        <v>49</v>
      </c>
      <c r="J108" s="275">
        <v>58</v>
      </c>
      <c r="K108" s="275">
        <v>4</v>
      </c>
      <c r="L108" s="275">
        <v>5</v>
      </c>
      <c r="M108" s="275">
        <v>0</v>
      </c>
      <c r="N108" s="275">
        <v>0</v>
      </c>
      <c r="O108" s="276">
        <f>(I108*12.011)+(J108*1.008)+(L108*15.999)+(14.007*K108)+(M108*30.974)+(N108*32.066)+55.845</f>
        <v>838.87099999999998</v>
      </c>
      <c r="P108" s="273">
        <v>0</v>
      </c>
      <c r="Q108" s="276">
        <f t="shared" si="40"/>
        <v>838.87099999999998</v>
      </c>
      <c r="R108" s="277">
        <f t="shared" si="41"/>
        <v>2.1063415033018389E-4</v>
      </c>
      <c r="S108" s="278">
        <f t="shared" si="31"/>
        <v>1.766948803216317E-4</v>
      </c>
      <c r="V108" s="284">
        <f t="shared" si="42"/>
        <v>1.7903902778065631E-4</v>
      </c>
      <c r="W108" s="290">
        <f t="shared" si="43"/>
        <v>3.1595122549527585E-5</v>
      </c>
    </row>
    <row r="109" spans="1:23" x14ac:dyDescent="0.35">
      <c r="A109" s="272"/>
      <c r="B109" s="273"/>
      <c r="C109" s="273" t="s">
        <v>691</v>
      </c>
      <c r="D109" s="273"/>
      <c r="E109" s="273"/>
      <c r="F109" s="274">
        <v>7.3889003443541905E-3</v>
      </c>
      <c r="G109" s="273" t="s">
        <v>662</v>
      </c>
      <c r="H109" s="273" t="s">
        <v>804</v>
      </c>
      <c r="I109" s="275">
        <v>24</v>
      </c>
      <c r="J109" s="275">
        <v>38</v>
      </c>
      <c r="K109" s="275">
        <v>7</v>
      </c>
      <c r="L109" s="275">
        <v>19</v>
      </c>
      <c r="M109" s="275">
        <v>3</v>
      </c>
      <c r="N109" s="275">
        <v>1</v>
      </c>
      <c r="O109" s="276">
        <f t="shared" si="44"/>
        <v>853.58600000000001</v>
      </c>
      <c r="P109" s="273">
        <v>0</v>
      </c>
      <c r="Q109" s="276">
        <f t="shared" si="40"/>
        <v>853.58600000000001</v>
      </c>
      <c r="R109" s="277">
        <f t="shared" si="41"/>
        <v>2.9382127680937909E-5</v>
      </c>
      <c r="S109" s="278">
        <f t="shared" si="31"/>
        <v>2.5080172838661064E-5</v>
      </c>
      <c r="V109" s="284">
        <f t="shared" si="42"/>
        <v>2.4974808528797223E-5</v>
      </c>
      <c r="W109" s="290">
        <f t="shared" si="43"/>
        <v>4.4073191521406864E-6</v>
      </c>
    </row>
    <row r="110" spans="1:23" x14ac:dyDescent="0.35">
      <c r="A110" s="272"/>
      <c r="B110" s="273"/>
      <c r="C110" s="273" t="s">
        <v>693</v>
      </c>
      <c r="D110" s="273"/>
      <c r="E110" s="273"/>
      <c r="F110" s="274">
        <v>2.8326894919827334E-2</v>
      </c>
      <c r="G110" s="273" t="s">
        <v>662</v>
      </c>
      <c r="H110" s="273" t="s">
        <v>805</v>
      </c>
      <c r="I110" s="275">
        <v>20</v>
      </c>
      <c r="J110" s="275">
        <v>23</v>
      </c>
      <c r="K110" s="275">
        <v>7</v>
      </c>
      <c r="L110" s="275">
        <v>6</v>
      </c>
      <c r="M110" s="275">
        <v>0</v>
      </c>
      <c r="N110" s="275">
        <v>0</v>
      </c>
      <c r="O110" s="276">
        <f t="shared" si="44"/>
        <v>457.447</v>
      </c>
      <c r="P110" s="273">
        <v>0</v>
      </c>
      <c r="Q110" s="276">
        <f t="shared" si="40"/>
        <v>457.447</v>
      </c>
      <c r="R110" s="277">
        <f t="shared" si="41"/>
        <v>2.1018847714165476E-4</v>
      </c>
      <c r="S110" s="278">
        <f t="shared" si="31"/>
        <v>9.6150088303018549E-5</v>
      </c>
      <c r="V110" s="284">
        <f t="shared" si="42"/>
        <v>1.7866020557040654E-4</v>
      </c>
      <c r="W110" s="290">
        <f t="shared" si="43"/>
        <v>3.152827157124821E-5</v>
      </c>
    </row>
    <row r="111" spans="1:23" x14ac:dyDescent="0.35">
      <c r="A111" s="272"/>
      <c r="B111" s="273"/>
      <c r="C111" s="273" t="s">
        <v>695</v>
      </c>
      <c r="D111" s="273"/>
      <c r="E111" s="273"/>
      <c r="F111" s="274">
        <v>2.1722881727679496E-2</v>
      </c>
      <c r="G111" s="273" t="s">
        <v>672</v>
      </c>
      <c r="H111" s="273" t="s">
        <v>788</v>
      </c>
      <c r="I111" s="275">
        <v>6</v>
      </c>
      <c r="J111" s="275">
        <v>5</v>
      </c>
      <c r="K111" s="275">
        <v>1</v>
      </c>
      <c r="L111" s="275">
        <v>2</v>
      </c>
      <c r="M111" s="275">
        <v>0</v>
      </c>
      <c r="N111" s="275">
        <v>0</v>
      </c>
      <c r="O111" s="276">
        <f t="shared" si="44"/>
        <v>123.11100000000002</v>
      </c>
      <c r="P111" s="273">
        <v>0</v>
      </c>
      <c r="Q111" s="276">
        <f t="shared" si="40"/>
        <v>123.11100000000002</v>
      </c>
      <c r="R111" s="277">
        <f t="shared" si="41"/>
        <v>5.9892341823124663E-4</v>
      </c>
      <c r="S111" s="278">
        <f t="shared" si="31"/>
        <v>7.3734060941867013E-5</v>
      </c>
      <c r="V111" s="284">
        <f t="shared" si="42"/>
        <v>5.090849054965596E-4</v>
      </c>
      <c r="W111" s="290">
        <f t="shared" si="43"/>
        <v>8.9838512734686986E-5</v>
      </c>
    </row>
    <row r="112" spans="1:23" x14ac:dyDescent="0.35">
      <c r="A112" s="272"/>
      <c r="B112" s="273"/>
      <c r="C112" s="273" t="s">
        <v>698</v>
      </c>
      <c r="D112" s="273"/>
      <c r="E112" s="273"/>
      <c r="F112" s="274">
        <v>0.32961056031024433</v>
      </c>
      <c r="G112" s="273" t="s">
        <v>662</v>
      </c>
      <c r="H112" s="273" t="s">
        <v>806</v>
      </c>
      <c r="I112" s="275">
        <v>21</v>
      </c>
      <c r="J112" s="275">
        <v>28</v>
      </c>
      <c r="K112" s="275">
        <v>7</v>
      </c>
      <c r="L112" s="275">
        <v>14</v>
      </c>
      <c r="M112" s="275">
        <v>2</v>
      </c>
      <c r="N112" s="275">
        <v>0</v>
      </c>
      <c r="O112" s="276">
        <f t="shared" si="44"/>
        <v>664.43799999999999</v>
      </c>
      <c r="P112" s="273">
        <v>0</v>
      </c>
      <c r="Q112" s="276">
        <f t="shared" si="40"/>
        <v>664.43799999999999</v>
      </c>
      <c r="R112" s="277">
        <f t="shared" si="41"/>
        <v>1.6838266200084519E-3</v>
      </c>
      <c r="S112" s="278">
        <f t="shared" si="31"/>
        <v>1.1187983917451759E-3</v>
      </c>
      <c r="V112" s="284">
        <f t="shared" si="42"/>
        <v>1.4312526270071841E-3</v>
      </c>
      <c r="W112" s="290">
        <f t="shared" si="43"/>
        <v>2.5257399300126777E-4</v>
      </c>
    </row>
    <row r="113" spans="1:23" x14ac:dyDescent="0.35">
      <c r="A113" s="272"/>
      <c r="B113" s="273"/>
      <c r="C113" s="273" t="s">
        <v>700</v>
      </c>
      <c r="D113" s="273"/>
      <c r="E113" s="273"/>
      <c r="F113" s="274">
        <v>8.2528031234856882E-3</v>
      </c>
      <c r="G113" s="273" t="s">
        <v>662</v>
      </c>
      <c r="H113" s="273" t="s">
        <v>807</v>
      </c>
      <c r="I113" s="275">
        <v>21</v>
      </c>
      <c r="J113" s="275">
        <v>29</v>
      </c>
      <c r="K113" s="275">
        <v>7</v>
      </c>
      <c r="L113" s="275">
        <v>14</v>
      </c>
      <c r="M113" s="275">
        <v>2</v>
      </c>
      <c r="N113" s="275">
        <v>0</v>
      </c>
      <c r="O113" s="276">
        <f t="shared" si="44"/>
        <v>665.44599999999991</v>
      </c>
      <c r="P113" s="273">
        <v>0</v>
      </c>
      <c r="Q113" s="276">
        <f t="shared" si="40"/>
        <v>665.44599999999991</v>
      </c>
      <c r="R113" s="277">
        <f t="shared" si="41"/>
        <v>4.2095859562376798E-5</v>
      </c>
      <c r="S113" s="278">
        <f t="shared" si="31"/>
        <v>2.8012521362345388E-5</v>
      </c>
      <c r="V113" s="284">
        <f t="shared" si="42"/>
        <v>3.5781480628020275E-5</v>
      </c>
      <c r="W113" s="290">
        <f t="shared" si="43"/>
        <v>6.3143789343565196E-6</v>
      </c>
    </row>
    <row r="114" spans="1:23" x14ac:dyDescent="0.35">
      <c r="A114" s="272"/>
      <c r="B114" s="273"/>
      <c r="C114" s="273" t="s">
        <v>702</v>
      </c>
      <c r="D114" s="273"/>
      <c r="E114" s="273"/>
      <c r="F114" s="274">
        <v>2.3025231149412715E-2</v>
      </c>
      <c r="G114" s="273" t="s">
        <v>662</v>
      </c>
      <c r="H114" s="273" t="s">
        <v>809</v>
      </c>
      <c r="I114" s="275">
        <v>21</v>
      </c>
      <c r="J114" s="275">
        <v>29</v>
      </c>
      <c r="K114" s="275">
        <v>7</v>
      </c>
      <c r="L114" s="275">
        <v>17</v>
      </c>
      <c r="M114" s="275">
        <v>3</v>
      </c>
      <c r="N114" s="275">
        <v>0</v>
      </c>
      <c r="O114" s="276">
        <f t="shared" si="44"/>
        <v>744.41699999999992</v>
      </c>
      <c r="P114" s="273">
        <v>0</v>
      </c>
      <c r="Q114" s="276">
        <f t="shared" si="40"/>
        <v>744.41699999999992</v>
      </c>
      <c r="R114" s="277">
        <f t="shared" si="41"/>
        <v>1.0498770257763933E-4</v>
      </c>
      <c r="S114" s="278">
        <f t="shared" si="31"/>
        <v>7.8154630589738518E-5</v>
      </c>
      <c r="V114" s="284">
        <f t="shared" si="42"/>
        <v>8.9239547190993421E-5</v>
      </c>
      <c r="W114" s="290">
        <f t="shared" si="43"/>
        <v>1.5748155386645898E-5</v>
      </c>
    </row>
    <row r="115" spans="1:23" x14ac:dyDescent="0.35">
      <c r="A115" s="272"/>
      <c r="B115" s="273"/>
      <c r="C115" s="273" t="s">
        <v>704</v>
      </c>
      <c r="D115" s="273"/>
      <c r="E115" s="273"/>
      <c r="F115" s="274">
        <v>6.9169736816209984E-2</v>
      </c>
      <c r="G115" s="273" t="s">
        <v>662</v>
      </c>
      <c r="H115" s="273" t="s">
        <v>808</v>
      </c>
      <c r="I115" s="275">
        <v>21</v>
      </c>
      <c r="J115" s="275">
        <v>30</v>
      </c>
      <c r="K115" s="275">
        <v>7</v>
      </c>
      <c r="L115" s="275">
        <v>17</v>
      </c>
      <c r="M115" s="275">
        <v>3</v>
      </c>
      <c r="N115" s="275">
        <v>0</v>
      </c>
      <c r="O115" s="276">
        <f t="shared" si="44"/>
        <v>745.42499999999995</v>
      </c>
      <c r="P115" s="273">
        <v>0</v>
      </c>
      <c r="Q115" s="276">
        <f t="shared" si="40"/>
        <v>745.42499999999995</v>
      </c>
      <c r="R115" s="277">
        <f t="shared" si="41"/>
        <v>3.1496542715173955E-4</v>
      </c>
      <c r="S115" s="278">
        <f t="shared" si="31"/>
        <v>2.3478310353458544E-4</v>
      </c>
      <c r="V115" s="284">
        <f t="shared" si="42"/>
        <v>2.6772061307897863E-4</v>
      </c>
      <c r="W115" s="290">
        <f t="shared" si="43"/>
        <v>4.7244814072760934E-5</v>
      </c>
    </row>
    <row r="116" spans="1:23" x14ac:dyDescent="0.35">
      <c r="A116" s="272"/>
      <c r="B116" s="273"/>
      <c r="C116" s="273" t="s">
        <v>706</v>
      </c>
      <c r="D116" s="273"/>
      <c r="E116" s="273"/>
      <c r="F116" s="274">
        <v>2.4507866564561481E-2</v>
      </c>
      <c r="G116" s="273" t="s">
        <v>672</v>
      </c>
      <c r="H116" s="273" t="s">
        <v>798</v>
      </c>
      <c r="I116" s="275">
        <v>9</v>
      </c>
      <c r="J116" s="275">
        <v>17</v>
      </c>
      <c r="K116" s="275">
        <v>1</v>
      </c>
      <c r="L116" s="275">
        <v>5</v>
      </c>
      <c r="M116" s="275">
        <v>0</v>
      </c>
      <c r="N116" s="275">
        <v>0</v>
      </c>
      <c r="O116" s="276">
        <f t="shared" si="44"/>
        <v>219.23699999999999</v>
      </c>
      <c r="P116" s="273">
        <v>0</v>
      </c>
      <c r="Q116" s="276">
        <f t="shared" si="40"/>
        <v>219.23699999999999</v>
      </c>
      <c r="R116" s="277">
        <f t="shared" si="41"/>
        <v>3.7943935411451443E-4</v>
      </c>
      <c r="S116" s="278">
        <f t="shared" si="31"/>
        <v>8.3187145678003801E-5</v>
      </c>
      <c r="V116" s="284">
        <f t="shared" si="42"/>
        <v>3.2252345099733726E-4</v>
      </c>
      <c r="W116" s="290">
        <f t="shared" si="43"/>
        <v>5.6915903117177159E-5</v>
      </c>
    </row>
    <row r="117" spans="1:23" x14ac:dyDescent="0.35">
      <c r="A117" s="272"/>
      <c r="B117" s="273"/>
      <c r="C117" s="273" t="s">
        <v>708</v>
      </c>
      <c r="D117" s="273"/>
      <c r="E117" s="273"/>
      <c r="F117" s="274">
        <v>4.2955608259222816E-2</v>
      </c>
      <c r="G117" s="273" t="s">
        <v>662</v>
      </c>
      <c r="H117" s="273" t="s">
        <v>810</v>
      </c>
      <c r="I117" s="275">
        <v>34</v>
      </c>
      <c r="J117" s="275">
        <v>32</v>
      </c>
      <c r="K117" s="275">
        <v>4</v>
      </c>
      <c r="L117" s="275">
        <v>4</v>
      </c>
      <c r="M117" s="275">
        <v>0</v>
      </c>
      <c r="N117" s="275">
        <v>0</v>
      </c>
      <c r="O117" s="276">
        <f>(I117*12.011)+(J117*1.008)+(L117*15.999)+(14.007*K117)+(M117*30.974)+(N117*32.066)+55.845</f>
        <v>616.49900000000002</v>
      </c>
      <c r="P117" s="273">
        <v>0</v>
      </c>
      <c r="Q117" s="276">
        <f t="shared" si="40"/>
        <v>616.49900000000002</v>
      </c>
      <c r="R117" s="277">
        <f t="shared" si="41"/>
        <v>2.3650384869649255E-4</v>
      </c>
      <c r="S117" s="278">
        <f t="shared" si="31"/>
        <v>1.4580438621753896E-4</v>
      </c>
      <c r="V117" s="284">
        <f>R117*$V$3</f>
        <v>2.0102827139201865E-4</v>
      </c>
      <c r="W117" s="290">
        <f>R117*$W$3</f>
        <v>3.5475577304473881E-5</v>
      </c>
    </row>
    <row r="118" spans="1:23" x14ac:dyDescent="0.35">
      <c r="A118" s="272"/>
      <c r="B118" s="273"/>
      <c r="C118" s="273" t="s">
        <v>710</v>
      </c>
      <c r="D118" s="273"/>
      <c r="E118" s="273"/>
      <c r="F118" s="274">
        <v>9.8200236339360987E-3</v>
      </c>
      <c r="G118" s="273" t="s">
        <v>712</v>
      </c>
      <c r="H118" s="273" t="s">
        <v>811</v>
      </c>
      <c r="I118" s="275">
        <v>4</v>
      </c>
      <c r="J118" s="275">
        <v>12</v>
      </c>
      <c r="K118" s="275">
        <v>2</v>
      </c>
      <c r="L118" s="275">
        <v>0</v>
      </c>
      <c r="M118" s="275">
        <v>0</v>
      </c>
      <c r="N118" s="275">
        <v>0</v>
      </c>
      <c r="O118" s="276">
        <f t="shared" si="44"/>
        <v>88.153999999999996</v>
      </c>
      <c r="P118" s="273">
        <v>0</v>
      </c>
      <c r="Q118" s="276">
        <f t="shared" si="40"/>
        <v>88.153999999999996</v>
      </c>
      <c r="R118" s="277">
        <f t="shared" si="41"/>
        <v>3.7811266606963402E-4</v>
      </c>
      <c r="S118" s="278">
        <f t="shared" si="31"/>
        <v>3.3332143964702517E-5</v>
      </c>
      <c r="V118" s="284">
        <f>R118*$V$3</f>
        <v>3.2139576615918892E-4</v>
      </c>
      <c r="W118" s="290">
        <f>R118*$W$3</f>
        <v>5.6716899910445103E-5</v>
      </c>
    </row>
    <row r="119" spans="1:23" x14ac:dyDescent="0.35">
      <c r="A119" s="272"/>
      <c r="B119" s="273"/>
      <c r="C119" s="273" t="s">
        <v>716</v>
      </c>
      <c r="D119" s="273"/>
      <c r="E119" s="273"/>
      <c r="F119" s="274">
        <v>1.9494893858173906E-3</v>
      </c>
      <c r="G119" s="273" t="s">
        <v>672</v>
      </c>
      <c r="H119" s="273" t="s">
        <v>789</v>
      </c>
      <c r="I119" s="275">
        <v>8</v>
      </c>
      <c r="J119" s="275">
        <v>10</v>
      </c>
      <c r="K119" s="275">
        <v>1</v>
      </c>
      <c r="L119" s="275">
        <v>6</v>
      </c>
      <c r="M119" s="275">
        <v>1</v>
      </c>
      <c r="N119" s="275">
        <v>0</v>
      </c>
      <c r="O119" s="276">
        <f t="shared" si="44"/>
        <v>247.14299999999997</v>
      </c>
      <c r="P119" s="273">
        <v>0</v>
      </c>
      <c r="Q119" s="276">
        <f t="shared" si="40"/>
        <v>247.14299999999997</v>
      </c>
      <c r="R119" s="277">
        <f t="shared" si="41"/>
        <v>2.6774617591013132E-5</v>
      </c>
      <c r="S119" s="278">
        <f t="shared" si="31"/>
        <v>6.6171593152957575E-6</v>
      </c>
      <c r="V119" s="284">
        <f t="shared" ref="V119:V125" si="45">R119*$V$3</f>
        <v>2.275842495236116E-5</v>
      </c>
      <c r="W119" s="290">
        <f t="shared" ref="W119:W125" si="46">R119*$W$3</f>
        <v>4.0161926386519693E-6</v>
      </c>
    </row>
    <row r="120" spans="1:23" x14ac:dyDescent="0.35">
      <c r="A120" s="272"/>
      <c r="B120" s="273"/>
      <c r="C120" s="273" t="s">
        <v>307</v>
      </c>
      <c r="D120" s="273"/>
      <c r="E120" s="273"/>
      <c r="F120" s="274">
        <v>3.2305824107831042E-3</v>
      </c>
      <c r="G120" s="273" t="s">
        <v>672</v>
      </c>
      <c r="H120" s="273" t="s">
        <v>787</v>
      </c>
      <c r="I120" s="275">
        <v>17</v>
      </c>
      <c r="J120" s="275">
        <v>20</v>
      </c>
      <c r="K120" s="275">
        <v>4</v>
      </c>
      <c r="L120" s="275">
        <v>6</v>
      </c>
      <c r="M120" s="275">
        <v>0</v>
      </c>
      <c r="N120" s="275">
        <v>0</v>
      </c>
      <c r="O120" s="276">
        <f t="shared" si="44"/>
        <v>376.36900000000003</v>
      </c>
      <c r="P120" s="273">
        <v>0</v>
      </c>
      <c r="Q120" s="276">
        <f t="shared" si="40"/>
        <v>376.36900000000003</v>
      </c>
      <c r="R120" s="277">
        <f t="shared" si="41"/>
        <v>2.9135179289257836E-5</v>
      </c>
      <c r="S120" s="278">
        <f t="shared" si="31"/>
        <v>1.0965578293918683E-5</v>
      </c>
      <c r="V120" s="284">
        <f t="shared" si="45"/>
        <v>2.4764902395869158E-5</v>
      </c>
      <c r="W120" s="290">
        <f t="shared" si="46"/>
        <v>4.3702768933886749E-6</v>
      </c>
    </row>
    <row r="121" spans="1:23" x14ac:dyDescent="0.35">
      <c r="A121" s="272"/>
      <c r="B121" s="273"/>
      <c r="C121" s="273" t="s">
        <v>719</v>
      </c>
      <c r="D121" s="273"/>
      <c r="E121" s="273"/>
      <c r="F121" s="274">
        <v>1.1270287777833371E-2</v>
      </c>
      <c r="G121" s="273" t="s">
        <v>712</v>
      </c>
      <c r="H121" s="273" t="s">
        <v>812</v>
      </c>
      <c r="I121" s="275">
        <v>10</v>
      </c>
      <c r="J121" s="275">
        <v>26</v>
      </c>
      <c r="K121" s="275">
        <v>4</v>
      </c>
      <c r="L121" s="275">
        <v>0</v>
      </c>
      <c r="M121" s="275">
        <v>0</v>
      </c>
      <c r="N121" s="275">
        <v>0</v>
      </c>
      <c r="O121" s="276">
        <f t="shared" si="44"/>
        <v>202.34599999999998</v>
      </c>
      <c r="P121" s="273">
        <v>0</v>
      </c>
      <c r="Q121" s="276">
        <f t="shared" si="40"/>
        <v>202.34599999999998</v>
      </c>
      <c r="R121" s="277">
        <f t="shared" si="41"/>
        <v>1.8905627550105928E-4</v>
      </c>
      <c r="S121" s="278">
        <f t="shared" si="31"/>
        <v>3.8254781122537336E-5</v>
      </c>
      <c r="V121" s="284">
        <f t="shared" si="45"/>
        <v>1.6069783417590038E-4</v>
      </c>
      <c r="W121" s="290">
        <f t="shared" si="46"/>
        <v>2.8358441325158891E-5</v>
      </c>
    </row>
    <row r="122" spans="1:23" x14ac:dyDescent="0.35">
      <c r="A122" s="272"/>
      <c r="B122" s="273"/>
      <c r="C122" s="273" t="s">
        <v>722</v>
      </c>
      <c r="D122" s="273"/>
      <c r="E122" s="273"/>
      <c r="F122" s="274">
        <v>3.236061032954219E-2</v>
      </c>
      <c r="G122" s="273" t="s">
        <v>712</v>
      </c>
      <c r="H122" s="273" t="s">
        <v>813</v>
      </c>
      <c r="I122" s="275">
        <v>7</v>
      </c>
      <c r="J122" s="275">
        <v>19</v>
      </c>
      <c r="K122" s="275">
        <v>3</v>
      </c>
      <c r="L122" s="275">
        <v>0</v>
      </c>
      <c r="M122" s="275">
        <v>0</v>
      </c>
      <c r="N122" s="275">
        <v>0</v>
      </c>
      <c r="O122" s="276">
        <f t="shared" si="44"/>
        <v>145.25</v>
      </c>
      <c r="P122" s="273">
        <v>0</v>
      </c>
      <c r="Q122" s="276">
        <f t="shared" si="40"/>
        <v>145.25</v>
      </c>
      <c r="R122" s="277">
        <f t="shared" si="41"/>
        <v>7.5622543216603193E-4</v>
      </c>
      <c r="S122" s="278">
        <f t="shared" si="31"/>
        <v>1.0984174402211613E-4</v>
      </c>
      <c r="V122" s="284">
        <f t="shared" si="45"/>
        <v>6.4279161734112709E-4</v>
      </c>
      <c r="W122" s="290">
        <f t="shared" si="46"/>
        <v>1.1343381482490478E-4</v>
      </c>
    </row>
    <row r="123" spans="1:23" x14ac:dyDescent="0.35">
      <c r="A123" s="272"/>
      <c r="B123" s="273"/>
      <c r="C123" s="273" t="s">
        <v>724</v>
      </c>
      <c r="D123" s="273"/>
      <c r="E123" s="273"/>
      <c r="F123" s="274">
        <v>2.3606136784582735E-2</v>
      </c>
      <c r="G123" s="273" t="s">
        <v>662</v>
      </c>
      <c r="H123" s="273" t="s">
        <v>814</v>
      </c>
      <c r="I123" s="275">
        <v>25</v>
      </c>
      <c r="J123" s="275">
        <v>40</v>
      </c>
      <c r="K123" s="275">
        <v>7</v>
      </c>
      <c r="L123" s="275">
        <v>19</v>
      </c>
      <c r="M123" s="275">
        <v>3</v>
      </c>
      <c r="N123" s="275">
        <v>1</v>
      </c>
      <c r="O123" s="276">
        <f t="shared" si="44"/>
        <v>867.61300000000006</v>
      </c>
      <c r="P123" s="273">
        <v>0</v>
      </c>
      <c r="Q123" s="276">
        <f t="shared" si="40"/>
        <v>867.61300000000006</v>
      </c>
      <c r="R123" s="277">
        <f t="shared" si="41"/>
        <v>9.2352697366167403E-5</v>
      </c>
      <c r="S123" s="278">
        <f t="shared" si="31"/>
        <v>8.0126400819952612E-5</v>
      </c>
      <c r="V123" s="284">
        <f t="shared" si="45"/>
        <v>7.8499792761242294E-5</v>
      </c>
      <c r="W123" s="290">
        <f t="shared" si="46"/>
        <v>1.385290460492511E-5</v>
      </c>
    </row>
    <row r="124" spans="1:23" x14ac:dyDescent="0.35">
      <c r="A124" s="272"/>
      <c r="B124" s="273"/>
      <c r="C124" s="273" t="s">
        <v>726</v>
      </c>
      <c r="D124" s="273"/>
      <c r="E124" s="273"/>
      <c r="F124" s="274">
        <v>2.7579834805601368E-2</v>
      </c>
      <c r="G124" s="273" t="s">
        <v>662</v>
      </c>
      <c r="H124" s="273" t="s">
        <v>815</v>
      </c>
      <c r="I124" s="275">
        <v>19</v>
      </c>
      <c r="J124" s="275">
        <v>23</v>
      </c>
      <c r="K124" s="275">
        <v>7</v>
      </c>
      <c r="L124" s="275">
        <v>6</v>
      </c>
      <c r="M124" s="275">
        <v>0</v>
      </c>
      <c r="N124" s="275">
        <v>0</v>
      </c>
      <c r="O124" s="276">
        <f t="shared" si="44"/>
        <v>445.43599999999992</v>
      </c>
      <c r="P124" s="273">
        <v>0</v>
      </c>
      <c r="Q124" s="276">
        <f t="shared" si="40"/>
        <v>445.43599999999992</v>
      </c>
      <c r="R124" s="277">
        <f t="shared" si="41"/>
        <v>2.1016338887273832E-4</v>
      </c>
      <c r="S124" s="278">
        <f t="shared" si="31"/>
        <v>9.3614339285917045E-5</v>
      </c>
      <c r="V124" s="284">
        <f t="shared" si="45"/>
        <v>1.7863888054182756E-4</v>
      </c>
      <c r="W124" s="290">
        <f t="shared" si="46"/>
        <v>3.1524508330910749E-5</v>
      </c>
    </row>
    <row r="125" spans="1:23" x14ac:dyDescent="0.35">
      <c r="A125" s="272"/>
      <c r="B125" s="273"/>
      <c r="C125" s="273" t="s">
        <v>308</v>
      </c>
      <c r="D125" s="273"/>
      <c r="E125" s="273"/>
      <c r="F125" s="274">
        <v>1.6152912053915521E-3</v>
      </c>
      <c r="G125" s="273" t="s">
        <v>672</v>
      </c>
      <c r="H125" s="273" t="s">
        <v>313</v>
      </c>
      <c r="I125" s="275">
        <v>12</v>
      </c>
      <c r="J125" s="275">
        <v>17</v>
      </c>
      <c r="K125" s="275">
        <v>4</v>
      </c>
      <c r="L125" s="275">
        <v>1</v>
      </c>
      <c r="M125" s="275">
        <v>0</v>
      </c>
      <c r="N125" s="275">
        <v>1</v>
      </c>
      <c r="O125" s="276">
        <f t="shared" si="44"/>
        <v>265.36099999999999</v>
      </c>
      <c r="P125" s="273">
        <v>0</v>
      </c>
      <c r="Q125" s="276">
        <f t="shared" si="40"/>
        <v>265.36099999999999</v>
      </c>
      <c r="R125" s="277">
        <f t="shared" si="41"/>
        <v>2.0661623776513285E-5</v>
      </c>
      <c r="S125" s="278">
        <f t="shared" si="31"/>
        <v>5.4827891469593415E-6</v>
      </c>
      <c r="V125" s="284">
        <f t="shared" si="45"/>
        <v>1.7562380210036292E-5</v>
      </c>
      <c r="W125" s="290">
        <f t="shared" si="46"/>
        <v>3.0992435664769928E-6</v>
      </c>
    </row>
    <row r="126" spans="1:23" x14ac:dyDescent="0.35">
      <c r="A126" s="272"/>
      <c r="B126" s="273"/>
      <c r="C126" s="273" t="s">
        <v>729</v>
      </c>
      <c r="D126" s="273"/>
      <c r="E126" s="273"/>
      <c r="F126" s="274">
        <v>1.4248004623972493E-2</v>
      </c>
      <c r="G126" s="273" t="s">
        <v>662</v>
      </c>
      <c r="H126" s="273" t="s">
        <v>816</v>
      </c>
      <c r="I126" s="275">
        <v>55</v>
      </c>
      <c r="J126" s="275">
        <v>92</v>
      </c>
      <c r="K126" s="275">
        <v>0</v>
      </c>
      <c r="L126" s="275">
        <v>7</v>
      </c>
      <c r="M126" s="275">
        <v>2</v>
      </c>
      <c r="N126" s="275">
        <v>0</v>
      </c>
      <c r="O126" s="276">
        <f>(I126*12.011)+(J126*1.008)+(L126*15.999)+(14.007*K126)+(M126*30.974)+(N126*32.066)</f>
        <v>927.28199999999993</v>
      </c>
      <c r="P126" s="273">
        <v>0</v>
      </c>
      <c r="Q126" s="276">
        <f t="shared" si="40"/>
        <v>927.28199999999993</v>
      </c>
      <c r="R126" s="277">
        <f t="shared" si="41"/>
        <v>5.2154637810802182E-5</v>
      </c>
      <c r="S126" s="278">
        <f t="shared" si="31"/>
        <v>4.8362056858476263E-5</v>
      </c>
      <c r="V126" s="285">
        <f>R126*$V$3</f>
        <v>4.4331442139181854E-5</v>
      </c>
      <c r="W126" s="291">
        <f>R126*$W$3</f>
        <v>7.8231956716203263E-6</v>
      </c>
    </row>
    <row r="127" spans="1:23" x14ac:dyDescent="0.35">
      <c r="A127" s="117" t="s">
        <v>656</v>
      </c>
      <c r="B127" s="108">
        <f>'General composition'!J61</f>
        <v>2.0593200780288756E-2</v>
      </c>
      <c r="C127" s="109" t="s">
        <v>320</v>
      </c>
      <c r="D127" s="109"/>
      <c r="E127" s="109"/>
      <c r="F127" s="108">
        <v>0.43746428006283178</v>
      </c>
      <c r="G127" s="109" t="s">
        <v>656</v>
      </c>
      <c r="H127" s="109" t="s">
        <v>321</v>
      </c>
      <c r="I127" s="222">
        <v>0</v>
      </c>
      <c r="J127" s="222">
        <v>0</v>
      </c>
      <c r="K127" s="222">
        <v>0</v>
      </c>
      <c r="L127" s="222">
        <v>0</v>
      </c>
      <c r="M127" s="222">
        <v>0</v>
      </c>
      <c r="N127" s="222">
        <v>0</v>
      </c>
      <c r="O127" s="110">
        <v>39.098300000000002</v>
      </c>
      <c r="P127" s="109">
        <v>0</v>
      </c>
      <c r="Q127" s="110">
        <f t="shared" si="40"/>
        <v>39.098300000000002</v>
      </c>
      <c r="R127" s="165">
        <f>B$127*F127*1000/Q127</f>
        <v>0.23041384800716055</v>
      </c>
      <c r="S127" s="115">
        <f t="shared" si="31"/>
        <v>9.0087897535383668E-3</v>
      </c>
      <c r="V127" s="283">
        <f>R127*$V$3</f>
        <v>0.19585177080608646</v>
      </c>
      <c r="W127" s="289">
        <f>R127*$W$3</f>
        <v>3.4562077201074085E-2</v>
      </c>
    </row>
    <row r="128" spans="1:23" x14ac:dyDescent="0.35">
      <c r="A128" s="264"/>
      <c r="B128" s="113"/>
      <c r="C128" s="112" t="s">
        <v>736</v>
      </c>
      <c r="D128" s="112"/>
      <c r="E128" s="112"/>
      <c r="F128" s="113">
        <v>9.4067754733418198E-3</v>
      </c>
      <c r="G128" s="112" t="s">
        <v>656</v>
      </c>
      <c r="H128" s="112" t="s">
        <v>817</v>
      </c>
      <c r="I128" s="223">
        <v>0</v>
      </c>
      <c r="J128" s="223">
        <v>4</v>
      </c>
      <c r="K128" s="223">
        <v>1</v>
      </c>
      <c r="L128" s="223">
        <v>0</v>
      </c>
      <c r="M128" s="223">
        <v>0</v>
      </c>
      <c r="N128" s="223">
        <v>0</v>
      </c>
      <c r="O128" s="114">
        <f t="shared" ref="O128" si="47">(I128*12.011)+(J128*1.008)+(L128*15.999)+(14.007*K128)+(M128*30.974)+(N128*32.066)</f>
        <v>18.039000000000001</v>
      </c>
      <c r="P128" s="112">
        <v>0</v>
      </c>
      <c r="Q128" s="114">
        <f t="shared" si="40"/>
        <v>18.039000000000001</v>
      </c>
      <c r="R128" s="166">
        <f t="shared" ref="R128:R140" si="48">B$127*F128*1000/Q128</f>
        <v>1.0738711459483555E-2</v>
      </c>
      <c r="S128" s="116">
        <f t="shared" si="31"/>
        <v>1.9371561601762386E-4</v>
      </c>
      <c r="V128" s="284">
        <f t="shared" ref="V128:V140" si="49">R128*$V$3</f>
        <v>9.1279047405610214E-3</v>
      </c>
      <c r="W128" s="290">
        <f t="shared" ref="W128:W140" si="50">R128*$W$3</f>
        <v>1.6108067189225333E-3</v>
      </c>
    </row>
    <row r="129" spans="1:23" x14ac:dyDescent="0.35">
      <c r="A129" s="264"/>
      <c r="B129" s="113"/>
      <c r="C129" s="112" t="s">
        <v>739</v>
      </c>
      <c r="D129" s="112"/>
      <c r="E129" s="112"/>
      <c r="F129" s="113">
        <v>0.17627102155732152</v>
      </c>
      <c r="G129" s="112" t="s">
        <v>656</v>
      </c>
      <c r="H129" s="112" t="s">
        <v>322</v>
      </c>
      <c r="I129" s="223">
        <v>0</v>
      </c>
      <c r="J129" s="223">
        <v>0</v>
      </c>
      <c r="K129" s="223">
        <v>0</v>
      </c>
      <c r="L129" s="223">
        <v>0</v>
      </c>
      <c r="M129" s="223">
        <v>0</v>
      </c>
      <c r="N129" s="223">
        <v>0</v>
      </c>
      <c r="O129" s="114">
        <v>24.305</v>
      </c>
      <c r="P129" s="112">
        <v>0</v>
      </c>
      <c r="Q129" s="114">
        <f t="shared" si="40"/>
        <v>24.305</v>
      </c>
      <c r="R129" s="166">
        <f t="shared" si="48"/>
        <v>0.14935134905066982</v>
      </c>
      <c r="S129" s="116">
        <f t="shared" si="31"/>
        <v>3.6299845386765298E-3</v>
      </c>
      <c r="V129" s="284">
        <f t="shared" si="49"/>
        <v>0.12694864669306935</v>
      </c>
      <c r="W129" s="290">
        <f t="shared" si="50"/>
        <v>2.2402702357600474E-2</v>
      </c>
    </row>
    <row r="130" spans="1:23" x14ac:dyDescent="0.35">
      <c r="A130" s="264"/>
      <c r="B130" s="113"/>
      <c r="C130" s="112" t="s">
        <v>324</v>
      </c>
      <c r="D130" s="112"/>
      <c r="E130" s="112"/>
      <c r="F130" s="113">
        <v>0.14413828325260145</v>
      </c>
      <c r="G130" s="112" t="s">
        <v>656</v>
      </c>
      <c r="H130" s="112" t="s">
        <v>323</v>
      </c>
      <c r="I130" s="223">
        <v>0</v>
      </c>
      <c r="J130" s="223">
        <v>0</v>
      </c>
      <c r="K130" s="223">
        <v>0</v>
      </c>
      <c r="L130" s="223">
        <v>0</v>
      </c>
      <c r="M130" s="223">
        <v>0</v>
      </c>
      <c r="N130" s="223">
        <v>0</v>
      </c>
      <c r="O130" s="114">
        <v>40.078000000000003</v>
      </c>
      <c r="P130" s="112">
        <v>0</v>
      </c>
      <c r="Q130" s="114">
        <f t="shared" si="40"/>
        <v>40.078000000000003</v>
      </c>
      <c r="R130" s="166">
        <f t="shared" si="48"/>
        <v>7.4062293705947246E-2</v>
      </c>
      <c r="S130" s="116">
        <f t="shared" si="31"/>
        <v>2.9682686071469543E-3</v>
      </c>
      <c r="V130" s="284">
        <f t="shared" si="49"/>
        <v>6.2952949650055157E-2</v>
      </c>
      <c r="W130" s="290">
        <f t="shared" si="50"/>
        <v>1.1109344055892086E-2</v>
      </c>
    </row>
    <row r="131" spans="1:23" x14ac:dyDescent="0.35">
      <c r="A131" s="264"/>
      <c r="B131" s="113"/>
      <c r="C131" s="112" t="s">
        <v>326</v>
      </c>
      <c r="D131" s="112"/>
      <c r="E131" s="112"/>
      <c r="F131" s="113">
        <v>2.7221019735284287E-2</v>
      </c>
      <c r="G131" s="112" t="s">
        <v>656</v>
      </c>
      <c r="H131" s="112" t="s">
        <v>328</v>
      </c>
      <c r="I131" s="223">
        <v>0</v>
      </c>
      <c r="J131" s="223">
        <v>0</v>
      </c>
      <c r="K131" s="223">
        <v>0</v>
      </c>
      <c r="L131" s="223">
        <v>0</v>
      </c>
      <c r="M131" s="223">
        <v>0</v>
      </c>
      <c r="N131" s="223">
        <v>0</v>
      </c>
      <c r="O131" s="114">
        <v>55.844999999999999</v>
      </c>
      <c r="P131" s="112">
        <v>0</v>
      </c>
      <c r="Q131" s="114">
        <f t="shared" si="40"/>
        <v>55.844999999999999</v>
      </c>
      <c r="R131" s="166">
        <f t="shared" si="48"/>
        <v>1.0037925057801272E-2</v>
      </c>
      <c r="S131" s="116">
        <f t="shared" si="31"/>
        <v>5.6056792485291202E-4</v>
      </c>
      <c r="V131" s="284">
        <f t="shared" si="49"/>
        <v>8.5322362991310814E-3</v>
      </c>
      <c r="W131" s="290">
        <f t="shared" si="50"/>
        <v>1.5056887586701907E-3</v>
      </c>
    </row>
    <row r="132" spans="1:23" x14ac:dyDescent="0.35">
      <c r="A132" s="264"/>
      <c r="B132" s="113"/>
      <c r="C132" s="112" t="s">
        <v>742</v>
      </c>
      <c r="D132" s="112"/>
      <c r="E132" s="112"/>
      <c r="F132" s="113">
        <v>1.7500982718238065E-2</v>
      </c>
      <c r="G132" s="112" t="s">
        <v>656</v>
      </c>
      <c r="H132" s="112" t="s">
        <v>328</v>
      </c>
      <c r="I132" s="223">
        <v>0</v>
      </c>
      <c r="J132" s="223">
        <v>0</v>
      </c>
      <c r="K132" s="223">
        <v>0</v>
      </c>
      <c r="L132" s="223">
        <v>0</v>
      </c>
      <c r="M132" s="223">
        <v>0</v>
      </c>
      <c r="N132" s="223">
        <v>0</v>
      </c>
      <c r="O132" s="114">
        <v>55.844999999999999</v>
      </c>
      <c r="P132" s="112">
        <v>0</v>
      </c>
      <c r="Q132" s="114">
        <f t="shared" si="40"/>
        <v>55.844999999999999</v>
      </c>
      <c r="R132" s="166">
        <f t="shared" si="48"/>
        <v>6.4535992652706622E-3</v>
      </c>
      <c r="S132" s="116">
        <f t="shared" si="31"/>
        <v>3.6040125096904014E-4</v>
      </c>
      <c r="V132" s="284">
        <f t="shared" si="49"/>
        <v>5.4855593754800629E-3</v>
      </c>
      <c r="W132" s="290">
        <f t="shared" si="50"/>
        <v>9.6803988979059924E-4</v>
      </c>
    </row>
    <row r="133" spans="1:23" x14ac:dyDescent="0.35">
      <c r="A133" s="264"/>
      <c r="B133" s="113"/>
      <c r="C133" s="112" t="s">
        <v>744</v>
      </c>
      <c r="D133" s="112"/>
      <c r="E133" s="112"/>
      <c r="F133" s="113">
        <v>8.8366015001419794E-3</v>
      </c>
      <c r="G133" s="112" t="s">
        <v>656</v>
      </c>
      <c r="H133" s="112" t="s">
        <v>818</v>
      </c>
      <c r="I133" s="223">
        <v>0</v>
      </c>
      <c r="J133" s="223">
        <v>0</v>
      </c>
      <c r="K133" s="223">
        <v>0</v>
      </c>
      <c r="L133" s="223">
        <v>0</v>
      </c>
      <c r="M133" s="223">
        <v>0</v>
      </c>
      <c r="N133" s="223">
        <v>0</v>
      </c>
      <c r="O133" s="114">
        <v>63.545999999999999</v>
      </c>
      <c r="P133" s="112">
        <v>0</v>
      </c>
      <c r="Q133" s="114">
        <f t="shared" si="40"/>
        <v>63.545999999999999</v>
      </c>
      <c r="R133" s="166">
        <f t="shared" si="48"/>
        <v>2.8636563891956159E-3</v>
      </c>
      <c r="S133" s="116">
        <f t="shared" si="31"/>
        <v>1.8197390890782461E-4</v>
      </c>
      <c r="V133" s="284">
        <f t="shared" si="49"/>
        <v>2.4341079308162735E-3</v>
      </c>
      <c r="W133" s="290">
        <f t="shared" si="50"/>
        <v>4.2954845837934238E-4</v>
      </c>
    </row>
    <row r="134" spans="1:23" x14ac:dyDescent="0.35">
      <c r="A134" s="264"/>
      <c r="B134" s="113"/>
      <c r="C134" s="112" t="s">
        <v>746</v>
      </c>
      <c r="D134" s="112"/>
      <c r="E134" s="112"/>
      <c r="F134" s="113">
        <v>7.6395872787398114E-3</v>
      </c>
      <c r="G134" s="112" t="s">
        <v>656</v>
      </c>
      <c r="H134" s="112" t="s">
        <v>819</v>
      </c>
      <c r="I134" s="223">
        <v>0</v>
      </c>
      <c r="J134" s="223">
        <v>0</v>
      </c>
      <c r="K134" s="223">
        <v>0</v>
      </c>
      <c r="L134" s="223">
        <v>0</v>
      </c>
      <c r="M134" s="223">
        <v>0</v>
      </c>
      <c r="N134" s="223">
        <v>0</v>
      </c>
      <c r="O134" s="114">
        <v>54.938043999999998</v>
      </c>
      <c r="P134" s="112">
        <v>0</v>
      </c>
      <c r="Q134" s="114">
        <f t="shared" si="40"/>
        <v>54.938043999999998</v>
      </c>
      <c r="R134" s="166">
        <f t="shared" si="48"/>
        <v>2.8636540956869299E-3</v>
      </c>
      <c r="S134" s="116">
        <f t="shared" si="31"/>
        <v>1.5732355470962875E-4</v>
      </c>
      <c r="V134" s="284">
        <f t="shared" si="49"/>
        <v>2.4341059813338902E-3</v>
      </c>
      <c r="W134" s="290">
        <f t="shared" si="50"/>
        <v>4.2954811435303949E-4</v>
      </c>
    </row>
    <row r="135" spans="1:23" x14ac:dyDescent="0.35">
      <c r="A135" s="264"/>
      <c r="B135" s="113"/>
      <c r="C135" s="112" t="s">
        <v>790</v>
      </c>
      <c r="D135" s="112"/>
      <c r="E135" s="112"/>
      <c r="F135" s="113">
        <v>2.2240991469686656E-2</v>
      </c>
      <c r="G135" s="112" t="s">
        <v>656</v>
      </c>
      <c r="H135" s="112" t="s">
        <v>821</v>
      </c>
      <c r="I135" s="223">
        <v>0</v>
      </c>
      <c r="J135" s="223">
        <v>0</v>
      </c>
      <c r="K135" s="223">
        <v>0</v>
      </c>
      <c r="L135" s="223">
        <v>4</v>
      </c>
      <c r="M135" s="223">
        <v>0</v>
      </c>
      <c r="N135" s="223">
        <v>0</v>
      </c>
      <c r="O135" s="114">
        <f>(I135*12.011)+(J135*1.008)+(L135*15.999)+(14.007*K135)+(M135*30.974)+(N135*32.066)+95.95</f>
        <v>159.946</v>
      </c>
      <c r="P135" s="112">
        <v>0</v>
      </c>
      <c r="Q135" s="114">
        <f t="shared" si="40"/>
        <v>159.946</v>
      </c>
      <c r="R135" s="166">
        <f t="shared" si="48"/>
        <v>2.8635489658256335E-3</v>
      </c>
      <c r="S135" s="116">
        <f t="shared" si="31"/>
        <v>4.5801320288794679E-4</v>
      </c>
      <c r="V135" s="284">
        <f t="shared" si="49"/>
        <v>2.4340166209517885E-3</v>
      </c>
      <c r="W135" s="290">
        <f t="shared" si="50"/>
        <v>4.2953234487384502E-4</v>
      </c>
    </row>
    <row r="136" spans="1:23" x14ac:dyDescent="0.35">
      <c r="A136" s="111"/>
      <c r="B136" s="112"/>
      <c r="C136" s="112" t="s">
        <v>750</v>
      </c>
      <c r="D136" s="112"/>
      <c r="E136" s="112"/>
      <c r="F136" s="113">
        <v>8.1951531729482167E-3</v>
      </c>
      <c r="G136" s="112" t="s">
        <v>656</v>
      </c>
      <c r="H136" s="112" t="s">
        <v>820</v>
      </c>
      <c r="I136" s="223">
        <v>0</v>
      </c>
      <c r="J136" s="223">
        <v>0</v>
      </c>
      <c r="K136" s="223">
        <v>0</v>
      </c>
      <c r="L136" s="223">
        <v>0</v>
      </c>
      <c r="M136" s="223">
        <v>0</v>
      </c>
      <c r="N136" s="223">
        <v>0</v>
      </c>
      <c r="O136" s="114">
        <v>58.933194999999998</v>
      </c>
      <c r="P136" s="112">
        <v>0</v>
      </c>
      <c r="Q136" s="114">
        <f t="shared" si="40"/>
        <v>58.933194999999998</v>
      </c>
      <c r="R136" s="166">
        <f t="shared" si="48"/>
        <v>2.8636566321534594E-3</v>
      </c>
      <c r="S136" s="116">
        <f t="shared" si="31"/>
        <v>1.687644347157431E-4</v>
      </c>
      <c r="V136" s="284">
        <f t="shared" si="49"/>
        <v>2.4341081373304404E-3</v>
      </c>
      <c r="W136" s="290">
        <f t="shared" si="50"/>
        <v>4.2954849482301891E-4</v>
      </c>
    </row>
    <row r="137" spans="1:23" x14ac:dyDescent="0.35">
      <c r="A137" s="111"/>
      <c r="B137" s="112"/>
      <c r="C137" s="112" t="s">
        <v>329</v>
      </c>
      <c r="D137" s="112"/>
      <c r="E137" s="112"/>
      <c r="F137" s="113">
        <v>7.4823376338133867E-4</v>
      </c>
      <c r="G137" s="112" t="s">
        <v>656</v>
      </c>
      <c r="H137" s="112" t="s">
        <v>330</v>
      </c>
      <c r="I137" s="223">
        <v>0</v>
      </c>
      <c r="J137" s="223">
        <v>0</v>
      </c>
      <c r="K137" s="223">
        <v>0</v>
      </c>
      <c r="L137" s="223">
        <v>0</v>
      </c>
      <c r="M137" s="223">
        <v>0</v>
      </c>
      <c r="N137" s="223">
        <v>0</v>
      </c>
      <c r="O137" s="114">
        <v>65.38</v>
      </c>
      <c r="P137" s="112">
        <v>0</v>
      </c>
      <c r="Q137" s="114">
        <f t="shared" si="40"/>
        <v>65.38</v>
      </c>
      <c r="R137" s="166">
        <f t="shared" si="48"/>
        <v>2.3567647782047992E-4</v>
      </c>
      <c r="S137" s="116">
        <f t="shared" si="31"/>
        <v>1.5408528119902975E-5</v>
      </c>
      <c r="V137" s="284">
        <f t="shared" si="49"/>
        <v>2.0032500614740792E-4</v>
      </c>
      <c r="W137" s="290">
        <f t="shared" si="50"/>
        <v>3.5351471673071986E-5</v>
      </c>
    </row>
    <row r="138" spans="1:23" x14ac:dyDescent="0.35">
      <c r="A138" s="111"/>
      <c r="B138" s="112"/>
      <c r="C138" s="112" t="s">
        <v>791</v>
      </c>
      <c r="D138" s="112"/>
      <c r="E138" s="112"/>
      <c r="F138" s="113">
        <v>1.669777824935163E-2</v>
      </c>
      <c r="G138" s="112" t="s">
        <v>656</v>
      </c>
      <c r="H138" s="112" t="s">
        <v>791</v>
      </c>
      <c r="I138" s="223">
        <v>0</v>
      </c>
      <c r="J138" s="223">
        <v>0</v>
      </c>
      <c r="K138" s="223">
        <v>0</v>
      </c>
      <c r="L138" s="223">
        <v>4</v>
      </c>
      <c r="M138" s="223">
        <v>0</v>
      </c>
      <c r="N138" s="223">
        <v>1</v>
      </c>
      <c r="O138" s="114">
        <f t="shared" ref="O138:O139" si="51">(I138*12.011)+(J138*1.008)+(L138*15.999)+(14.007*K138)+(M138*30.974)+(N138*32.066)</f>
        <v>96.062000000000012</v>
      </c>
      <c r="P138" s="112">
        <v>0</v>
      </c>
      <c r="Q138" s="114">
        <f t="shared" si="40"/>
        <v>96.062000000000012</v>
      </c>
      <c r="R138" s="166">
        <f t="shared" si="48"/>
        <v>3.5795704864945198E-3</v>
      </c>
      <c r="S138" s="116">
        <f t="shared" si="31"/>
        <v>3.4386070007363663E-4</v>
      </c>
      <c r="V138" s="284">
        <f t="shared" si="49"/>
        <v>3.0426349135203416E-3</v>
      </c>
      <c r="W138" s="290">
        <f t="shared" si="50"/>
        <v>5.3693557297417797E-4</v>
      </c>
    </row>
    <row r="139" spans="1:23" x14ac:dyDescent="0.35">
      <c r="A139" s="111"/>
      <c r="B139" s="112"/>
      <c r="C139" s="112" t="s">
        <v>755</v>
      </c>
      <c r="D139" s="112"/>
      <c r="E139" s="112"/>
      <c r="F139" s="113">
        <v>1.6683177123277371E-2</v>
      </c>
      <c r="G139" s="112" t="s">
        <v>656</v>
      </c>
      <c r="H139" s="112" t="s">
        <v>822</v>
      </c>
      <c r="I139" s="223">
        <v>0</v>
      </c>
      <c r="J139" s="223">
        <v>1</v>
      </c>
      <c r="K139" s="223">
        <v>0</v>
      </c>
      <c r="L139" s="223">
        <v>4</v>
      </c>
      <c r="M139" s="223">
        <v>1</v>
      </c>
      <c r="N139" s="223">
        <v>0</v>
      </c>
      <c r="O139" s="114">
        <f t="shared" si="51"/>
        <v>95.978000000000009</v>
      </c>
      <c r="P139" s="112">
        <v>0</v>
      </c>
      <c r="Q139" s="114">
        <f t="shared" si="40"/>
        <v>95.978000000000009</v>
      </c>
      <c r="R139" s="166">
        <f t="shared" si="48"/>
        <v>3.5795704864945203E-3</v>
      </c>
      <c r="S139" s="116">
        <f t="shared" si="31"/>
        <v>3.4356001615277109E-4</v>
      </c>
      <c r="V139" s="284">
        <f t="shared" si="49"/>
        <v>3.0426349135203421E-3</v>
      </c>
      <c r="W139" s="290">
        <f t="shared" si="50"/>
        <v>5.3693557297417797E-4</v>
      </c>
    </row>
    <row r="140" spans="1:23" x14ac:dyDescent="0.35">
      <c r="A140" s="111"/>
      <c r="B140" s="112"/>
      <c r="C140" s="112" t="s">
        <v>325</v>
      </c>
      <c r="D140" s="112"/>
      <c r="E140" s="112"/>
      <c r="F140" s="113">
        <v>0.10695611464285394</v>
      </c>
      <c r="G140" s="112" t="s">
        <v>656</v>
      </c>
      <c r="H140" s="112" t="s">
        <v>327</v>
      </c>
      <c r="I140" s="223">
        <v>0</v>
      </c>
      <c r="J140" s="223">
        <v>0</v>
      </c>
      <c r="K140" s="223">
        <v>0</v>
      </c>
      <c r="L140" s="223">
        <v>0</v>
      </c>
      <c r="M140" s="223">
        <v>0</v>
      </c>
      <c r="N140" s="223">
        <v>0</v>
      </c>
      <c r="O140" s="114">
        <v>22.989768999999999</v>
      </c>
      <c r="P140" s="112">
        <v>0</v>
      </c>
      <c r="Q140" s="114">
        <f t="shared" si="40"/>
        <v>22.989768999999999</v>
      </c>
      <c r="R140" s="166">
        <f t="shared" si="48"/>
        <v>9.5806475633568727E-2</v>
      </c>
      <c r="S140" s="116">
        <f t="shared" si="31"/>
        <v>2.2025687435198735E-3</v>
      </c>
      <c r="V140" s="285">
        <f t="shared" si="49"/>
        <v>8.1435504288533411E-2</v>
      </c>
      <c r="W140" s="291">
        <f t="shared" si="50"/>
        <v>1.4370971345035309E-2</v>
      </c>
    </row>
    <row r="141" spans="1:23" x14ac:dyDescent="0.35">
      <c r="A141" s="123" t="s">
        <v>383</v>
      </c>
      <c r="B141" s="124"/>
      <c r="C141" s="124" t="s">
        <v>89</v>
      </c>
      <c r="D141" s="124"/>
      <c r="E141" s="124"/>
      <c r="F141" s="124"/>
      <c r="G141" s="124" t="s">
        <v>384</v>
      </c>
      <c r="H141" s="124" t="s">
        <v>770</v>
      </c>
      <c r="I141" s="224">
        <v>10</v>
      </c>
      <c r="J141" s="224">
        <v>16</v>
      </c>
      <c r="K141" s="224">
        <v>5</v>
      </c>
      <c r="L141" s="224">
        <v>13</v>
      </c>
      <c r="M141" s="224">
        <v>3</v>
      </c>
      <c r="N141" s="224">
        <v>0</v>
      </c>
      <c r="O141" s="124">
        <f t="shared" ref="O141:O154" si="52">(I141*12.011)+(J141*1.008)+(L141*15.999)+(14.007*K141)+(M141*30.974)+(N141*32.066)</f>
        <v>507.18200000000002</v>
      </c>
      <c r="P141" s="124">
        <v>0</v>
      </c>
      <c r="Q141" s="125">
        <f t="shared" si="40"/>
        <v>507.18200000000002</v>
      </c>
      <c r="R141" s="126">
        <f>'Maintenance ATP'!$M$32</f>
        <v>18.61</v>
      </c>
      <c r="S141" s="129"/>
      <c r="V141" s="287">
        <f>R141*$V$3</f>
        <v>15.818499999999998</v>
      </c>
      <c r="W141" s="292">
        <f>R141*$W$3</f>
        <v>2.7914999999999996</v>
      </c>
    </row>
    <row r="142" spans="1:23" x14ac:dyDescent="0.35">
      <c r="A142" s="127" t="s">
        <v>385</v>
      </c>
      <c r="B142" s="120"/>
      <c r="C142" s="120" t="s">
        <v>89</v>
      </c>
      <c r="D142" s="120"/>
      <c r="E142" s="120"/>
      <c r="F142" s="120"/>
      <c r="G142" s="120" t="s">
        <v>386</v>
      </c>
      <c r="H142" s="120" t="s">
        <v>770</v>
      </c>
      <c r="I142" s="225">
        <v>10</v>
      </c>
      <c r="J142" s="225">
        <v>16</v>
      </c>
      <c r="K142" s="225">
        <v>5</v>
      </c>
      <c r="L142" s="225">
        <v>13</v>
      </c>
      <c r="M142" s="225">
        <v>3</v>
      </c>
      <c r="N142" s="225">
        <v>0</v>
      </c>
      <c r="O142" s="120">
        <f t="shared" si="52"/>
        <v>507.18200000000002</v>
      </c>
      <c r="P142" s="120">
        <v>0</v>
      </c>
      <c r="Q142" s="121">
        <f t="shared" si="40"/>
        <v>507.18200000000002</v>
      </c>
      <c r="R142" s="122">
        <f>'Maintenance ATP'!$M$31</f>
        <v>35.39243113772455</v>
      </c>
      <c r="S142" s="130"/>
      <c r="V142" s="288">
        <f t="shared" ref="V142:V145" si="53">R142*$V$3</f>
        <v>30.083566467065868</v>
      </c>
      <c r="W142" s="293">
        <f t="shared" ref="W142:W145" si="54">R142*$W$3</f>
        <v>5.3088646706586822</v>
      </c>
    </row>
    <row r="143" spans="1:23" x14ac:dyDescent="0.35">
      <c r="A143" s="145" t="s">
        <v>407</v>
      </c>
      <c r="B143" s="120"/>
      <c r="C143" s="120" t="s">
        <v>89</v>
      </c>
      <c r="D143" s="120"/>
      <c r="E143" s="120"/>
      <c r="F143" s="120"/>
      <c r="G143" s="120" t="s">
        <v>89</v>
      </c>
      <c r="H143" s="120" t="s">
        <v>770</v>
      </c>
      <c r="I143" s="225">
        <v>10</v>
      </c>
      <c r="J143" s="225">
        <v>16</v>
      </c>
      <c r="K143" s="225">
        <v>5</v>
      </c>
      <c r="L143" s="225">
        <v>13</v>
      </c>
      <c r="M143" s="225">
        <v>3</v>
      </c>
      <c r="N143" s="225">
        <v>0</v>
      </c>
      <c r="O143" s="120">
        <f t="shared" si="52"/>
        <v>507.18200000000002</v>
      </c>
      <c r="P143" s="120">
        <v>0</v>
      </c>
      <c r="Q143" s="121">
        <f t="shared" si="40"/>
        <v>507.18200000000002</v>
      </c>
      <c r="R143" s="147">
        <f>R30+R141+R142</f>
        <v>54.01893892224205</v>
      </c>
      <c r="S143" s="130"/>
      <c r="V143" s="284">
        <f t="shared" si="53"/>
        <v>45.916098083905744</v>
      </c>
      <c r="W143" s="290">
        <f t="shared" si="54"/>
        <v>8.1028408383363075</v>
      </c>
    </row>
    <row r="144" spans="1:23" x14ac:dyDescent="0.35">
      <c r="A144" s="127" t="s">
        <v>387</v>
      </c>
      <c r="B144" s="120"/>
      <c r="C144" s="120" t="s">
        <v>388</v>
      </c>
      <c r="D144" s="120"/>
      <c r="E144" s="120"/>
      <c r="F144" s="120"/>
      <c r="G144" s="120" t="s">
        <v>389</v>
      </c>
      <c r="H144" s="120" t="s">
        <v>388</v>
      </c>
      <c r="I144" s="225">
        <v>0</v>
      </c>
      <c r="J144" s="225">
        <v>2</v>
      </c>
      <c r="K144" s="225">
        <v>0</v>
      </c>
      <c r="L144" s="225">
        <v>1</v>
      </c>
      <c r="M144" s="225">
        <v>0</v>
      </c>
      <c r="N144" s="225">
        <v>0</v>
      </c>
      <c r="O144" s="120">
        <f t="shared" si="52"/>
        <v>18.015000000000001</v>
      </c>
      <c r="P144" s="120">
        <v>0</v>
      </c>
      <c r="Q144" s="120">
        <f t="shared" si="40"/>
        <v>18.015000000000001</v>
      </c>
      <c r="R144" s="122">
        <f>SUM(R5:R24)</f>
        <v>4.455308316928317</v>
      </c>
      <c r="S144" s="130"/>
      <c r="V144" s="288">
        <f t="shared" si="53"/>
        <v>3.7870120693890694</v>
      </c>
      <c r="W144" s="293">
        <f t="shared" si="54"/>
        <v>0.66829624753924755</v>
      </c>
    </row>
    <row r="145" spans="1:23" x14ac:dyDescent="0.35">
      <c r="A145" s="146" t="s">
        <v>408</v>
      </c>
      <c r="B145" s="128"/>
      <c r="C145" s="128" t="s">
        <v>388</v>
      </c>
      <c r="D145" s="128"/>
      <c r="E145" s="128"/>
      <c r="F145" s="128"/>
      <c r="G145" s="128" t="s">
        <v>389</v>
      </c>
      <c r="H145" s="128" t="s">
        <v>388</v>
      </c>
      <c r="I145" s="226">
        <v>0</v>
      </c>
      <c r="J145" s="226">
        <v>2</v>
      </c>
      <c r="K145" s="226">
        <v>0</v>
      </c>
      <c r="L145" s="226">
        <v>1</v>
      </c>
      <c r="M145" s="226">
        <v>0</v>
      </c>
      <c r="N145" s="226">
        <v>0</v>
      </c>
      <c r="O145" s="128">
        <f t="shared" si="52"/>
        <v>18.015000000000001</v>
      </c>
      <c r="P145" s="128">
        <v>0</v>
      </c>
      <c r="Q145" s="128">
        <f t="shared" si="40"/>
        <v>18.015000000000001</v>
      </c>
      <c r="R145" s="148">
        <f>SUM(R141:R142)-R144</f>
        <v>49.547122820796233</v>
      </c>
      <c r="S145" s="131"/>
      <c r="V145" s="285">
        <f t="shared" si="53"/>
        <v>42.115054397676793</v>
      </c>
      <c r="W145" s="291">
        <f t="shared" si="54"/>
        <v>7.4320684231194347</v>
      </c>
    </row>
    <row r="146" spans="1:23" ht="21" x14ac:dyDescent="0.5">
      <c r="A146" s="295" t="s">
        <v>390</v>
      </c>
      <c r="B146" s="296"/>
      <c r="C146" s="296"/>
      <c r="D146" s="296"/>
      <c r="E146" s="296"/>
      <c r="F146" s="296"/>
      <c r="G146" s="296"/>
      <c r="H146" s="296"/>
      <c r="I146" s="296"/>
      <c r="J146" s="296"/>
      <c r="K146" s="296"/>
      <c r="L146" s="296"/>
      <c r="M146" s="296"/>
      <c r="N146" s="296"/>
      <c r="O146" s="296"/>
      <c r="P146" s="296"/>
      <c r="Q146" s="296"/>
      <c r="R146" s="296"/>
      <c r="S146" s="297"/>
    </row>
    <row r="147" spans="1:23" x14ac:dyDescent="0.35">
      <c r="A147" s="132" t="s">
        <v>391</v>
      </c>
      <c r="B147" s="133"/>
      <c r="C147" s="133" t="s">
        <v>392</v>
      </c>
      <c r="D147" s="133"/>
      <c r="E147" s="133"/>
      <c r="F147" s="133"/>
      <c r="G147" s="133" t="s">
        <v>384</v>
      </c>
      <c r="H147" s="133" t="s">
        <v>393</v>
      </c>
      <c r="I147" s="227">
        <v>10</v>
      </c>
      <c r="J147" s="227">
        <v>16</v>
      </c>
      <c r="K147" s="227">
        <v>5</v>
      </c>
      <c r="L147" s="227">
        <v>10</v>
      </c>
      <c r="M147" s="227">
        <v>2</v>
      </c>
      <c r="N147" s="227">
        <v>0</v>
      </c>
      <c r="O147" s="133">
        <f t="shared" si="52"/>
        <v>428.21100000000001</v>
      </c>
      <c r="P147" s="133">
        <v>0</v>
      </c>
      <c r="Q147" s="133">
        <f t="shared" si="40"/>
        <v>428.21100000000001</v>
      </c>
      <c r="R147" s="134">
        <f>R141</f>
        <v>18.61</v>
      </c>
      <c r="S147" s="140"/>
      <c r="V147" s="287">
        <f t="shared" ref="V147" si="55">R147*$V$3</f>
        <v>15.818499999999998</v>
      </c>
      <c r="W147" s="292">
        <f t="shared" ref="W147" si="56">R147*$W$3</f>
        <v>2.7914999999999996</v>
      </c>
    </row>
    <row r="148" spans="1:23" x14ac:dyDescent="0.35">
      <c r="A148" s="135" t="s">
        <v>394</v>
      </c>
      <c r="B148" s="136"/>
      <c r="C148" s="136" t="s">
        <v>392</v>
      </c>
      <c r="D148" s="136"/>
      <c r="E148" s="136"/>
      <c r="F148" s="136"/>
      <c r="G148" s="136" t="s">
        <v>386</v>
      </c>
      <c r="H148" s="136" t="s">
        <v>393</v>
      </c>
      <c r="I148" s="228">
        <v>10</v>
      </c>
      <c r="J148" s="228">
        <v>16</v>
      </c>
      <c r="K148" s="228">
        <v>5</v>
      </c>
      <c r="L148" s="228">
        <v>10</v>
      </c>
      <c r="M148" s="228">
        <v>2</v>
      </c>
      <c r="N148" s="228">
        <v>0</v>
      </c>
      <c r="O148" s="136">
        <f t="shared" si="52"/>
        <v>428.21100000000001</v>
      </c>
      <c r="P148" s="136">
        <v>0</v>
      </c>
      <c r="Q148" s="136">
        <f t="shared" si="40"/>
        <v>428.21100000000001</v>
      </c>
      <c r="R148" s="137">
        <f>R142</f>
        <v>35.39243113772455</v>
      </c>
      <c r="S148" s="141"/>
      <c r="V148" s="288">
        <f t="shared" ref="V148:V155" si="57">R148*$V$3</f>
        <v>30.083566467065868</v>
      </c>
      <c r="W148" s="293">
        <f t="shared" ref="W148:W155" si="58">R148*$W$3</f>
        <v>5.3088646706586822</v>
      </c>
    </row>
    <row r="149" spans="1:23" x14ac:dyDescent="0.35">
      <c r="A149" s="149" t="s">
        <v>409</v>
      </c>
      <c r="B149" s="136"/>
      <c r="C149" s="136" t="s">
        <v>392</v>
      </c>
      <c r="D149" s="136"/>
      <c r="E149" s="136"/>
      <c r="F149" s="136"/>
      <c r="G149" s="136" t="s">
        <v>386</v>
      </c>
      <c r="H149" s="136" t="s">
        <v>393</v>
      </c>
      <c r="I149" s="228">
        <v>10</v>
      </c>
      <c r="J149" s="228">
        <v>16</v>
      </c>
      <c r="K149" s="228">
        <v>5</v>
      </c>
      <c r="L149" s="228">
        <v>10</v>
      </c>
      <c r="M149" s="228">
        <v>2</v>
      </c>
      <c r="N149" s="228">
        <v>0</v>
      </c>
      <c r="O149" s="136">
        <f t="shared" si="52"/>
        <v>428.21100000000001</v>
      </c>
      <c r="P149" s="136">
        <v>0</v>
      </c>
      <c r="Q149" s="136">
        <f t="shared" si="40"/>
        <v>428.21100000000001</v>
      </c>
      <c r="R149" s="150">
        <f>R147+R148</f>
        <v>54.00243113772455</v>
      </c>
      <c r="S149" s="141"/>
      <c r="V149" s="284">
        <f t="shared" si="57"/>
        <v>45.902066467065865</v>
      </c>
      <c r="W149" s="290">
        <f t="shared" si="58"/>
        <v>8.1003646706586814</v>
      </c>
    </row>
    <row r="150" spans="1:23" x14ac:dyDescent="0.35">
      <c r="A150" s="135" t="s">
        <v>395</v>
      </c>
      <c r="B150" s="136"/>
      <c r="C150" s="136" t="s">
        <v>396</v>
      </c>
      <c r="D150" s="136"/>
      <c r="E150" s="136"/>
      <c r="F150" s="136"/>
      <c r="G150" s="136" t="s">
        <v>397</v>
      </c>
      <c r="H150" s="136" t="s">
        <v>23</v>
      </c>
      <c r="I150" s="228">
        <v>0</v>
      </c>
      <c r="J150" s="228">
        <v>1</v>
      </c>
      <c r="K150" s="228">
        <v>0</v>
      </c>
      <c r="L150" s="228">
        <v>0</v>
      </c>
      <c r="M150" s="228">
        <v>0</v>
      </c>
      <c r="N150" s="228">
        <v>0</v>
      </c>
      <c r="O150" s="136">
        <f t="shared" si="52"/>
        <v>1.008</v>
      </c>
      <c r="P150" s="136">
        <v>0</v>
      </c>
      <c r="Q150" s="136">
        <f t="shared" si="40"/>
        <v>1.008</v>
      </c>
      <c r="R150" s="150">
        <f>SUM(R141:R142)</f>
        <v>54.00243113772455</v>
      </c>
      <c r="S150" s="141"/>
      <c r="V150" s="284">
        <f t="shared" si="57"/>
        <v>45.902066467065865</v>
      </c>
      <c r="W150" s="290">
        <f t="shared" si="58"/>
        <v>8.1003646706586814</v>
      </c>
    </row>
    <row r="151" spans="1:23" x14ac:dyDescent="0.35">
      <c r="A151" s="135" t="s">
        <v>398</v>
      </c>
      <c r="B151" s="136"/>
      <c r="C151" s="136" t="s">
        <v>399</v>
      </c>
      <c r="D151" s="136"/>
      <c r="E151" s="136"/>
      <c r="F151" s="136"/>
      <c r="G151" s="136" t="s">
        <v>399</v>
      </c>
      <c r="H151" s="136" t="s">
        <v>400</v>
      </c>
      <c r="I151" s="228">
        <v>0</v>
      </c>
      <c r="J151" s="228">
        <v>1</v>
      </c>
      <c r="K151" s="228">
        <v>0</v>
      </c>
      <c r="L151" s="228">
        <v>4</v>
      </c>
      <c r="M151" s="228">
        <v>1</v>
      </c>
      <c r="N151" s="228"/>
      <c r="O151" s="136">
        <f t="shared" si="52"/>
        <v>95.978000000000009</v>
      </c>
      <c r="P151" s="136">
        <v>0</v>
      </c>
      <c r="Q151" s="136">
        <f t="shared" si="40"/>
        <v>95.978000000000009</v>
      </c>
      <c r="R151" s="150">
        <f>SUM(R141:R142)</f>
        <v>54.00243113772455</v>
      </c>
      <c r="S151" s="141"/>
      <c r="V151" s="284">
        <f t="shared" si="57"/>
        <v>45.902066467065865</v>
      </c>
      <c r="W151" s="290">
        <f t="shared" si="58"/>
        <v>8.1003646706586814</v>
      </c>
    </row>
    <row r="152" spans="1:23" x14ac:dyDescent="0.35">
      <c r="A152" s="135" t="s">
        <v>401</v>
      </c>
      <c r="B152" s="136"/>
      <c r="C152" s="136" t="s">
        <v>403</v>
      </c>
      <c r="D152" s="136"/>
      <c r="E152" s="136"/>
      <c r="F152" s="136"/>
      <c r="G152" s="136" t="s">
        <v>403</v>
      </c>
      <c r="H152" s="136" t="s">
        <v>404</v>
      </c>
      <c r="I152" s="228">
        <v>0</v>
      </c>
      <c r="J152" s="228">
        <v>1</v>
      </c>
      <c r="K152" s="228">
        <v>0</v>
      </c>
      <c r="L152" s="228">
        <v>7</v>
      </c>
      <c r="M152" s="228">
        <v>2</v>
      </c>
      <c r="N152" s="228"/>
      <c r="O152" s="136">
        <f t="shared" si="52"/>
        <v>174.94900000000001</v>
      </c>
      <c r="P152" s="136">
        <v>0</v>
      </c>
      <c r="Q152" s="136">
        <f t="shared" si="40"/>
        <v>174.94900000000001</v>
      </c>
      <c r="R152" s="137">
        <f>SUM(R26:R29)</f>
        <v>1.1703981126719996E-2</v>
      </c>
      <c r="S152" s="141"/>
      <c r="V152" s="288">
        <f t="shared" si="57"/>
        <v>9.9483839577119964E-3</v>
      </c>
      <c r="W152" s="293">
        <f t="shared" si="58"/>
        <v>1.7555971690079995E-3</v>
      </c>
    </row>
    <row r="153" spans="1:23" x14ac:dyDescent="0.35">
      <c r="A153" s="135" t="s">
        <v>402</v>
      </c>
      <c r="B153" s="136"/>
      <c r="C153" s="136" t="s">
        <v>403</v>
      </c>
      <c r="D153" s="136"/>
      <c r="E153" s="136"/>
      <c r="F153" s="136"/>
      <c r="G153" s="136" t="s">
        <v>403</v>
      </c>
      <c r="H153" s="136" t="s">
        <v>404</v>
      </c>
      <c r="I153" s="228">
        <v>0</v>
      </c>
      <c r="J153" s="228">
        <v>1</v>
      </c>
      <c r="K153" s="228">
        <v>0</v>
      </c>
      <c r="L153" s="228">
        <v>7</v>
      </c>
      <c r="M153" s="228">
        <v>2</v>
      </c>
      <c r="N153" s="228"/>
      <c r="O153" s="136">
        <f t="shared" si="52"/>
        <v>174.94900000000001</v>
      </c>
      <c r="P153" s="136">
        <v>0</v>
      </c>
      <c r="Q153" s="136">
        <f t="shared" si="40"/>
        <v>174.94900000000001</v>
      </c>
      <c r="R153" s="137">
        <f>SUM(R30:R33)</f>
        <v>6.2101609325864393E-2</v>
      </c>
      <c r="S153" s="141"/>
      <c r="V153" s="288">
        <f t="shared" si="57"/>
        <v>5.2786367926984733E-2</v>
      </c>
      <c r="W153" s="293">
        <f t="shared" si="58"/>
        <v>9.3152413988796586E-3</v>
      </c>
    </row>
    <row r="154" spans="1:23" x14ac:dyDescent="0.35">
      <c r="A154" s="149" t="s">
        <v>410</v>
      </c>
      <c r="B154" s="136"/>
      <c r="C154" s="136" t="s">
        <v>403</v>
      </c>
      <c r="D154" s="136"/>
      <c r="E154" s="136"/>
      <c r="F154" s="136"/>
      <c r="G154" s="136" t="s">
        <v>403</v>
      </c>
      <c r="H154" s="136" t="s">
        <v>404</v>
      </c>
      <c r="I154" s="228">
        <v>0</v>
      </c>
      <c r="J154" s="228">
        <v>1</v>
      </c>
      <c r="K154" s="228">
        <v>0</v>
      </c>
      <c r="L154" s="228">
        <v>7</v>
      </c>
      <c r="M154" s="228">
        <v>2</v>
      </c>
      <c r="N154" s="228"/>
      <c r="O154" s="136">
        <f t="shared" si="52"/>
        <v>174.94900000000001</v>
      </c>
      <c r="P154" s="136">
        <v>1</v>
      </c>
      <c r="Q154" s="136">
        <f t="shared" si="40"/>
        <v>173.94900000000001</v>
      </c>
      <c r="R154" s="150">
        <f>R152+R153</f>
        <v>7.3805590452584391E-2</v>
      </c>
      <c r="S154" s="141"/>
      <c r="V154" s="284">
        <f t="shared" si="57"/>
        <v>6.2734751884696724E-2</v>
      </c>
      <c r="W154" s="290">
        <f t="shared" si="58"/>
        <v>1.1070838567887658E-2</v>
      </c>
    </row>
    <row r="155" spans="1:23" x14ac:dyDescent="0.35">
      <c r="A155" s="138" t="s">
        <v>406</v>
      </c>
      <c r="B155" s="139"/>
      <c r="C155" s="139" t="s">
        <v>405</v>
      </c>
      <c r="D155" s="139"/>
      <c r="E155" s="139"/>
      <c r="F155" s="139"/>
      <c r="G155" s="139" t="s">
        <v>405</v>
      </c>
      <c r="H155" s="139"/>
      <c r="I155" s="229"/>
      <c r="J155" s="229"/>
      <c r="K155" s="229"/>
      <c r="L155" s="229"/>
      <c r="M155" s="229"/>
      <c r="N155" s="229"/>
      <c r="O155" s="139">
        <v>1000</v>
      </c>
      <c r="P155" s="139">
        <v>0</v>
      </c>
      <c r="Q155" s="139">
        <f t="shared" si="40"/>
        <v>1000</v>
      </c>
      <c r="R155" s="151">
        <f>1*O155/Q155</f>
        <v>1</v>
      </c>
      <c r="S155" s="142"/>
      <c r="V155" s="285">
        <f t="shared" si="57"/>
        <v>0.85</v>
      </c>
      <c r="W155" s="291">
        <f t="shared" si="58"/>
        <v>0.15</v>
      </c>
    </row>
    <row r="156" spans="1:23" x14ac:dyDescent="0.35">
      <c r="A156" s="119"/>
      <c r="B156" s="119"/>
      <c r="C156" s="119"/>
      <c r="D156" s="119"/>
      <c r="E156" s="119"/>
      <c r="F156" s="119"/>
      <c r="G156" s="119"/>
      <c r="H156" s="119"/>
      <c r="I156" s="230"/>
      <c r="J156" s="230"/>
      <c r="K156" s="230"/>
      <c r="L156" s="230"/>
      <c r="M156" s="230"/>
      <c r="N156" s="230"/>
      <c r="O156" s="119"/>
      <c r="P156" s="119"/>
      <c r="Q156" s="119"/>
      <c r="R156" s="119"/>
      <c r="S156" s="119"/>
    </row>
  </sheetData>
  <mergeCells count="2">
    <mergeCell ref="A3:S3"/>
    <mergeCell ref="A146:S14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6"/>
  <sheetViews>
    <sheetView zoomScaleNormal="100" workbookViewId="0">
      <selection activeCell="I27" sqref="I27"/>
    </sheetView>
  </sheetViews>
  <sheetFormatPr defaultRowHeight="14.5" x14ac:dyDescent="0.35"/>
  <cols>
    <col min="1" max="1" width="9.1796875" customWidth="1"/>
    <col min="2" max="2" width="23.7265625" customWidth="1"/>
    <col min="3" max="3" width="16" customWidth="1"/>
    <col min="4" max="4" width="10.54296875" customWidth="1"/>
    <col min="5" max="5" width="11" customWidth="1"/>
    <col min="24" max="24" width="25.26953125" customWidth="1"/>
  </cols>
  <sheetData>
    <row r="1" spans="1:25" x14ac:dyDescent="0.35">
      <c r="A1" s="298" t="s">
        <v>93</v>
      </c>
      <c r="B1" s="298"/>
      <c r="C1" s="298"/>
      <c r="D1" s="193">
        <v>36400</v>
      </c>
      <c r="E1" s="193" t="s">
        <v>111</v>
      </c>
      <c r="G1" s="199">
        <f>SUM(G5:G26)+18.015</f>
        <v>37478.425000000003</v>
      </c>
      <c r="H1" s="193" t="s">
        <v>111</v>
      </c>
    </row>
    <row r="2" spans="1:25" x14ac:dyDescent="0.35">
      <c r="D2" s="193" t="s">
        <v>431</v>
      </c>
      <c r="E2" s="193" t="s">
        <v>432</v>
      </c>
      <c r="F2" s="8" t="s">
        <v>433</v>
      </c>
      <c r="J2">
        <v>1</v>
      </c>
    </row>
    <row r="3" spans="1:25" x14ac:dyDescent="0.35">
      <c r="D3" s="193" t="s">
        <v>438</v>
      </c>
      <c r="E3" s="193" t="s">
        <v>439</v>
      </c>
      <c r="F3" s="8" t="s">
        <v>433</v>
      </c>
    </row>
    <row r="4" spans="1:25" x14ac:dyDescent="0.35">
      <c r="A4" s="8"/>
      <c r="B4" s="195" t="s">
        <v>292</v>
      </c>
      <c r="C4" s="195" t="s">
        <v>469</v>
      </c>
      <c r="D4" s="8" t="s">
        <v>444</v>
      </c>
      <c r="E4" s="8" t="s">
        <v>445</v>
      </c>
      <c r="F4" s="8" t="s">
        <v>433</v>
      </c>
      <c r="H4" s="192" t="s">
        <v>446</v>
      </c>
      <c r="I4" s="192" t="s">
        <v>22</v>
      </c>
      <c r="J4" s="192" t="s">
        <v>23</v>
      </c>
      <c r="K4" s="192" t="s">
        <v>24</v>
      </c>
      <c r="L4" s="192" t="s">
        <v>25</v>
      </c>
      <c r="M4" s="192" t="s">
        <v>26</v>
      </c>
      <c r="N4" s="192" t="s">
        <v>6</v>
      </c>
      <c r="O4" s="192" t="s">
        <v>470</v>
      </c>
      <c r="Q4" s="192" t="s">
        <v>22</v>
      </c>
      <c r="R4" s="192" t="s">
        <v>23</v>
      </c>
      <c r="S4" s="192" t="s">
        <v>24</v>
      </c>
      <c r="T4" s="192" t="s">
        <v>25</v>
      </c>
      <c r="U4" s="192" t="s">
        <v>26</v>
      </c>
      <c r="V4" s="192" t="s">
        <v>6</v>
      </c>
    </row>
    <row r="5" spans="1:25" x14ac:dyDescent="0.35">
      <c r="A5" t="s">
        <v>335</v>
      </c>
      <c r="B5" s="119" t="s">
        <v>447</v>
      </c>
      <c r="C5">
        <v>71.079000000000008</v>
      </c>
      <c r="D5">
        <v>22</v>
      </c>
      <c r="E5">
        <v>27</v>
      </c>
      <c r="F5">
        <v>49</v>
      </c>
      <c r="G5" s="198">
        <f>F5*C5</f>
        <v>3482.8710000000005</v>
      </c>
      <c r="H5" s="2">
        <f t="shared" ref="H5:H26" si="0">F5/F$27</f>
        <v>0.1467065868263473</v>
      </c>
      <c r="I5" s="193">
        <v>3</v>
      </c>
      <c r="J5" s="193">
        <v>5</v>
      </c>
      <c r="K5" s="193">
        <v>1</v>
      </c>
      <c r="L5" s="193">
        <v>1</v>
      </c>
      <c r="M5" s="193">
        <v>0</v>
      </c>
      <c r="N5" s="193">
        <v>0</v>
      </c>
      <c r="O5">
        <f t="shared" ref="O5:O26" si="1">(I5*12.011)+(J5*1.008)+(L5*15.999)+(14.007*K5)+(M5*30.974)+(N5*32.066)</f>
        <v>71.079000000000008</v>
      </c>
      <c r="Q5" s="193">
        <f>$F5*I5</f>
        <v>147</v>
      </c>
      <c r="R5" s="193">
        <f t="shared" ref="R5:V5" si="2">$F5*J5</f>
        <v>245</v>
      </c>
      <c r="S5" s="193">
        <f t="shared" si="2"/>
        <v>49</v>
      </c>
      <c r="T5" s="193">
        <f t="shared" si="2"/>
        <v>49</v>
      </c>
      <c r="U5" s="193">
        <f t="shared" si="2"/>
        <v>0</v>
      </c>
      <c r="V5" s="193">
        <f t="shared" si="2"/>
        <v>0</v>
      </c>
      <c r="X5" t="s">
        <v>472</v>
      </c>
      <c r="Y5" t="str">
        <f>CONCATENATE(X5," + ",X6," + ",X7," + ",X8," + ",X9," + ",X10," + ",X11," + ",X12," + ",X13," + ",X14," + ",X15," + ",X16," + ",X17," + ",X18," + ",X19," + ",X20," + ",X21," + ",X22," + ",X23," + ",X24," + ",X25," + ",X26, " &lt;=&gt; ",X27," + ",X28)</f>
        <v>49 ala__L_c + 18 arg__L_c + 22 asn__L_c + 20 asp__L_c + 7 cys__L_c + 13 glu__L_c + 11 gln__L_c + 27 gly_c + 4 his__L_c + 16 ile__L_c + 28 leu__L_c + 13 lys__L_c + 6 met__L_c + 10 phe__L_c + 8 pro__L_c + 28 ser__L_c + 13 thr__L_c + 2 trp__L_c + 16 tyr__L_c + 23 val__L_c + 2 phycy_c + phyvi_c &lt;=&gt; pecpbp_c + 333 h2o_c</v>
      </c>
    </row>
    <row r="6" spans="1:25" x14ac:dyDescent="0.35">
      <c r="A6" t="s">
        <v>421</v>
      </c>
      <c r="B6" s="119" t="s">
        <v>448</v>
      </c>
      <c r="C6">
        <v>157.197</v>
      </c>
      <c r="D6">
        <v>7</v>
      </c>
      <c r="E6">
        <v>11</v>
      </c>
      <c r="F6">
        <v>18</v>
      </c>
      <c r="G6" s="198">
        <f t="shared" ref="G6:G26" si="3">F6*C6</f>
        <v>2829.5460000000003</v>
      </c>
      <c r="H6" s="2">
        <f t="shared" si="0"/>
        <v>5.3892215568862277E-2</v>
      </c>
      <c r="I6" s="193">
        <v>6</v>
      </c>
      <c r="J6" s="193">
        <v>13</v>
      </c>
      <c r="K6" s="193">
        <v>4</v>
      </c>
      <c r="L6" s="193">
        <v>1</v>
      </c>
      <c r="M6" s="193">
        <v>0</v>
      </c>
      <c r="N6" s="193">
        <v>0</v>
      </c>
      <c r="O6">
        <f t="shared" si="1"/>
        <v>157.197</v>
      </c>
      <c r="Q6" s="193">
        <f t="shared" ref="Q6:Q26" si="4">$F6*I6</f>
        <v>108</v>
      </c>
      <c r="R6" s="193">
        <f t="shared" ref="R6:R26" si="5">$F6*J6</f>
        <v>234</v>
      </c>
      <c r="S6" s="193">
        <f t="shared" ref="S6:S26" si="6">$F6*K6</f>
        <v>72</v>
      </c>
      <c r="T6" s="193">
        <f t="shared" ref="T6:T26" si="7">$F6*L6</f>
        <v>18</v>
      </c>
      <c r="U6" s="193">
        <f t="shared" ref="U6:U26" si="8">$F6*M6</f>
        <v>0</v>
      </c>
      <c r="V6" s="193">
        <f t="shared" ref="V6:V26" si="9">$F6*N6</f>
        <v>0</v>
      </c>
      <c r="X6" t="s">
        <v>473</v>
      </c>
      <c r="Y6" t="s">
        <v>538</v>
      </c>
    </row>
    <row r="7" spans="1:25" x14ac:dyDescent="0.35">
      <c r="A7" t="s">
        <v>24</v>
      </c>
      <c r="B7" s="119" t="s">
        <v>449</v>
      </c>
      <c r="C7">
        <v>114.104</v>
      </c>
      <c r="D7">
        <v>11</v>
      </c>
      <c r="E7">
        <v>11</v>
      </c>
      <c r="F7">
        <v>22</v>
      </c>
      <c r="G7" s="198">
        <f t="shared" si="3"/>
        <v>2510.288</v>
      </c>
      <c r="H7" s="2">
        <f t="shared" si="0"/>
        <v>6.5868263473053898E-2</v>
      </c>
      <c r="I7" s="193">
        <v>4</v>
      </c>
      <c r="J7" s="193">
        <v>6</v>
      </c>
      <c r="K7" s="193">
        <v>2</v>
      </c>
      <c r="L7" s="193">
        <v>2</v>
      </c>
      <c r="M7" s="193">
        <v>0</v>
      </c>
      <c r="N7" s="193">
        <v>0</v>
      </c>
      <c r="O7">
        <f t="shared" si="1"/>
        <v>114.104</v>
      </c>
      <c r="Q7" s="193">
        <f t="shared" si="4"/>
        <v>88</v>
      </c>
      <c r="R7" s="193">
        <f t="shared" si="5"/>
        <v>132</v>
      </c>
      <c r="S7" s="193">
        <f t="shared" si="6"/>
        <v>44</v>
      </c>
      <c r="T7" s="193">
        <f t="shared" si="7"/>
        <v>44</v>
      </c>
      <c r="U7" s="193">
        <f t="shared" si="8"/>
        <v>0</v>
      </c>
      <c r="V7" s="193">
        <f t="shared" si="9"/>
        <v>0</v>
      </c>
      <c r="X7" t="s">
        <v>474</v>
      </c>
    </row>
    <row r="8" spans="1:25" x14ac:dyDescent="0.35">
      <c r="A8" t="s">
        <v>422</v>
      </c>
      <c r="B8" s="119" t="s">
        <v>450</v>
      </c>
      <c r="C8">
        <v>114.08</v>
      </c>
      <c r="D8">
        <v>6</v>
      </c>
      <c r="E8">
        <v>14</v>
      </c>
      <c r="F8">
        <v>20</v>
      </c>
      <c r="G8" s="198">
        <f t="shared" si="3"/>
        <v>2281.6</v>
      </c>
      <c r="H8" s="2">
        <f t="shared" si="0"/>
        <v>5.9880239520958084E-2</v>
      </c>
      <c r="I8" s="193">
        <v>4</v>
      </c>
      <c r="J8" s="193">
        <v>5</v>
      </c>
      <c r="K8" s="193">
        <v>1</v>
      </c>
      <c r="L8" s="193">
        <v>3</v>
      </c>
      <c r="M8" s="193">
        <v>0</v>
      </c>
      <c r="N8" s="193">
        <v>0</v>
      </c>
      <c r="O8">
        <f t="shared" si="1"/>
        <v>115.08799999999999</v>
      </c>
      <c r="Q8" s="193">
        <f t="shared" si="4"/>
        <v>80</v>
      </c>
      <c r="R8" s="193">
        <f t="shared" si="5"/>
        <v>100</v>
      </c>
      <c r="S8" s="193">
        <f t="shared" si="6"/>
        <v>20</v>
      </c>
      <c r="T8" s="193">
        <f t="shared" si="7"/>
        <v>60</v>
      </c>
      <c r="U8" s="193">
        <f t="shared" si="8"/>
        <v>0</v>
      </c>
      <c r="V8" s="193">
        <f t="shared" si="9"/>
        <v>0</v>
      </c>
      <c r="X8" t="s">
        <v>475</v>
      </c>
    </row>
    <row r="9" spans="1:25" x14ac:dyDescent="0.35">
      <c r="A9" t="s">
        <v>22</v>
      </c>
      <c r="B9" s="119" t="s">
        <v>451</v>
      </c>
      <c r="C9">
        <v>103.14500000000001</v>
      </c>
      <c r="D9">
        <v>3</v>
      </c>
      <c r="E9">
        <v>4</v>
      </c>
      <c r="F9">
        <v>7</v>
      </c>
      <c r="G9" s="198">
        <f t="shared" si="3"/>
        <v>722.0150000000001</v>
      </c>
      <c r="H9" s="2">
        <f t="shared" si="0"/>
        <v>2.0958083832335328E-2</v>
      </c>
      <c r="I9" s="193">
        <v>3</v>
      </c>
      <c r="J9" s="193">
        <v>5</v>
      </c>
      <c r="K9" s="193">
        <v>1</v>
      </c>
      <c r="L9" s="193">
        <v>1</v>
      </c>
      <c r="M9" s="193">
        <v>0</v>
      </c>
      <c r="N9" s="193">
        <v>1</v>
      </c>
      <c r="O9">
        <f t="shared" si="1"/>
        <v>103.14500000000001</v>
      </c>
      <c r="Q9" s="193">
        <f t="shared" si="4"/>
        <v>21</v>
      </c>
      <c r="R9" s="193">
        <f t="shared" si="5"/>
        <v>35</v>
      </c>
      <c r="S9" s="193">
        <f t="shared" si="6"/>
        <v>7</v>
      </c>
      <c r="T9" s="193">
        <f t="shared" si="7"/>
        <v>7</v>
      </c>
      <c r="U9" s="193">
        <f t="shared" si="8"/>
        <v>0</v>
      </c>
      <c r="V9" s="193">
        <f t="shared" si="9"/>
        <v>7</v>
      </c>
      <c r="X9" t="s">
        <v>476</v>
      </c>
    </row>
    <row r="10" spans="1:25" x14ac:dyDescent="0.35">
      <c r="A10" t="s">
        <v>7</v>
      </c>
      <c r="B10" s="119" t="s">
        <v>452</v>
      </c>
      <c r="C10">
        <v>128.13099999999997</v>
      </c>
      <c r="D10">
        <v>8</v>
      </c>
      <c r="E10">
        <v>5</v>
      </c>
      <c r="F10">
        <v>13</v>
      </c>
      <c r="G10" s="198">
        <f t="shared" si="3"/>
        <v>1665.7029999999995</v>
      </c>
      <c r="H10" s="2">
        <f t="shared" si="0"/>
        <v>3.8922155688622756E-2</v>
      </c>
      <c r="I10" s="193">
        <v>5</v>
      </c>
      <c r="J10" s="193">
        <v>7</v>
      </c>
      <c r="K10" s="193">
        <v>1</v>
      </c>
      <c r="L10" s="193">
        <v>3</v>
      </c>
      <c r="M10" s="193">
        <v>0</v>
      </c>
      <c r="N10" s="193">
        <v>0</v>
      </c>
      <c r="O10">
        <f t="shared" si="1"/>
        <v>129.11499999999998</v>
      </c>
      <c r="Q10" s="193">
        <f t="shared" si="4"/>
        <v>65</v>
      </c>
      <c r="R10" s="193">
        <f t="shared" si="5"/>
        <v>91</v>
      </c>
      <c r="S10" s="193">
        <f t="shared" si="6"/>
        <v>13</v>
      </c>
      <c r="T10" s="193">
        <f t="shared" si="7"/>
        <v>39</v>
      </c>
      <c r="U10" s="193">
        <f t="shared" si="8"/>
        <v>0</v>
      </c>
      <c r="V10" s="193">
        <f t="shared" si="9"/>
        <v>0</v>
      </c>
      <c r="X10" t="s">
        <v>477</v>
      </c>
    </row>
    <row r="11" spans="1:25" x14ac:dyDescent="0.35">
      <c r="A11" t="s">
        <v>423</v>
      </c>
      <c r="B11" s="119" t="s">
        <v>453</v>
      </c>
      <c r="C11">
        <v>128.10700000000003</v>
      </c>
      <c r="D11">
        <v>5</v>
      </c>
      <c r="E11">
        <v>6</v>
      </c>
      <c r="F11">
        <v>11</v>
      </c>
      <c r="G11" s="198">
        <f t="shared" si="3"/>
        <v>1409.1770000000004</v>
      </c>
      <c r="H11" s="2">
        <f t="shared" si="0"/>
        <v>3.2934131736526949E-2</v>
      </c>
      <c r="I11" s="193">
        <v>5</v>
      </c>
      <c r="J11" s="193">
        <v>8</v>
      </c>
      <c r="K11" s="193">
        <v>2</v>
      </c>
      <c r="L11" s="193">
        <v>2</v>
      </c>
      <c r="M11" s="193">
        <v>0</v>
      </c>
      <c r="N11" s="193">
        <v>0</v>
      </c>
      <c r="O11">
        <f t="shared" si="1"/>
        <v>128.131</v>
      </c>
      <c r="Q11" s="193">
        <f t="shared" si="4"/>
        <v>55</v>
      </c>
      <c r="R11" s="193">
        <f t="shared" si="5"/>
        <v>88</v>
      </c>
      <c r="S11" s="193">
        <f t="shared" si="6"/>
        <v>22</v>
      </c>
      <c r="T11" s="193">
        <f t="shared" si="7"/>
        <v>22</v>
      </c>
      <c r="U11" s="193">
        <f t="shared" si="8"/>
        <v>0</v>
      </c>
      <c r="V11" s="193">
        <f t="shared" si="9"/>
        <v>0</v>
      </c>
      <c r="X11" t="s">
        <v>478</v>
      </c>
    </row>
    <row r="12" spans="1:25" x14ac:dyDescent="0.35">
      <c r="A12" t="s">
        <v>336</v>
      </c>
      <c r="B12" t="s">
        <v>454</v>
      </c>
      <c r="C12">
        <v>57.052000000000007</v>
      </c>
      <c r="D12">
        <v>14</v>
      </c>
      <c r="E12">
        <v>13</v>
      </c>
      <c r="F12">
        <v>27</v>
      </c>
      <c r="G12" s="198">
        <f t="shared" si="3"/>
        <v>1540.4040000000002</v>
      </c>
      <c r="H12" s="2">
        <f t="shared" si="0"/>
        <v>8.0838323353293412E-2</v>
      </c>
      <c r="I12" s="193">
        <v>2</v>
      </c>
      <c r="J12" s="193">
        <v>3</v>
      </c>
      <c r="K12" s="193">
        <v>1</v>
      </c>
      <c r="L12" s="193">
        <v>1</v>
      </c>
      <c r="M12" s="193">
        <v>0</v>
      </c>
      <c r="N12" s="193">
        <v>0</v>
      </c>
      <c r="O12">
        <f t="shared" si="1"/>
        <v>57.052</v>
      </c>
      <c r="Q12" s="193">
        <f t="shared" si="4"/>
        <v>54</v>
      </c>
      <c r="R12" s="193">
        <f t="shared" si="5"/>
        <v>81</v>
      </c>
      <c r="S12" s="193">
        <f t="shared" si="6"/>
        <v>27</v>
      </c>
      <c r="T12" s="193">
        <f t="shared" si="7"/>
        <v>27</v>
      </c>
      <c r="U12" s="193">
        <f t="shared" si="8"/>
        <v>0</v>
      </c>
      <c r="V12" s="193">
        <f t="shared" si="9"/>
        <v>0</v>
      </c>
      <c r="X12" t="s">
        <v>479</v>
      </c>
    </row>
    <row r="13" spans="1:25" x14ac:dyDescent="0.35">
      <c r="A13" t="s">
        <v>23</v>
      </c>
      <c r="B13" t="s">
        <v>455</v>
      </c>
      <c r="C13">
        <v>137.142</v>
      </c>
      <c r="D13">
        <v>3</v>
      </c>
      <c r="E13">
        <v>1</v>
      </c>
      <c r="F13">
        <v>4</v>
      </c>
      <c r="G13" s="198">
        <f t="shared" si="3"/>
        <v>548.56799999999998</v>
      </c>
      <c r="H13" s="2">
        <f t="shared" si="0"/>
        <v>1.1976047904191617E-2</v>
      </c>
      <c r="I13" s="193">
        <v>6</v>
      </c>
      <c r="J13" s="193">
        <v>7</v>
      </c>
      <c r="K13" s="193">
        <v>3</v>
      </c>
      <c r="L13" s="193">
        <v>1</v>
      </c>
      <c r="M13" s="193">
        <v>0</v>
      </c>
      <c r="N13" s="193">
        <v>0</v>
      </c>
      <c r="O13">
        <f t="shared" si="1"/>
        <v>137.142</v>
      </c>
      <c r="Q13" s="193">
        <f t="shared" si="4"/>
        <v>24</v>
      </c>
      <c r="R13" s="193">
        <f t="shared" si="5"/>
        <v>28</v>
      </c>
      <c r="S13" s="193">
        <f t="shared" si="6"/>
        <v>12</v>
      </c>
      <c r="T13" s="193">
        <f t="shared" si="7"/>
        <v>4</v>
      </c>
      <c r="U13" s="193">
        <f t="shared" si="8"/>
        <v>0</v>
      </c>
      <c r="V13" s="193">
        <f t="shared" si="9"/>
        <v>0</v>
      </c>
      <c r="X13" t="s">
        <v>480</v>
      </c>
    </row>
    <row r="14" spans="1:25" x14ac:dyDescent="0.35">
      <c r="A14" t="s">
        <v>424</v>
      </c>
      <c r="B14" t="s">
        <v>456</v>
      </c>
      <c r="C14">
        <v>113.16000000000001</v>
      </c>
      <c r="D14">
        <v>5</v>
      </c>
      <c r="E14">
        <v>11</v>
      </c>
      <c r="F14">
        <v>16</v>
      </c>
      <c r="G14" s="198">
        <f t="shared" si="3"/>
        <v>1810.5600000000002</v>
      </c>
      <c r="H14" s="2">
        <f t="shared" si="0"/>
        <v>4.790419161676647E-2</v>
      </c>
      <c r="I14" s="193">
        <v>6</v>
      </c>
      <c r="J14" s="193">
        <v>11</v>
      </c>
      <c r="K14" s="193">
        <v>1</v>
      </c>
      <c r="L14" s="193">
        <v>1</v>
      </c>
      <c r="M14" s="193">
        <v>0</v>
      </c>
      <c r="N14" s="193">
        <v>0</v>
      </c>
      <c r="O14">
        <f t="shared" si="1"/>
        <v>113.16</v>
      </c>
      <c r="Q14" s="193">
        <f t="shared" si="4"/>
        <v>96</v>
      </c>
      <c r="R14" s="193">
        <f t="shared" si="5"/>
        <v>176</v>
      </c>
      <c r="S14" s="193">
        <f t="shared" si="6"/>
        <v>16</v>
      </c>
      <c r="T14" s="193">
        <f t="shared" si="7"/>
        <v>16</v>
      </c>
      <c r="U14" s="193">
        <f t="shared" si="8"/>
        <v>0</v>
      </c>
      <c r="V14" s="193">
        <f t="shared" si="9"/>
        <v>0</v>
      </c>
      <c r="X14" t="s">
        <v>481</v>
      </c>
    </row>
    <row r="15" spans="1:25" x14ac:dyDescent="0.35">
      <c r="A15" t="s">
        <v>425</v>
      </c>
      <c r="B15" t="s">
        <v>457</v>
      </c>
      <c r="C15">
        <v>113.16000000000001</v>
      </c>
      <c r="D15">
        <v>13</v>
      </c>
      <c r="E15">
        <v>15</v>
      </c>
      <c r="F15">
        <v>28</v>
      </c>
      <c r="G15" s="198">
        <f t="shared" si="3"/>
        <v>3168.4800000000005</v>
      </c>
      <c r="H15" s="2">
        <f t="shared" si="0"/>
        <v>8.3832335329341312E-2</v>
      </c>
      <c r="I15" s="193">
        <v>6</v>
      </c>
      <c r="J15" s="193">
        <v>11</v>
      </c>
      <c r="K15" s="193">
        <v>1</v>
      </c>
      <c r="L15" s="193">
        <v>1</v>
      </c>
      <c r="M15" s="193">
        <v>0</v>
      </c>
      <c r="N15" s="193">
        <v>0</v>
      </c>
      <c r="O15">
        <f t="shared" si="1"/>
        <v>113.16</v>
      </c>
      <c r="Q15" s="193">
        <f t="shared" si="4"/>
        <v>168</v>
      </c>
      <c r="R15" s="193">
        <f t="shared" si="5"/>
        <v>308</v>
      </c>
      <c r="S15" s="193">
        <f t="shared" si="6"/>
        <v>28</v>
      </c>
      <c r="T15" s="193">
        <f t="shared" si="7"/>
        <v>28</v>
      </c>
      <c r="U15" s="193">
        <f t="shared" si="8"/>
        <v>0</v>
      </c>
      <c r="V15" s="193">
        <f t="shared" si="9"/>
        <v>0</v>
      </c>
      <c r="X15" t="s">
        <v>482</v>
      </c>
    </row>
    <row r="16" spans="1:25" x14ac:dyDescent="0.35">
      <c r="A16" t="s">
        <v>321</v>
      </c>
      <c r="B16" t="s">
        <v>458</v>
      </c>
      <c r="C16">
        <v>129.18299999999999</v>
      </c>
      <c r="D16">
        <v>6</v>
      </c>
      <c r="E16">
        <v>7</v>
      </c>
      <c r="F16">
        <v>13</v>
      </c>
      <c r="G16" s="198">
        <f t="shared" si="3"/>
        <v>1679.3789999999999</v>
      </c>
      <c r="H16" s="2">
        <f t="shared" si="0"/>
        <v>3.8922155688622756E-2</v>
      </c>
      <c r="I16" s="193">
        <v>6</v>
      </c>
      <c r="J16" s="193">
        <v>13</v>
      </c>
      <c r="K16" s="193">
        <v>2</v>
      </c>
      <c r="L16" s="193">
        <v>1</v>
      </c>
      <c r="M16" s="193">
        <v>0</v>
      </c>
      <c r="N16" s="193">
        <v>0</v>
      </c>
      <c r="O16">
        <f t="shared" si="1"/>
        <v>129.18299999999999</v>
      </c>
      <c r="Q16" s="193">
        <f t="shared" si="4"/>
        <v>78</v>
      </c>
      <c r="R16" s="193">
        <f t="shared" si="5"/>
        <v>169</v>
      </c>
      <c r="S16" s="193">
        <f t="shared" si="6"/>
        <v>26</v>
      </c>
      <c r="T16" s="193">
        <f t="shared" si="7"/>
        <v>13</v>
      </c>
      <c r="U16" s="193">
        <f t="shared" si="8"/>
        <v>0</v>
      </c>
      <c r="V16" s="193">
        <f t="shared" si="9"/>
        <v>0</v>
      </c>
      <c r="X16" t="s">
        <v>483</v>
      </c>
    </row>
    <row r="17" spans="1:24" x14ac:dyDescent="0.35">
      <c r="A17" t="s">
        <v>426</v>
      </c>
      <c r="B17" t="s">
        <v>459</v>
      </c>
      <c r="C17">
        <v>131.19900000000001</v>
      </c>
      <c r="D17">
        <v>3</v>
      </c>
      <c r="E17">
        <v>3</v>
      </c>
      <c r="F17">
        <v>6</v>
      </c>
      <c r="G17" s="198">
        <f t="shared" si="3"/>
        <v>787.19400000000007</v>
      </c>
      <c r="H17" s="2">
        <f t="shared" si="0"/>
        <v>1.7964071856287425E-2</v>
      </c>
      <c r="I17" s="193">
        <v>5</v>
      </c>
      <c r="J17" s="193">
        <v>9</v>
      </c>
      <c r="K17" s="193">
        <v>1</v>
      </c>
      <c r="L17" s="193">
        <v>1</v>
      </c>
      <c r="M17" s="193">
        <v>0</v>
      </c>
      <c r="N17" s="193">
        <v>1</v>
      </c>
      <c r="O17">
        <f t="shared" si="1"/>
        <v>131.19900000000001</v>
      </c>
      <c r="Q17" s="193">
        <f t="shared" si="4"/>
        <v>30</v>
      </c>
      <c r="R17" s="193">
        <f t="shared" si="5"/>
        <v>54</v>
      </c>
      <c r="S17" s="193">
        <f t="shared" si="6"/>
        <v>6</v>
      </c>
      <c r="T17" s="193">
        <f t="shared" si="7"/>
        <v>6</v>
      </c>
      <c r="U17" s="193">
        <f t="shared" si="8"/>
        <v>0</v>
      </c>
      <c r="V17" s="193">
        <f t="shared" si="9"/>
        <v>6</v>
      </c>
      <c r="X17" t="s">
        <v>484</v>
      </c>
    </row>
    <row r="18" spans="1:24" x14ac:dyDescent="0.35">
      <c r="A18" t="s">
        <v>427</v>
      </c>
      <c r="B18" t="s">
        <v>460</v>
      </c>
      <c r="C18">
        <v>147.17699999999996</v>
      </c>
      <c r="D18">
        <v>5</v>
      </c>
      <c r="E18">
        <v>5</v>
      </c>
      <c r="F18">
        <v>10</v>
      </c>
      <c r="G18" s="198">
        <f t="shared" si="3"/>
        <v>1471.7699999999995</v>
      </c>
      <c r="H18" s="2">
        <f t="shared" si="0"/>
        <v>2.9940119760479042E-2</v>
      </c>
      <c r="I18" s="193">
        <v>9</v>
      </c>
      <c r="J18" s="193">
        <v>9</v>
      </c>
      <c r="K18" s="193">
        <v>1</v>
      </c>
      <c r="L18" s="193">
        <v>1</v>
      </c>
      <c r="M18" s="193">
        <v>0</v>
      </c>
      <c r="N18" s="193">
        <v>0</v>
      </c>
      <c r="O18">
        <f t="shared" si="1"/>
        <v>147.17699999999999</v>
      </c>
      <c r="Q18" s="193">
        <f t="shared" si="4"/>
        <v>90</v>
      </c>
      <c r="R18" s="193">
        <f t="shared" si="5"/>
        <v>90</v>
      </c>
      <c r="S18" s="193">
        <f t="shared" si="6"/>
        <v>10</v>
      </c>
      <c r="T18" s="193">
        <f t="shared" si="7"/>
        <v>10</v>
      </c>
      <c r="U18" s="193">
        <f t="shared" si="8"/>
        <v>0</v>
      </c>
      <c r="V18" s="193">
        <f t="shared" si="9"/>
        <v>0</v>
      </c>
      <c r="X18" t="s">
        <v>485</v>
      </c>
    </row>
    <row r="19" spans="1:24" x14ac:dyDescent="0.35">
      <c r="A19" t="s">
        <v>26</v>
      </c>
      <c r="B19" t="s">
        <v>461</v>
      </c>
      <c r="C19">
        <v>97.117000000000004</v>
      </c>
      <c r="D19">
        <v>6</v>
      </c>
      <c r="E19">
        <v>2</v>
      </c>
      <c r="F19">
        <v>8</v>
      </c>
      <c r="G19" s="198">
        <f t="shared" si="3"/>
        <v>776.93600000000004</v>
      </c>
      <c r="H19" s="2">
        <f t="shared" si="0"/>
        <v>2.3952095808383235E-2</v>
      </c>
      <c r="I19" s="193">
        <v>5</v>
      </c>
      <c r="J19" s="193">
        <v>7</v>
      </c>
      <c r="K19" s="193">
        <v>1</v>
      </c>
      <c r="L19" s="193">
        <v>1</v>
      </c>
      <c r="M19" s="193">
        <v>0</v>
      </c>
      <c r="N19" s="193">
        <v>0</v>
      </c>
      <c r="O19">
        <f t="shared" si="1"/>
        <v>97.11699999999999</v>
      </c>
      <c r="Q19" s="193">
        <f t="shared" si="4"/>
        <v>40</v>
      </c>
      <c r="R19" s="193">
        <f t="shared" si="5"/>
        <v>56</v>
      </c>
      <c r="S19" s="193">
        <f t="shared" si="6"/>
        <v>8</v>
      </c>
      <c r="T19" s="193">
        <f t="shared" si="7"/>
        <v>8</v>
      </c>
      <c r="U19" s="193">
        <f t="shared" si="8"/>
        <v>0</v>
      </c>
      <c r="V19" s="193">
        <f t="shared" si="9"/>
        <v>0</v>
      </c>
      <c r="X19" t="s">
        <v>486</v>
      </c>
    </row>
    <row r="20" spans="1:24" x14ac:dyDescent="0.35">
      <c r="A20" t="s">
        <v>6</v>
      </c>
      <c r="B20" t="s">
        <v>462</v>
      </c>
      <c r="C20">
        <v>87.078000000000003</v>
      </c>
      <c r="D20">
        <v>14</v>
      </c>
      <c r="E20">
        <v>14</v>
      </c>
      <c r="F20">
        <v>28</v>
      </c>
      <c r="G20" s="198">
        <f t="shared" si="3"/>
        <v>2438.1840000000002</v>
      </c>
      <c r="H20" s="2">
        <f t="shared" si="0"/>
        <v>8.3832335329341312E-2</v>
      </c>
      <c r="I20" s="193">
        <v>3</v>
      </c>
      <c r="J20" s="193">
        <v>5</v>
      </c>
      <c r="K20" s="193">
        <v>1</v>
      </c>
      <c r="L20" s="193">
        <v>2</v>
      </c>
      <c r="M20" s="193">
        <v>0</v>
      </c>
      <c r="N20" s="193">
        <v>0</v>
      </c>
      <c r="O20">
        <f t="shared" si="1"/>
        <v>87.078000000000003</v>
      </c>
      <c r="Q20" s="193">
        <f t="shared" si="4"/>
        <v>84</v>
      </c>
      <c r="R20" s="193">
        <f t="shared" si="5"/>
        <v>140</v>
      </c>
      <c r="S20" s="193">
        <f t="shared" si="6"/>
        <v>28</v>
      </c>
      <c r="T20" s="193">
        <f t="shared" si="7"/>
        <v>56</v>
      </c>
      <c r="U20" s="193">
        <f t="shared" si="8"/>
        <v>0</v>
      </c>
      <c r="V20" s="193">
        <f t="shared" si="9"/>
        <v>0</v>
      </c>
      <c r="X20" t="s">
        <v>487</v>
      </c>
    </row>
    <row r="21" spans="1:24" x14ac:dyDescent="0.35">
      <c r="A21" t="s">
        <v>337</v>
      </c>
      <c r="B21" t="s">
        <v>463</v>
      </c>
      <c r="C21">
        <v>101.105</v>
      </c>
      <c r="D21">
        <v>8</v>
      </c>
      <c r="E21">
        <v>5</v>
      </c>
      <c r="F21">
        <v>13</v>
      </c>
      <c r="G21" s="198">
        <f t="shared" si="3"/>
        <v>1314.365</v>
      </c>
      <c r="H21" s="2">
        <f t="shared" si="0"/>
        <v>3.8922155688622756E-2</v>
      </c>
      <c r="I21" s="193">
        <v>4</v>
      </c>
      <c r="J21" s="193">
        <v>7</v>
      </c>
      <c r="K21" s="193">
        <v>1</v>
      </c>
      <c r="L21" s="193">
        <v>2</v>
      </c>
      <c r="M21" s="193">
        <v>0</v>
      </c>
      <c r="N21" s="193">
        <v>0</v>
      </c>
      <c r="O21">
        <f t="shared" si="1"/>
        <v>101.105</v>
      </c>
      <c r="Q21" s="193">
        <f t="shared" si="4"/>
        <v>52</v>
      </c>
      <c r="R21" s="193">
        <f t="shared" si="5"/>
        <v>91</v>
      </c>
      <c r="S21" s="193">
        <f t="shared" si="6"/>
        <v>13</v>
      </c>
      <c r="T21" s="193">
        <f t="shared" si="7"/>
        <v>26</v>
      </c>
      <c r="U21" s="193">
        <f t="shared" si="8"/>
        <v>0</v>
      </c>
      <c r="V21" s="193">
        <f t="shared" si="9"/>
        <v>0</v>
      </c>
      <c r="X21" t="s">
        <v>488</v>
      </c>
    </row>
    <row r="22" spans="1:24" x14ac:dyDescent="0.35">
      <c r="A22" t="s">
        <v>428</v>
      </c>
      <c r="B22" t="s">
        <v>464</v>
      </c>
      <c r="C22">
        <v>186.214</v>
      </c>
      <c r="D22">
        <v>2</v>
      </c>
      <c r="E22">
        <v>0</v>
      </c>
      <c r="F22">
        <v>2</v>
      </c>
      <c r="G22" s="198">
        <f t="shared" si="3"/>
        <v>372.428</v>
      </c>
      <c r="H22" s="2">
        <f t="shared" si="0"/>
        <v>5.9880239520958087E-3</v>
      </c>
      <c r="I22" s="193">
        <v>11</v>
      </c>
      <c r="J22" s="193">
        <v>10</v>
      </c>
      <c r="K22" s="193">
        <v>2</v>
      </c>
      <c r="L22" s="193">
        <v>1</v>
      </c>
      <c r="M22" s="193">
        <v>0</v>
      </c>
      <c r="N22" s="193">
        <v>0</v>
      </c>
      <c r="O22">
        <f t="shared" si="1"/>
        <v>186.214</v>
      </c>
      <c r="Q22" s="193">
        <f t="shared" si="4"/>
        <v>22</v>
      </c>
      <c r="R22" s="193">
        <f t="shared" si="5"/>
        <v>20</v>
      </c>
      <c r="S22" s="193">
        <f t="shared" si="6"/>
        <v>4</v>
      </c>
      <c r="T22" s="193">
        <f t="shared" si="7"/>
        <v>2</v>
      </c>
      <c r="U22" s="193">
        <f t="shared" si="8"/>
        <v>0</v>
      </c>
      <c r="V22" s="193">
        <f t="shared" si="9"/>
        <v>0</v>
      </c>
      <c r="X22" t="s">
        <v>489</v>
      </c>
    </row>
    <row r="23" spans="1:24" x14ac:dyDescent="0.35">
      <c r="A23" t="s">
        <v>429</v>
      </c>
      <c r="B23" t="s">
        <v>465</v>
      </c>
      <c r="C23">
        <v>163.17599999999999</v>
      </c>
      <c r="D23">
        <v>10</v>
      </c>
      <c r="E23">
        <v>6</v>
      </c>
      <c r="F23">
        <v>16</v>
      </c>
      <c r="G23" s="198">
        <f t="shared" si="3"/>
        <v>2610.8159999999998</v>
      </c>
      <c r="H23" s="2">
        <f t="shared" si="0"/>
        <v>4.790419161676647E-2</v>
      </c>
      <c r="I23" s="193">
        <v>9</v>
      </c>
      <c r="J23" s="193">
        <v>9</v>
      </c>
      <c r="K23" s="193">
        <v>1</v>
      </c>
      <c r="L23" s="193">
        <v>2</v>
      </c>
      <c r="M23" s="193">
        <v>0</v>
      </c>
      <c r="N23" s="193">
        <v>0</v>
      </c>
      <c r="O23">
        <f t="shared" si="1"/>
        <v>163.17599999999999</v>
      </c>
      <c r="Q23" s="193">
        <f t="shared" si="4"/>
        <v>144</v>
      </c>
      <c r="R23" s="193">
        <f t="shared" si="5"/>
        <v>144</v>
      </c>
      <c r="S23" s="193">
        <f t="shared" si="6"/>
        <v>16</v>
      </c>
      <c r="T23" s="193">
        <f t="shared" si="7"/>
        <v>32</v>
      </c>
      <c r="U23" s="193">
        <f t="shared" si="8"/>
        <v>0</v>
      </c>
      <c r="V23" s="193">
        <f t="shared" si="9"/>
        <v>0</v>
      </c>
      <c r="X23" t="s">
        <v>490</v>
      </c>
    </row>
    <row r="24" spans="1:24" x14ac:dyDescent="0.35">
      <c r="A24" t="s">
        <v>430</v>
      </c>
      <c r="B24" t="s">
        <v>466</v>
      </c>
      <c r="C24">
        <v>99.13300000000001</v>
      </c>
      <c r="D24">
        <v>11</v>
      </c>
      <c r="E24">
        <v>12</v>
      </c>
      <c r="F24">
        <v>23</v>
      </c>
      <c r="G24" s="198">
        <f t="shared" si="3"/>
        <v>2280.0590000000002</v>
      </c>
      <c r="H24" s="2">
        <f t="shared" si="0"/>
        <v>6.8862275449101798E-2</v>
      </c>
      <c r="I24" s="193">
        <v>5</v>
      </c>
      <c r="J24" s="193">
        <v>9</v>
      </c>
      <c r="K24" s="193">
        <v>1</v>
      </c>
      <c r="L24" s="193">
        <v>1</v>
      </c>
      <c r="M24" s="193">
        <v>0</v>
      </c>
      <c r="N24" s="193">
        <v>0</v>
      </c>
      <c r="O24">
        <f t="shared" si="1"/>
        <v>99.132999999999996</v>
      </c>
      <c r="Q24" s="193">
        <f t="shared" si="4"/>
        <v>115</v>
      </c>
      <c r="R24" s="193">
        <f t="shared" si="5"/>
        <v>207</v>
      </c>
      <c r="S24" s="193">
        <f t="shared" si="6"/>
        <v>23</v>
      </c>
      <c r="T24" s="193">
        <f t="shared" si="7"/>
        <v>23</v>
      </c>
      <c r="U24" s="193">
        <f t="shared" si="8"/>
        <v>0</v>
      </c>
      <c r="V24" s="193">
        <f t="shared" si="9"/>
        <v>0</v>
      </c>
      <c r="X24" t="s">
        <v>491</v>
      </c>
    </row>
    <row r="25" spans="1:24" x14ac:dyDescent="0.35">
      <c r="A25" t="s">
        <v>109</v>
      </c>
      <c r="B25" t="s">
        <v>467</v>
      </c>
      <c r="C25">
        <v>586.68899999999996</v>
      </c>
      <c r="D25">
        <v>0</v>
      </c>
      <c r="E25">
        <v>2</v>
      </c>
      <c r="F25">
        <v>2</v>
      </c>
      <c r="G25" s="198">
        <f t="shared" si="3"/>
        <v>1173.3779999999999</v>
      </c>
      <c r="H25" s="2">
        <f t="shared" si="0"/>
        <v>5.9880239520958087E-3</v>
      </c>
      <c r="I25" s="193">
        <v>33</v>
      </c>
      <c r="J25" s="193">
        <v>38</v>
      </c>
      <c r="K25" s="193">
        <v>4</v>
      </c>
      <c r="L25" s="193">
        <v>6</v>
      </c>
      <c r="M25" s="193">
        <v>0</v>
      </c>
      <c r="N25" s="193">
        <v>0</v>
      </c>
      <c r="O25">
        <f t="shared" si="1"/>
        <v>586.68900000000008</v>
      </c>
      <c r="Q25" s="193">
        <f t="shared" si="4"/>
        <v>66</v>
      </c>
      <c r="R25" s="193">
        <f t="shared" si="5"/>
        <v>76</v>
      </c>
      <c r="S25" s="193">
        <f t="shared" si="6"/>
        <v>8</v>
      </c>
      <c r="T25" s="193">
        <f t="shared" si="7"/>
        <v>12</v>
      </c>
      <c r="U25" s="193">
        <f t="shared" si="8"/>
        <v>0</v>
      </c>
      <c r="V25" s="193">
        <f t="shared" si="9"/>
        <v>0</v>
      </c>
      <c r="X25" t="s">
        <v>492</v>
      </c>
    </row>
    <row r="26" spans="1:24" x14ac:dyDescent="0.35">
      <c r="A26" t="s">
        <v>110</v>
      </c>
      <c r="B26" t="s">
        <v>468</v>
      </c>
      <c r="C26">
        <v>586.68899999999996</v>
      </c>
      <c r="D26">
        <v>1</v>
      </c>
      <c r="E26">
        <v>0</v>
      </c>
      <c r="F26">
        <v>1</v>
      </c>
      <c r="G26" s="198">
        <f t="shared" si="3"/>
        <v>586.68899999999996</v>
      </c>
      <c r="H26" s="2">
        <f t="shared" si="0"/>
        <v>2.9940119760479044E-3</v>
      </c>
      <c r="I26" s="193">
        <v>33</v>
      </c>
      <c r="J26" s="193">
        <v>38</v>
      </c>
      <c r="K26" s="193">
        <v>4</v>
      </c>
      <c r="L26" s="193">
        <v>6</v>
      </c>
      <c r="M26" s="193">
        <v>0</v>
      </c>
      <c r="N26" s="193">
        <v>0</v>
      </c>
      <c r="O26">
        <f t="shared" si="1"/>
        <v>586.68900000000008</v>
      </c>
      <c r="Q26" s="193">
        <f t="shared" si="4"/>
        <v>33</v>
      </c>
      <c r="R26" s="193">
        <f t="shared" si="5"/>
        <v>38</v>
      </c>
      <c r="S26" s="193">
        <f t="shared" si="6"/>
        <v>4</v>
      </c>
      <c r="T26" s="193">
        <f t="shared" si="7"/>
        <v>6</v>
      </c>
      <c r="U26" s="193">
        <f t="shared" si="8"/>
        <v>0</v>
      </c>
      <c r="V26" s="193">
        <f t="shared" si="9"/>
        <v>0</v>
      </c>
      <c r="X26" t="s">
        <v>493</v>
      </c>
    </row>
    <row r="27" spans="1:24" x14ac:dyDescent="0.35">
      <c r="F27">
        <f>SUM(F5:F24)</f>
        <v>334</v>
      </c>
      <c r="Q27" s="193">
        <f>SUM(Q5:Q26)</f>
        <v>1660</v>
      </c>
      <c r="R27" s="193">
        <f>SUM(R5:R26)+2</f>
        <v>2605</v>
      </c>
      <c r="S27" s="193">
        <f t="shared" ref="S27:V27" si="10">SUM(S5:S26)</f>
        <v>456</v>
      </c>
      <c r="T27" s="193">
        <f>SUM(T5:T26)+1</f>
        <v>509</v>
      </c>
      <c r="U27" s="193">
        <f t="shared" si="10"/>
        <v>0</v>
      </c>
      <c r="V27" s="193">
        <f t="shared" si="10"/>
        <v>13</v>
      </c>
      <c r="W27">
        <f t="shared" ref="W27" si="11">(Q27*12.011)+(R27*1.008)+(T27*15.999)+(14.007*S27)+(U27*30.974)+(V27*32.066)</f>
        <v>37511.641000000003</v>
      </c>
      <c r="X27" t="s">
        <v>515</v>
      </c>
    </row>
    <row r="28" spans="1:24" x14ac:dyDescent="0.35">
      <c r="R28" s="204"/>
      <c r="X28" t="s">
        <v>494</v>
      </c>
    </row>
    <row r="30" spans="1:24" x14ac:dyDescent="0.35">
      <c r="A30" s="299" t="s">
        <v>94</v>
      </c>
      <c r="B30" s="299"/>
      <c r="C30" s="299"/>
      <c r="D30" s="196">
        <v>35900</v>
      </c>
      <c r="E30" s="196" t="s">
        <v>111</v>
      </c>
      <c r="F30" s="197"/>
      <c r="G30" s="201">
        <f>SUM(G34:G55)+18.015</f>
        <v>37583.508000000002</v>
      </c>
      <c r="H30" s="196" t="s">
        <v>111</v>
      </c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</row>
    <row r="31" spans="1:24" x14ac:dyDescent="0.35">
      <c r="D31" s="193" t="s">
        <v>431</v>
      </c>
      <c r="E31" s="193" t="s">
        <v>432</v>
      </c>
      <c r="F31" s="8" t="s">
        <v>433</v>
      </c>
    </row>
    <row r="32" spans="1:24" x14ac:dyDescent="0.35">
      <c r="D32" s="193" t="s">
        <v>434</v>
      </c>
      <c r="E32" s="193" t="s">
        <v>435</v>
      </c>
      <c r="F32" s="8" t="s">
        <v>433</v>
      </c>
    </row>
    <row r="33" spans="1:25" x14ac:dyDescent="0.35">
      <c r="B33" s="195" t="s">
        <v>292</v>
      </c>
      <c r="C33" s="195" t="s">
        <v>469</v>
      </c>
      <c r="D33" s="8" t="s">
        <v>440</v>
      </c>
      <c r="E33" s="8" t="s">
        <v>441</v>
      </c>
      <c r="F33" s="8" t="s">
        <v>433</v>
      </c>
      <c r="G33" s="8"/>
      <c r="H33" s="192" t="s">
        <v>446</v>
      </c>
      <c r="I33" s="192" t="s">
        <v>22</v>
      </c>
      <c r="J33" s="192" t="s">
        <v>23</v>
      </c>
      <c r="K33" s="192" t="s">
        <v>24</v>
      </c>
      <c r="L33" s="192" t="s">
        <v>25</v>
      </c>
      <c r="M33" s="192" t="s">
        <v>26</v>
      </c>
      <c r="N33" s="192" t="s">
        <v>6</v>
      </c>
      <c r="O33" s="192" t="s">
        <v>470</v>
      </c>
      <c r="Q33" s="192" t="s">
        <v>22</v>
      </c>
      <c r="R33" s="192" t="s">
        <v>23</v>
      </c>
      <c r="S33" s="192" t="s">
        <v>24</v>
      </c>
      <c r="T33" s="192" t="s">
        <v>25</v>
      </c>
      <c r="U33" s="192" t="s">
        <v>26</v>
      </c>
      <c r="V33" s="192" t="s">
        <v>6</v>
      </c>
    </row>
    <row r="34" spans="1:25" x14ac:dyDescent="0.35">
      <c r="A34" t="s">
        <v>335</v>
      </c>
      <c r="B34" t="s">
        <v>447</v>
      </c>
      <c r="C34">
        <v>71.079000000000008</v>
      </c>
      <c r="D34">
        <v>26</v>
      </c>
      <c r="E34">
        <v>25</v>
      </c>
      <c r="F34">
        <v>51</v>
      </c>
      <c r="G34" s="198">
        <f>F34*C34</f>
        <v>3625.0290000000005</v>
      </c>
      <c r="H34" s="4">
        <f t="shared" ref="H34:H55" si="12">F34/F$56</f>
        <v>0.15178571428571427</v>
      </c>
      <c r="I34" s="204">
        <v>3</v>
      </c>
      <c r="J34" s="204">
        <v>5</v>
      </c>
      <c r="K34" s="204">
        <v>1</v>
      </c>
      <c r="L34" s="204">
        <v>1</v>
      </c>
      <c r="M34" s="204">
        <v>0</v>
      </c>
      <c r="N34" s="204">
        <v>0</v>
      </c>
      <c r="O34">
        <f t="shared" ref="O34:O55" si="13">(I34*12.011)+(J34*1.008)+(L34*15.999)+(14.007*K34)+(M34*30.974)+(N34*32.066)</f>
        <v>71.079000000000008</v>
      </c>
      <c r="Q34" s="193">
        <f>$F34*I34</f>
        <v>153</v>
      </c>
      <c r="R34" s="193">
        <f t="shared" ref="R34:R55" si="14">$F34*J34</f>
        <v>255</v>
      </c>
      <c r="S34" s="193">
        <f t="shared" ref="S34:S55" si="15">$F34*K34</f>
        <v>51</v>
      </c>
      <c r="T34" s="193">
        <f t="shared" ref="T34:T55" si="16">$F34*L34</f>
        <v>51</v>
      </c>
      <c r="U34" s="193">
        <f t="shared" ref="U34:U55" si="17">$F34*M34</f>
        <v>0</v>
      </c>
      <c r="V34" s="193">
        <f t="shared" ref="V34:V55" si="18">$F34*N34</f>
        <v>0</v>
      </c>
      <c r="X34" t="s">
        <v>495</v>
      </c>
      <c r="Y34" t="str">
        <f>CONCATENATE(X34," + ",X35," + ",X36," + ",X37," + ",X38," + ",X39," + ",X40," + ",X41," + ",X42," + ",X43," + ",X44," + ",X45," + ",X46," + ",X47," + ",X48," + ",X49," + ",X50," + ",X51," + ",X52," + ",X53," + ",X54, " &lt;=&gt; ",X56," + ",X57)</f>
        <v>51 ala__L_c + 20 arg__L_c + 18 asn__L_c + 19 asp__L_c + 4 cys__L_c + 16 glu__L_c + 15 gln__L_c + 27 gly_c + 3 his__L_c + 19 ile__L_c + 29 leu__L_c + 12 lys__L_c + 5 met__L_c + 8 phe__L_c + 10 pro__L_c + 22 ser__L_c + 22 thr__L_c + trp__L_c + 14 tyr__L_c + 21 val__L_c + 3 phycy_c &lt;=&gt; cpcpbp_c + 335 h2o_c</v>
      </c>
    </row>
    <row r="35" spans="1:25" x14ac:dyDescent="0.35">
      <c r="A35" t="s">
        <v>421</v>
      </c>
      <c r="B35" t="s">
        <v>448</v>
      </c>
      <c r="C35">
        <v>157.197</v>
      </c>
      <c r="D35">
        <v>9</v>
      </c>
      <c r="E35">
        <v>11</v>
      </c>
      <c r="F35">
        <v>20</v>
      </c>
      <c r="G35" s="198">
        <f t="shared" ref="G35:G55" si="19">F35*C35</f>
        <v>3143.94</v>
      </c>
      <c r="H35" s="4">
        <f t="shared" si="12"/>
        <v>5.9523809523809521E-2</v>
      </c>
      <c r="I35" s="204">
        <v>6</v>
      </c>
      <c r="J35" s="204">
        <v>13</v>
      </c>
      <c r="K35" s="204">
        <v>4</v>
      </c>
      <c r="L35" s="204">
        <v>1</v>
      </c>
      <c r="M35" s="204">
        <v>0</v>
      </c>
      <c r="N35" s="204">
        <v>0</v>
      </c>
      <c r="O35">
        <f t="shared" si="13"/>
        <v>157.197</v>
      </c>
      <c r="Q35" s="193">
        <f t="shared" ref="Q35:Q55" si="20">$F35*I35</f>
        <v>120</v>
      </c>
      <c r="R35" s="193">
        <f t="shared" si="14"/>
        <v>260</v>
      </c>
      <c r="S35" s="193">
        <f t="shared" si="15"/>
        <v>80</v>
      </c>
      <c r="T35" s="193">
        <f t="shared" si="16"/>
        <v>20</v>
      </c>
      <c r="U35" s="193">
        <f t="shared" si="17"/>
        <v>0</v>
      </c>
      <c r="V35" s="193">
        <f t="shared" si="18"/>
        <v>0</v>
      </c>
      <c r="X35" t="s">
        <v>496</v>
      </c>
      <c r="Y35" t="s">
        <v>539</v>
      </c>
    </row>
    <row r="36" spans="1:25" x14ac:dyDescent="0.35">
      <c r="A36" t="s">
        <v>24</v>
      </c>
      <c r="B36" t="s">
        <v>449</v>
      </c>
      <c r="C36">
        <v>114.104</v>
      </c>
      <c r="D36">
        <v>7</v>
      </c>
      <c r="E36">
        <v>11</v>
      </c>
      <c r="F36">
        <v>18</v>
      </c>
      <c r="G36" s="198">
        <f t="shared" si="19"/>
        <v>2053.8719999999998</v>
      </c>
      <c r="H36" s="4">
        <f t="shared" si="12"/>
        <v>5.3571428571428568E-2</v>
      </c>
      <c r="I36" s="204">
        <v>4</v>
      </c>
      <c r="J36" s="204">
        <v>6</v>
      </c>
      <c r="K36" s="204">
        <v>2</v>
      </c>
      <c r="L36" s="204">
        <v>2</v>
      </c>
      <c r="M36" s="204">
        <v>0</v>
      </c>
      <c r="N36" s="204">
        <v>0</v>
      </c>
      <c r="O36">
        <f t="shared" si="13"/>
        <v>114.104</v>
      </c>
      <c r="Q36" s="193">
        <f t="shared" si="20"/>
        <v>72</v>
      </c>
      <c r="R36" s="193">
        <f t="shared" si="14"/>
        <v>108</v>
      </c>
      <c r="S36" s="193">
        <f t="shared" si="15"/>
        <v>36</v>
      </c>
      <c r="T36" s="193">
        <f t="shared" si="16"/>
        <v>36</v>
      </c>
      <c r="U36" s="193">
        <f t="shared" si="17"/>
        <v>0</v>
      </c>
      <c r="V36" s="193">
        <f t="shared" si="18"/>
        <v>0</v>
      </c>
      <c r="X36" t="s">
        <v>497</v>
      </c>
    </row>
    <row r="37" spans="1:25" x14ac:dyDescent="0.35">
      <c r="A37" t="s">
        <v>422</v>
      </c>
      <c r="B37" t="s">
        <v>450</v>
      </c>
      <c r="C37">
        <v>114.08</v>
      </c>
      <c r="D37">
        <v>7</v>
      </c>
      <c r="E37">
        <v>12</v>
      </c>
      <c r="F37">
        <v>19</v>
      </c>
      <c r="G37" s="198">
        <f t="shared" si="19"/>
        <v>2167.52</v>
      </c>
      <c r="H37" s="4">
        <f t="shared" si="12"/>
        <v>5.6547619047619048E-2</v>
      </c>
      <c r="I37" s="204">
        <v>4</v>
      </c>
      <c r="J37" s="204">
        <v>5</v>
      </c>
      <c r="K37" s="204">
        <v>1</v>
      </c>
      <c r="L37" s="204">
        <v>3</v>
      </c>
      <c r="M37" s="204">
        <v>0</v>
      </c>
      <c r="N37" s="204">
        <v>0</v>
      </c>
      <c r="O37">
        <f t="shared" si="13"/>
        <v>115.08799999999999</v>
      </c>
      <c r="Q37" s="193">
        <f t="shared" si="20"/>
        <v>76</v>
      </c>
      <c r="R37" s="193">
        <f t="shared" si="14"/>
        <v>95</v>
      </c>
      <c r="S37" s="193">
        <f t="shared" si="15"/>
        <v>19</v>
      </c>
      <c r="T37" s="193">
        <f t="shared" si="16"/>
        <v>57</v>
      </c>
      <c r="U37" s="193">
        <f t="shared" si="17"/>
        <v>0</v>
      </c>
      <c r="V37" s="193">
        <f t="shared" si="18"/>
        <v>0</v>
      </c>
      <c r="X37" t="s">
        <v>498</v>
      </c>
    </row>
    <row r="38" spans="1:25" x14ac:dyDescent="0.35">
      <c r="A38" t="s">
        <v>22</v>
      </c>
      <c r="B38" t="s">
        <v>451</v>
      </c>
      <c r="C38">
        <v>103.14500000000001</v>
      </c>
      <c r="D38">
        <v>1</v>
      </c>
      <c r="E38">
        <v>3</v>
      </c>
      <c r="F38">
        <v>4</v>
      </c>
      <c r="G38" s="198">
        <f t="shared" si="19"/>
        <v>412.58000000000004</v>
      </c>
      <c r="H38" s="4">
        <f t="shared" si="12"/>
        <v>1.1904761904761904E-2</v>
      </c>
      <c r="I38" s="204">
        <v>3</v>
      </c>
      <c r="J38" s="204">
        <v>5</v>
      </c>
      <c r="K38" s="204">
        <v>1</v>
      </c>
      <c r="L38" s="204">
        <v>1</v>
      </c>
      <c r="M38" s="204">
        <v>0</v>
      </c>
      <c r="N38" s="204">
        <v>1</v>
      </c>
      <c r="O38">
        <f t="shared" si="13"/>
        <v>103.14500000000001</v>
      </c>
      <c r="Q38" s="193">
        <f t="shared" si="20"/>
        <v>12</v>
      </c>
      <c r="R38" s="193">
        <f t="shared" si="14"/>
        <v>20</v>
      </c>
      <c r="S38" s="193">
        <f t="shared" si="15"/>
        <v>4</v>
      </c>
      <c r="T38" s="193">
        <f t="shared" si="16"/>
        <v>4</v>
      </c>
      <c r="U38" s="193">
        <f t="shared" si="17"/>
        <v>0</v>
      </c>
      <c r="V38" s="193">
        <f t="shared" si="18"/>
        <v>4</v>
      </c>
      <c r="X38" t="s">
        <v>499</v>
      </c>
    </row>
    <row r="39" spans="1:25" x14ac:dyDescent="0.35">
      <c r="A39" t="s">
        <v>7</v>
      </c>
      <c r="B39" t="s">
        <v>452</v>
      </c>
      <c r="C39">
        <v>128.13099999999997</v>
      </c>
      <c r="D39">
        <v>8</v>
      </c>
      <c r="E39">
        <v>8</v>
      </c>
      <c r="F39">
        <v>16</v>
      </c>
      <c r="G39" s="198">
        <f t="shared" si="19"/>
        <v>2050.0959999999995</v>
      </c>
      <c r="H39" s="4">
        <f t="shared" si="12"/>
        <v>4.7619047619047616E-2</v>
      </c>
      <c r="I39" s="204">
        <v>5</v>
      </c>
      <c r="J39" s="204">
        <v>7</v>
      </c>
      <c r="K39" s="204">
        <v>1</v>
      </c>
      <c r="L39" s="204">
        <v>3</v>
      </c>
      <c r="M39" s="204">
        <v>0</v>
      </c>
      <c r="N39" s="204">
        <v>0</v>
      </c>
      <c r="O39">
        <f t="shared" si="13"/>
        <v>129.11499999999998</v>
      </c>
      <c r="Q39" s="193">
        <f t="shared" si="20"/>
        <v>80</v>
      </c>
      <c r="R39" s="193">
        <f t="shared" si="14"/>
        <v>112</v>
      </c>
      <c r="S39" s="193">
        <f t="shared" si="15"/>
        <v>16</v>
      </c>
      <c r="T39" s="193">
        <f t="shared" si="16"/>
        <v>48</v>
      </c>
      <c r="U39" s="193">
        <f t="shared" si="17"/>
        <v>0</v>
      </c>
      <c r="V39" s="193">
        <f t="shared" si="18"/>
        <v>0</v>
      </c>
      <c r="X39" t="s">
        <v>500</v>
      </c>
    </row>
    <row r="40" spans="1:25" x14ac:dyDescent="0.35">
      <c r="A40" t="s">
        <v>423</v>
      </c>
      <c r="B40" t="s">
        <v>453</v>
      </c>
      <c r="C40">
        <v>128.10700000000003</v>
      </c>
      <c r="D40">
        <v>8</v>
      </c>
      <c r="E40">
        <v>7</v>
      </c>
      <c r="F40">
        <v>15</v>
      </c>
      <c r="G40" s="198">
        <f t="shared" si="19"/>
        <v>1921.6050000000005</v>
      </c>
      <c r="H40" s="4">
        <f t="shared" si="12"/>
        <v>4.4642857142857144E-2</v>
      </c>
      <c r="I40" s="204">
        <v>5</v>
      </c>
      <c r="J40" s="204">
        <v>8</v>
      </c>
      <c r="K40" s="204">
        <v>2</v>
      </c>
      <c r="L40" s="204">
        <v>2</v>
      </c>
      <c r="M40" s="204">
        <v>0</v>
      </c>
      <c r="N40" s="204">
        <v>0</v>
      </c>
      <c r="O40">
        <f t="shared" si="13"/>
        <v>128.131</v>
      </c>
      <c r="Q40" s="193">
        <f t="shared" si="20"/>
        <v>75</v>
      </c>
      <c r="R40" s="193">
        <f t="shared" si="14"/>
        <v>120</v>
      </c>
      <c r="S40" s="193">
        <f t="shared" si="15"/>
        <v>30</v>
      </c>
      <c r="T40" s="193">
        <f t="shared" si="16"/>
        <v>30</v>
      </c>
      <c r="U40" s="193">
        <f t="shared" si="17"/>
        <v>0</v>
      </c>
      <c r="V40" s="193">
        <f t="shared" si="18"/>
        <v>0</v>
      </c>
      <c r="X40" t="s">
        <v>501</v>
      </c>
    </row>
    <row r="41" spans="1:25" x14ac:dyDescent="0.35">
      <c r="A41" t="s">
        <v>336</v>
      </c>
      <c r="B41" t="s">
        <v>454</v>
      </c>
      <c r="C41">
        <v>57.052000000000007</v>
      </c>
      <c r="D41">
        <v>14</v>
      </c>
      <c r="E41">
        <v>13</v>
      </c>
      <c r="F41">
        <v>27</v>
      </c>
      <c r="G41" s="198">
        <f t="shared" si="19"/>
        <v>1540.4040000000002</v>
      </c>
      <c r="H41" s="4">
        <f t="shared" si="12"/>
        <v>8.0357142857142863E-2</v>
      </c>
      <c r="I41" s="204">
        <v>2</v>
      </c>
      <c r="J41" s="204">
        <v>3</v>
      </c>
      <c r="K41" s="204">
        <v>1</v>
      </c>
      <c r="L41" s="204">
        <v>1</v>
      </c>
      <c r="M41" s="204">
        <v>0</v>
      </c>
      <c r="N41" s="204">
        <v>0</v>
      </c>
      <c r="O41">
        <f t="shared" si="13"/>
        <v>57.052</v>
      </c>
      <c r="Q41" s="193">
        <f t="shared" si="20"/>
        <v>54</v>
      </c>
      <c r="R41" s="193">
        <f t="shared" si="14"/>
        <v>81</v>
      </c>
      <c r="S41" s="193">
        <f t="shared" si="15"/>
        <v>27</v>
      </c>
      <c r="T41" s="193">
        <f t="shared" si="16"/>
        <v>27</v>
      </c>
      <c r="U41" s="193">
        <f t="shared" si="17"/>
        <v>0</v>
      </c>
      <c r="V41" s="193">
        <f t="shared" si="18"/>
        <v>0</v>
      </c>
      <c r="X41" t="s">
        <v>479</v>
      </c>
    </row>
    <row r="42" spans="1:25" x14ac:dyDescent="0.35">
      <c r="A42" t="s">
        <v>23</v>
      </c>
      <c r="B42" t="s">
        <v>455</v>
      </c>
      <c r="C42">
        <v>137.142</v>
      </c>
      <c r="D42">
        <v>3</v>
      </c>
      <c r="E42">
        <v>0</v>
      </c>
      <c r="F42">
        <v>3</v>
      </c>
      <c r="G42" s="198">
        <f t="shared" si="19"/>
        <v>411.42599999999999</v>
      </c>
      <c r="H42" s="4">
        <f t="shared" si="12"/>
        <v>8.9285714285714281E-3</v>
      </c>
      <c r="I42" s="204">
        <v>6</v>
      </c>
      <c r="J42" s="204">
        <v>7</v>
      </c>
      <c r="K42" s="204">
        <v>3</v>
      </c>
      <c r="L42" s="204">
        <v>1</v>
      </c>
      <c r="M42" s="204">
        <v>0</v>
      </c>
      <c r="N42" s="204">
        <v>0</v>
      </c>
      <c r="O42">
        <f t="shared" si="13"/>
        <v>137.142</v>
      </c>
      <c r="Q42" s="193">
        <f t="shared" si="20"/>
        <v>18</v>
      </c>
      <c r="R42" s="193">
        <f t="shared" si="14"/>
        <v>21</v>
      </c>
      <c r="S42" s="193">
        <f t="shared" si="15"/>
        <v>9</v>
      </c>
      <c r="T42" s="193">
        <f t="shared" si="16"/>
        <v>3</v>
      </c>
      <c r="U42" s="193">
        <f t="shared" si="17"/>
        <v>0</v>
      </c>
      <c r="V42" s="193">
        <f t="shared" si="18"/>
        <v>0</v>
      </c>
      <c r="X42" t="s">
        <v>502</v>
      </c>
    </row>
    <row r="43" spans="1:25" x14ac:dyDescent="0.35">
      <c r="A43" t="s">
        <v>424</v>
      </c>
      <c r="B43" t="s">
        <v>456</v>
      </c>
      <c r="C43">
        <v>113.16000000000001</v>
      </c>
      <c r="D43">
        <v>10</v>
      </c>
      <c r="E43">
        <v>9</v>
      </c>
      <c r="F43">
        <v>19</v>
      </c>
      <c r="G43" s="198">
        <f t="shared" si="19"/>
        <v>2150.0400000000004</v>
      </c>
      <c r="H43" s="4">
        <f t="shared" si="12"/>
        <v>5.6547619047619048E-2</v>
      </c>
      <c r="I43" s="204">
        <v>6</v>
      </c>
      <c r="J43" s="204">
        <v>11</v>
      </c>
      <c r="K43" s="204">
        <v>1</v>
      </c>
      <c r="L43" s="204">
        <v>1</v>
      </c>
      <c r="M43" s="204">
        <v>0</v>
      </c>
      <c r="N43" s="204">
        <v>0</v>
      </c>
      <c r="O43">
        <f t="shared" si="13"/>
        <v>113.16</v>
      </c>
      <c r="Q43" s="193">
        <f t="shared" si="20"/>
        <v>114</v>
      </c>
      <c r="R43" s="193">
        <f t="shared" si="14"/>
        <v>209</v>
      </c>
      <c r="S43" s="193">
        <f t="shared" si="15"/>
        <v>19</v>
      </c>
      <c r="T43" s="193">
        <f t="shared" si="16"/>
        <v>19</v>
      </c>
      <c r="U43" s="193">
        <f t="shared" si="17"/>
        <v>0</v>
      </c>
      <c r="V43" s="193">
        <f t="shared" si="18"/>
        <v>0</v>
      </c>
      <c r="X43" t="s">
        <v>503</v>
      </c>
    </row>
    <row r="44" spans="1:25" x14ac:dyDescent="0.35">
      <c r="A44" t="s">
        <v>425</v>
      </c>
      <c r="B44" t="s">
        <v>457</v>
      </c>
      <c r="C44">
        <v>113.16000000000001</v>
      </c>
      <c r="D44">
        <v>14</v>
      </c>
      <c r="E44">
        <v>15</v>
      </c>
      <c r="F44">
        <v>29</v>
      </c>
      <c r="G44" s="198">
        <f t="shared" si="19"/>
        <v>3281.6400000000003</v>
      </c>
      <c r="H44" s="4">
        <f t="shared" si="12"/>
        <v>8.6309523809523808E-2</v>
      </c>
      <c r="I44" s="204">
        <v>6</v>
      </c>
      <c r="J44" s="204">
        <v>11</v>
      </c>
      <c r="K44" s="204">
        <v>1</v>
      </c>
      <c r="L44" s="204">
        <v>1</v>
      </c>
      <c r="M44" s="204">
        <v>0</v>
      </c>
      <c r="N44" s="204">
        <v>0</v>
      </c>
      <c r="O44">
        <f t="shared" si="13"/>
        <v>113.16</v>
      </c>
      <c r="Q44" s="193">
        <f t="shared" si="20"/>
        <v>174</v>
      </c>
      <c r="R44" s="193">
        <f t="shared" si="14"/>
        <v>319</v>
      </c>
      <c r="S44" s="193">
        <f t="shared" si="15"/>
        <v>29</v>
      </c>
      <c r="T44" s="193">
        <f t="shared" si="16"/>
        <v>29</v>
      </c>
      <c r="U44" s="193">
        <f t="shared" si="17"/>
        <v>0</v>
      </c>
      <c r="V44" s="193">
        <f t="shared" si="18"/>
        <v>0</v>
      </c>
      <c r="X44" t="s">
        <v>504</v>
      </c>
    </row>
    <row r="45" spans="1:25" x14ac:dyDescent="0.35">
      <c r="A45" t="s">
        <v>321</v>
      </c>
      <c r="B45" t="s">
        <v>458</v>
      </c>
      <c r="C45">
        <v>129.18299999999999</v>
      </c>
      <c r="D45">
        <v>6</v>
      </c>
      <c r="E45">
        <v>6</v>
      </c>
      <c r="F45">
        <v>12</v>
      </c>
      <c r="G45" s="198">
        <f t="shared" si="19"/>
        <v>1550.1959999999999</v>
      </c>
      <c r="H45" s="4">
        <f t="shared" si="12"/>
        <v>3.5714285714285712E-2</v>
      </c>
      <c r="I45" s="204">
        <v>6</v>
      </c>
      <c r="J45" s="204">
        <v>13</v>
      </c>
      <c r="K45" s="204">
        <v>2</v>
      </c>
      <c r="L45" s="204">
        <v>1</v>
      </c>
      <c r="M45" s="204">
        <v>0</v>
      </c>
      <c r="N45" s="204">
        <v>0</v>
      </c>
      <c r="O45">
        <f t="shared" si="13"/>
        <v>129.18299999999999</v>
      </c>
      <c r="Q45" s="193">
        <f t="shared" si="20"/>
        <v>72</v>
      </c>
      <c r="R45" s="193">
        <f t="shared" si="14"/>
        <v>156</v>
      </c>
      <c r="S45" s="193">
        <f t="shared" si="15"/>
        <v>24</v>
      </c>
      <c r="T45" s="193">
        <f t="shared" si="16"/>
        <v>12</v>
      </c>
      <c r="U45" s="193">
        <f t="shared" si="17"/>
        <v>0</v>
      </c>
      <c r="V45" s="193">
        <f t="shared" si="18"/>
        <v>0</v>
      </c>
      <c r="X45" t="s">
        <v>505</v>
      </c>
    </row>
    <row r="46" spans="1:25" x14ac:dyDescent="0.35">
      <c r="A46" t="s">
        <v>426</v>
      </c>
      <c r="B46" t="s">
        <v>459</v>
      </c>
      <c r="C46">
        <v>131.19900000000001</v>
      </c>
      <c r="D46">
        <v>1</v>
      </c>
      <c r="E46">
        <v>4</v>
      </c>
      <c r="F46">
        <v>5</v>
      </c>
      <c r="G46" s="198">
        <f t="shared" si="19"/>
        <v>655.99500000000012</v>
      </c>
      <c r="H46" s="4">
        <f t="shared" si="12"/>
        <v>1.488095238095238E-2</v>
      </c>
      <c r="I46" s="204">
        <v>5</v>
      </c>
      <c r="J46" s="204">
        <v>9</v>
      </c>
      <c r="K46" s="204">
        <v>1</v>
      </c>
      <c r="L46" s="204">
        <v>1</v>
      </c>
      <c r="M46" s="204">
        <v>0</v>
      </c>
      <c r="N46" s="204">
        <v>1</v>
      </c>
      <c r="O46">
        <f t="shared" si="13"/>
        <v>131.19900000000001</v>
      </c>
      <c r="Q46" s="193">
        <f t="shared" si="20"/>
        <v>25</v>
      </c>
      <c r="R46" s="193">
        <f t="shared" si="14"/>
        <v>45</v>
      </c>
      <c r="S46" s="193">
        <f t="shared" si="15"/>
        <v>5</v>
      </c>
      <c r="T46" s="193">
        <f t="shared" si="16"/>
        <v>5</v>
      </c>
      <c r="U46" s="193">
        <f t="shared" si="17"/>
        <v>0</v>
      </c>
      <c r="V46" s="193">
        <f t="shared" si="18"/>
        <v>5</v>
      </c>
      <c r="X46" t="s">
        <v>506</v>
      </c>
    </row>
    <row r="47" spans="1:25" x14ac:dyDescent="0.35">
      <c r="A47" t="s">
        <v>427</v>
      </c>
      <c r="B47" t="s">
        <v>460</v>
      </c>
      <c r="C47">
        <v>147.17699999999996</v>
      </c>
      <c r="D47">
        <v>4</v>
      </c>
      <c r="E47">
        <v>4</v>
      </c>
      <c r="F47">
        <v>8</v>
      </c>
      <c r="G47" s="198">
        <f t="shared" si="19"/>
        <v>1177.4159999999997</v>
      </c>
      <c r="H47" s="4">
        <f t="shared" si="12"/>
        <v>2.3809523809523808E-2</v>
      </c>
      <c r="I47" s="204">
        <v>9</v>
      </c>
      <c r="J47" s="204">
        <v>9</v>
      </c>
      <c r="K47" s="204">
        <v>1</v>
      </c>
      <c r="L47" s="204">
        <v>1</v>
      </c>
      <c r="M47" s="204">
        <v>0</v>
      </c>
      <c r="N47" s="204">
        <v>0</v>
      </c>
      <c r="O47">
        <f t="shared" si="13"/>
        <v>147.17699999999999</v>
      </c>
      <c r="Q47" s="193">
        <f t="shared" si="20"/>
        <v>72</v>
      </c>
      <c r="R47" s="193">
        <f t="shared" si="14"/>
        <v>72</v>
      </c>
      <c r="S47" s="193">
        <f t="shared" si="15"/>
        <v>8</v>
      </c>
      <c r="T47" s="193">
        <f t="shared" si="16"/>
        <v>8</v>
      </c>
      <c r="U47" s="193">
        <f t="shared" si="17"/>
        <v>0</v>
      </c>
      <c r="V47" s="193">
        <f t="shared" si="18"/>
        <v>0</v>
      </c>
      <c r="X47" t="s">
        <v>507</v>
      </c>
    </row>
    <row r="48" spans="1:25" x14ac:dyDescent="0.35">
      <c r="A48" t="s">
        <v>26</v>
      </c>
      <c r="B48" t="s">
        <v>461</v>
      </c>
      <c r="C48">
        <v>97.117000000000004</v>
      </c>
      <c r="D48">
        <v>6</v>
      </c>
      <c r="E48">
        <v>4</v>
      </c>
      <c r="F48">
        <v>10</v>
      </c>
      <c r="G48" s="198">
        <f t="shared" si="19"/>
        <v>971.17000000000007</v>
      </c>
      <c r="H48" s="4">
        <f t="shared" si="12"/>
        <v>2.976190476190476E-2</v>
      </c>
      <c r="I48" s="204">
        <v>5</v>
      </c>
      <c r="J48" s="204">
        <v>7</v>
      </c>
      <c r="K48" s="204">
        <v>1</v>
      </c>
      <c r="L48" s="204">
        <v>1</v>
      </c>
      <c r="M48" s="204">
        <v>0</v>
      </c>
      <c r="N48" s="204">
        <v>0</v>
      </c>
      <c r="O48">
        <f t="shared" si="13"/>
        <v>97.11699999999999</v>
      </c>
      <c r="Q48" s="193">
        <f t="shared" si="20"/>
        <v>50</v>
      </c>
      <c r="R48" s="193">
        <f t="shared" si="14"/>
        <v>70</v>
      </c>
      <c r="S48" s="193">
        <f t="shared" si="15"/>
        <v>10</v>
      </c>
      <c r="T48" s="193">
        <f t="shared" si="16"/>
        <v>10</v>
      </c>
      <c r="U48" s="193">
        <f t="shared" si="17"/>
        <v>0</v>
      </c>
      <c r="V48" s="193">
        <f t="shared" si="18"/>
        <v>0</v>
      </c>
      <c r="X48" t="s">
        <v>508</v>
      </c>
    </row>
    <row r="49" spans="1:25" x14ac:dyDescent="0.35">
      <c r="A49" t="s">
        <v>6</v>
      </c>
      <c r="B49" t="s">
        <v>462</v>
      </c>
      <c r="C49">
        <v>87.078000000000003</v>
      </c>
      <c r="D49">
        <v>11</v>
      </c>
      <c r="E49">
        <v>11</v>
      </c>
      <c r="F49">
        <v>22</v>
      </c>
      <c r="G49" s="198">
        <f t="shared" si="19"/>
        <v>1915.7160000000001</v>
      </c>
      <c r="H49" s="4">
        <f t="shared" si="12"/>
        <v>6.5476190476190479E-2</v>
      </c>
      <c r="I49" s="204">
        <v>3</v>
      </c>
      <c r="J49" s="204">
        <v>5</v>
      </c>
      <c r="K49" s="204">
        <v>1</v>
      </c>
      <c r="L49" s="204">
        <v>2</v>
      </c>
      <c r="M49" s="204">
        <v>0</v>
      </c>
      <c r="N49" s="204">
        <v>0</v>
      </c>
      <c r="O49">
        <f t="shared" si="13"/>
        <v>87.078000000000003</v>
      </c>
      <c r="Q49" s="193">
        <f t="shared" si="20"/>
        <v>66</v>
      </c>
      <c r="R49" s="193">
        <f t="shared" si="14"/>
        <v>110</v>
      </c>
      <c r="S49" s="193">
        <f t="shared" si="15"/>
        <v>22</v>
      </c>
      <c r="T49" s="193">
        <f t="shared" si="16"/>
        <v>44</v>
      </c>
      <c r="U49" s="193">
        <f t="shared" si="17"/>
        <v>0</v>
      </c>
      <c r="V49" s="193">
        <f t="shared" si="18"/>
        <v>0</v>
      </c>
      <c r="X49" t="s">
        <v>509</v>
      </c>
    </row>
    <row r="50" spans="1:25" x14ac:dyDescent="0.35">
      <c r="A50" t="s">
        <v>337</v>
      </c>
      <c r="B50" t="s">
        <v>463</v>
      </c>
      <c r="C50">
        <v>101.105</v>
      </c>
      <c r="D50">
        <v>13</v>
      </c>
      <c r="E50">
        <v>9</v>
      </c>
      <c r="F50">
        <v>22</v>
      </c>
      <c r="G50" s="198">
        <f t="shared" si="19"/>
        <v>2224.31</v>
      </c>
      <c r="H50" s="4">
        <f t="shared" si="12"/>
        <v>6.5476190476190479E-2</v>
      </c>
      <c r="I50" s="204">
        <v>4</v>
      </c>
      <c r="J50" s="204">
        <v>7</v>
      </c>
      <c r="K50" s="204">
        <v>1</v>
      </c>
      <c r="L50" s="204">
        <v>2</v>
      </c>
      <c r="M50" s="204">
        <v>0</v>
      </c>
      <c r="N50" s="204">
        <v>0</v>
      </c>
      <c r="O50">
        <f t="shared" si="13"/>
        <v>101.105</v>
      </c>
      <c r="Q50" s="193">
        <f t="shared" si="20"/>
        <v>88</v>
      </c>
      <c r="R50" s="193">
        <f t="shared" si="14"/>
        <v>154</v>
      </c>
      <c r="S50" s="193">
        <f t="shared" si="15"/>
        <v>22</v>
      </c>
      <c r="T50" s="193">
        <f t="shared" si="16"/>
        <v>44</v>
      </c>
      <c r="U50" s="193">
        <f t="shared" si="17"/>
        <v>0</v>
      </c>
      <c r="V50" s="193">
        <f t="shared" si="18"/>
        <v>0</v>
      </c>
      <c r="X50" t="s">
        <v>510</v>
      </c>
    </row>
    <row r="51" spans="1:25" x14ac:dyDescent="0.35">
      <c r="A51" t="s">
        <v>428</v>
      </c>
      <c r="B51" t="s">
        <v>464</v>
      </c>
      <c r="C51">
        <v>186.214</v>
      </c>
      <c r="D51">
        <v>1</v>
      </c>
      <c r="E51">
        <v>0</v>
      </c>
      <c r="F51">
        <v>1</v>
      </c>
      <c r="G51" s="198">
        <f t="shared" si="19"/>
        <v>186.214</v>
      </c>
      <c r="H51" s="4">
        <f t="shared" si="12"/>
        <v>2.976190476190476E-3</v>
      </c>
      <c r="I51" s="204">
        <v>11</v>
      </c>
      <c r="J51" s="204">
        <v>10</v>
      </c>
      <c r="K51" s="204">
        <v>2</v>
      </c>
      <c r="L51" s="204">
        <v>1</v>
      </c>
      <c r="M51" s="204">
        <v>0</v>
      </c>
      <c r="N51" s="204">
        <v>0</v>
      </c>
      <c r="O51">
        <f t="shared" si="13"/>
        <v>186.214</v>
      </c>
      <c r="Q51" s="193">
        <f t="shared" si="20"/>
        <v>11</v>
      </c>
      <c r="R51" s="193">
        <f t="shared" si="14"/>
        <v>10</v>
      </c>
      <c r="S51" s="193">
        <f t="shared" si="15"/>
        <v>2</v>
      </c>
      <c r="T51" s="193">
        <f t="shared" si="16"/>
        <v>1</v>
      </c>
      <c r="U51" s="193">
        <f t="shared" si="17"/>
        <v>0</v>
      </c>
      <c r="V51" s="193">
        <f t="shared" si="18"/>
        <v>0</v>
      </c>
      <c r="X51" t="s">
        <v>514</v>
      </c>
    </row>
    <row r="52" spans="1:25" x14ac:dyDescent="0.35">
      <c r="A52" t="s">
        <v>429</v>
      </c>
      <c r="B52" t="s">
        <v>465</v>
      </c>
      <c r="C52">
        <v>163.17599999999999</v>
      </c>
      <c r="D52">
        <v>9</v>
      </c>
      <c r="E52">
        <v>5</v>
      </c>
      <c r="F52">
        <v>14</v>
      </c>
      <c r="G52" s="198">
        <f t="shared" si="19"/>
        <v>2284.4639999999999</v>
      </c>
      <c r="H52" s="4">
        <f t="shared" si="12"/>
        <v>4.1666666666666664E-2</v>
      </c>
      <c r="I52" s="204">
        <v>9</v>
      </c>
      <c r="J52" s="204">
        <v>9</v>
      </c>
      <c r="K52" s="204">
        <v>1</v>
      </c>
      <c r="L52" s="204">
        <v>2</v>
      </c>
      <c r="M52" s="204">
        <v>0</v>
      </c>
      <c r="N52" s="204">
        <v>0</v>
      </c>
      <c r="O52">
        <f t="shared" si="13"/>
        <v>163.17599999999999</v>
      </c>
      <c r="Q52" s="193">
        <f t="shared" si="20"/>
        <v>126</v>
      </c>
      <c r="R52" s="193">
        <f t="shared" si="14"/>
        <v>126</v>
      </c>
      <c r="S52" s="193">
        <f t="shared" si="15"/>
        <v>14</v>
      </c>
      <c r="T52" s="193">
        <f t="shared" si="16"/>
        <v>28</v>
      </c>
      <c r="U52" s="193">
        <f t="shared" si="17"/>
        <v>0</v>
      </c>
      <c r="V52" s="193">
        <f t="shared" si="18"/>
        <v>0</v>
      </c>
      <c r="X52" t="s">
        <v>511</v>
      </c>
    </row>
    <row r="53" spans="1:25" x14ac:dyDescent="0.35">
      <c r="A53" t="s">
        <v>430</v>
      </c>
      <c r="B53" t="s">
        <v>466</v>
      </c>
      <c r="C53">
        <v>99.13300000000001</v>
      </c>
      <c r="D53">
        <v>5</v>
      </c>
      <c r="E53">
        <v>16</v>
      </c>
      <c r="F53">
        <v>21</v>
      </c>
      <c r="G53" s="198">
        <f t="shared" si="19"/>
        <v>2081.7930000000001</v>
      </c>
      <c r="H53" s="4">
        <f t="shared" si="12"/>
        <v>6.25E-2</v>
      </c>
      <c r="I53" s="204">
        <v>5</v>
      </c>
      <c r="J53" s="204">
        <v>9</v>
      </c>
      <c r="K53" s="204">
        <v>1</v>
      </c>
      <c r="L53" s="204">
        <v>1</v>
      </c>
      <c r="M53" s="204">
        <v>0</v>
      </c>
      <c r="N53" s="204">
        <v>0</v>
      </c>
      <c r="O53">
        <f t="shared" si="13"/>
        <v>99.132999999999996</v>
      </c>
      <c r="Q53" s="193">
        <f t="shared" si="20"/>
        <v>105</v>
      </c>
      <c r="R53" s="193">
        <f t="shared" si="14"/>
        <v>189</v>
      </c>
      <c r="S53" s="193">
        <f t="shared" si="15"/>
        <v>21</v>
      </c>
      <c r="T53" s="193">
        <f t="shared" si="16"/>
        <v>21</v>
      </c>
      <c r="U53" s="193">
        <f t="shared" si="17"/>
        <v>0</v>
      </c>
      <c r="V53" s="193">
        <f t="shared" si="18"/>
        <v>0</v>
      </c>
      <c r="X53" t="s">
        <v>512</v>
      </c>
    </row>
    <row r="54" spans="1:25" x14ac:dyDescent="0.35">
      <c r="A54" t="s">
        <v>109</v>
      </c>
      <c r="B54" t="s">
        <v>467</v>
      </c>
      <c r="C54">
        <v>586.68899999999996</v>
      </c>
      <c r="D54">
        <v>1</v>
      </c>
      <c r="E54">
        <v>2</v>
      </c>
      <c r="F54">
        <v>3</v>
      </c>
      <c r="G54" s="198">
        <f t="shared" si="19"/>
        <v>1760.067</v>
      </c>
      <c r="H54" s="4">
        <f t="shared" si="12"/>
        <v>8.9285714285714281E-3</v>
      </c>
      <c r="I54" s="204">
        <v>33</v>
      </c>
      <c r="J54" s="204">
        <v>38</v>
      </c>
      <c r="K54" s="204">
        <v>4</v>
      </c>
      <c r="L54" s="204">
        <v>6</v>
      </c>
      <c r="M54" s="204">
        <v>0</v>
      </c>
      <c r="N54" s="204">
        <v>0</v>
      </c>
      <c r="O54">
        <f t="shared" si="13"/>
        <v>586.68900000000008</v>
      </c>
      <c r="Q54" s="193">
        <f t="shared" si="20"/>
        <v>99</v>
      </c>
      <c r="R54" s="193">
        <f t="shared" si="14"/>
        <v>114</v>
      </c>
      <c r="S54" s="193">
        <f t="shared" si="15"/>
        <v>12</v>
      </c>
      <c r="T54" s="193">
        <f t="shared" si="16"/>
        <v>18</v>
      </c>
      <c r="U54" s="193">
        <f t="shared" si="17"/>
        <v>0</v>
      </c>
      <c r="V54" s="193">
        <f t="shared" si="18"/>
        <v>0</v>
      </c>
      <c r="X54" t="s">
        <v>513</v>
      </c>
    </row>
    <row r="55" spans="1:25" x14ac:dyDescent="0.35">
      <c r="A55" t="s">
        <v>110</v>
      </c>
      <c r="B55" t="s">
        <v>468</v>
      </c>
      <c r="C55">
        <v>586.68899999999996</v>
      </c>
      <c r="D55">
        <v>0</v>
      </c>
      <c r="E55">
        <v>0</v>
      </c>
      <c r="F55">
        <v>0</v>
      </c>
      <c r="G55" s="198">
        <f t="shared" si="19"/>
        <v>0</v>
      </c>
      <c r="H55" s="4">
        <f t="shared" si="12"/>
        <v>0</v>
      </c>
      <c r="I55" s="204">
        <v>33</v>
      </c>
      <c r="J55" s="204">
        <v>38</v>
      </c>
      <c r="K55" s="204">
        <v>4</v>
      </c>
      <c r="L55" s="204">
        <v>6</v>
      </c>
      <c r="M55" s="204">
        <v>0</v>
      </c>
      <c r="N55" s="204">
        <v>0</v>
      </c>
      <c r="O55">
        <f t="shared" si="13"/>
        <v>586.68900000000008</v>
      </c>
      <c r="Q55" s="193">
        <f t="shared" si="20"/>
        <v>0</v>
      </c>
      <c r="R55" s="193">
        <f t="shared" si="14"/>
        <v>0</v>
      </c>
      <c r="S55" s="193">
        <f t="shared" si="15"/>
        <v>0</v>
      </c>
      <c r="T55" s="193">
        <f t="shared" si="16"/>
        <v>0</v>
      </c>
      <c r="U55" s="193">
        <f t="shared" si="17"/>
        <v>0</v>
      </c>
      <c r="V55" s="193">
        <f t="shared" si="18"/>
        <v>0</v>
      </c>
    </row>
    <row r="56" spans="1:25" x14ac:dyDescent="0.35">
      <c r="F56">
        <f>SUM(F34:F53)</f>
        <v>336</v>
      </c>
      <c r="Q56" s="193">
        <f>SUM(Q34:Q55)</f>
        <v>1662</v>
      </c>
      <c r="R56" s="193">
        <f>SUM(R34:R55)+2</f>
        <v>2648</v>
      </c>
      <c r="S56" s="193">
        <f t="shared" ref="S56" si="21">SUM(S34:S55)</f>
        <v>460</v>
      </c>
      <c r="T56" s="193">
        <f>SUM(T34:T55)+1</f>
        <v>516</v>
      </c>
      <c r="U56" s="193">
        <f t="shared" ref="U56" si="22">SUM(U34:U55)</f>
        <v>0</v>
      </c>
      <c r="V56" s="193">
        <f t="shared" ref="V56" si="23">SUM(V34:V55)</f>
        <v>9</v>
      </c>
      <c r="W56">
        <f t="shared" ref="W56" si="24">(Q56*12.011)+(R56*1.008)+(T56*15.999)+(14.007*S56)+(U56*30.974)+(V56*32.066)</f>
        <v>37618.763999999996</v>
      </c>
      <c r="X56" t="s">
        <v>517</v>
      </c>
    </row>
    <row r="57" spans="1:25" x14ac:dyDescent="0.35">
      <c r="R57" s="204"/>
      <c r="X57" t="s">
        <v>516</v>
      </c>
    </row>
    <row r="59" spans="1:25" x14ac:dyDescent="0.35">
      <c r="A59" s="299" t="s">
        <v>95</v>
      </c>
      <c r="B59" s="299"/>
      <c r="C59" s="299"/>
      <c r="D59" s="196">
        <v>29800</v>
      </c>
      <c r="E59" s="196" t="s">
        <v>111</v>
      </c>
      <c r="F59" s="197"/>
      <c r="G59" s="201">
        <f>SUM(G63:G84)+18.015</f>
        <v>35801.011999999995</v>
      </c>
      <c r="H59" s="196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</row>
    <row r="60" spans="1:25" x14ac:dyDescent="0.35">
      <c r="D60" s="193" t="s">
        <v>431</v>
      </c>
      <c r="E60" s="193" t="s">
        <v>432</v>
      </c>
      <c r="F60" s="8"/>
      <c r="G60" t="s">
        <v>433</v>
      </c>
    </row>
    <row r="61" spans="1:25" x14ac:dyDescent="0.35">
      <c r="D61" s="193" t="s">
        <v>436</v>
      </c>
      <c r="E61" s="193" t="s">
        <v>437</v>
      </c>
      <c r="F61" s="8"/>
      <c r="G61" t="s">
        <v>433</v>
      </c>
    </row>
    <row r="62" spans="1:25" x14ac:dyDescent="0.35">
      <c r="A62" s="8"/>
      <c r="B62" s="195" t="s">
        <v>292</v>
      </c>
      <c r="C62" s="195" t="s">
        <v>469</v>
      </c>
      <c r="D62" s="8" t="s">
        <v>442</v>
      </c>
      <c r="E62" s="8" t="s">
        <v>443</v>
      </c>
      <c r="F62" s="8" t="s">
        <v>433</v>
      </c>
      <c r="G62" s="8" t="s">
        <v>433</v>
      </c>
      <c r="H62" s="192" t="s">
        <v>446</v>
      </c>
      <c r="I62" s="192" t="s">
        <v>22</v>
      </c>
      <c r="J62" s="192" t="s">
        <v>23</v>
      </c>
      <c r="K62" s="192" t="s">
        <v>24</v>
      </c>
      <c r="L62" s="192" t="s">
        <v>25</v>
      </c>
      <c r="M62" s="192" t="s">
        <v>26</v>
      </c>
      <c r="N62" s="192" t="s">
        <v>6</v>
      </c>
      <c r="O62" s="192" t="s">
        <v>470</v>
      </c>
      <c r="Q62" s="192" t="s">
        <v>22</v>
      </c>
      <c r="R62" s="192" t="s">
        <v>23</v>
      </c>
      <c r="S62" s="192" t="s">
        <v>24</v>
      </c>
      <c r="T62" s="192" t="s">
        <v>25</v>
      </c>
      <c r="U62" s="192" t="s">
        <v>26</v>
      </c>
      <c r="V62" s="192" t="s">
        <v>6</v>
      </c>
    </row>
    <row r="63" spans="1:25" x14ac:dyDescent="0.35">
      <c r="A63" t="s">
        <v>335</v>
      </c>
      <c r="B63" t="s">
        <v>447</v>
      </c>
      <c r="C63">
        <v>71.079000000000008</v>
      </c>
      <c r="D63">
        <v>19</v>
      </c>
      <c r="E63">
        <v>26</v>
      </c>
      <c r="F63">
        <v>45</v>
      </c>
      <c r="G63" s="198">
        <f>F63*C63</f>
        <v>3198.5550000000003</v>
      </c>
      <c r="H63" s="4">
        <f t="shared" ref="H63:H84" si="25">F63/F$85</f>
        <v>0.13931888544891641</v>
      </c>
      <c r="I63" s="204">
        <v>3</v>
      </c>
      <c r="J63" s="204">
        <v>5</v>
      </c>
      <c r="K63" s="204">
        <v>1</v>
      </c>
      <c r="L63" s="204">
        <v>1</v>
      </c>
      <c r="M63" s="204">
        <v>0</v>
      </c>
      <c r="N63" s="204">
        <v>0</v>
      </c>
      <c r="O63">
        <f t="shared" ref="O63:O84" si="26">(I63*12.011)+(J63*1.008)+(L63*15.999)+(14.007*K63)+(M63*30.974)+(N63*32.066)</f>
        <v>71.079000000000008</v>
      </c>
      <c r="Q63" s="193">
        <f>$F63*I63</f>
        <v>135</v>
      </c>
      <c r="R63" s="193">
        <f t="shared" ref="R63:R84" si="27">$F63*J63</f>
        <v>225</v>
      </c>
      <c r="S63" s="193">
        <f t="shared" ref="S63:S84" si="28">$F63*K63</f>
        <v>45</v>
      </c>
      <c r="T63" s="193">
        <f t="shared" ref="T63:T84" si="29">$F63*L63</f>
        <v>45</v>
      </c>
      <c r="U63" s="193">
        <f t="shared" ref="U63:U84" si="30">$F63*M63</f>
        <v>0</v>
      </c>
      <c r="V63" s="193">
        <f t="shared" ref="V63:V84" si="31">$F63*N63</f>
        <v>0</v>
      </c>
      <c r="X63" t="s">
        <v>518</v>
      </c>
      <c r="Y63" t="str">
        <f>CONCATENATE(X63," + ",X64," + ",X65," + ",X66," + ",X67," + ",X68," + ",X69," + ",X70," + ",X72," + ",X73," + ",X74," + ",X75," + ",X76," + ",X77," + ",X78," + ",X79," + ",X81," + ",X82," + ",X83, " &lt;=&gt; ",X85," + ",X86)</f>
        <v>45 ala__L_c + 19 arg__L_c + 9 asn__L_c + 20 asp__L_c + 2 cys__L_c + 18 glu__L_c + 12 gln__L_c + 28 gly_c + 20 ile__L_c + 31 leu__L_c + 14 lys__L_c + 7 met__L_c + 4 phe__L_c + 8 pro__L_c + 20 ser__L_c + 20 thr__L_c + 20 tyr__L_c + 26 val__L_c + 2 phycy_c &lt;=&gt; apcpbp_c + 322 h2o_c</v>
      </c>
    </row>
    <row r="64" spans="1:25" x14ac:dyDescent="0.35">
      <c r="A64" t="s">
        <v>421</v>
      </c>
      <c r="B64" t="s">
        <v>448</v>
      </c>
      <c r="C64">
        <v>157.197</v>
      </c>
      <c r="D64">
        <v>11</v>
      </c>
      <c r="E64">
        <v>8</v>
      </c>
      <c r="F64">
        <v>19</v>
      </c>
      <c r="G64" s="198">
        <f t="shared" ref="G64:G84" si="32">F64*C64</f>
        <v>2986.7429999999999</v>
      </c>
      <c r="H64" s="4">
        <f t="shared" si="25"/>
        <v>5.8823529411764705E-2</v>
      </c>
      <c r="I64" s="204">
        <v>6</v>
      </c>
      <c r="J64" s="204">
        <v>13</v>
      </c>
      <c r="K64" s="204">
        <v>4</v>
      </c>
      <c r="L64" s="204">
        <v>1</v>
      </c>
      <c r="M64" s="204">
        <v>0</v>
      </c>
      <c r="N64" s="204">
        <v>0</v>
      </c>
      <c r="O64">
        <f t="shared" si="26"/>
        <v>157.197</v>
      </c>
      <c r="Q64" s="193">
        <f t="shared" ref="Q64:Q84" si="33">$F64*I64</f>
        <v>114</v>
      </c>
      <c r="R64" s="193">
        <f t="shared" si="27"/>
        <v>247</v>
      </c>
      <c r="S64" s="193">
        <f t="shared" si="28"/>
        <v>76</v>
      </c>
      <c r="T64" s="193">
        <f t="shared" si="29"/>
        <v>19</v>
      </c>
      <c r="U64" s="193">
        <f t="shared" si="30"/>
        <v>0</v>
      </c>
      <c r="V64" s="193">
        <f t="shared" si="31"/>
        <v>0</v>
      </c>
      <c r="X64" t="s">
        <v>519</v>
      </c>
      <c r="Y64" t="s">
        <v>540</v>
      </c>
    </row>
    <row r="65" spans="1:24" x14ac:dyDescent="0.35">
      <c r="A65" t="s">
        <v>24</v>
      </c>
      <c r="B65" t="s">
        <v>449</v>
      </c>
      <c r="C65">
        <v>114.104</v>
      </c>
      <c r="D65">
        <v>4</v>
      </c>
      <c r="E65">
        <v>5</v>
      </c>
      <c r="F65">
        <v>9</v>
      </c>
      <c r="G65" s="198">
        <f t="shared" si="32"/>
        <v>1026.9359999999999</v>
      </c>
      <c r="H65" s="4">
        <f t="shared" si="25"/>
        <v>2.7863777089783281E-2</v>
      </c>
      <c r="I65" s="204">
        <v>4</v>
      </c>
      <c r="J65" s="204">
        <v>6</v>
      </c>
      <c r="K65" s="204">
        <v>2</v>
      </c>
      <c r="L65" s="204">
        <v>2</v>
      </c>
      <c r="M65" s="204">
        <v>0</v>
      </c>
      <c r="N65" s="204">
        <v>0</v>
      </c>
      <c r="O65">
        <f t="shared" si="26"/>
        <v>114.104</v>
      </c>
      <c r="Q65" s="193">
        <f t="shared" si="33"/>
        <v>36</v>
      </c>
      <c r="R65" s="193">
        <f t="shared" si="27"/>
        <v>54</v>
      </c>
      <c r="S65" s="193">
        <f t="shared" si="28"/>
        <v>18</v>
      </c>
      <c r="T65" s="193">
        <f t="shared" si="29"/>
        <v>18</v>
      </c>
      <c r="U65" s="193">
        <f t="shared" si="30"/>
        <v>0</v>
      </c>
      <c r="V65" s="193">
        <f t="shared" si="31"/>
        <v>0</v>
      </c>
      <c r="X65" t="s">
        <v>520</v>
      </c>
    </row>
    <row r="66" spans="1:24" x14ac:dyDescent="0.35">
      <c r="A66" t="s">
        <v>422</v>
      </c>
      <c r="B66" t="s">
        <v>450</v>
      </c>
      <c r="C66">
        <v>114.08</v>
      </c>
      <c r="D66">
        <v>10</v>
      </c>
      <c r="E66">
        <v>10</v>
      </c>
      <c r="F66">
        <v>20</v>
      </c>
      <c r="G66" s="198">
        <f t="shared" si="32"/>
        <v>2281.6</v>
      </c>
      <c r="H66" s="4">
        <f t="shared" si="25"/>
        <v>6.1919504643962849E-2</v>
      </c>
      <c r="I66" s="204">
        <v>4</v>
      </c>
      <c r="J66" s="204">
        <v>5</v>
      </c>
      <c r="K66" s="204">
        <v>1</v>
      </c>
      <c r="L66" s="204">
        <v>3</v>
      </c>
      <c r="M66" s="204">
        <v>0</v>
      </c>
      <c r="N66" s="204">
        <v>0</v>
      </c>
      <c r="O66">
        <f t="shared" si="26"/>
        <v>115.08799999999999</v>
      </c>
      <c r="Q66" s="193">
        <f t="shared" si="33"/>
        <v>80</v>
      </c>
      <c r="R66" s="193">
        <f t="shared" si="27"/>
        <v>100</v>
      </c>
      <c r="S66" s="193">
        <f t="shared" si="28"/>
        <v>20</v>
      </c>
      <c r="T66" s="193">
        <f t="shared" si="29"/>
        <v>60</v>
      </c>
      <c r="U66" s="193">
        <f t="shared" si="30"/>
        <v>0</v>
      </c>
      <c r="V66" s="193">
        <f t="shared" si="31"/>
        <v>0</v>
      </c>
      <c r="X66" t="s">
        <v>475</v>
      </c>
    </row>
    <row r="67" spans="1:24" x14ac:dyDescent="0.35">
      <c r="A67" t="s">
        <v>22</v>
      </c>
      <c r="B67" t="s">
        <v>451</v>
      </c>
      <c r="C67">
        <v>103.14500000000001</v>
      </c>
      <c r="D67">
        <v>1</v>
      </c>
      <c r="E67">
        <v>1</v>
      </c>
      <c r="F67">
        <v>2</v>
      </c>
      <c r="G67" s="198">
        <f t="shared" si="32"/>
        <v>206.29000000000002</v>
      </c>
      <c r="H67" s="4">
        <f t="shared" si="25"/>
        <v>6.1919504643962852E-3</v>
      </c>
      <c r="I67" s="204">
        <v>3</v>
      </c>
      <c r="J67" s="204">
        <v>5</v>
      </c>
      <c r="K67" s="204">
        <v>1</v>
      </c>
      <c r="L67" s="204">
        <v>1</v>
      </c>
      <c r="M67" s="204">
        <v>0</v>
      </c>
      <c r="N67" s="204">
        <v>1</v>
      </c>
      <c r="O67">
        <f t="shared" si="26"/>
        <v>103.14500000000001</v>
      </c>
      <c r="Q67" s="193">
        <f t="shared" si="33"/>
        <v>6</v>
      </c>
      <c r="R67" s="193">
        <f t="shared" si="27"/>
        <v>10</v>
      </c>
      <c r="S67" s="193">
        <f t="shared" si="28"/>
        <v>2</v>
      </c>
      <c r="T67" s="193">
        <f t="shared" si="29"/>
        <v>2</v>
      </c>
      <c r="U67" s="193">
        <f t="shared" si="30"/>
        <v>0</v>
      </c>
      <c r="V67" s="193">
        <f t="shared" si="31"/>
        <v>2</v>
      </c>
      <c r="X67" t="s">
        <v>521</v>
      </c>
    </row>
    <row r="68" spans="1:24" x14ac:dyDescent="0.35">
      <c r="A68" t="s">
        <v>7</v>
      </c>
      <c r="B68" t="s">
        <v>452</v>
      </c>
      <c r="C68">
        <v>128.13099999999997</v>
      </c>
      <c r="D68">
        <v>11</v>
      </c>
      <c r="E68">
        <v>7</v>
      </c>
      <c r="F68">
        <v>18</v>
      </c>
      <c r="G68" s="198">
        <f t="shared" si="32"/>
        <v>2306.3579999999993</v>
      </c>
      <c r="H68" s="4">
        <f t="shared" si="25"/>
        <v>5.5727554179566562E-2</v>
      </c>
      <c r="I68" s="204">
        <v>5</v>
      </c>
      <c r="J68" s="204">
        <v>7</v>
      </c>
      <c r="K68" s="204">
        <v>1</v>
      </c>
      <c r="L68" s="204">
        <v>3</v>
      </c>
      <c r="M68" s="204">
        <v>0</v>
      </c>
      <c r="N68" s="204">
        <v>0</v>
      </c>
      <c r="O68">
        <f t="shared" si="26"/>
        <v>129.11499999999998</v>
      </c>
      <c r="Q68" s="193">
        <f t="shared" si="33"/>
        <v>90</v>
      </c>
      <c r="R68" s="193">
        <f t="shared" si="27"/>
        <v>126</v>
      </c>
      <c r="S68" s="193">
        <f t="shared" si="28"/>
        <v>18</v>
      </c>
      <c r="T68" s="193">
        <f t="shared" si="29"/>
        <v>54</v>
      </c>
      <c r="U68" s="193">
        <f t="shared" si="30"/>
        <v>0</v>
      </c>
      <c r="V68" s="193">
        <f t="shared" si="31"/>
        <v>0</v>
      </c>
      <c r="X68" t="s">
        <v>522</v>
      </c>
    </row>
    <row r="69" spans="1:24" x14ac:dyDescent="0.35">
      <c r="A69" t="s">
        <v>423</v>
      </c>
      <c r="B69" t="s">
        <v>453</v>
      </c>
      <c r="C69">
        <v>128.10700000000003</v>
      </c>
      <c r="D69">
        <v>8</v>
      </c>
      <c r="E69">
        <v>4</v>
      </c>
      <c r="F69">
        <v>12</v>
      </c>
      <c r="G69" s="198">
        <f t="shared" si="32"/>
        <v>1537.2840000000003</v>
      </c>
      <c r="H69" s="4">
        <f t="shared" si="25"/>
        <v>3.7151702786377708E-2</v>
      </c>
      <c r="I69" s="204">
        <v>5</v>
      </c>
      <c r="J69" s="204">
        <v>8</v>
      </c>
      <c r="K69" s="204">
        <v>2</v>
      </c>
      <c r="L69" s="204">
        <v>2</v>
      </c>
      <c r="M69" s="204">
        <v>0</v>
      </c>
      <c r="N69" s="204">
        <v>0</v>
      </c>
      <c r="O69">
        <f t="shared" si="26"/>
        <v>128.131</v>
      </c>
      <c r="Q69" s="193">
        <f t="shared" si="33"/>
        <v>60</v>
      </c>
      <c r="R69" s="193">
        <f t="shared" si="27"/>
        <v>96</v>
      </c>
      <c r="S69" s="193">
        <f t="shared" si="28"/>
        <v>24</v>
      </c>
      <c r="T69" s="193">
        <f t="shared" si="29"/>
        <v>24</v>
      </c>
      <c r="U69" s="193">
        <f t="shared" si="30"/>
        <v>0</v>
      </c>
      <c r="V69" s="193">
        <f t="shared" si="31"/>
        <v>0</v>
      </c>
      <c r="X69" t="s">
        <v>523</v>
      </c>
    </row>
    <row r="70" spans="1:24" x14ac:dyDescent="0.35">
      <c r="A70" t="s">
        <v>336</v>
      </c>
      <c r="B70" t="s">
        <v>454</v>
      </c>
      <c r="C70">
        <v>57.052000000000007</v>
      </c>
      <c r="D70">
        <v>16</v>
      </c>
      <c r="E70">
        <v>12</v>
      </c>
      <c r="F70">
        <v>28</v>
      </c>
      <c r="G70" s="198">
        <f t="shared" si="32"/>
        <v>1597.4560000000001</v>
      </c>
      <c r="H70" s="4">
        <f t="shared" si="25"/>
        <v>8.6687306501547989E-2</v>
      </c>
      <c r="I70" s="204">
        <v>2</v>
      </c>
      <c r="J70" s="204">
        <v>3</v>
      </c>
      <c r="K70" s="204">
        <v>1</v>
      </c>
      <c r="L70" s="204">
        <v>1</v>
      </c>
      <c r="M70" s="204">
        <v>0</v>
      </c>
      <c r="N70" s="204">
        <v>0</v>
      </c>
      <c r="O70">
        <f t="shared" si="26"/>
        <v>57.052</v>
      </c>
      <c r="Q70" s="193">
        <f t="shared" si="33"/>
        <v>56</v>
      </c>
      <c r="R70" s="193">
        <f t="shared" si="27"/>
        <v>84</v>
      </c>
      <c r="S70" s="193">
        <f t="shared" si="28"/>
        <v>28</v>
      </c>
      <c r="T70" s="193">
        <f t="shared" si="29"/>
        <v>28</v>
      </c>
      <c r="U70" s="193">
        <f t="shared" si="30"/>
        <v>0</v>
      </c>
      <c r="V70" s="193">
        <f t="shared" si="31"/>
        <v>0</v>
      </c>
      <c r="X70" t="s">
        <v>524</v>
      </c>
    </row>
    <row r="71" spans="1:24" x14ac:dyDescent="0.35">
      <c r="A71" t="s">
        <v>23</v>
      </c>
      <c r="B71" t="s">
        <v>455</v>
      </c>
      <c r="C71">
        <v>137.142</v>
      </c>
      <c r="D71">
        <v>0</v>
      </c>
      <c r="E71">
        <v>0</v>
      </c>
      <c r="F71">
        <v>0</v>
      </c>
      <c r="G71" s="198">
        <f t="shared" si="32"/>
        <v>0</v>
      </c>
      <c r="H71" s="4">
        <f t="shared" si="25"/>
        <v>0</v>
      </c>
      <c r="I71" s="204">
        <v>6</v>
      </c>
      <c r="J71" s="204">
        <v>7</v>
      </c>
      <c r="K71" s="204">
        <v>3</v>
      </c>
      <c r="L71" s="204">
        <v>1</v>
      </c>
      <c r="M71" s="204">
        <v>0</v>
      </c>
      <c r="N71" s="204">
        <v>0</v>
      </c>
      <c r="O71">
        <f t="shared" si="26"/>
        <v>137.142</v>
      </c>
      <c r="Q71" s="193">
        <f t="shared" si="33"/>
        <v>0</v>
      </c>
      <c r="R71" s="193">
        <f t="shared" si="27"/>
        <v>0</v>
      </c>
      <c r="S71" s="193">
        <f t="shared" si="28"/>
        <v>0</v>
      </c>
      <c r="T71" s="193">
        <f t="shared" si="29"/>
        <v>0</v>
      </c>
      <c r="U71" s="193">
        <f t="shared" si="30"/>
        <v>0</v>
      </c>
      <c r="V71" s="193">
        <f t="shared" si="31"/>
        <v>0</v>
      </c>
      <c r="X71" t="s">
        <v>525</v>
      </c>
    </row>
    <row r="72" spans="1:24" x14ac:dyDescent="0.35">
      <c r="A72" t="s">
        <v>424</v>
      </c>
      <c r="B72" t="s">
        <v>456</v>
      </c>
      <c r="C72">
        <v>113.16000000000001</v>
      </c>
      <c r="D72">
        <v>9</v>
      </c>
      <c r="E72">
        <v>11</v>
      </c>
      <c r="F72">
        <v>20</v>
      </c>
      <c r="G72" s="198">
        <f t="shared" si="32"/>
        <v>2263.2000000000003</v>
      </c>
      <c r="H72" s="4">
        <f t="shared" si="25"/>
        <v>6.1919504643962849E-2</v>
      </c>
      <c r="I72" s="204">
        <v>6</v>
      </c>
      <c r="J72" s="204">
        <v>11</v>
      </c>
      <c r="K72" s="204">
        <v>1</v>
      </c>
      <c r="L72" s="204">
        <v>1</v>
      </c>
      <c r="M72" s="204">
        <v>0</v>
      </c>
      <c r="N72" s="204">
        <v>0</v>
      </c>
      <c r="O72">
        <f t="shared" si="26"/>
        <v>113.16</v>
      </c>
      <c r="Q72" s="193">
        <f t="shared" si="33"/>
        <v>120</v>
      </c>
      <c r="R72" s="193">
        <f t="shared" si="27"/>
        <v>220</v>
      </c>
      <c r="S72" s="193">
        <f t="shared" si="28"/>
        <v>20</v>
      </c>
      <c r="T72" s="193">
        <f t="shared" si="29"/>
        <v>20</v>
      </c>
      <c r="U72" s="193">
        <f t="shared" si="30"/>
        <v>0</v>
      </c>
      <c r="V72" s="193">
        <f t="shared" si="31"/>
        <v>0</v>
      </c>
      <c r="X72" t="s">
        <v>526</v>
      </c>
    </row>
    <row r="73" spans="1:24" x14ac:dyDescent="0.35">
      <c r="A73" t="s">
        <v>425</v>
      </c>
      <c r="B73" t="s">
        <v>457</v>
      </c>
      <c r="C73">
        <v>113.16000000000001</v>
      </c>
      <c r="D73">
        <v>15</v>
      </c>
      <c r="E73">
        <v>16</v>
      </c>
      <c r="F73">
        <v>31</v>
      </c>
      <c r="G73" s="198">
        <f t="shared" si="32"/>
        <v>3507.9600000000005</v>
      </c>
      <c r="H73" s="4">
        <f t="shared" si="25"/>
        <v>9.5975232198142413E-2</v>
      </c>
      <c r="I73" s="204">
        <v>6</v>
      </c>
      <c r="J73" s="204">
        <v>11</v>
      </c>
      <c r="K73" s="204">
        <v>1</v>
      </c>
      <c r="L73" s="204">
        <v>1</v>
      </c>
      <c r="M73" s="204">
        <v>0</v>
      </c>
      <c r="N73" s="204">
        <v>0</v>
      </c>
      <c r="O73">
        <f t="shared" si="26"/>
        <v>113.16</v>
      </c>
      <c r="Q73" s="193">
        <f t="shared" si="33"/>
        <v>186</v>
      </c>
      <c r="R73" s="193">
        <f t="shared" si="27"/>
        <v>341</v>
      </c>
      <c r="S73" s="193">
        <f t="shared" si="28"/>
        <v>31</v>
      </c>
      <c r="T73" s="193">
        <f t="shared" si="29"/>
        <v>31</v>
      </c>
      <c r="U73" s="193">
        <f t="shared" si="30"/>
        <v>0</v>
      </c>
      <c r="V73" s="193">
        <f t="shared" si="31"/>
        <v>0</v>
      </c>
      <c r="X73" t="s">
        <v>527</v>
      </c>
    </row>
    <row r="74" spans="1:24" x14ac:dyDescent="0.35">
      <c r="A74" t="s">
        <v>321</v>
      </c>
      <c r="B74" t="s">
        <v>458</v>
      </c>
      <c r="C74">
        <v>129.18299999999999</v>
      </c>
      <c r="D74">
        <v>6</v>
      </c>
      <c r="E74">
        <v>8</v>
      </c>
      <c r="F74">
        <v>14</v>
      </c>
      <c r="G74" s="198">
        <f t="shared" si="32"/>
        <v>1808.5619999999999</v>
      </c>
      <c r="H74" s="4">
        <f t="shared" si="25"/>
        <v>4.3343653250773995E-2</v>
      </c>
      <c r="I74" s="204">
        <v>6</v>
      </c>
      <c r="J74" s="204">
        <v>13</v>
      </c>
      <c r="K74" s="204">
        <v>2</v>
      </c>
      <c r="L74" s="204">
        <v>1</v>
      </c>
      <c r="M74" s="204">
        <v>0</v>
      </c>
      <c r="N74" s="204">
        <v>0</v>
      </c>
      <c r="O74">
        <f t="shared" si="26"/>
        <v>129.18299999999999</v>
      </c>
      <c r="Q74" s="193">
        <f t="shared" si="33"/>
        <v>84</v>
      </c>
      <c r="R74" s="193">
        <f t="shared" si="27"/>
        <v>182</v>
      </c>
      <c r="S74" s="193">
        <f t="shared" si="28"/>
        <v>28</v>
      </c>
      <c r="T74" s="193">
        <f t="shared" si="29"/>
        <v>14</v>
      </c>
      <c r="U74" s="193">
        <f t="shared" si="30"/>
        <v>0</v>
      </c>
      <c r="V74" s="193">
        <f t="shared" si="31"/>
        <v>0</v>
      </c>
      <c r="X74" t="s">
        <v>528</v>
      </c>
    </row>
    <row r="75" spans="1:24" x14ac:dyDescent="0.35">
      <c r="A75" t="s">
        <v>426</v>
      </c>
      <c r="B75" t="s">
        <v>459</v>
      </c>
      <c r="C75">
        <v>131.19900000000001</v>
      </c>
      <c r="D75">
        <v>3</v>
      </c>
      <c r="E75">
        <v>4</v>
      </c>
      <c r="F75">
        <v>7</v>
      </c>
      <c r="G75" s="198">
        <f t="shared" si="32"/>
        <v>918.39300000000003</v>
      </c>
      <c r="H75" s="4">
        <f t="shared" si="25"/>
        <v>2.1671826625386997E-2</v>
      </c>
      <c r="I75" s="204">
        <v>5</v>
      </c>
      <c r="J75" s="204">
        <v>9</v>
      </c>
      <c r="K75" s="204">
        <v>1</v>
      </c>
      <c r="L75" s="204">
        <v>1</v>
      </c>
      <c r="M75" s="204">
        <v>0</v>
      </c>
      <c r="N75" s="204">
        <v>1</v>
      </c>
      <c r="O75">
        <f t="shared" si="26"/>
        <v>131.19900000000001</v>
      </c>
      <c r="Q75" s="193">
        <f t="shared" si="33"/>
        <v>35</v>
      </c>
      <c r="R75" s="193">
        <f t="shared" si="27"/>
        <v>63</v>
      </c>
      <c r="S75" s="193">
        <f t="shared" si="28"/>
        <v>7</v>
      </c>
      <c r="T75" s="193">
        <f t="shared" si="29"/>
        <v>7</v>
      </c>
      <c r="U75" s="193">
        <f t="shared" si="30"/>
        <v>0</v>
      </c>
      <c r="V75" s="193">
        <f t="shared" si="31"/>
        <v>7</v>
      </c>
      <c r="X75" t="s">
        <v>529</v>
      </c>
    </row>
    <row r="76" spans="1:24" x14ac:dyDescent="0.35">
      <c r="A76" t="s">
        <v>427</v>
      </c>
      <c r="B76" t="s">
        <v>460</v>
      </c>
      <c r="C76">
        <v>147.17699999999996</v>
      </c>
      <c r="D76">
        <v>3</v>
      </c>
      <c r="E76">
        <v>1</v>
      </c>
      <c r="F76">
        <v>4</v>
      </c>
      <c r="G76" s="198">
        <f t="shared" si="32"/>
        <v>588.70799999999986</v>
      </c>
      <c r="H76" s="4">
        <f t="shared" si="25"/>
        <v>1.238390092879257E-2</v>
      </c>
      <c r="I76" s="204">
        <v>9</v>
      </c>
      <c r="J76" s="204">
        <v>9</v>
      </c>
      <c r="K76" s="204">
        <v>1</v>
      </c>
      <c r="L76" s="204">
        <v>1</v>
      </c>
      <c r="M76" s="204">
        <v>0</v>
      </c>
      <c r="N76" s="204">
        <v>0</v>
      </c>
      <c r="O76">
        <f t="shared" si="26"/>
        <v>147.17699999999999</v>
      </c>
      <c r="Q76" s="193">
        <f t="shared" si="33"/>
        <v>36</v>
      </c>
      <c r="R76" s="193">
        <f t="shared" si="27"/>
        <v>36</v>
      </c>
      <c r="S76" s="193">
        <f t="shared" si="28"/>
        <v>4</v>
      </c>
      <c r="T76" s="193">
        <f t="shared" si="29"/>
        <v>4</v>
      </c>
      <c r="U76" s="193">
        <f t="shared" si="30"/>
        <v>0</v>
      </c>
      <c r="V76" s="193">
        <f t="shared" si="31"/>
        <v>0</v>
      </c>
      <c r="X76" t="s">
        <v>530</v>
      </c>
    </row>
    <row r="77" spans="1:24" x14ac:dyDescent="0.35">
      <c r="A77" t="s">
        <v>26</v>
      </c>
      <c r="B77" t="s">
        <v>461</v>
      </c>
      <c r="C77">
        <v>97.117000000000004</v>
      </c>
      <c r="D77">
        <v>5</v>
      </c>
      <c r="E77">
        <v>3</v>
      </c>
      <c r="F77">
        <v>8</v>
      </c>
      <c r="G77" s="198">
        <f t="shared" si="32"/>
        <v>776.93600000000004</v>
      </c>
      <c r="H77" s="4">
        <f t="shared" si="25"/>
        <v>2.4767801857585141E-2</v>
      </c>
      <c r="I77" s="204">
        <v>5</v>
      </c>
      <c r="J77" s="204">
        <v>7</v>
      </c>
      <c r="K77" s="204">
        <v>1</v>
      </c>
      <c r="L77" s="204">
        <v>1</v>
      </c>
      <c r="M77" s="204">
        <v>0</v>
      </c>
      <c r="N77" s="204">
        <v>0</v>
      </c>
      <c r="O77">
        <f t="shared" si="26"/>
        <v>97.11699999999999</v>
      </c>
      <c r="Q77" s="193">
        <f t="shared" si="33"/>
        <v>40</v>
      </c>
      <c r="R77" s="193">
        <f t="shared" si="27"/>
        <v>56</v>
      </c>
      <c r="S77" s="193">
        <f t="shared" si="28"/>
        <v>8</v>
      </c>
      <c r="T77" s="193">
        <f t="shared" si="29"/>
        <v>8</v>
      </c>
      <c r="U77" s="193">
        <f t="shared" si="30"/>
        <v>0</v>
      </c>
      <c r="V77" s="193">
        <f t="shared" si="31"/>
        <v>0</v>
      </c>
      <c r="X77" t="s">
        <v>486</v>
      </c>
    </row>
    <row r="78" spans="1:24" x14ac:dyDescent="0.35">
      <c r="A78" t="s">
        <v>6</v>
      </c>
      <c r="B78" t="s">
        <v>462</v>
      </c>
      <c r="C78">
        <v>87.078000000000003</v>
      </c>
      <c r="D78">
        <v>9</v>
      </c>
      <c r="E78">
        <v>11</v>
      </c>
      <c r="F78">
        <v>20</v>
      </c>
      <c r="G78" s="198">
        <f t="shared" si="32"/>
        <v>1741.56</v>
      </c>
      <c r="H78" s="4">
        <f t="shared" si="25"/>
        <v>6.1919504643962849E-2</v>
      </c>
      <c r="I78" s="204">
        <v>3</v>
      </c>
      <c r="J78" s="204">
        <v>5</v>
      </c>
      <c r="K78" s="204">
        <v>1</v>
      </c>
      <c r="L78" s="204">
        <v>2</v>
      </c>
      <c r="M78" s="204">
        <v>0</v>
      </c>
      <c r="N78" s="204">
        <v>0</v>
      </c>
      <c r="O78">
        <f t="shared" si="26"/>
        <v>87.078000000000003</v>
      </c>
      <c r="Q78" s="193">
        <f t="shared" si="33"/>
        <v>60</v>
      </c>
      <c r="R78" s="193">
        <f t="shared" si="27"/>
        <v>100</v>
      </c>
      <c r="S78" s="193">
        <f t="shared" si="28"/>
        <v>20</v>
      </c>
      <c r="T78" s="193">
        <f t="shared" si="29"/>
        <v>40</v>
      </c>
      <c r="U78" s="193">
        <f t="shared" si="30"/>
        <v>0</v>
      </c>
      <c r="V78" s="193">
        <f t="shared" si="31"/>
        <v>0</v>
      </c>
      <c r="X78" t="s">
        <v>531</v>
      </c>
    </row>
    <row r="79" spans="1:24" x14ac:dyDescent="0.35">
      <c r="A79" t="s">
        <v>337</v>
      </c>
      <c r="B79" t="s">
        <v>463</v>
      </c>
      <c r="C79">
        <v>101.105</v>
      </c>
      <c r="D79">
        <v>8</v>
      </c>
      <c r="E79">
        <v>12</v>
      </c>
      <c r="F79">
        <v>20</v>
      </c>
      <c r="G79" s="198">
        <f t="shared" si="32"/>
        <v>2022.1000000000001</v>
      </c>
      <c r="H79" s="4">
        <f t="shared" si="25"/>
        <v>6.1919504643962849E-2</v>
      </c>
      <c r="I79" s="204">
        <v>4</v>
      </c>
      <c r="J79" s="204">
        <v>7</v>
      </c>
      <c r="K79" s="204">
        <v>1</v>
      </c>
      <c r="L79" s="204">
        <v>2</v>
      </c>
      <c r="M79" s="204">
        <v>0</v>
      </c>
      <c r="N79" s="204">
        <v>0</v>
      </c>
      <c r="O79">
        <f t="shared" si="26"/>
        <v>101.105</v>
      </c>
      <c r="Q79" s="193">
        <f t="shared" si="33"/>
        <v>80</v>
      </c>
      <c r="R79" s="193">
        <f t="shared" si="27"/>
        <v>140</v>
      </c>
      <c r="S79" s="193">
        <f t="shared" si="28"/>
        <v>20</v>
      </c>
      <c r="T79" s="193">
        <f t="shared" si="29"/>
        <v>40</v>
      </c>
      <c r="U79" s="193">
        <f t="shared" si="30"/>
        <v>0</v>
      </c>
      <c r="V79" s="193">
        <f t="shared" si="31"/>
        <v>0</v>
      </c>
      <c r="X79" t="s">
        <v>532</v>
      </c>
    </row>
    <row r="80" spans="1:24" x14ac:dyDescent="0.35">
      <c r="A80" t="s">
        <v>428</v>
      </c>
      <c r="B80" t="s">
        <v>464</v>
      </c>
      <c r="C80">
        <v>186.214</v>
      </c>
      <c r="D80">
        <v>0</v>
      </c>
      <c r="E80">
        <v>0</v>
      </c>
      <c r="F80">
        <v>0</v>
      </c>
      <c r="G80" s="198">
        <f t="shared" si="32"/>
        <v>0</v>
      </c>
      <c r="H80" s="4">
        <f t="shared" si="25"/>
        <v>0</v>
      </c>
      <c r="I80" s="204">
        <v>11</v>
      </c>
      <c r="J80" s="204">
        <v>10</v>
      </c>
      <c r="K80" s="204">
        <v>2</v>
      </c>
      <c r="L80" s="204">
        <v>1</v>
      </c>
      <c r="M80" s="204">
        <v>0</v>
      </c>
      <c r="N80" s="204">
        <v>0</v>
      </c>
      <c r="O80">
        <f t="shared" si="26"/>
        <v>186.214</v>
      </c>
      <c r="Q80" s="193">
        <f t="shared" si="33"/>
        <v>0</v>
      </c>
      <c r="R80" s="193">
        <f t="shared" si="27"/>
        <v>0</v>
      </c>
      <c r="S80" s="193">
        <f t="shared" si="28"/>
        <v>0</v>
      </c>
      <c r="T80" s="193">
        <f t="shared" si="29"/>
        <v>0</v>
      </c>
      <c r="U80" s="193">
        <f t="shared" si="30"/>
        <v>0</v>
      </c>
      <c r="V80" s="193">
        <f t="shared" si="31"/>
        <v>0</v>
      </c>
      <c r="X80" t="s">
        <v>533</v>
      </c>
    </row>
    <row r="81" spans="1:24" x14ac:dyDescent="0.35">
      <c r="A81" t="s">
        <v>429</v>
      </c>
      <c r="B81" t="s">
        <v>465</v>
      </c>
      <c r="C81">
        <v>163.17599999999999</v>
      </c>
      <c r="D81">
        <v>8</v>
      </c>
      <c r="E81">
        <v>12</v>
      </c>
      <c r="F81">
        <v>20</v>
      </c>
      <c r="G81" s="198">
        <f t="shared" si="32"/>
        <v>3263.5199999999995</v>
      </c>
      <c r="H81" s="4">
        <f t="shared" si="25"/>
        <v>6.1919504643962849E-2</v>
      </c>
      <c r="I81" s="204">
        <v>9</v>
      </c>
      <c r="J81" s="204">
        <v>9</v>
      </c>
      <c r="K81" s="204">
        <v>1</v>
      </c>
      <c r="L81" s="204">
        <v>2</v>
      </c>
      <c r="M81" s="204">
        <v>0</v>
      </c>
      <c r="N81" s="204">
        <v>0</v>
      </c>
      <c r="O81">
        <f t="shared" si="26"/>
        <v>163.17599999999999</v>
      </c>
      <c r="Q81" s="193">
        <f t="shared" si="33"/>
        <v>180</v>
      </c>
      <c r="R81" s="193">
        <f t="shared" si="27"/>
        <v>180</v>
      </c>
      <c r="S81" s="193">
        <f t="shared" si="28"/>
        <v>20</v>
      </c>
      <c r="T81" s="193">
        <f t="shared" si="29"/>
        <v>40</v>
      </c>
      <c r="U81" s="193">
        <f t="shared" si="30"/>
        <v>0</v>
      </c>
      <c r="V81" s="193">
        <f t="shared" si="31"/>
        <v>0</v>
      </c>
      <c r="X81" t="s">
        <v>534</v>
      </c>
    </row>
    <row r="82" spans="1:24" x14ac:dyDescent="0.35">
      <c r="A82" t="s">
        <v>430</v>
      </c>
      <c r="B82" t="s">
        <v>466</v>
      </c>
      <c r="C82">
        <v>99.13300000000001</v>
      </c>
      <c r="D82">
        <v>15</v>
      </c>
      <c r="E82">
        <v>11</v>
      </c>
      <c r="F82">
        <v>26</v>
      </c>
      <c r="G82" s="198">
        <f t="shared" si="32"/>
        <v>2577.4580000000001</v>
      </c>
      <c r="H82" s="4">
        <f t="shared" si="25"/>
        <v>8.0495356037151702E-2</v>
      </c>
      <c r="I82" s="204">
        <v>5</v>
      </c>
      <c r="J82" s="204">
        <v>9</v>
      </c>
      <c r="K82" s="204">
        <v>1</v>
      </c>
      <c r="L82" s="204">
        <v>1</v>
      </c>
      <c r="M82" s="204">
        <v>0</v>
      </c>
      <c r="N82" s="204">
        <v>0</v>
      </c>
      <c r="O82">
        <f t="shared" si="26"/>
        <v>99.132999999999996</v>
      </c>
      <c r="Q82" s="193">
        <f t="shared" si="33"/>
        <v>130</v>
      </c>
      <c r="R82" s="193">
        <f t="shared" si="27"/>
        <v>234</v>
      </c>
      <c r="S82" s="193">
        <f t="shared" si="28"/>
        <v>26</v>
      </c>
      <c r="T82" s="193">
        <f t="shared" si="29"/>
        <v>26</v>
      </c>
      <c r="U82" s="193">
        <f t="shared" si="30"/>
        <v>0</v>
      </c>
      <c r="V82" s="193">
        <f t="shared" si="31"/>
        <v>0</v>
      </c>
      <c r="X82" t="s">
        <v>535</v>
      </c>
    </row>
    <row r="83" spans="1:24" x14ac:dyDescent="0.35">
      <c r="A83" t="s">
        <v>109</v>
      </c>
      <c r="B83" t="s">
        <v>467</v>
      </c>
      <c r="C83">
        <v>586.68899999999996</v>
      </c>
      <c r="D83">
        <v>1</v>
      </c>
      <c r="E83">
        <v>1</v>
      </c>
      <c r="F83">
        <v>2</v>
      </c>
      <c r="G83" s="198">
        <f t="shared" si="32"/>
        <v>1173.3779999999999</v>
      </c>
      <c r="H83" s="4">
        <f t="shared" si="25"/>
        <v>6.1919504643962852E-3</v>
      </c>
      <c r="I83" s="204">
        <v>33</v>
      </c>
      <c r="J83" s="204">
        <v>38</v>
      </c>
      <c r="K83" s="204">
        <v>4</v>
      </c>
      <c r="L83" s="204">
        <v>6</v>
      </c>
      <c r="M83" s="204">
        <v>0</v>
      </c>
      <c r="N83" s="204">
        <v>0</v>
      </c>
      <c r="O83">
        <f t="shared" si="26"/>
        <v>586.68900000000008</v>
      </c>
      <c r="Q83" s="193">
        <f t="shared" si="33"/>
        <v>66</v>
      </c>
      <c r="R83" s="193">
        <f t="shared" si="27"/>
        <v>76</v>
      </c>
      <c r="S83" s="193">
        <f t="shared" si="28"/>
        <v>8</v>
      </c>
      <c r="T83" s="193">
        <f t="shared" si="29"/>
        <v>12</v>
      </c>
      <c r="U83" s="193">
        <f t="shared" si="30"/>
        <v>0</v>
      </c>
      <c r="V83" s="193">
        <f t="shared" si="31"/>
        <v>0</v>
      </c>
      <c r="X83" t="s">
        <v>492</v>
      </c>
    </row>
    <row r="84" spans="1:24" x14ac:dyDescent="0.35">
      <c r="A84" t="s">
        <v>110</v>
      </c>
      <c r="B84" t="s">
        <v>468</v>
      </c>
      <c r="C84">
        <v>586.68899999999996</v>
      </c>
      <c r="D84">
        <v>0</v>
      </c>
      <c r="E84">
        <v>0</v>
      </c>
      <c r="F84">
        <v>0</v>
      </c>
      <c r="G84" s="198">
        <f t="shared" si="32"/>
        <v>0</v>
      </c>
      <c r="H84" s="4">
        <f t="shared" si="25"/>
        <v>0</v>
      </c>
      <c r="I84" s="204">
        <v>33</v>
      </c>
      <c r="J84" s="204">
        <v>38</v>
      </c>
      <c r="K84" s="204">
        <v>4</v>
      </c>
      <c r="L84" s="204">
        <v>6</v>
      </c>
      <c r="M84" s="204">
        <v>0</v>
      </c>
      <c r="N84" s="204">
        <v>0</v>
      </c>
      <c r="O84">
        <f t="shared" si="26"/>
        <v>586.68900000000008</v>
      </c>
      <c r="Q84" s="193">
        <f t="shared" si="33"/>
        <v>0</v>
      </c>
      <c r="R84" s="193">
        <f t="shared" si="27"/>
        <v>0</v>
      </c>
      <c r="S84" s="193">
        <f t="shared" si="28"/>
        <v>0</v>
      </c>
      <c r="T84" s="193">
        <f t="shared" si="29"/>
        <v>0</v>
      </c>
      <c r="U84" s="193">
        <f t="shared" si="30"/>
        <v>0</v>
      </c>
      <c r="V84" s="193">
        <f t="shared" si="31"/>
        <v>0</v>
      </c>
    </row>
    <row r="85" spans="1:24" x14ac:dyDescent="0.35">
      <c r="F85">
        <f>SUM(F63:F82)</f>
        <v>323</v>
      </c>
      <c r="Q85" s="193">
        <f>SUM(Q63:Q84)</f>
        <v>1594</v>
      </c>
      <c r="R85" s="193">
        <f>SUM(R63:R84)+2</f>
        <v>2572</v>
      </c>
      <c r="S85" s="193">
        <f t="shared" ref="S85" si="34">SUM(S63:S84)</f>
        <v>423</v>
      </c>
      <c r="T85" s="193">
        <f>SUM(T63:T84)+1</f>
        <v>493</v>
      </c>
      <c r="U85" s="193">
        <f t="shared" ref="U85" si="35">SUM(U63:U84)</f>
        <v>0</v>
      </c>
      <c r="V85" s="193">
        <f t="shared" ref="V85" si="36">SUM(V63:V84)</f>
        <v>9</v>
      </c>
      <c r="W85">
        <f t="shared" ref="W85" si="37">(Q85*12.011)+(R85*1.008)+(T85*15.999)+(14.007*S85)+(U85*30.974)+(V85*32.066)</f>
        <v>35839.171999999999</v>
      </c>
      <c r="X85" t="s">
        <v>536</v>
      </c>
    </row>
    <row r="86" spans="1:24" x14ac:dyDescent="0.35">
      <c r="X86" t="s">
        <v>537</v>
      </c>
    </row>
  </sheetData>
  <mergeCells count="3">
    <mergeCell ref="A1:C1"/>
    <mergeCell ref="A30:C30"/>
    <mergeCell ref="A59:C5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9"/>
  <sheetViews>
    <sheetView topLeftCell="A25" workbookViewId="0">
      <selection activeCell="U83" sqref="U83"/>
    </sheetView>
  </sheetViews>
  <sheetFormatPr defaultRowHeight="14.5" x14ac:dyDescent="0.35"/>
  <cols>
    <col min="1" max="1" width="17.7265625" customWidth="1"/>
    <col min="2" max="2" width="12" bestFit="1" customWidth="1"/>
    <col min="6" max="6" width="10" customWidth="1"/>
    <col min="8" max="8" width="12.54296875" customWidth="1"/>
    <col min="9" max="9" width="11.1796875" customWidth="1"/>
    <col min="14" max="14" width="11.26953125" customWidth="1"/>
    <col min="17" max="17" width="16.54296875" customWidth="1"/>
    <col min="18" max="18" width="12.26953125" customWidth="1"/>
    <col min="19" max="19" width="10.1796875" customWidth="1"/>
    <col min="20" max="20" width="10" customWidth="1"/>
    <col min="22" max="22" width="16" customWidth="1"/>
  </cols>
  <sheetData>
    <row r="1" spans="1:16" ht="21" x14ac:dyDescent="0.5">
      <c r="A1" s="21" t="s">
        <v>299</v>
      </c>
    </row>
    <row r="3" spans="1:16" x14ac:dyDescent="0.35">
      <c r="A3" t="s">
        <v>0</v>
      </c>
      <c r="I3" t="s">
        <v>148</v>
      </c>
    </row>
    <row r="4" spans="1:16" x14ac:dyDescent="0.35">
      <c r="C4" t="s">
        <v>6</v>
      </c>
      <c r="D4" t="s">
        <v>7</v>
      </c>
      <c r="E4" t="s">
        <v>7</v>
      </c>
      <c r="F4" t="s">
        <v>6</v>
      </c>
      <c r="I4" t="s">
        <v>6</v>
      </c>
      <c r="J4" t="s">
        <v>6</v>
      </c>
      <c r="K4" t="s">
        <v>6</v>
      </c>
      <c r="L4" t="s">
        <v>7</v>
      </c>
      <c r="M4" t="s">
        <v>7</v>
      </c>
      <c r="N4" t="s">
        <v>7</v>
      </c>
      <c r="O4" t="s">
        <v>6</v>
      </c>
      <c r="P4" t="s">
        <v>6</v>
      </c>
    </row>
    <row r="5" spans="1:16" x14ac:dyDescent="0.35">
      <c r="A5" t="s">
        <v>137</v>
      </c>
      <c r="C5">
        <v>7.5630999999999997E-3</v>
      </c>
      <c r="D5">
        <v>5.9304146159226993E-3</v>
      </c>
      <c r="E5">
        <v>4.3595616622832166E-3</v>
      </c>
      <c r="F5">
        <v>8.8940553218540379E-3</v>
      </c>
      <c r="I5">
        <v>3.3499857800070271E-3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t="s">
        <v>138</v>
      </c>
      <c r="C6">
        <v>0</v>
      </c>
      <c r="D6">
        <v>0</v>
      </c>
      <c r="E6">
        <v>0</v>
      </c>
      <c r="F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139</v>
      </c>
      <c r="C7">
        <v>8.6540999999999996E-3</v>
      </c>
      <c r="D7">
        <v>6.0159034800240166E-3</v>
      </c>
      <c r="E7">
        <v>1.8426219760043203E-2</v>
      </c>
      <c r="F7">
        <v>1.2625165837095151E-2</v>
      </c>
      <c r="I7">
        <v>0</v>
      </c>
      <c r="J7">
        <v>3.7173921097209274E-2</v>
      </c>
      <c r="K7">
        <v>1.5185302253930827E-2</v>
      </c>
      <c r="L7">
        <v>4.3212283099954736E-2</v>
      </c>
      <c r="M7">
        <v>2.3485159620431576E-2</v>
      </c>
      <c r="N7">
        <v>4.2660249958048013E-2</v>
      </c>
      <c r="O7">
        <v>2.5595888071073276E-2</v>
      </c>
      <c r="P7">
        <v>2.7350489677878943E-2</v>
      </c>
    </row>
    <row r="8" spans="1:16" x14ac:dyDescent="0.35">
      <c r="A8" t="s">
        <v>140</v>
      </c>
      <c r="C8">
        <v>1.2E-4</v>
      </c>
      <c r="D8">
        <v>6.9250226771187624E-3</v>
      </c>
      <c r="E8">
        <v>0</v>
      </c>
      <c r="F8">
        <v>2.2079796567388791E-3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A9" t="s">
        <v>141</v>
      </c>
      <c r="C9">
        <v>1.5362100000000001E-3</v>
      </c>
      <c r="D9">
        <v>7.0985398436708546E-3</v>
      </c>
      <c r="E9">
        <v>0</v>
      </c>
      <c r="F9">
        <v>1.9516883180177968E-3</v>
      </c>
      <c r="I9">
        <v>7.5762604531709285E-2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5">
      <c r="A10" t="s">
        <v>142</v>
      </c>
      <c r="C10">
        <v>5.9451999999999998E-2</v>
      </c>
      <c r="D10">
        <v>4.118242638698439E-2</v>
      </c>
      <c r="E10">
        <v>6.192539882841816E-2</v>
      </c>
      <c r="F10">
        <v>6.3612824251783245E-2</v>
      </c>
      <c r="I10">
        <v>4.8485993013222643E-2</v>
      </c>
      <c r="J10">
        <v>4.6497715598289073E-2</v>
      </c>
      <c r="K10">
        <v>3.6238227473283598E-2</v>
      </c>
      <c r="L10">
        <v>3.6696457702370781E-2</v>
      </c>
      <c r="M10">
        <v>3.4232753376719084E-2</v>
      </c>
      <c r="N10">
        <v>5.4596271195472432E-2</v>
      </c>
      <c r="O10">
        <v>6.3592812006401545E-2</v>
      </c>
      <c r="P10">
        <v>5.3144168334505859E-2</v>
      </c>
    </row>
    <row r="11" spans="1:16" x14ac:dyDescent="0.35">
      <c r="A11" t="s">
        <v>143</v>
      </c>
      <c r="C11">
        <v>5.7412299999999999E-2</v>
      </c>
      <c r="D11">
        <v>2.7513983801463922E-2</v>
      </c>
      <c r="E11">
        <v>2.7114201685672419E-2</v>
      </c>
      <c r="F11">
        <v>5.5583868392880709E-2</v>
      </c>
      <c r="I11">
        <v>3.581024001853414E-2</v>
      </c>
      <c r="J11">
        <v>2.8582984587738669E-2</v>
      </c>
      <c r="K11">
        <v>2.2236173294942093E-2</v>
      </c>
      <c r="L11">
        <v>1.7322295273874268E-2</v>
      </c>
      <c r="M11">
        <v>1.4120166814414144E-2</v>
      </c>
      <c r="N11">
        <v>2.3809913579492262E-2</v>
      </c>
      <c r="O11">
        <v>3.0601289421516933E-2</v>
      </c>
      <c r="P11">
        <v>2.7517946529905059E-2</v>
      </c>
    </row>
    <row r="12" spans="1:16" x14ac:dyDescent="0.35">
      <c r="A12" t="s">
        <v>144</v>
      </c>
      <c r="C12">
        <v>1.2478000000000001E-4</v>
      </c>
      <c r="D12">
        <v>1.998342593260022E-3</v>
      </c>
      <c r="E12">
        <v>0</v>
      </c>
      <c r="F12">
        <v>1.3070610997985353E-4</v>
      </c>
      <c r="I12">
        <v>3.7692711938070722E-3</v>
      </c>
      <c r="J12">
        <v>5.4959212304049156E-3</v>
      </c>
      <c r="K12">
        <v>2.618882551044038E-3</v>
      </c>
      <c r="L12">
        <v>0</v>
      </c>
      <c r="M12">
        <v>2.7815788032842237E-3</v>
      </c>
      <c r="N12">
        <v>0</v>
      </c>
      <c r="O12">
        <v>2.0124537172970074E-3</v>
      </c>
      <c r="P12">
        <v>1.8237134401813254E-3</v>
      </c>
    </row>
    <row r="13" spans="1:16" x14ac:dyDescent="0.35">
      <c r="A13" t="s">
        <v>145</v>
      </c>
      <c r="C13">
        <v>4.3263999999999997E-2</v>
      </c>
      <c r="D13">
        <v>6.1746560089197301E-3</v>
      </c>
      <c r="E13">
        <v>1.7184011868163634E-2</v>
      </c>
      <c r="F13">
        <v>5.0051598460702555E-2</v>
      </c>
      <c r="I13">
        <v>1.5239835129929062E-2</v>
      </c>
      <c r="J13">
        <v>6.9784996097834737E-3</v>
      </c>
      <c r="K13">
        <v>1.1566953209909922E-2</v>
      </c>
      <c r="L13">
        <v>6.7271607185949052E-3</v>
      </c>
      <c r="M13">
        <v>2.2926781736206468E-3</v>
      </c>
      <c r="N13">
        <v>1.1818770500519892E-2</v>
      </c>
      <c r="O13">
        <v>1.4813348558116087E-2</v>
      </c>
      <c r="P13">
        <v>2.9159550400613406E-3</v>
      </c>
    </row>
    <row r="14" spans="1:16" x14ac:dyDescent="0.35">
      <c r="A14" t="s">
        <v>146</v>
      </c>
      <c r="C14">
        <v>2.3648499999999999E-2</v>
      </c>
      <c r="D14">
        <v>1.8728220559892584E-2</v>
      </c>
      <c r="E14">
        <v>2.0892435603807501E-2</v>
      </c>
      <c r="F14">
        <v>2.4442919553036072E-2</v>
      </c>
      <c r="I14">
        <v>2.9013709912620485E-2</v>
      </c>
      <c r="J14">
        <v>2.1221062855450876E-2</v>
      </c>
      <c r="K14">
        <v>1.9720428629689098E-2</v>
      </c>
      <c r="L14">
        <v>3.556068697791568E-2</v>
      </c>
      <c r="M14">
        <v>9.9524515131490555E-3</v>
      </c>
      <c r="N14">
        <v>2.4626377090357615E-2</v>
      </c>
      <c r="O14">
        <v>3.3225881192742723E-2</v>
      </c>
      <c r="P14">
        <v>1.7900456674215345E-2</v>
      </c>
    </row>
    <row r="15" spans="1:16" x14ac:dyDescent="0.35">
      <c r="A15" t="s">
        <v>147</v>
      </c>
      <c r="C15">
        <v>4.4149999999999997E-3</v>
      </c>
      <c r="D15">
        <v>3.7511887408294954E-2</v>
      </c>
      <c r="E15">
        <v>4.0185217759089911E-2</v>
      </c>
      <c r="F15">
        <v>6.0961506230113576E-3</v>
      </c>
      <c r="I15">
        <v>3.3154265562696406E-2</v>
      </c>
      <c r="J15">
        <v>4.281016869160386E-2</v>
      </c>
      <c r="K15">
        <v>1.8765141125116135E-2</v>
      </c>
      <c r="L15">
        <v>2.786106229510291E-2</v>
      </c>
      <c r="M15">
        <v>2.5656250321012784E-2</v>
      </c>
      <c r="N15">
        <v>4.3317279604627751E-2</v>
      </c>
      <c r="O15">
        <v>3.7444713994214819E-2</v>
      </c>
      <c r="P15">
        <v>3.2934630383668721E-2</v>
      </c>
    </row>
    <row r="18" spans="1:13" ht="29" x14ac:dyDescent="0.35">
      <c r="A18" t="s">
        <v>14</v>
      </c>
      <c r="G18" s="18" t="s">
        <v>160</v>
      </c>
      <c r="I18" s="18" t="s">
        <v>160</v>
      </c>
      <c r="K18" t="s">
        <v>13</v>
      </c>
    </row>
    <row r="19" spans="1:13" x14ac:dyDescent="0.35">
      <c r="A19" s="15" t="s">
        <v>149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s="15" t="s">
        <v>155</v>
      </c>
      <c r="H19" t="s">
        <v>156</v>
      </c>
      <c r="I19" s="15" t="s">
        <v>157</v>
      </c>
      <c r="J19" t="s">
        <v>158</v>
      </c>
      <c r="K19" s="15" t="s">
        <v>159</v>
      </c>
      <c r="L19" t="s">
        <v>13</v>
      </c>
      <c r="M19" t="s">
        <v>14</v>
      </c>
    </row>
    <row r="20" spans="1:13" x14ac:dyDescent="0.35">
      <c r="A20" s="4">
        <v>7.5630999999999997E-3</v>
      </c>
      <c r="B20" s="4">
        <v>0</v>
      </c>
      <c r="C20" s="4">
        <v>8.6540999999999996E-3</v>
      </c>
      <c r="D20" s="4">
        <v>1.2E-4</v>
      </c>
      <c r="E20" s="4">
        <v>1.5362100000000001E-3</v>
      </c>
      <c r="F20" s="4">
        <v>5.9451999999999998E-2</v>
      </c>
      <c r="G20" s="4">
        <v>5.7412299999999999E-2</v>
      </c>
      <c r="H20" s="4">
        <v>1.2478000000000001E-4</v>
      </c>
      <c r="I20" s="4">
        <v>4.3263999999999997E-2</v>
      </c>
      <c r="J20" s="4">
        <v>2.3648499999999999E-2</v>
      </c>
      <c r="K20" s="4">
        <v>4.4149999999999997E-3</v>
      </c>
      <c r="L20" t="s">
        <v>6</v>
      </c>
      <c r="M20" t="s">
        <v>15</v>
      </c>
    </row>
    <row r="21" spans="1:13" x14ac:dyDescent="0.35">
      <c r="A21" s="4">
        <v>5.9304146159226993E-3</v>
      </c>
      <c r="B21" s="4">
        <v>0</v>
      </c>
      <c r="C21" s="4">
        <v>6.0159034800240166E-3</v>
      </c>
      <c r="D21" s="4">
        <v>6.9250226771187624E-3</v>
      </c>
      <c r="E21" s="4">
        <v>7.0985398436708546E-3</v>
      </c>
      <c r="F21" s="4">
        <v>4.118242638698439E-2</v>
      </c>
      <c r="G21" s="4">
        <v>2.7513983801463922E-2</v>
      </c>
      <c r="H21" s="4">
        <v>1.998342593260022E-3</v>
      </c>
      <c r="I21" s="4">
        <v>6.1746560089197301E-3</v>
      </c>
      <c r="J21" s="4">
        <v>1.8728220559892584E-2</v>
      </c>
      <c r="K21" s="4">
        <v>3.7511887408294954E-2</v>
      </c>
      <c r="L21" t="s">
        <v>7</v>
      </c>
      <c r="M21" t="s">
        <v>15</v>
      </c>
    </row>
    <row r="22" spans="1:13" x14ac:dyDescent="0.35">
      <c r="A22" s="4">
        <v>4.3595616622832166E-3</v>
      </c>
      <c r="B22" s="4">
        <v>0</v>
      </c>
      <c r="C22" s="4">
        <v>1.8426219760043203E-2</v>
      </c>
      <c r="D22" s="4">
        <v>0</v>
      </c>
      <c r="E22" s="4">
        <v>0</v>
      </c>
      <c r="F22" s="4">
        <v>6.192539882841816E-2</v>
      </c>
      <c r="G22" s="4">
        <v>2.7114201685672419E-2</v>
      </c>
      <c r="H22" s="4">
        <v>0</v>
      </c>
      <c r="I22" s="4">
        <v>1.7184011868163634E-2</v>
      </c>
      <c r="J22" s="4">
        <v>2.0892435603807501E-2</v>
      </c>
      <c r="K22" s="4">
        <v>4.0185217759089911E-2</v>
      </c>
      <c r="L22" t="s">
        <v>7</v>
      </c>
      <c r="M22" t="s">
        <v>15</v>
      </c>
    </row>
    <row r="23" spans="1:13" x14ac:dyDescent="0.35">
      <c r="A23" s="4">
        <v>8.8940553218540379E-3</v>
      </c>
      <c r="B23" s="4">
        <v>0</v>
      </c>
      <c r="C23" s="4">
        <v>1.2625165837095151E-2</v>
      </c>
      <c r="D23" s="4">
        <v>2.2079796567388791E-3</v>
      </c>
      <c r="E23" s="4">
        <v>1.9516883180177968E-3</v>
      </c>
      <c r="F23" s="4">
        <v>6.3612824251783245E-2</v>
      </c>
      <c r="G23" s="4">
        <v>5.5583868392880709E-2</v>
      </c>
      <c r="H23" s="4">
        <v>1.3070610997985353E-4</v>
      </c>
      <c r="I23" s="4">
        <v>5.0051598460702555E-2</v>
      </c>
      <c r="J23" s="4">
        <v>2.4442919553036072E-2</v>
      </c>
      <c r="K23" s="4">
        <v>6.0961506230113576E-3</v>
      </c>
      <c r="L23" t="s">
        <v>6</v>
      </c>
      <c r="M23" t="s">
        <v>15</v>
      </c>
    </row>
    <row r="24" spans="1:13" x14ac:dyDescent="0.35">
      <c r="A24" s="4">
        <v>3.3499857800070271E-3</v>
      </c>
      <c r="B24" s="4">
        <v>0</v>
      </c>
      <c r="C24" s="4">
        <v>0</v>
      </c>
      <c r="D24" s="4">
        <v>0</v>
      </c>
      <c r="E24" s="4">
        <v>7.5762604531709285E-2</v>
      </c>
      <c r="F24" s="4">
        <v>4.8485993013222643E-2</v>
      </c>
      <c r="G24" s="4">
        <v>3.581024001853414E-2</v>
      </c>
      <c r="H24" s="4">
        <v>3.7692711938070722E-3</v>
      </c>
      <c r="I24" s="4">
        <v>1.5239835129929062E-2</v>
      </c>
      <c r="J24" s="4">
        <v>2.9013709912620485E-2</v>
      </c>
      <c r="K24" s="4">
        <v>3.3154265562696406E-2</v>
      </c>
      <c r="L24" t="s">
        <v>6</v>
      </c>
      <c r="M24" t="s">
        <v>16</v>
      </c>
    </row>
    <row r="25" spans="1:13" x14ac:dyDescent="0.35">
      <c r="A25" s="4">
        <v>0</v>
      </c>
      <c r="B25" s="4">
        <v>0</v>
      </c>
      <c r="C25" s="4">
        <v>3.7173921097209274E-2</v>
      </c>
      <c r="D25" s="4">
        <v>0</v>
      </c>
      <c r="E25" s="4">
        <v>0</v>
      </c>
      <c r="F25" s="4">
        <v>4.6497715598289073E-2</v>
      </c>
      <c r="G25" s="4">
        <v>2.8582984587738669E-2</v>
      </c>
      <c r="H25" s="4">
        <v>5.4959212304049156E-3</v>
      </c>
      <c r="I25" s="4">
        <v>6.9784996097834737E-3</v>
      </c>
      <c r="J25" s="4">
        <v>2.1221062855450876E-2</v>
      </c>
      <c r="K25" s="4">
        <v>4.281016869160386E-2</v>
      </c>
      <c r="L25" t="s">
        <v>6</v>
      </c>
      <c r="M25" t="s">
        <v>16</v>
      </c>
    </row>
    <row r="26" spans="1:13" x14ac:dyDescent="0.35">
      <c r="A26" s="4">
        <v>0</v>
      </c>
      <c r="B26" s="4">
        <v>0</v>
      </c>
      <c r="C26" s="4">
        <v>1.5185302253930827E-2</v>
      </c>
      <c r="D26" s="4">
        <v>0</v>
      </c>
      <c r="E26" s="4">
        <v>0</v>
      </c>
      <c r="F26" s="4">
        <v>3.6238227473283598E-2</v>
      </c>
      <c r="G26" s="4">
        <v>2.2236173294942093E-2</v>
      </c>
      <c r="H26" s="4">
        <v>2.618882551044038E-3</v>
      </c>
      <c r="I26" s="4">
        <v>1.1566953209909922E-2</v>
      </c>
      <c r="J26" s="4">
        <v>1.9720428629689098E-2</v>
      </c>
      <c r="K26" s="4">
        <v>1.8765141125116135E-2</v>
      </c>
      <c r="L26" t="s">
        <v>6</v>
      </c>
      <c r="M26" t="s">
        <v>16</v>
      </c>
    </row>
    <row r="27" spans="1:13" x14ac:dyDescent="0.35">
      <c r="A27" s="4">
        <v>0</v>
      </c>
      <c r="B27" s="4">
        <v>0</v>
      </c>
      <c r="C27" s="4">
        <v>4.3212283099954736E-2</v>
      </c>
      <c r="D27" s="4">
        <v>0</v>
      </c>
      <c r="E27" s="4">
        <v>0</v>
      </c>
      <c r="F27" s="4">
        <v>3.6696457702370781E-2</v>
      </c>
      <c r="G27" s="4">
        <v>1.7322295273874268E-2</v>
      </c>
      <c r="H27" s="4">
        <v>0</v>
      </c>
      <c r="I27" s="4">
        <v>6.7271607185949052E-3</v>
      </c>
      <c r="J27" s="4">
        <v>3.556068697791568E-2</v>
      </c>
      <c r="K27" s="4">
        <v>2.786106229510291E-2</v>
      </c>
      <c r="L27" t="s">
        <v>7</v>
      </c>
      <c r="M27" t="s">
        <v>16</v>
      </c>
    </row>
    <row r="28" spans="1:13" x14ac:dyDescent="0.35">
      <c r="A28" s="4">
        <v>0</v>
      </c>
      <c r="B28" s="4">
        <v>0</v>
      </c>
      <c r="C28" s="4">
        <v>2.3485159620431576E-2</v>
      </c>
      <c r="D28" s="4">
        <v>0</v>
      </c>
      <c r="E28" s="4">
        <v>0</v>
      </c>
      <c r="F28" s="4">
        <v>3.4232753376719084E-2</v>
      </c>
      <c r="G28" s="4">
        <v>1.4120166814414144E-2</v>
      </c>
      <c r="H28" s="4">
        <v>2.7815788032842237E-3</v>
      </c>
      <c r="I28" s="4">
        <v>2.2926781736206468E-3</v>
      </c>
      <c r="J28" s="4">
        <v>9.9524515131490555E-3</v>
      </c>
      <c r="K28" s="4">
        <v>2.5656250321012784E-2</v>
      </c>
      <c r="L28" t="s">
        <v>7</v>
      </c>
      <c r="M28" t="s">
        <v>16</v>
      </c>
    </row>
    <row r="29" spans="1:13" x14ac:dyDescent="0.35">
      <c r="A29" s="4">
        <v>0</v>
      </c>
      <c r="B29" s="4">
        <v>0</v>
      </c>
      <c r="C29" s="4">
        <v>4.2660249958048013E-2</v>
      </c>
      <c r="D29" s="4">
        <v>0</v>
      </c>
      <c r="E29" s="4">
        <v>0</v>
      </c>
      <c r="F29" s="4">
        <v>5.4596271195472432E-2</v>
      </c>
      <c r="G29" s="4">
        <v>2.3809913579492262E-2</v>
      </c>
      <c r="H29" s="4">
        <v>0</v>
      </c>
      <c r="I29" s="4">
        <v>1.1818770500519892E-2</v>
      </c>
      <c r="J29" s="4">
        <v>2.4626377090357615E-2</v>
      </c>
      <c r="K29" s="4">
        <v>4.3317279604627751E-2</v>
      </c>
      <c r="L29" t="s">
        <v>7</v>
      </c>
      <c r="M29" t="s">
        <v>16</v>
      </c>
    </row>
    <row r="30" spans="1:13" x14ac:dyDescent="0.35">
      <c r="A30" s="4">
        <v>0</v>
      </c>
      <c r="B30" s="4">
        <v>0</v>
      </c>
      <c r="C30" s="4">
        <v>2.5595888071073276E-2</v>
      </c>
      <c r="D30" s="4">
        <v>0</v>
      </c>
      <c r="E30" s="4">
        <v>0</v>
      </c>
      <c r="F30" s="4">
        <v>6.3592812006401545E-2</v>
      </c>
      <c r="G30" s="4">
        <v>3.0601289421516933E-2</v>
      </c>
      <c r="H30" s="4">
        <v>2.0124537172970074E-3</v>
      </c>
      <c r="I30" s="4">
        <v>1.4813348558116087E-2</v>
      </c>
      <c r="J30" s="4">
        <v>3.3225881192742723E-2</v>
      </c>
      <c r="K30" s="4">
        <v>3.7444713994214819E-2</v>
      </c>
      <c r="L30" t="s">
        <v>6</v>
      </c>
      <c r="M30" t="s">
        <v>16</v>
      </c>
    </row>
    <row r="31" spans="1:13" x14ac:dyDescent="0.35">
      <c r="A31" s="4">
        <v>0</v>
      </c>
      <c r="B31" s="4">
        <v>0</v>
      </c>
      <c r="C31" s="4">
        <v>2.7350489677878943E-2</v>
      </c>
      <c r="D31" s="4">
        <v>0</v>
      </c>
      <c r="E31" s="4">
        <v>0</v>
      </c>
      <c r="F31" s="4">
        <v>5.3144168334505859E-2</v>
      </c>
      <c r="G31" s="4">
        <v>2.7517946529905059E-2</v>
      </c>
      <c r="H31" s="4">
        <v>1.8237134401813254E-3</v>
      </c>
      <c r="I31" s="4">
        <v>2.9159550400613406E-3</v>
      </c>
      <c r="J31" s="4">
        <v>1.7900456674215345E-2</v>
      </c>
      <c r="K31" s="4">
        <v>3.2934630383668721E-2</v>
      </c>
      <c r="L31" t="s">
        <v>6</v>
      </c>
      <c r="M31" t="s">
        <v>16</v>
      </c>
    </row>
    <row r="32" spans="1:13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5" spans="1:15" x14ac:dyDescent="0.35">
      <c r="A35" s="6" t="s">
        <v>38</v>
      </c>
    </row>
    <row r="37" spans="1:15" x14ac:dyDescent="0.35">
      <c r="A37" t="s">
        <v>33</v>
      </c>
      <c r="E37" t="s">
        <v>34</v>
      </c>
      <c r="I37" t="s">
        <v>35</v>
      </c>
      <c r="M37" t="s">
        <v>36</v>
      </c>
    </row>
    <row r="39" spans="1:15" x14ac:dyDescent="0.35">
      <c r="A39" t="s">
        <v>149</v>
      </c>
      <c r="B39" s="2">
        <f>AVERAGE(A20:A23)</f>
        <v>6.6867829000149884E-3</v>
      </c>
      <c r="C39" t="s">
        <v>37</v>
      </c>
      <c r="E39" t="s">
        <v>149</v>
      </c>
      <c r="F39" s="2">
        <f>AVERAGE(A20:A23)</f>
        <v>6.6867829000149884E-3</v>
      </c>
      <c r="G39" t="s">
        <v>37</v>
      </c>
      <c r="I39" t="s">
        <v>149</v>
      </c>
      <c r="J39" s="2">
        <f>AVERAGE(A24:A31)</f>
        <v>4.1874822250087838E-4</v>
      </c>
      <c r="K39" t="s">
        <v>37</v>
      </c>
      <c r="M39" t="s">
        <v>149</v>
      </c>
      <c r="N39" s="2">
        <f>AVERAGE(A24:A31)</f>
        <v>4.1874822250087838E-4</v>
      </c>
      <c r="O39" t="s">
        <v>37</v>
      </c>
    </row>
    <row r="40" spans="1:15" x14ac:dyDescent="0.35">
      <c r="A40" t="s">
        <v>150</v>
      </c>
      <c r="B40" s="2">
        <v>0</v>
      </c>
      <c r="C40" t="s">
        <v>37</v>
      </c>
      <c r="E40" t="s">
        <v>150</v>
      </c>
      <c r="F40" s="2">
        <v>0</v>
      </c>
      <c r="G40" t="s">
        <v>37</v>
      </c>
      <c r="I40" t="s">
        <v>150</v>
      </c>
      <c r="J40" s="2">
        <v>0</v>
      </c>
      <c r="K40" t="s">
        <v>37</v>
      </c>
      <c r="M40" t="s">
        <v>150</v>
      </c>
      <c r="N40" s="2">
        <v>0</v>
      </c>
      <c r="O40" t="s">
        <v>37</v>
      </c>
    </row>
    <row r="41" spans="1:15" x14ac:dyDescent="0.35">
      <c r="A41" t="s">
        <v>151</v>
      </c>
      <c r="B41" s="2">
        <f>AVERAGE(C20:C31)</f>
        <v>2.1698723571307418E-2</v>
      </c>
      <c r="C41" t="s">
        <v>37</v>
      </c>
      <c r="E41" t="s">
        <v>151</v>
      </c>
      <c r="F41" s="2">
        <f>AVERAGE(C20:C31)</f>
        <v>2.1698723571307418E-2</v>
      </c>
      <c r="G41" t="s">
        <v>37</v>
      </c>
      <c r="I41" t="s">
        <v>151</v>
      </c>
      <c r="J41" s="2">
        <f>AVERAGE(C20:C31)</f>
        <v>2.1698723571307418E-2</v>
      </c>
      <c r="K41" t="s">
        <v>37</v>
      </c>
      <c r="M41" t="s">
        <v>151</v>
      </c>
      <c r="N41" s="2">
        <f>AVERAGE(C20:C31)</f>
        <v>2.1698723571307418E-2</v>
      </c>
      <c r="O41" t="s">
        <v>37</v>
      </c>
    </row>
    <row r="42" spans="1:15" x14ac:dyDescent="0.35">
      <c r="A42" t="s">
        <v>152</v>
      </c>
      <c r="B42" s="2">
        <f>AVERAGE(D20:D31)</f>
        <v>7.7108352782147022E-4</v>
      </c>
      <c r="C42" t="s">
        <v>37</v>
      </c>
      <c r="E42" t="s">
        <v>152</v>
      </c>
      <c r="F42" s="2">
        <f>AVERAGE(D20:D31)</f>
        <v>7.7108352782147022E-4</v>
      </c>
      <c r="G42" t="s">
        <v>37</v>
      </c>
      <c r="I42" t="s">
        <v>152</v>
      </c>
      <c r="J42" s="2">
        <f>AVERAGE(D20:D31)</f>
        <v>7.7108352782147022E-4</v>
      </c>
      <c r="K42" t="s">
        <v>37</v>
      </c>
      <c r="M42" t="s">
        <v>152</v>
      </c>
      <c r="N42" s="2">
        <f>AVERAGE(D20:D31)</f>
        <v>7.7108352782147022E-4</v>
      </c>
      <c r="O42" t="s">
        <v>37</v>
      </c>
    </row>
    <row r="43" spans="1:15" x14ac:dyDescent="0.35">
      <c r="A43" t="s">
        <v>153</v>
      </c>
      <c r="B43" s="2">
        <f>AVERAGE(E20:E31)</f>
        <v>7.1957535577831617E-3</v>
      </c>
      <c r="C43" t="s">
        <v>37</v>
      </c>
      <c r="E43" t="s">
        <v>153</v>
      </c>
      <c r="F43" s="2">
        <f>AVERAGE(E20:E31)</f>
        <v>7.1957535577831617E-3</v>
      </c>
      <c r="G43" t="s">
        <v>37</v>
      </c>
      <c r="I43" t="s">
        <v>153</v>
      </c>
      <c r="J43" s="2">
        <f>AVERAGE(E20:E31)</f>
        <v>7.1957535577831617E-3</v>
      </c>
      <c r="K43" t="s">
        <v>37</v>
      </c>
      <c r="M43" t="s">
        <v>153</v>
      </c>
      <c r="N43" s="2">
        <f>AVERAGE(E20:E31)</f>
        <v>7.1957535577831617E-3</v>
      </c>
      <c r="O43" t="s">
        <v>37</v>
      </c>
    </row>
    <row r="44" spans="1:15" x14ac:dyDescent="0.35">
      <c r="A44" t="s">
        <v>154</v>
      </c>
      <c r="B44" s="2">
        <f>AVERAGE(F20:F31)</f>
        <v>4.9971420680620909E-2</v>
      </c>
      <c r="C44" t="s">
        <v>37</v>
      </c>
      <c r="E44" t="s">
        <v>154</v>
      </c>
      <c r="F44" s="2">
        <f>AVERAGE(F20:F31)</f>
        <v>4.9971420680620909E-2</v>
      </c>
      <c r="G44" t="s">
        <v>37</v>
      </c>
      <c r="I44" t="s">
        <v>154</v>
      </c>
      <c r="J44" s="2">
        <f>AVERAGE(F20:F31)</f>
        <v>4.9971420680620909E-2</v>
      </c>
      <c r="K44" t="s">
        <v>37</v>
      </c>
      <c r="M44" t="s">
        <v>154</v>
      </c>
      <c r="N44" s="2">
        <f>AVERAGE(F20:F31)</f>
        <v>4.9971420680620909E-2</v>
      </c>
      <c r="O44" t="s">
        <v>37</v>
      </c>
    </row>
    <row r="45" spans="1:15" x14ac:dyDescent="0.35">
      <c r="A45" t="s">
        <v>155</v>
      </c>
      <c r="B45" s="2">
        <f>AVERAGE(G21:G22)</f>
        <v>2.731409274356817E-2</v>
      </c>
      <c r="C45" t="s">
        <v>37</v>
      </c>
      <c r="E45" t="s">
        <v>155</v>
      </c>
      <c r="F45" s="2">
        <f>AVERAGE(G20,G23)</f>
        <v>5.6498084196440354E-2</v>
      </c>
      <c r="G45" t="s">
        <v>37</v>
      </c>
      <c r="I45" t="s">
        <v>155</v>
      </c>
      <c r="J45" s="2">
        <f>AVERAGE(G27:G29)</f>
        <v>1.8417458555926889E-2</v>
      </c>
      <c r="K45" t="s">
        <v>37</v>
      </c>
      <c r="M45" t="s">
        <v>155</v>
      </c>
      <c r="N45" s="2">
        <f>AVERAGE(G24:G26,G30:G31)</f>
        <v>2.894972677052738E-2</v>
      </c>
      <c r="O45" t="s">
        <v>37</v>
      </c>
    </row>
    <row r="46" spans="1:15" x14ac:dyDescent="0.35">
      <c r="A46" t="s">
        <v>156</v>
      </c>
      <c r="B46" s="2">
        <f>AVERAGE(H20:H31)</f>
        <v>1.7296374699382047E-3</v>
      </c>
      <c r="C46" t="s">
        <v>37</v>
      </c>
      <c r="E46" t="s">
        <v>156</v>
      </c>
      <c r="F46" s="2">
        <f>AVERAGE(H20:H31)</f>
        <v>1.7296374699382047E-3</v>
      </c>
      <c r="G46" t="s">
        <v>37</v>
      </c>
      <c r="I46" t="s">
        <v>156</v>
      </c>
      <c r="J46" s="2">
        <f>AVERAGE(H20:H31)</f>
        <v>1.7296374699382047E-3</v>
      </c>
      <c r="K46" t="s">
        <v>37</v>
      </c>
      <c r="M46" t="s">
        <v>156</v>
      </c>
      <c r="N46" s="2">
        <f>AVERAGE(H20:H31)</f>
        <v>1.7296374699382047E-3</v>
      </c>
      <c r="O46" t="s">
        <v>37</v>
      </c>
    </row>
    <row r="47" spans="1:15" x14ac:dyDescent="0.35">
      <c r="A47" t="s">
        <v>157</v>
      </c>
      <c r="B47" s="2">
        <f>AVERAGE(I21:I22)</f>
        <v>1.1679333938541682E-2</v>
      </c>
      <c r="C47" t="s">
        <v>37</v>
      </c>
      <c r="E47" t="s">
        <v>157</v>
      </c>
      <c r="F47" s="2">
        <f>AVERAGE(I20,I23)</f>
        <v>4.665779923035128E-2</v>
      </c>
      <c r="G47" t="s">
        <v>37</v>
      </c>
      <c r="I47" t="s">
        <v>157</v>
      </c>
      <c r="J47" s="2">
        <f>AVERAGE(I27:I29)</f>
        <v>6.9462031309118141E-3</v>
      </c>
      <c r="K47" t="s">
        <v>37</v>
      </c>
      <c r="M47" t="s">
        <v>157</v>
      </c>
      <c r="N47" s="2">
        <f>AVERAGE(I24:I26,I30:I31)</f>
        <v>1.0302918309559978E-2</v>
      </c>
      <c r="O47" t="s">
        <v>37</v>
      </c>
    </row>
    <row r="48" spans="1:15" x14ac:dyDescent="0.35">
      <c r="A48" t="s">
        <v>158</v>
      </c>
      <c r="B48" s="2">
        <f>AVERAGE(J20:J31)</f>
        <v>2.3244427546906421E-2</v>
      </c>
      <c r="C48" t="s">
        <v>37</v>
      </c>
      <c r="E48" t="s">
        <v>158</v>
      </c>
      <c r="F48" s="2">
        <f>AVERAGE(J20:J31)</f>
        <v>2.3244427546906421E-2</v>
      </c>
      <c r="G48" t="s">
        <v>37</v>
      </c>
      <c r="I48" t="s">
        <v>158</v>
      </c>
      <c r="J48" s="2">
        <f>AVERAGE(J20:J31)</f>
        <v>2.3244427546906421E-2</v>
      </c>
      <c r="K48" t="s">
        <v>37</v>
      </c>
      <c r="M48" t="s">
        <v>158</v>
      </c>
      <c r="N48" s="2">
        <f>AVERAGE(J20:J31)</f>
        <v>2.3244427546906421E-2</v>
      </c>
      <c r="O48" t="s">
        <v>37</v>
      </c>
    </row>
    <row r="49" spans="1:22" x14ac:dyDescent="0.35">
      <c r="A49" t="s">
        <v>159</v>
      </c>
      <c r="B49" s="2">
        <f>AVERAGE(K21:K22,K27:K29)</f>
        <v>3.4906339477625663E-2</v>
      </c>
      <c r="C49" t="s">
        <v>37</v>
      </c>
      <c r="E49" t="s">
        <v>159</v>
      </c>
      <c r="F49" s="2">
        <f>AVERAGE(K20,K23:K26,K30:K31)</f>
        <v>2.5088581482901617E-2</v>
      </c>
      <c r="G49" t="s">
        <v>37</v>
      </c>
      <c r="I49" t="s">
        <v>159</v>
      </c>
      <c r="J49" s="2">
        <f>AVERAGE(K21:K22,K27:K29)</f>
        <v>3.4906339477625663E-2</v>
      </c>
      <c r="K49" t="s">
        <v>37</v>
      </c>
      <c r="M49" t="s">
        <v>159</v>
      </c>
      <c r="N49" s="2">
        <f>AVERAGE(K20,K23:K26,K30:K31)</f>
        <v>2.5088581482901617E-2</v>
      </c>
      <c r="O49" t="s">
        <v>37</v>
      </c>
    </row>
    <row r="50" spans="1:22" x14ac:dyDescent="0.35">
      <c r="B50" s="2">
        <f>SUM(B39:B49)</f>
        <v>0.18519759541412809</v>
      </c>
      <c r="F50" s="2">
        <f>SUM(F39:F49)</f>
        <v>0.23954229416408584</v>
      </c>
      <c r="J50" s="2">
        <f>SUM(J39:J49)</f>
        <v>0.16529979574134285</v>
      </c>
      <c r="N50" s="2">
        <f>SUM(N39:N49)</f>
        <v>0.16937102113986743</v>
      </c>
    </row>
    <row r="52" spans="1:22" x14ac:dyDescent="0.35">
      <c r="A52" s="6" t="s">
        <v>161</v>
      </c>
    </row>
    <row r="54" spans="1:22" x14ac:dyDescent="0.35">
      <c r="A54" t="s">
        <v>33</v>
      </c>
      <c r="E54" t="s">
        <v>34</v>
      </c>
      <c r="I54" t="s">
        <v>35</v>
      </c>
      <c r="M54" t="s">
        <v>36</v>
      </c>
      <c r="R54" t="s">
        <v>162</v>
      </c>
      <c r="S54" t="s">
        <v>21</v>
      </c>
      <c r="T54" s="300" t="s">
        <v>175</v>
      </c>
      <c r="U54" s="300"/>
      <c r="V54" t="s">
        <v>176</v>
      </c>
    </row>
    <row r="55" spans="1:22" x14ac:dyDescent="0.35">
      <c r="A55" t="s">
        <v>149</v>
      </c>
      <c r="B55" s="13">
        <f>B39/B$50</f>
        <v>3.6106207994020624E-2</v>
      </c>
      <c r="E55" t="s">
        <v>149</v>
      </c>
      <c r="F55" s="13">
        <f>F39/F$50</f>
        <v>2.7914832006386978E-2</v>
      </c>
      <c r="I55" t="s">
        <v>149</v>
      </c>
      <c r="J55" s="13">
        <f>J39/J$50</f>
        <v>2.5332652144115504E-3</v>
      </c>
      <c r="M55" t="s">
        <v>149</v>
      </c>
      <c r="N55" s="13">
        <f t="shared" ref="N55:N65" si="0">N39/N$50</f>
        <v>2.4723723083364658E-3</v>
      </c>
      <c r="Q55" t="s">
        <v>137</v>
      </c>
      <c r="R55" s="3">
        <v>116.16</v>
      </c>
      <c r="S55" t="s">
        <v>166</v>
      </c>
      <c r="T55" t="s">
        <v>174</v>
      </c>
      <c r="U55">
        <v>14.026999999999999</v>
      </c>
      <c r="V55" s="3">
        <f>R55+U55</f>
        <v>130.18699999999998</v>
      </c>
    </row>
    <row r="56" spans="1:22" x14ac:dyDescent="0.35">
      <c r="A56" t="s">
        <v>150</v>
      </c>
      <c r="B56" s="13">
        <f t="shared" ref="B56:B65" si="1">B40/B$50</f>
        <v>0</v>
      </c>
      <c r="E56" t="s">
        <v>150</v>
      </c>
      <c r="F56" s="13">
        <f t="shared" ref="F56:F65" si="2">F40/F$50</f>
        <v>0</v>
      </c>
      <c r="I56" t="s">
        <v>150</v>
      </c>
      <c r="J56" s="13">
        <f t="shared" ref="J56:J65" si="3">J40/J$50</f>
        <v>0</v>
      </c>
      <c r="M56" t="s">
        <v>150</v>
      </c>
      <c r="N56" s="13">
        <f t="shared" si="0"/>
        <v>0</v>
      </c>
      <c r="Q56" t="s">
        <v>138</v>
      </c>
      <c r="R56">
        <v>144.214</v>
      </c>
      <c r="S56" t="s">
        <v>165</v>
      </c>
      <c r="T56" t="s">
        <v>174</v>
      </c>
      <c r="U56">
        <v>14.026999999999999</v>
      </c>
      <c r="V56" s="3">
        <f t="shared" ref="V56:V65" si="4">R56+U56</f>
        <v>158.24099999999999</v>
      </c>
    </row>
    <row r="57" spans="1:22" x14ac:dyDescent="0.35">
      <c r="A57" t="s">
        <v>151</v>
      </c>
      <c r="B57" s="13">
        <f t="shared" si="1"/>
        <v>0.11716525542778239</v>
      </c>
      <c r="E57" t="s">
        <v>151</v>
      </c>
      <c r="F57" s="13">
        <f t="shared" si="2"/>
        <v>9.0584101847349968E-2</v>
      </c>
      <c r="I57" t="s">
        <v>151</v>
      </c>
      <c r="J57" s="13">
        <f t="shared" si="3"/>
        <v>0.13126890734493743</v>
      </c>
      <c r="M57" t="s">
        <v>151</v>
      </c>
      <c r="N57" s="13">
        <f t="shared" si="0"/>
        <v>0.12811355464042756</v>
      </c>
      <c r="Q57" t="s">
        <v>139</v>
      </c>
      <c r="R57">
        <v>172.268</v>
      </c>
      <c r="S57" t="s">
        <v>164</v>
      </c>
      <c r="T57" t="s">
        <v>174</v>
      </c>
      <c r="U57">
        <v>14.026999999999999</v>
      </c>
      <c r="V57" s="3">
        <f t="shared" si="4"/>
        <v>186.29499999999999</v>
      </c>
    </row>
    <row r="58" spans="1:22" x14ac:dyDescent="0.35">
      <c r="A58" t="s">
        <v>152</v>
      </c>
      <c r="B58" s="13">
        <f t="shared" si="1"/>
        <v>4.1635720274727011E-3</v>
      </c>
      <c r="E58" t="s">
        <v>152</v>
      </c>
      <c r="F58" s="13">
        <f t="shared" si="2"/>
        <v>3.2189869872970324E-3</v>
      </c>
      <c r="I58" t="s">
        <v>152</v>
      </c>
      <c r="J58" s="13">
        <f t="shared" si="3"/>
        <v>4.6647578986004513E-3</v>
      </c>
      <c r="M58" t="s">
        <v>152</v>
      </c>
      <c r="N58" s="13">
        <f t="shared" si="0"/>
        <v>4.5526296212426189E-3</v>
      </c>
      <c r="Q58" t="s">
        <v>140</v>
      </c>
      <c r="R58">
        <v>200.322</v>
      </c>
      <c r="S58" t="s">
        <v>163</v>
      </c>
      <c r="T58" t="s">
        <v>174</v>
      </c>
      <c r="U58">
        <v>14.026999999999999</v>
      </c>
      <c r="V58" s="3">
        <f t="shared" si="4"/>
        <v>214.34899999999999</v>
      </c>
    </row>
    <row r="59" spans="1:22" x14ac:dyDescent="0.35">
      <c r="A59" t="s">
        <v>153</v>
      </c>
      <c r="B59" s="13">
        <f t="shared" si="1"/>
        <v>3.8854465370851257E-2</v>
      </c>
      <c r="E59" t="s">
        <v>153</v>
      </c>
      <c r="F59" s="13">
        <f t="shared" si="2"/>
        <v>3.0039595232623468E-2</v>
      </c>
      <c r="I59" t="s">
        <v>153</v>
      </c>
      <c r="J59" s="13">
        <f t="shared" si="3"/>
        <v>4.3531533269665405E-2</v>
      </c>
      <c r="M59" t="s">
        <v>153</v>
      </c>
      <c r="N59" s="13">
        <f t="shared" si="0"/>
        <v>4.2485151883455155E-2</v>
      </c>
      <c r="Q59" t="s">
        <v>141</v>
      </c>
      <c r="R59">
        <v>228.376</v>
      </c>
      <c r="S59" t="s">
        <v>167</v>
      </c>
      <c r="T59" t="s">
        <v>174</v>
      </c>
      <c r="U59">
        <v>14.026999999999999</v>
      </c>
      <c r="V59" s="3">
        <f t="shared" si="4"/>
        <v>242.40299999999999</v>
      </c>
    </row>
    <row r="60" spans="1:22" x14ac:dyDescent="0.35">
      <c r="A60" t="s">
        <v>154</v>
      </c>
      <c r="B60" s="13">
        <f t="shared" si="1"/>
        <v>0.26982758911571031</v>
      </c>
      <c r="E60" t="s">
        <v>154</v>
      </c>
      <c r="F60" s="13">
        <f t="shared" si="2"/>
        <v>0.20861209856490151</v>
      </c>
      <c r="I60" t="s">
        <v>154</v>
      </c>
      <c r="J60" s="13">
        <f t="shared" si="3"/>
        <v>0.3023078186909256</v>
      </c>
      <c r="M60" t="s">
        <v>154</v>
      </c>
      <c r="N60" s="13">
        <f t="shared" si="0"/>
        <v>0.29504114897762979</v>
      </c>
      <c r="Q60" t="s">
        <v>142</v>
      </c>
      <c r="R60" s="3">
        <v>256.43</v>
      </c>
      <c r="S60" t="s">
        <v>168</v>
      </c>
      <c r="T60" t="s">
        <v>174</v>
      </c>
      <c r="U60">
        <v>14.026999999999999</v>
      </c>
      <c r="V60" s="3">
        <f t="shared" si="4"/>
        <v>270.45699999999999</v>
      </c>
    </row>
    <row r="61" spans="1:22" x14ac:dyDescent="0.35">
      <c r="A61" t="s">
        <v>155</v>
      </c>
      <c r="B61" s="13">
        <f t="shared" si="1"/>
        <v>0.14748621699158668</v>
      </c>
      <c r="E61" t="s">
        <v>155</v>
      </c>
      <c r="F61" s="13">
        <f t="shared" si="2"/>
        <v>0.23585849168556144</v>
      </c>
      <c r="I61" t="s">
        <v>155</v>
      </c>
      <c r="J61" s="13">
        <f t="shared" si="3"/>
        <v>0.11141851974666736</v>
      </c>
      <c r="M61" t="s">
        <v>155</v>
      </c>
      <c r="N61" s="13">
        <f t="shared" si="0"/>
        <v>0.17092491133191287</v>
      </c>
      <c r="Q61" t="s">
        <v>143</v>
      </c>
      <c r="R61">
        <v>254.41399999999999</v>
      </c>
      <c r="S61" t="s">
        <v>169</v>
      </c>
      <c r="T61" t="s">
        <v>174</v>
      </c>
      <c r="U61">
        <v>14.026999999999999</v>
      </c>
      <c r="V61" s="3">
        <f t="shared" si="4"/>
        <v>268.44099999999997</v>
      </c>
    </row>
    <row r="62" spans="1:22" x14ac:dyDescent="0.35">
      <c r="A62" t="s">
        <v>156</v>
      </c>
      <c r="B62" s="13">
        <f t="shared" si="1"/>
        <v>9.3394164544657824E-3</v>
      </c>
      <c r="E62" t="s">
        <v>156</v>
      </c>
      <c r="F62" s="13">
        <f t="shared" si="2"/>
        <v>7.220593240012169E-3</v>
      </c>
      <c r="I62" t="s">
        <v>156</v>
      </c>
      <c r="J62" s="13">
        <f t="shared" si="3"/>
        <v>1.0463639487157624E-2</v>
      </c>
      <c r="M62" t="s">
        <v>156</v>
      </c>
      <c r="N62" s="13">
        <f t="shared" si="0"/>
        <v>1.0212121638623537E-2</v>
      </c>
      <c r="Q62" t="s">
        <v>144</v>
      </c>
      <c r="R62">
        <v>284.48399999999998</v>
      </c>
      <c r="S62" t="s">
        <v>170</v>
      </c>
      <c r="T62" t="s">
        <v>174</v>
      </c>
      <c r="U62">
        <v>14.026999999999999</v>
      </c>
      <c r="V62" s="3">
        <f t="shared" si="4"/>
        <v>298.51099999999997</v>
      </c>
    </row>
    <row r="63" spans="1:22" x14ac:dyDescent="0.35">
      <c r="A63" t="s">
        <v>157</v>
      </c>
      <c r="B63" s="13">
        <f t="shared" si="1"/>
        <v>6.3064177007401398E-2</v>
      </c>
      <c r="E63" t="s">
        <v>157</v>
      </c>
      <c r="F63" s="13">
        <f t="shared" si="2"/>
        <v>0.19477896124010072</v>
      </c>
      <c r="I63" t="s">
        <v>157</v>
      </c>
      <c r="J63" s="13">
        <f t="shared" si="3"/>
        <v>4.2021849450927733E-2</v>
      </c>
      <c r="M63" t="s">
        <v>157</v>
      </c>
      <c r="N63" s="13">
        <f t="shared" si="0"/>
        <v>6.0830466984383214E-2</v>
      </c>
      <c r="Q63" t="s">
        <v>145</v>
      </c>
      <c r="R63">
        <v>282.46800000000002</v>
      </c>
      <c r="S63" t="s">
        <v>171</v>
      </c>
      <c r="T63" t="s">
        <v>174</v>
      </c>
      <c r="U63">
        <v>14.026999999999999</v>
      </c>
      <c r="V63" s="3">
        <f t="shared" si="4"/>
        <v>296.495</v>
      </c>
    </row>
    <row r="64" spans="1:22" x14ac:dyDescent="0.35">
      <c r="A64" t="s">
        <v>158</v>
      </c>
      <c r="B64" s="13">
        <f t="shared" si="1"/>
        <v>0.12551149757062766</v>
      </c>
      <c r="E64" t="s">
        <v>158</v>
      </c>
      <c r="F64" s="13">
        <f t="shared" si="2"/>
        <v>9.7036841147492933E-2</v>
      </c>
      <c r="I64" t="s">
        <v>158</v>
      </c>
      <c r="J64" s="13">
        <f t="shared" si="3"/>
        <v>0.1406198201435091</v>
      </c>
      <c r="M64" t="s">
        <v>158</v>
      </c>
      <c r="N64" s="13">
        <f t="shared" si="0"/>
        <v>0.13723969655771903</v>
      </c>
      <c r="Q64" t="s">
        <v>146</v>
      </c>
      <c r="R64">
        <v>280.452</v>
      </c>
      <c r="S64" t="s">
        <v>172</v>
      </c>
      <c r="T64" t="s">
        <v>174</v>
      </c>
      <c r="U64">
        <v>14.026999999999999</v>
      </c>
      <c r="V64" s="3">
        <f t="shared" si="4"/>
        <v>294.47899999999998</v>
      </c>
    </row>
    <row r="65" spans="1:22" x14ac:dyDescent="0.35">
      <c r="A65" t="s">
        <v>159</v>
      </c>
      <c r="B65" s="13">
        <f t="shared" si="1"/>
        <v>0.18848160204008124</v>
      </c>
      <c r="E65" t="s">
        <v>159</v>
      </c>
      <c r="F65" s="13">
        <f t="shared" si="2"/>
        <v>0.1047354980482737</v>
      </c>
      <c r="I65" t="s">
        <v>159</v>
      </c>
      <c r="J65" s="13">
        <f t="shared" si="3"/>
        <v>0.21116988875319764</v>
      </c>
      <c r="M65" t="s">
        <v>159</v>
      </c>
      <c r="N65" s="13">
        <f t="shared" si="0"/>
        <v>0.1481279460562698</v>
      </c>
      <c r="Q65" t="s">
        <v>147</v>
      </c>
      <c r="R65">
        <v>278.43599999999998</v>
      </c>
      <c r="S65" t="s">
        <v>173</v>
      </c>
      <c r="T65" t="s">
        <v>174</v>
      </c>
      <c r="U65">
        <v>14.026999999999999</v>
      </c>
      <c r="V65" s="3">
        <f t="shared" si="4"/>
        <v>292.46299999999997</v>
      </c>
    </row>
    <row r="67" spans="1:22" x14ac:dyDescent="0.35">
      <c r="A67" s="6" t="s">
        <v>178</v>
      </c>
    </row>
    <row r="69" spans="1:22" x14ac:dyDescent="0.35">
      <c r="A69" t="s">
        <v>33</v>
      </c>
      <c r="E69" t="s">
        <v>34</v>
      </c>
      <c r="I69" t="s">
        <v>35</v>
      </c>
      <c r="M69" t="s">
        <v>36</v>
      </c>
    </row>
    <row r="70" spans="1:22" x14ac:dyDescent="0.35">
      <c r="A70" t="s">
        <v>149</v>
      </c>
      <c r="B70">
        <f t="shared" ref="B70:B80" si="5">B55/$V55</f>
        <v>2.7734111696268158E-4</v>
      </c>
      <c r="C70" s="13">
        <f>B70/B$81</f>
        <v>7.0253280696156287E-2</v>
      </c>
      <c r="E70" t="s">
        <v>149</v>
      </c>
      <c r="F70">
        <f t="shared" ref="F70:F80" si="6">F55/$V55</f>
        <v>2.1442104055233611E-4</v>
      </c>
      <c r="G70" s="13">
        <f>F70/F$81</f>
        <v>5.5573667945084559E-2</v>
      </c>
      <c r="I70" t="s">
        <v>149</v>
      </c>
      <c r="J70">
        <f t="shared" ref="J70:J80" si="7">J55/$V55</f>
        <v>1.945866495434683E-5</v>
      </c>
      <c r="K70" s="13">
        <f>J70/J$81</f>
        <v>5.0744967436627169E-3</v>
      </c>
      <c r="M70" t="s">
        <v>149</v>
      </c>
      <c r="N70">
        <f t="shared" ref="N70:N80" si="8">N55/$V55</f>
        <v>1.8990930802126679E-5</v>
      </c>
      <c r="O70" s="13">
        <f t="shared" ref="O70:O80" si="9">N70/N$81</f>
        <v>4.9420526447292315E-3</v>
      </c>
    </row>
    <row r="71" spans="1:22" x14ac:dyDescent="0.35">
      <c r="A71" t="s">
        <v>150</v>
      </c>
      <c r="B71">
        <f t="shared" si="5"/>
        <v>0</v>
      </c>
      <c r="C71" s="13">
        <f t="shared" ref="C71:C80" si="10">B71/B$81</f>
        <v>0</v>
      </c>
      <c r="E71" t="s">
        <v>150</v>
      </c>
      <c r="F71">
        <f t="shared" si="6"/>
        <v>0</v>
      </c>
      <c r="G71" s="13">
        <f t="shared" ref="G71:G80" si="11">F71/F$81</f>
        <v>0</v>
      </c>
      <c r="I71" t="s">
        <v>150</v>
      </c>
      <c r="J71">
        <f t="shared" si="7"/>
        <v>0</v>
      </c>
      <c r="K71" s="13">
        <f t="shared" ref="K71:K80" si="12">J71/J$81</f>
        <v>0</v>
      </c>
      <c r="M71" t="s">
        <v>150</v>
      </c>
      <c r="N71">
        <f t="shared" si="8"/>
        <v>0</v>
      </c>
      <c r="O71" s="13">
        <f t="shared" si="9"/>
        <v>0</v>
      </c>
    </row>
    <row r="72" spans="1:22" x14ac:dyDescent="0.35">
      <c r="A72" t="s">
        <v>151</v>
      </c>
      <c r="B72">
        <f t="shared" si="5"/>
        <v>6.2892324231880834E-4</v>
      </c>
      <c r="C72" s="13">
        <f t="shared" si="10"/>
        <v>0.15931255185975635</v>
      </c>
      <c r="E72" t="s">
        <v>151</v>
      </c>
      <c r="F72">
        <f t="shared" si="6"/>
        <v>4.8624011297860903E-4</v>
      </c>
      <c r="G72" s="13">
        <f t="shared" si="11"/>
        <v>0.12602376385566522</v>
      </c>
      <c r="I72" t="s">
        <v>151</v>
      </c>
      <c r="J72">
        <f t="shared" si="7"/>
        <v>7.0462925652828811E-4</v>
      </c>
      <c r="K72" s="13">
        <f t="shared" si="12"/>
        <v>0.18375561099033799</v>
      </c>
      <c r="M72" t="s">
        <v>151</v>
      </c>
      <c r="N72">
        <f t="shared" si="8"/>
        <v>6.8769185775478445E-4</v>
      </c>
      <c r="O72" s="13">
        <f t="shared" si="9"/>
        <v>0.17895959917853005</v>
      </c>
    </row>
    <row r="73" spans="1:22" x14ac:dyDescent="0.35">
      <c r="A73" t="s">
        <v>152</v>
      </c>
      <c r="B73">
        <f t="shared" si="5"/>
        <v>1.9424266161599548E-5</v>
      </c>
      <c r="C73" s="13">
        <f t="shared" si="10"/>
        <v>4.9203610265668735E-3</v>
      </c>
      <c r="E73" t="s">
        <v>152</v>
      </c>
      <c r="F73">
        <f t="shared" si="6"/>
        <v>1.5017504104507287E-5</v>
      </c>
      <c r="G73" s="13">
        <f t="shared" si="11"/>
        <v>3.8922383004858507E-3</v>
      </c>
      <c r="I73" t="s">
        <v>152</v>
      </c>
      <c r="J73">
        <f t="shared" si="7"/>
        <v>2.1762443018630606E-5</v>
      </c>
      <c r="K73" s="13">
        <f t="shared" si="12"/>
        <v>5.6752838127014952E-3</v>
      </c>
      <c r="M73" t="s">
        <v>152</v>
      </c>
      <c r="N73">
        <f t="shared" si="8"/>
        <v>2.1239332216350994E-5</v>
      </c>
      <c r="O73" s="13">
        <f t="shared" si="9"/>
        <v>5.5271592027677603E-3</v>
      </c>
    </row>
    <row r="74" spans="1:22" x14ac:dyDescent="0.35">
      <c r="A74" t="s">
        <v>153</v>
      </c>
      <c r="B74">
        <f t="shared" si="5"/>
        <v>1.6028871495340924E-4</v>
      </c>
      <c r="C74" s="13">
        <f t="shared" si="10"/>
        <v>4.0602735747845391E-2</v>
      </c>
      <c r="E74" t="s">
        <v>153</v>
      </c>
      <c r="F74">
        <f t="shared" si="6"/>
        <v>1.2392418919164973E-4</v>
      </c>
      <c r="G74" s="13">
        <f t="shared" si="11"/>
        <v>3.2118684447945363E-2</v>
      </c>
      <c r="I74" t="s">
        <v>153</v>
      </c>
      <c r="J74">
        <f t="shared" si="7"/>
        <v>1.7958331072497207E-4</v>
      </c>
      <c r="K74" s="13">
        <f t="shared" si="12"/>
        <v>4.6832345776448986E-2</v>
      </c>
      <c r="M74" t="s">
        <v>153</v>
      </c>
      <c r="N74">
        <f t="shared" si="8"/>
        <v>1.7526660925588856E-4</v>
      </c>
      <c r="O74" s="13">
        <f t="shared" si="9"/>
        <v>4.561002400729041E-2</v>
      </c>
    </row>
    <row r="75" spans="1:22" x14ac:dyDescent="0.35">
      <c r="A75" t="s">
        <v>154</v>
      </c>
      <c r="B75">
        <f t="shared" si="5"/>
        <v>9.9767278759917599E-4</v>
      </c>
      <c r="C75" s="13">
        <f t="shared" si="10"/>
        <v>0.25272050231034709</v>
      </c>
      <c r="E75" t="s">
        <v>154</v>
      </c>
      <c r="F75">
        <f t="shared" si="6"/>
        <v>7.7133185151392468E-4</v>
      </c>
      <c r="G75" s="13">
        <f t="shared" si="11"/>
        <v>0.19991387077071573</v>
      </c>
      <c r="I75" t="s">
        <v>154</v>
      </c>
      <c r="J75">
        <f t="shared" si="7"/>
        <v>1.1177666641681509E-3</v>
      </c>
      <c r="K75" s="13">
        <f t="shared" si="12"/>
        <v>0.29149498749290814</v>
      </c>
      <c r="M75" t="s">
        <v>154</v>
      </c>
      <c r="N75">
        <f t="shared" si="8"/>
        <v>1.0908985494094432E-3</v>
      </c>
      <c r="O75" s="13">
        <f t="shared" si="9"/>
        <v>0.28388698360358849</v>
      </c>
    </row>
    <row r="76" spans="1:22" x14ac:dyDescent="0.35">
      <c r="A76" t="s">
        <v>155</v>
      </c>
      <c r="B76">
        <f t="shared" si="5"/>
        <v>5.4941762618820032E-4</v>
      </c>
      <c r="C76" s="13">
        <f t="shared" si="10"/>
        <v>0.13917298356164484</v>
      </c>
      <c r="E76" t="s">
        <v>155</v>
      </c>
      <c r="F76">
        <f t="shared" si="6"/>
        <v>8.7862320467276412E-4</v>
      </c>
      <c r="G76" s="13">
        <f t="shared" si="11"/>
        <v>0.22772165501832919</v>
      </c>
      <c r="I76" t="s">
        <v>155</v>
      </c>
      <c r="J76">
        <f t="shared" si="7"/>
        <v>4.1505775848945346E-4</v>
      </c>
      <c r="K76" s="13">
        <f t="shared" si="12"/>
        <v>0.1082401721201421</v>
      </c>
      <c r="M76" t="s">
        <v>155</v>
      </c>
      <c r="N76">
        <f t="shared" si="8"/>
        <v>6.367317635231313E-4</v>
      </c>
      <c r="O76" s="13">
        <f t="shared" si="9"/>
        <v>0.16569813921654708</v>
      </c>
    </row>
    <row r="77" spans="1:22" x14ac:dyDescent="0.35">
      <c r="A77" t="s">
        <v>156</v>
      </c>
      <c r="B77">
        <f t="shared" si="5"/>
        <v>3.1286674375369029E-5</v>
      </c>
      <c r="C77" s="13">
        <f t="shared" si="10"/>
        <v>7.9252277520674916E-3</v>
      </c>
      <c r="E77" t="s">
        <v>156</v>
      </c>
      <c r="F77">
        <f t="shared" si="6"/>
        <v>2.418870071793726E-5</v>
      </c>
      <c r="G77" s="13">
        <f t="shared" si="11"/>
        <v>6.2692300077406195E-3</v>
      </c>
      <c r="I77" t="s">
        <v>156</v>
      </c>
      <c r="J77">
        <f t="shared" si="7"/>
        <v>3.5052776906571698E-5</v>
      </c>
      <c r="K77" s="13">
        <f t="shared" si="12"/>
        <v>9.14118222838297E-3</v>
      </c>
      <c r="M77" t="s">
        <v>156</v>
      </c>
      <c r="N77">
        <f t="shared" si="8"/>
        <v>3.4210202098493986E-5</v>
      </c>
      <c r="O77" s="13">
        <f t="shared" si="9"/>
        <v>8.9025978515308336E-3</v>
      </c>
    </row>
    <row r="78" spans="1:22" x14ac:dyDescent="0.35">
      <c r="A78" t="s">
        <v>157</v>
      </c>
      <c r="B78">
        <f t="shared" si="5"/>
        <v>2.1269895616250325E-4</v>
      </c>
      <c r="C78" s="13">
        <f t="shared" si="10"/>
        <v>5.3878774394185668E-2</v>
      </c>
      <c r="E78" t="s">
        <v>157</v>
      </c>
      <c r="F78">
        <f t="shared" si="6"/>
        <v>6.5693843484747035E-4</v>
      </c>
      <c r="G78" s="13">
        <f t="shared" si="11"/>
        <v>0.17026537295282762</v>
      </c>
      <c r="I78" t="s">
        <v>157</v>
      </c>
      <c r="J78">
        <f t="shared" si="7"/>
        <v>1.4172869509073587E-4</v>
      </c>
      <c r="K78" s="13">
        <f t="shared" si="12"/>
        <v>3.696049052742667E-2</v>
      </c>
      <c r="M78" t="s">
        <v>157</v>
      </c>
      <c r="N78">
        <f t="shared" si="8"/>
        <v>2.0516523713513959E-4</v>
      </c>
      <c r="O78" s="13">
        <f t="shared" si="9"/>
        <v>5.3390611200408972E-2</v>
      </c>
    </row>
    <row r="79" spans="1:22" x14ac:dyDescent="0.35">
      <c r="A79" t="s">
        <v>158</v>
      </c>
      <c r="B79">
        <f t="shared" si="5"/>
        <v>4.2621544344631593E-4</v>
      </c>
      <c r="C79" s="13">
        <f t="shared" si="10"/>
        <v>0.10796463760366201</v>
      </c>
      <c r="E79" t="s">
        <v>158</v>
      </c>
      <c r="F79">
        <f t="shared" si="6"/>
        <v>3.2952041112436857E-4</v>
      </c>
      <c r="G79" s="13">
        <f t="shared" si="11"/>
        <v>8.5405134970808219E-2</v>
      </c>
      <c r="I79" t="s">
        <v>158</v>
      </c>
      <c r="J79">
        <f t="shared" si="7"/>
        <v>4.7752070654786627E-4</v>
      </c>
      <c r="K79" s="13">
        <f t="shared" si="12"/>
        <v>0.12452947188791381</v>
      </c>
      <c r="M79" t="s">
        <v>158</v>
      </c>
      <c r="N79">
        <f t="shared" si="8"/>
        <v>4.6604238861758918E-4</v>
      </c>
      <c r="O79" s="13">
        <f t="shared" si="9"/>
        <v>0.12127925920121634</v>
      </c>
    </row>
    <row r="80" spans="1:22" x14ac:dyDescent="0.35">
      <c r="A80" t="s">
        <v>159</v>
      </c>
      <c r="B80">
        <f t="shared" si="5"/>
        <v>6.4446306726006802E-4</v>
      </c>
      <c r="C80" s="13">
        <f t="shared" si="10"/>
        <v>0.16324894504776799</v>
      </c>
      <c r="E80" t="s">
        <v>159</v>
      </c>
      <c r="F80">
        <f t="shared" si="6"/>
        <v>3.5811537886253547E-4</v>
      </c>
      <c r="G80" s="13">
        <f t="shared" si="11"/>
        <v>9.2816381730397635E-2</v>
      </c>
      <c r="I80" t="s">
        <v>159</v>
      </c>
      <c r="J80">
        <f t="shared" si="7"/>
        <v>7.2203967255070789E-4</v>
      </c>
      <c r="K80" s="13">
        <f t="shared" si="12"/>
        <v>0.18829595842007502</v>
      </c>
      <c r="M80" t="s">
        <v>159</v>
      </c>
      <c r="N80">
        <f t="shared" si="8"/>
        <v>5.0648439650919882E-4</v>
      </c>
      <c r="O80" s="13">
        <f t="shared" si="9"/>
        <v>0.13180357389339076</v>
      </c>
    </row>
    <row r="81" spans="1:20" x14ac:dyDescent="0.35">
      <c r="A81" t="s">
        <v>177</v>
      </c>
      <c r="B81">
        <f>SUM(B70:B80)</f>
        <v>3.9477318954281313E-3</v>
      </c>
      <c r="E81" t="s">
        <v>177</v>
      </c>
      <c r="F81">
        <f>SUM(F70:F80)</f>
        <v>3.8583208285661026E-3</v>
      </c>
      <c r="I81" t="s">
        <v>177</v>
      </c>
      <c r="J81">
        <f>SUM(J70:J80)</f>
        <v>3.834599948979724E-3</v>
      </c>
      <c r="M81" t="s">
        <v>177</v>
      </c>
      <c r="N81">
        <f>SUM(N70:N80)</f>
        <v>3.842721267322147E-3</v>
      </c>
    </row>
    <row r="84" spans="1:20" x14ac:dyDescent="0.35">
      <c r="A84" s="6" t="s">
        <v>200</v>
      </c>
    </row>
    <row r="85" spans="1:20" x14ac:dyDescent="0.35">
      <c r="Q85" t="s">
        <v>99</v>
      </c>
      <c r="S85" t="s">
        <v>186</v>
      </c>
      <c r="T85" t="s">
        <v>187</v>
      </c>
    </row>
    <row r="86" spans="1:20" x14ac:dyDescent="0.35">
      <c r="A86" s="6" t="s">
        <v>179</v>
      </c>
      <c r="B86" s="6" t="s">
        <v>181</v>
      </c>
      <c r="C86" s="6" t="s">
        <v>182</v>
      </c>
      <c r="D86" s="6" t="s">
        <v>183</v>
      </c>
      <c r="E86" s="6" t="s">
        <v>180</v>
      </c>
      <c r="F86" s="6" t="s">
        <v>129</v>
      </c>
      <c r="Q86" t="s">
        <v>185</v>
      </c>
      <c r="S86" t="s">
        <v>188</v>
      </c>
      <c r="T86">
        <v>2006</v>
      </c>
    </row>
    <row r="87" spans="1:20" x14ac:dyDescent="0.35">
      <c r="A87" t="s">
        <v>184</v>
      </c>
      <c r="B87">
        <v>34</v>
      </c>
      <c r="C87">
        <v>22.5</v>
      </c>
      <c r="D87">
        <v>19.5</v>
      </c>
      <c r="E87">
        <v>24</v>
      </c>
      <c r="F87" t="s">
        <v>188</v>
      </c>
      <c r="Q87" t="s">
        <v>189</v>
      </c>
      <c r="S87" t="s">
        <v>190</v>
      </c>
      <c r="T87">
        <v>1998</v>
      </c>
    </row>
    <row r="88" spans="1:20" x14ac:dyDescent="0.35">
      <c r="A88" t="s">
        <v>191</v>
      </c>
      <c r="B88">
        <v>62</v>
      </c>
      <c r="C88">
        <v>14</v>
      </c>
      <c r="D88">
        <v>18</v>
      </c>
      <c r="E88">
        <v>6</v>
      </c>
      <c r="F88" t="s">
        <v>190</v>
      </c>
      <c r="Q88" t="s">
        <v>192</v>
      </c>
      <c r="S88" t="s">
        <v>193</v>
      </c>
      <c r="T88">
        <v>2014</v>
      </c>
    </row>
    <row r="89" spans="1:20" x14ac:dyDescent="0.35">
      <c r="A89" t="s">
        <v>191</v>
      </c>
      <c r="B89">
        <f>52+1.7</f>
        <v>53.7</v>
      </c>
      <c r="C89">
        <v>11.7</v>
      </c>
      <c r="D89">
        <v>22</v>
      </c>
      <c r="E89">
        <v>11.4</v>
      </c>
      <c r="F89" t="s">
        <v>193</v>
      </c>
      <c r="Q89" t="s">
        <v>194</v>
      </c>
      <c r="S89" t="s">
        <v>195</v>
      </c>
      <c r="T89">
        <v>2015</v>
      </c>
    </row>
    <row r="90" spans="1:20" x14ac:dyDescent="0.35">
      <c r="A90" t="s">
        <v>196</v>
      </c>
      <c r="B90">
        <v>40</v>
      </c>
      <c r="C90">
        <v>32</v>
      </c>
      <c r="D90">
        <v>15</v>
      </c>
      <c r="E90">
        <v>13</v>
      </c>
      <c r="F90" t="s">
        <v>195</v>
      </c>
      <c r="Q90" t="s">
        <v>199</v>
      </c>
      <c r="S90" t="s">
        <v>198</v>
      </c>
      <c r="T90">
        <v>2006</v>
      </c>
    </row>
    <row r="91" spans="1:20" x14ac:dyDescent="0.35">
      <c r="A91" t="s">
        <v>197</v>
      </c>
      <c r="B91">
        <v>43.5</v>
      </c>
      <c r="C91">
        <v>25.6</v>
      </c>
      <c r="D91">
        <v>24.8</v>
      </c>
      <c r="E91">
        <v>6.1</v>
      </c>
      <c r="F91" t="s">
        <v>195</v>
      </c>
    </row>
    <row r="92" spans="1:20" x14ac:dyDescent="0.35">
      <c r="A92" t="s">
        <v>191</v>
      </c>
      <c r="B92">
        <v>37.4</v>
      </c>
      <c r="C92">
        <v>20</v>
      </c>
      <c r="D92">
        <v>28.9</v>
      </c>
      <c r="E92">
        <v>13.7</v>
      </c>
      <c r="F92" t="s">
        <v>198</v>
      </c>
    </row>
    <row r="95" spans="1:20" x14ac:dyDescent="0.35">
      <c r="A95" t="s">
        <v>33</v>
      </c>
      <c r="G95" t="s">
        <v>34</v>
      </c>
      <c r="M95" t="s">
        <v>35</v>
      </c>
      <c r="S95" t="s">
        <v>36</v>
      </c>
    </row>
    <row r="97" spans="1:23" x14ac:dyDescent="0.35">
      <c r="B97" s="9" t="s">
        <v>181</v>
      </c>
      <c r="C97" s="9" t="s">
        <v>182</v>
      </c>
      <c r="D97" s="9" t="s">
        <v>183</v>
      </c>
      <c r="E97" s="9" t="s">
        <v>180</v>
      </c>
      <c r="H97" s="9" t="s">
        <v>181</v>
      </c>
      <c r="I97" s="9" t="s">
        <v>182</v>
      </c>
      <c r="J97" s="9" t="s">
        <v>183</v>
      </c>
      <c r="K97" s="9" t="s">
        <v>180</v>
      </c>
      <c r="N97" s="9" t="s">
        <v>181</v>
      </c>
      <c r="O97" s="9" t="s">
        <v>182</v>
      </c>
      <c r="P97" s="9" t="s">
        <v>183</v>
      </c>
      <c r="Q97" s="9" t="s">
        <v>180</v>
      </c>
      <c r="T97" s="9" t="s">
        <v>181</v>
      </c>
      <c r="U97" s="9" t="s">
        <v>182</v>
      </c>
      <c r="V97" s="9" t="s">
        <v>183</v>
      </c>
      <c r="W97" s="9" t="s">
        <v>180</v>
      </c>
    </row>
    <row r="98" spans="1:23" x14ac:dyDescent="0.35">
      <c r="B98" s="19">
        <f>$B87/100</f>
        <v>0.34</v>
      </c>
      <c r="C98" s="19">
        <f>$C87/100</f>
        <v>0.22500000000000001</v>
      </c>
      <c r="D98" s="19">
        <f>$D87/100</f>
        <v>0.19500000000000001</v>
      </c>
      <c r="E98" s="19">
        <f>$E87/100</f>
        <v>0.24</v>
      </c>
      <c r="H98" s="19">
        <f>$B87/100</f>
        <v>0.34</v>
      </c>
      <c r="I98" s="19">
        <f>$C87/100</f>
        <v>0.22500000000000001</v>
      </c>
      <c r="J98" s="19">
        <f>$D87/100</f>
        <v>0.19500000000000001</v>
      </c>
      <c r="K98" s="19">
        <f>$E87/100</f>
        <v>0.24</v>
      </c>
      <c r="N98" s="19">
        <f>$B87/100</f>
        <v>0.34</v>
      </c>
      <c r="O98" s="19">
        <f>$C87/100</f>
        <v>0.22500000000000001</v>
      </c>
      <c r="P98" s="19">
        <f>$D87/100</f>
        <v>0.19500000000000001</v>
      </c>
      <c r="Q98" s="19">
        <f>$E87/100</f>
        <v>0.24</v>
      </c>
      <c r="T98" s="19">
        <f>$B87/100</f>
        <v>0.34</v>
      </c>
      <c r="U98" s="19">
        <f>$C87/100</f>
        <v>0.22500000000000001</v>
      </c>
      <c r="V98" s="19">
        <f>$D87/100</f>
        <v>0.19500000000000001</v>
      </c>
      <c r="W98" s="19">
        <f>$E87/100</f>
        <v>0.24</v>
      </c>
    </row>
    <row r="99" spans="1:23" x14ac:dyDescent="0.35">
      <c r="A99" t="s">
        <v>149</v>
      </c>
      <c r="B99" s="20">
        <f t="shared" ref="B99:E109" si="13">B$98*$C70</f>
        <v>2.3886115436693139E-2</v>
      </c>
      <c r="C99" s="20">
        <f t="shared" si="13"/>
        <v>1.5806988156635164E-2</v>
      </c>
      <c r="D99" s="20">
        <f t="shared" si="13"/>
        <v>1.3699389735750477E-2</v>
      </c>
      <c r="E99" s="20">
        <f t="shared" si="13"/>
        <v>1.6860787367077509E-2</v>
      </c>
      <c r="G99" t="s">
        <v>149</v>
      </c>
      <c r="H99" s="20">
        <f t="shared" ref="H99:K109" si="14">H$98*$G70</f>
        <v>1.8895047101328753E-2</v>
      </c>
      <c r="I99" s="20">
        <f t="shared" si="14"/>
        <v>1.2504075287644027E-2</v>
      </c>
      <c r="J99" s="20">
        <f t="shared" si="14"/>
        <v>1.083686524929149E-2</v>
      </c>
      <c r="K99" s="20">
        <f t="shared" si="14"/>
        <v>1.3337680306820294E-2</v>
      </c>
      <c r="M99" t="s">
        <v>149</v>
      </c>
      <c r="N99" s="20">
        <f t="shared" ref="N99:Q109" si="15">N$98*$K70</f>
        <v>1.7253288928453239E-3</v>
      </c>
      <c r="O99" s="20">
        <f t="shared" si="15"/>
        <v>1.1417617673241114E-3</v>
      </c>
      <c r="P99" s="20">
        <f t="shared" si="15"/>
        <v>9.8952686501422985E-4</v>
      </c>
      <c r="Q99" s="20">
        <f t="shared" si="15"/>
        <v>1.217879218479052E-3</v>
      </c>
      <c r="S99" t="s">
        <v>149</v>
      </c>
      <c r="T99" s="20">
        <f t="shared" ref="T99:W109" si="16">T$98*$O70</f>
        <v>1.6802978992079389E-3</v>
      </c>
      <c r="U99" s="20">
        <f t="shared" si="16"/>
        <v>1.1119618450640772E-3</v>
      </c>
      <c r="V99" s="20">
        <f t="shared" si="16"/>
        <v>9.6370026572220016E-4</v>
      </c>
      <c r="W99" s="20">
        <f t="shared" si="16"/>
        <v>1.1860926347350156E-3</v>
      </c>
    </row>
    <row r="100" spans="1:23" x14ac:dyDescent="0.35">
      <c r="A100" t="s">
        <v>150</v>
      </c>
      <c r="B100" s="20">
        <f t="shared" si="13"/>
        <v>0</v>
      </c>
      <c r="C100" s="20">
        <f t="shared" si="13"/>
        <v>0</v>
      </c>
      <c r="D100" s="20">
        <f t="shared" si="13"/>
        <v>0</v>
      </c>
      <c r="E100" s="20">
        <f t="shared" si="13"/>
        <v>0</v>
      </c>
      <c r="G100" t="s">
        <v>150</v>
      </c>
      <c r="H100" s="20">
        <f t="shared" si="14"/>
        <v>0</v>
      </c>
      <c r="I100" s="20">
        <f t="shared" si="14"/>
        <v>0</v>
      </c>
      <c r="J100" s="20">
        <f t="shared" si="14"/>
        <v>0</v>
      </c>
      <c r="K100" s="20">
        <f t="shared" si="14"/>
        <v>0</v>
      </c>
      <c r="M100" t="s">
        <v>150</v>
      </c>
      <c r="N100" s="20">
        <f t="shared" si="15"/>
        <v>0</v>
      </c>
      <c r="O100" s="20">
        <f t="shared" si="15"/>
        <v>0</v>
      </c>
      <c r="P100" s="20">
        <f t="shared" si="15"/>
        <v>0</v>
      </c>
      <c r="Q100" s="20">
        <f t="shared" si="15"/>
        <v>0</v>
      </c>
      <c r="S100" t="s">
        <v>150</v>
      </c>
      <c r="T100" s="20">
        <f t="shared" si="16"/>
        <v>0</v>
      </c>
      <c r="U100" s="20">
        <f t="shared" si="16"/>
        <v>0</v>
      </c>
      <c r="V100" s="20">
        <f t="shared" si="16"/>
        <v>0</v>
      </c>
      <c r="W100" s="20">
        <f t="shared" si="16"/>
        <v>0</v>
      </c>
    </row>
    <row r="101" spans="1:23" x14ac:dyDescent="0.35">
      <c r="A101" t="s">
        <v>151</v>
      </c>
      <c r="B101" s="20">
        <f t="shared" si="13"/>
        <v>5.4166267632317161E-2</v>
      </c>
      <c r="C101" s="20">
        <f t="shared" si="13"/>
        <v>3.5845324168445179E-2</v>
      </c>
      <c r="D101" s="20">
        <f t="shared" si="13"/>
        <v>3.1065947612652488E-2</v>
      </c>
      <c r="E101" s="20">
        <f t="shared" si="13"/>
        <v>3.8235012446341525E-2</v>
      </c>
      <c r="G101" t="s">
        <v>151</v>
      </c>
      <c r="H101" s="20">
        <f t="shared" si="14"/>
        <v>4.2848079710926176E-2</v>
      </c>
      <c r="I101" s="20">
        <f t="shared" si="14"/>
        <v>2.8355346867524674E-2</v>
      </c>
      <c r="J101" s="20">
        <f t="shared" si="14"/>
        <v>2.4574633951854719E-2</v>
      </c>
      <c r="K101" s="20">
        <f t="shared" si="14"/>
        <v>3.0245703325359651E-2</v>
      </c>
      <c r="M101" t="s">
        <v>151</v>
      </c>
      <c r="N101" s="20">
        <f t="shared" si="15"/>
        <v>6.2476907736714923E-2</v>
      </c>
      <c r="O101" s="20">
        <f t="shared" si="15"/>
        <v>4.134501247282605E-2</v>
      </c>
      <c r="P101" s="20">
        <f t="shared" si="15"/>
        <v>3.583234414311591E-2</v>
      </c>
      <c r="Q101" s="20">
        <f t="shared" si="15"/>
        <v>4.4101346637681116E-2</v>
      </c>
      <c r="S101" t="s">
        <v>151</v>
      </c>
      <c r="T101" s="20">
        <f t="shared" si="16"/>
        <v>6.0846263720700219E-2</v>
      </c>
      <c r="U101" s="20">
        <f t="shared" si="16"/>
        <v>4.0265909815169261E-2</v>
      </c>
      <c r="V101" s="20">
        <f t="shared" si="16"/>
        <v>3.4897121839813361E-2</v>
      </c>
      <c r="W101" s="20">
        <f t="shared" si="16"/>
        <v>4.2950303802847208E-2</v>
      </c>
    </row>
    <row r="102" spans="1:23" x14ac:dyDescent="0.35">
      <c r="A102" t="s">
        <v>152</v>
      </c>
      <c r="B102" s="20">
        <f t="shared" si="13"/>
        <v>1.6729227490327372E-3</v>
      </c>
      <c r="C102" s="20">
        <f t="shared" si="13"/>
        <v>1.1070812309775465E-3</v>
      </c>
      <c r="D102" s="20">
        <f t="shared" si="13"/>
        <v>9.5947040018054043E-4</v>
      </c>
      <c r="E102" s="20">
        <f t="shared" si="13"/>
        <v>1.1808866463760496E-3</v>
      </c>
      <c r="G102" t="s">
        <v>152</v>
      </c>
      <c r="H102" s="20">
        <f t="shared" si="14"/>
        <v>1.3233610221651893E-3</v>
      </c>
      <c r="I102" s="20">
        <f t="shared" si="14"/>
        <v>8.7575361760931639E-4</v>
      </c>
      <c r="J102" s="20">
        <f t="shared" si="14"/>
        <v>7.5898646859474093E-4</v>
      </c>
      <c r="K102" s="20">
        <f t="shared" si="14"/>
        <v>9.3413719211660412E-4</v>
      </c>
      <c r="M102" t="s">
        <v>152</v>
      </c>
      <c r="N102" s="20">
        <f t="shared" si="15"/>
        <v>1.9295964963185084E-3</v>
      </c>
      <c r="O102" s="20">
        <f t="shared" si="15"/>
        <v>1.2769388578578364E-3</v>
      </c>
      <c r="P102" s="20">
        <f t="shared" si="15"/>
        <v>1.1066803434767916E-3</v>
      </c>
      <c r="Q102" s="20">
        <f t="shared" si="15"/>
        <v>1.3620681150483588E-3</v>
      </c>
      <c r="S102" t="s">
        <v>152</v>
      </c>
      <c r="T102" s="20">
        <f t="shared" si="16"/>
        <v>1.8792341289410386E-3</v>
      </c>
      <c r="U102" s="20">
        <f t="shared" si="16"/>
        <v>1.243610820622746E-3</v>
      </c>
      <c r="V102" s="20">
        <f t="shared" si="16"/>
        <v>1.0777960445397133E-3</v>
      </c>
      <c r="W102" s="20">
        <f t="shared" si="16"/>
        <v>1.3265182086642624E-3</v>
      </c>
    </row>
    <row r="103" spans="1:23" x14ac:dyDescent="0.35">
      <c r="A103" t="s">
        <v>153</v>
      </c>
      <c r="B103" s="20">
        <f t="shared" si="13"/>
        <v>1.3804930154267434E-2</v>
      </c>
      <c r="C103" s="20">
        <f t="shared" si="13"/>
        <v>9.1356155432652138E-3</v>
      </c>
      <c r="D103" s="20">
        <f t="shared" si="13"/>
        <v>7.9175334708298517E-3</v>
      </c>
      <c r="E103" s="20">
        <f t="shared" si="13"/>
        <v>9.7446565794828931E-3</v>
      </c>
      <c r="G103" t="s">
        <v>153</v>
      </c>
      <c r="H103" s="20">
        <f t="shared" si="14"/>
        <v>1.0920352712301424E-2</v>
      </c>
      <c r="I103" s="20">
        <f t="shared" si="14"/>
        <v>7.2267040007877072E-3</v>
      </c>
      <c r="J103" s="20">
        <f t="shared" si="14"/>
        <v>6.2631434673493464E-3</v>
      </c>
      <c r="K103" s="20">
        <f t="shared" si="14"/>
        <v>7.7084842675068871E-3</v>
      </c>
      <c r="M103" t="s">
        <v>153</v>
      </c>
      <c r="N103" s="20">
        <f t="shared" si="15"/>
        <v>1.5922997563992656E-2</v>
      </c>
      <c r="O103" s="20">
        <f t="shared" si="15"/>
        <v>1.0537277799701022E-2</v>
      </c>
      <c r="P103" s="20">
        <f t="shared" si="15"/>
        <v>9.1323074264075526E-3</v>
      </c>
      <c r="Q103" s="20">
        <f t="shared" si="15"/>
        <v>1.1239762986347756E-2</v>
      </c>
      <c r="S103" t="s">
        <v>153</v>
      </c>
      <c r="T103" s="20">
        <f t="shared" si="16"/>
        <v>1.5507408162478741E-2</v>
      </c>
      <c r="U103" s="20">
        <f t="shared" si="16"/>
        <v>1.0262255401640342E-2</v>
      </c>
      <c r="V103" s="20">
        <f t="shared" si="16"/>
        <v>8.89395468142163E-3</v>
      </c>
      <c r="W103" s="20">
        <f t="shared" si="16"/>
        <v>1.0946405761749697E-2</v>
      </c>
    </row>
    <row r="104" spans="1:23" x14ac:dyDescent="0.35">
      <c r="A104" t="s">
        <v>154</v>
      </c>
      <c r="B104" s="20">
        <f t="shared" si="13"/>
        <v>8.5924970785518015E-2</v>
      </c>
      <c r="C104" s="20">
        <f t="shared" si="13"/>
        <v>5.6862113019828096E-2</v>
      </c>
      <c r="D104" s="20">
        <f t="shared" si="13"/>
        <v>4.9280497950517685E-2</v>
      </c>
      <c r="E104" s="20">
        <f t="shared" si="13"/>
        <v>6.0652920554483299E-2</v>
      </c>
      <c r="G104" t="s">
        <v>154</v>
      </c>
      <c r="H104" s="20">
        <f t="shared" si="14"/>
        <v>6.7970716062043357E-2</v>
      </c>
      <c r="I104" s="20">
        <f t="shared" si="14"/>
        <v>4.4980620923411041E-2</v>
      </c>
      <c r="J104" s="20">
        <f t="shared" si="14"/>
        <v>3.8983204800289571E-2</v>
      </c>
      <c r="K104" s="20">
        <f t="shared" si="14"/>
        <v>4.7979328984971772E-2</v>
      </c>
      <c r="M104" t="s">
        <v>154</v>
      </c>
      <c r="N104" s="20">
        <f t="shared" si="15"/>
        <v>9.9108295747588782E-2</v>
      </c>
      <c r="O104" s="20">
        <f t="shared" si="15"/>
        <v>6.5586372185904337E-2</v>
      </c>
      <c r="P104" s="20">
        <f t="shared" si="15"/>
        <v>5.6841522561117089E-2</v>
      </c>
      <c r="Q104" s="20">
        <f t="shared" si="15"/>
        <v>6.9958796998297948E-2</v>
      </c>
      <c r="S104" t="s">
        <v>154</v>
      </c>
      <c r="T104" s="20">
        <f t="shared" si="16"/>
        <v>9.6521574425220094E-2</v>
      </c>
      <c r="U104" s="20">
        <f t="shared" si="16"/>
        <v>6.3874571310807413E-2</v>
      </c>
      <c r="V104" s="20">
        <f t="shared" si="16"/>
        <v>5.5357961802699758E-2</v>
      </c>
      <c r="W104" s="20">
        <f t="shared" si="16"/>
        <v>6.8132876064861236E-2</v>
      </c>
    </row>
    <row r="105" spans="1:23" x14ac:dyDescent="0.35">
      <c r="A105" t="s">
        <v>155</v>
      </c>
      <c r="B105" s="20">
        <f t="shared" si="13"/>
        <v>4.7318814410959247E-2</v>
      </c>
      <c r="C105" s="20">
        <f t="shared" si="13"/>
        <v>3.131392130137009E-2</v>
      </c>
      <c r="D105" s="20">
        <f t="shared" si="13"/>
        <v>2.7138731794520744E-2</v>
      </c>
      <c r="E105" s="20">
        <f t="shared" si="13"/>
        <v>3.3401516054794758E-2</v>
      </c>
      <c r="G105" t="s">
        <v>155</v>
      </c>
      <c r="H105" s="20">
        <f t="shared" si="14"/>
        <v>7.7425362706231932E-2</v>
      </c>
      <c r="I105" s="20">
        <f t="shared" si="14"/>
        <v>5.1237372379124069E-2</v>
      </c>
      <c r="J105" s="20">
        <f t="shared" si="14"/>
        <v>4.4405722728574196E-2</v>
      </c>
      <c r="K105" s="20">
        <f t="shared" si="14"/>
        <v>5.4653197204399005E-2</v>
      </c>
      <c r="M105" t="s">
        <v>155</v>
      </c>
      <c r="N105" s="20">
        <f t="shared" si="15"/>
        <v>3.6801658520848317E-2</v>
      </c>
      <c r="O105" s="20">
        <f t="shared" si="15"/>
        <v>2.4354038727031974E-2</v>
      </c>
      <c r="P105" s="20">
        <f t="shared" si="15"/>
        <v>2.1106833563427709E-2</v>
      </c>
      <c r="Q105" s="20">
        <f t="shared" si="15"/>
        <v>2.5977641308834103E-2</v>
      </c>
      <c r="S105" t="s">
        <v>155</v>
      </c>
      <c r="T105" s="20">
        <f t="shared" si="16"/>
        <v>5.6337367333626008E-2</v>
      </c>
      <c r="U105" s="20">
        <f t="shared" si="16"/>
        <v>3.7282081323723092E-2</v>
      </c>
      <c r="V105" s="20">
        <f t="shared" si="16"/>
        <v>3.2311137147226679E-2</v>
      </c>
      <c r="W105" s="20">
        <f t="shared" si="16"/>
        <v>3.9767553411971295E-2</v>
      </c>
    </row>
    <row r="106" spans="1:23" x14ac:dyDescent="0.35">
      <c r="A106" t="s">
        <v>156</v>
      </c>
      <c r="B106" s="20">
        <f t="shared" si="13"/>
        <v>2.6945774357029473E-3</v>
      </c>
      <c r="C106" s="20">
        <f t="shared" si="13"/>
        <v>1.7831762442151856E-3</v>
      </c>
      <c r="D106" s="20">
        <f t="shared" si="13"/>
        <v>1.5454194116531609E-3</v>
      </c>
      <c r="E106" s="20">
        <f t="shared" si="13"/>
        <v>1.9020546604961979E-3</v>
      </c>
      <c r="G106" t="s">
        <v>156</v>
      </c>
      <c r="H106" s="20">
        <f t="shared" si="14"/>
        <v>2.1315382026318107E-3</v>
      </c>
      <c r="I106" s="20">
        <f t="shared" si="14"/>
        <v>1.4105767517416394E-3</v>
      </c>
      <c r="J106" s="20">
        <f t="shared" si="14"/>
        <v>1.2224998515094209E-3</v>
      </c>
      <c r="K106" s="20">
        <f t="shared" si="14"/>
        <v>1.5046152018577486E-3</v>
      </c>
      <c r="M106" t="s">
        <v>156</v>
      </c>
      <c r="N106" s="20">
        <f t="shared" si="15"/>
        <v>3.10800195765021E-3</v>
      </c>
      <c r="O106" s="20">
        <f t="shared" si="15"/>
        <v>2.0567660013861683E-3</v>
      </c>
      <c r="P106" s="20">
        <f t="shared" si="15"/>
        <v>1.7825305345346792E-3</v>
      </c>
      <c r="Q106" s="20">
        <f t="shared" si="15"/>
        <v>2.1938837348119129E-3</v>
      </c>
      <c r="S106" t="s">
        <v>156</v>
      </c>
      <c r="T106" s="20">
        <f t="shared" si="16"/>
        <v>3.0268832695204838E-3</v>
      </c>
      <c r="U106" s="20">
        <f t="shared" si="16"/>
        <v>2.0030845165944378E-3</v>
      </c>
      <c r="V106" s="20">
        <f t="shared" si="16"/>
        <v>1.7360065810485127E-3</v>
      </c>
      <c r="W106" s="20">
        <f t="shared" si="16"/>
        <v>2.1366234843674002E-3</v>
      </c>
    </row>
    <row r="107" spans="1:23" x14ac:dyDescent="0.35">
      <c r="A107" t="s">
        <v>157</v>
      </c>
      <c r="B107" s="20">
        <f t="shared" si="13"/>
        <v>1.8318783294023127E-2</v>
      </c>
      <c r="C107" s="20">
        <f t="shared" si="13"/>
        <v>1.2122724238691776E-2</v>
      </c>
      <c r="D107" s="20">
        <f t="shared" si="13"/>
        <v>1.0506361006866206E-2</v>
      </c>
      <c r="E107" s="20">
        <f t="shared" si="13"/>
        <v>1.293090585460456E-2</v>
      </c>
      <c r="G107" t="s">
        <v>157</v>
      </c>
      <c r="H107" s="20">
        <f t="shared" si="14"/>
        <v>5.7890226803961393E-2</v>
      </c>
      <c r="I107" s="20">
        <f t="shared" si="14"/>
        <v>3.8309708914386217E-2</v>
      </c>
      <c r="J107" s="20">
        <f t="shared" si="14"/>
        <v>3.3201747725801388E-2</v>
      </c>
      <c r="K107" s="20">
        <f t="shared" si="14"/>
        <v>4.0863689508678629E-2</v>
      </c>
      <c r="M107" t="s">
        <v>157</v>
      </c>
      <c r="N107" s="20">
        <f t="shared" si="15"/>
        <v>1.2566566779325069E-2</v>
      </c>
      <c r="O107" s="20">
        <f t="shared" si="15"/>
        <v>8.3161103686710015E-3</v>
      </c>
      <c r="P107" s="20">
        <f t="shared" si="15"/>
        <v>7.2072956528482007E-3</v>
      </c>
      <c r="Q107" s="20">
        <f t="shared" si="15"/>
        <v>8.8705177265823998E-3</v>
      </c>
      <c r="S107" t="s">
        <v>157</v>
      </c>
      <c r="T107" s="20">
        <f t="shared" si="16"/>
        <v>1.8152807808139052E-2</v>
      </c>
      <c r="U107" s="20">
        <f t="shared" si="16"/>
        <v>1.201288752009202E-2</v>
      </c>
      <c r="V107" s="20">
        <f t="shared" si="16"/>
        <v>1.0411169184079749E-2</v>
      </c>
      <c r="W107" s="20">
        <f t="shared" si="16"/>
        <v>1.2813746688098152E-2</v>
      </c>
    </row>
    <row r="108" spans="1:23" x14ac:dyDescent="0.35">
      <c r="A108" t="s">
        <v>158</v>
      </c>
      <c r="B108" s="20">
        <f t="shared" si="13"/>
        <v>3.6707976785245088E-2</v>
      </c>
      <c r="C108" s="20">
        <f t="shared" si="13"/>
        <v>2.4292043460823955E-2</v>
      </c>
      <c r="D108" s="20">
        <f t="shared" si="13"/>
        <v>2.1053104332714092E-2</v>
      </c>
      <c r="E108" s="20">
        <f t="shared" si="13"/>
        <v>2.5911513024878881E-2</v>
      </c>
      <c r="G108" t="s">
        <v>158</v>
      </c>
      <c r="H108" s="20">
        <f t="shared" si="14"/>
        <v>2.9037745890074795E-2</v>
      </c>
      <c r="I108" s="20">
        <f t="shared" si="14"/>
        <v>1.921615536843185E-2</v>
      </c>
      <c r="J108" s="20">
        <f t="shared" si="14"/>
        <v>1.6654001319307603E-2</v>
      </c>
      <c r="K108" s="20">
        <f t="shared" si="14"/>
        <v>2.0497232392993971E-2</v>
      </c>
      <c r="M108" t="s">
        <v>158</v>
      </c>
      <c r="N108" s="20">
        <f t="shared" si="15"/>
        <v>4.2340020441890697E-2</v>
      </c>
      <c r="O108" s="20">
        <f t="shared" si="15"/>
        <v>2.8019131174780609E-2</v>
      </c>
      <c r="P108" s="20">
        <f t="shared" si="15"/>
        <v>2.4283247018143196E-2</v>
      </c>
      <c r="Q108" s="20">
        <f t="shared" si="15"/>
        <v>2.9887073253099316E-2</v>
      </c>
      <c r="S108" t="s">
        <v>158</v>
      </c>
      <c r="T108" s="20">
        <f t="shared" si="16"/>
        <v>4.1234948128413558E-2</v>
      </c>
      <c r="U108" s="20">
        <f t="shared" si="16"/>
        <v>2.7287833320273677E-2</v>
      </c>
      <c r="V108" s="20">
        <f t="shared" si="16"/>
        <v>2.3649455544237186E-2</v>
      </c>
      <c r="W108" s="20">
        <f t="shared" si="16"/>
        <v>2.9107022208291918E-2</v>
      </c>
    </row>
    <row r="109" spans="1:23" x14ac:dyDescent="0.35">
      <c r="A109" t="s">
        <v>159</v>
      </c>
      <c r="B109" s="20">
        <f t="shared" si="13"/>
        <v>5.5504641316241124E-2</v>
      </c>
      <c r="C109" s="20">
        <f t="shared" si="13"/>
        <v>3.6731012635747802E-2</v>
      </c>
      <c r="D109" s="20">
        <f t="shared" si="13"/>
        <v>3.1833544284314758E-2</v>
      </c>
      <c r="E109" s="20">
        <f t="shared" si="13"/>
        <v>3.9179746811464314E-2</v>
      </c>
      <c r="G109" t="s">
        <v>159</v>
      </c>
      <c r="H109" s="20">
        <f t="shared" si="14"/>
        <v>3.1557569788335196E-2</v>
      </c>
      <c r="I109" s="20">
        <f t="shared" si="14"/>
        <v>2.0883685889339469E-2</v>
      </c>
      <c r="J109" s="20">
        <f t="shared" si="14"/>
        <v>1.8099194437427538E-2</v>
      </c>
      <c r="K109" s="20">
        <f t="shared" si="14"/>
        <v>2.2275931615295431E-2</v>
      </c>
      <c r="M109" t="s">
        <v>159</v>
      </c>
      <c r="N109" s="20">
        <f t="shared" si="15"/>
        <v>6.4020625862825503E-2</v>
      </c>
      <c r="O109" s="20">
        <f t="shared" si="15"/>
        <v>4.236659064451688E-2</v>
      </c>
      <c r="P109" s="20">
        <f t="shared" si="15"/>
        <v>3.6717711891914633E-2</v>
      </c>
      <c r="Q109" s="20">
        <f t="shared" si="15"/>
        <v>4.5191030020818E-2</v>
      </c>
      <c r="S109" t="s">
        <v>159</v>
      </c>
      <c r="T109" s="20">
        <f t="shared" si="16"/>
        <v>4.4813215123752859E-2</v>
      </c>
      <c r="U109" s="20">
        <f t="shared" si="16"/>
        <v>2.965580412601292E-2</v>
      </c>
      <c r="V109" s="20">
        <f t="shared" si="16"/>
        <v>2.5701696909211199E-2</v>
      </c>
      <c r="W109" s="20">
        <f t="shared" si="16"/>
        <v>3.163285773441378E-2</v>
      </c>
    </row>
  </sheetData>
  <mergeCells count="1">
    <mergeCell ref="T54:U5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"/>
  <sheetViews>
    <sheetView topLeftCell="B13" workbookViewId="0">
      <selection activeCell="E27" sqref="E27:E30"/>
    </sheetView>
  </sheetViews>
  <sheetFormatPr defaultRowHeight="14.5" x14ac:dyDescent="0.35"/>
  <cols>
    <col min="1" max="1" width="14.26953125" customWidth="1"/>
    <col min="2" max="2" width="13.453125" customWidth="1"/>
    <col min="3" max="3" width="13.7265625" customWidth="1"/>
    <col min="4" max="4" width="15.7265625" customWidth="1"/>
    <col min="5" max="5" width="13.54296875" customWidth="1"/>
    <col min="6" max="6" width="12.1796875" customWidth="1"/>
    <col min="7" max="8" width="16" customWidth="1"/>
    <col min="9" max="9" width="18.81640625" customWidth="1"/>
    <col min="14" max="14" width="17.26953125" customWidth="1"/>
  </cols>
  <sheetData>
    <row r="1" spans="1:10" ht="21" x14ac:dyDescent="0.5">
      <c r="A1" s="21" t="s">
        <v>762</v>
      </c>
    </row>
    <row r="2" spans="1:10" x14ac:dyDescent="0.35">
      <c r="A2" t="s">
        <v>763</v>
      </c>
    </row>
    <row r="3" spans="1:10" x14ac:dyDescent="0.35">
      <c r="A3" t="s">
        <v>764</v>
      </c>
    </row>
    <row r="5" spans="1:10" ht="21" x14ac:dyDescent="0.5">
      <c r="A5" s="21" t="s">
        <v>289</v>
      </c>
    </row>
    <row r="7" spans="1:10" x14ac:dyDescent="0.35">
      <c r="A7" t="s">
        <v>292</v>
      </c>
      <c r="B7" t="s">
        <v>291</v>
      </c>
      <c r="D7" t="s">
        <v>129</v>
      </c>
      <c r="I7" t="s">
        <v>186</v>
      </c>
      <c r="J7" t="s">
        <v>187</v>
      </c>
    </row>
    <row r="8" spans="1:10" x14ac:dyDescent="0.35">
      <c r="A8" t="s">
        <v>290</v>
      </c>
      <c r="B8">
        <v>0.21485886872369919</v>
      </c>
      <c r="C8" t="s">
        <v>304</v>
      </c>
      <c r="D8" s="8" t="s">
        <v>305</v>
      </c>
      <c r="I8" s="8" t="s">
        <v>306</v>
      </c>
      <c r="J8">
        <v>2018</v>
      </c>
    </row>
    <row r="9" spans="1:10" x14ac:dyDescent="0.35">
      <c r="D9" t="s">
        <v>758</v>
      </c>
    </row>
    <row r="11" spans="1:10" ht="21" x14ac:dyDescent="0.5">
      <c r="A11" s="21" t="s">
        <v>295</v>
      </c>
    </row>
    <row r="13" spans="1:10" x14ac:dyDescent="0.35">
      <c r="A13" t="s">
        <v>292</v>
      </c>
      <c r="B13" t="s">
        <v>291</v>
      </c>
      <c r="D13" t="s">
        <v>129</v>
      </c>
      <c r="I13" t="s">
        <v>186</v>
      </c>
      <c r="J13" t="s">
        <v>187</v>
      </c>
    </row>
    <row r="14" spans="1:10" x14ac:dyDescent="0.35">
      <c r="A14" t="s">
        <v>296</v>
      </c>
      <c r="B14">
        <f>3.4/100</f>
        <v>3.4000000000000002E-2</v>
      </c>
      <c r="C14" t="s">
        <v>37</v>
      </c>
      <c r="D14" s="8" t="s">
        <v>293</v>
      </c>
      <c r="I14" s="8" t="s">
        <v>294</v>
      </c>
      <c r="J14">
        <v>1990</v>
      </c>
    </row>
    <row r="18" spans="1:10" ht="21" x14ac:dyDescent="0.5">
      <c r="A18" s="21" t="s">
        <v>652</v>
      </c>
    </row>
    <row r="20" spans="1:10" x14ac:dyDescent="0.35">
      <c r="A20" t="s">
        <v>292</v>
      </c>
      <c r="B20" t="s">
        <v>291</v>
      </c>
      <c r="D20" t="s">
        <v>129</v>
      </c>
      <c r="I20" t="s">
        <v>186</v>
      </c>
      <c r="J20" t="s">
        <v>187</v>
      </c>
    </row>
    <row r="21" spans="1:10" x14ac:dyDescent="0.35">
      <c r="A21" t="s">
        <v>652</v>
      </c>
      <c r="B21">
        <v>3.4000000000000002E-2</v>
      </c>
      <c r="C21" t="s">
        <v>37</v>
      </c>
      <c r="D21" t="s">
        <v>653</v>
      </c>
      <c r="I21" t="s">
        <v>654</v>
      </c>
      <c r="J21">
        <v>2002</v>
      </c>
    </row>
    <row r="25" spans="1:10" x14ac:dyDescent="0.35">
      <c r="B25" s="298" t="s">
        <v>583</v>
      </c>
      <c r="C25" s="298"/>
      <c r="D25" s="298" t="s">
        <v>584</v>
      </c>
      <c r="E25" s="298"/>
    </row>
    <row r="26" spans="1:10" ht="29" x14ac:dyDescent="0.35">
      <c r="A26" s="241" t="s">
        <v>10</v>
      </c>
      <c r="B26" s="259" t="s">
        <v>765</v>
      </c>
      <c r="C26" s="259" t="s">
        <v>581</v>
      </c>
      <c r="D26" s="259" t="s">
        <v>765</v>
      </c>
      <c r="E26" s="259" t="s">
        <v>581</v>
      </c>
    </row>
    <row r="27" spans="1:10" x14ac:dyDescent="0.35">
      <c r="A27" t="s">
        <v>760</v>
      </c>
      <c r="B27" s="3">
        <f>B31-SUM(B28:B30)</f>
        <v>3.3686674645755338E-2</v>
      </c>
      <c r="C27" s="14">
        <f>B27/$B$31</f>
        <v>0.18541081623864891</v>
      </c>
      <c r="D27" s="3">
        <f>D31-SUM(D28:D30)</f>
        <v>5.9905632642511059E-2</v>
      </c>
      <c r="E27" s="14">
        <f>D27/$D$31</f>
        <v>0.28539316400592235</v>
      </c>
    </row>
    <row r="28" spans="1:10" x14ac:dyDescent="0.35">
      <c r="A28" t="s">
        <v>652</v>
      </c>
      <c r="B28" s="3">
        <f>B21</f>
        <v>3.4000000000000002E-2</v>
      </c>
      <c r="C28" s="14">
        <f t="shared" ref="C28:C30" si="0">B28/$B$31</f>
        <v>0.18713535302625631</v>
      </c>
      <c r="D28" s="3">
        <f>B21</f>
        <v>3.4000000000000002E-2</v>
      </c>
      <c r="E28" s="14">
        <f>D28/$D$31</f>
        <v>0.16197754949199092</v>
      </c>
    </row>
    <row r="29" spans="1:10" x14ac:dyDescent="0.35">
      <c r="A29" t="s">
        <v>759</v>
      </c>
      <c r="B29" s="3">
        <f>B14</f>
        <v>3.4000000000000002E-2</v>
      </c>
      <c r="C29" s="14">
        <f t="shared" si="0"/>
        <v>0.18713535302625631</v>
      </c>
      <c r="D29" s="3">
        <f>B14</f>
        <v>3.4000000000000002E-2</v>
      </c>
      <c r="E29" s="14">
        <f>D29/$D$31</f>
        <v>0.16197754949199092</v>
      </c>
    </row>
    <row r="30" spans="1:10" x14ac:dyDescent="0.35">
      <c r="A30" t="s">
        <v>290</v>
      </c>
      <c r="B30" s="3">
        <v>0.08</v>
      </c>
      <c r="C30" s="14">
        <f t="shared" si="0"/>
        <v>0.44031847770883836</v>
      </c>
      <c r="D30" s="3">
        <v>8.2000000000000003E-2</v>
      </c>
      <c r="E30" s="14">
        <f>D30/$D$31</f>
        <v>0.3906517370100957</v>
      </c>
    </row>
    <row r="31" spans="1:10" x14ac:dyDescent="0.35">
      <c r="A31" t="s">
        <v>761</v>
      </c>
      <c r="B31" s="3">
        <f>'General composition'!B37</f>
        <v>0.18168667464575536</v>
      </c>
      <c r="D31" s="3">
        <f>'General composition'!J37</f>
        <v>0.20990563264251108</v>
      </c>
    </row>
  </sheetData>
  <mergeCells count="2">
    <mergeCell ref="B25:C25"/>
    <mergeCell ref="D25:E25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04"/>
  <sheetViews>
    <sheetView topLeftCell="C19" zoomScaleNormal="100" workbookViewId="0">
      <selection activeCell="J35" sqref="J35"/>
    </sheetView>
  </sheetViews>
  <sheetFormatPr defaultRowHeight="14.5" x14ac:dyDescent="0.35"/>
  <cols>
    <col min="1" max="1" width="13.453125" customWidth="1"/>
    <col min="2" max="2" width="28.26953125" customWidth="1"/>
    <col min="3" max="3" width="13.81640625" customWidth="1"/>
    <col min="4" max="4" width="7.26953125" bestFit="1" customWidth="1"/>
    <col min="9" max="9" width="16.453125" customWidth="1"/>
    <col min="13" max="13" width="13.54296875" customWidth="1"/>
  </cols>
  <sheetData>
    <row r="1" spans="1:26" ht="21" x14ac:dyDescent="0.5">
      <c r="A1" s="21" t="s">
        <v>333</v>
      </c>
      <c r="B1" s="21"/>
      <c r="C1" s="21"/>
      <c r="I1" s="21" t="s">
        <v>334</v>
      </c>
    </row>
    <row r="2" spans="1:26" x14ac:dyDescent="0.35">
      <c r="A2" t="s">
        <v>557</v>
      </c>
      <c r="I2" s="301" t="s">
        <v>340</v>
      </c>
      <c r="J2" s="301"/>
      <c r="K2" s="301"/>
      <c r="L2" s="301"/>
      <c r="M2" s="301"/>
      <c r="N2" s="301"/>
    </row>
    <row r="3" spans="1:26" x14ac:dyDescent="0.35">
      <c r="I3" s="301"/>
      <c r="J3" s="301"/>
      <c r="K3" s="301"/>
      <c r="L3" s="301"/>
      <c r="M3" s="301"/>
      <c r="N3" s="301"/>
    </row>
    <row r="5" spans="1:26" x14ac:dyDescent="0.35">
      <c r="A5" t="s">
        <v>129</v>
      </c>
      <c r="E5" s="26"/>
      <c r="F5" s="26"/>
      <c r="G5" s="26"/>
      <c r="I5" t="s">
        <v>0</v>
      </c>
      <c r="Q5" t="s">
        <v>148</v>
      </c>
    </row>
    <row r="6" spans="1:26" x14ac:dyDescent="0.35">
      <c r="A6" t="s">
        <v>98</v>
      </c>
      <c r="B6" t="s">
        <v>555</v>
      </c>
      <c r="C6" s="7" t="s">
        <v>40</v>
      </c>
      <c r="E6" s="14"/>
      <c r="F6" s="14"/>
      <c r="G6" s="14"/>
      <c r="J6" s="24" t="s">
        <v>6</v>
      </c>
      <c r="K6" s="24" t="s">
        <v>6</v>
      </c>
      <c r="L6" s="24" t="s">
        <v>7</v>
      </c>
      <c r="M6" s="24" t="s">
        <v>7</v>
      </c>
      <c r="N6" s="24" t="s">
        <v>6</v>
      </c>
      <c r="O6" s="231" t="s">
        <v>7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7</v>
      </c>
      <c r="W6" t="s">
        <v>7</v>
      </c>
      <c r="X6" t="s">
        <v>7</v>
      </c>
      <c r="Y6" t="s">
        <v>6</v>
      </c>
      <c r="Z6" t="s">
        <v>6</v>
      </c>
    </row>
    <row r="7" spans="1:26" x14ac:dyDescent="0.35">
      <c r="A7" t="s">
        <v>553</v>
      </c>
      <c r="B7" t="s">
        <v>554</v>
      </c>
      <c r="C7" s="7" t="s">
        <v>556</v>
      </c>
      <c r="D7" s="14"/>
      <c r="E7" s="14"/>
      <c r="F7" s="14"/>
      <c r="G7" s="14"/>
      <c r="I7" t="s">
        <v>331</v>
      </c>
      <c r="J7">
        <v>6.5855575191548464E-3</v>
      </c>
      <c r="K7">
        <v>5.8363704160407518E-3</v>
      </c>
      <c r="L7">
        <v>7.6689626117417307E-3</v>
      </c>
      <c r="M7">
        <v>7.0653692878040941E-3</v>
      </c>
      <c r="N7">
        <v>9.42734335833058E-3</v>
      </c>
      <c r="O7">
        <v>7.3167206386144006E-3</v>
      </c>
      <c r="Q7">
        <v>3.117414101549359E-3</v>
      </c>
      <c r="R7">
        <v>1.5031069889045875E-3</v>
      </c>
      <c r="S7">
        <v>2.1209067644160657E-3</v>
      </c>
      <c r="T7">
        <v>2.2930651741622128E-3</v>
      </c>
      <c r="U7">
        <v>2.9694882093348083E-3</v>
      </c>
      <c r="V7">
        <v>3.1545852989990041E-3</v>
      </c>
      <c r="W7">
        <v>3.12335328064346E-3</v>
      </c>
      <c r="X7">
        <v>1.8253748246649768E-3</v>
      </c>
      <c r="Y7">
        <v>3.7160852596972898E-3</v>
      </c>
      <c r="Z7">
        <v>3.9791246382248945E-3</v>
      </c>
    </row>
    <row r="8" spans="1:26" x14ac:dyDescent="0.35">
      <c r="D8" s="14"/>
      <c r="E8" s="14"/>
      <c r="F8" s="14"/>
      <c r="G8" s="14"/>
    </row>
    <row r="9" spans="1:26" x14ac:dyDescent="0.35">
      <c r="D9" s="14"/>
      <c r="E9" s="14"/>
      <c r="F9" s="14"/>
      <c r="G9" s="14"/>
    </row>
    <row r="10" spans="1:26" x14ac:dyDescent="0.35">
      <c r="A10" t="s">
        <v>578</v>
      </c>
      <c r="B10" t="s">
        <v>579</v>
      </c>
      <c r="C10" s="238" t="s">
        <v>581</v>
      </c>
      <c r="D10" s="14"/>
      <c r="E10" s="14"/>
      <c r="F10" s="14"/>
      <c r="G10" s="14"/>
      <c r="I10" t="s">
        <v>331</v>
      </c>
      <c r="J10" t="s">
        <v>13</v>
      </c>
      <c r="K10" t="s">
        <v>14</v>
      </c>
      <c r="M10" t="s">
        <v>338</v>
      </c>
    </row>
    <row r="11" spans="1:26" x14ac:dyDescent="0.35">
      <c r="A11" t="s">
        <v>558</v>
      </c>
      <c r="B11" s="2">
        <v>8.6350521789102838E-2</v>
      </c>
      <c r="C11" s="2">
        <f>B11/$B$31</f>
        <v>8.6980299962872779E-2</v>
      </c>
      <c r="D11" s="14"/>
      <c r="E11" s="14"/>
      <c r="F11" s="14"/>
      <c r="G11" s="14"/>
      <c r="I11">
        <v>6.5855575191548464E-3</v>
      </c>
      <c r="J11" t="s">
        <v>6</v>
      </c>
      <c r="K11" t="s">
        <v>15</v>
      </c>
    </row>
    <row r="12" spans="1:26" x14ac:dyDescent="0.35">
      <c r="A12" t="s">
        <v>559</v>
      </c>
      <c r="B12" s="2">
        <v>6.3236192045920459E-2</v>
      </c>
      <c r="C12" s="2">
        <f t="shared" ref="C12:C30" si="0">B12/$B$31</f>
        <v>6.369739103716815E-2</v>
      </c>
      <c r="D12" s="14"/>
      <c r="E12" s="14"/>
      <c r="F12" s="14"/>
      <c r="G12" s="14"/>
      <c r="I12">
        <v>5.8363704160407518E-3</v>
      </c>
      <c r="J12" t="s">
        <v>6</v>
      </c>
      <c r="K12" t="s">
        <v>15</v>
      </c>
    </row>
    <row r="13" spans="1:26" x14ac:dyDescent="0.35">
      <c r="A13" t="s">
        <v>560</v>
      </c>
      <c r="B13" s="2">
        <v>4.0657741164414014E-2</v>
      </c>
      <c r="C13" s="2">
        <f t="shared" si="0"/>
        <v>4.0954269285490952E-2</v>
      </c>
      <c r="D13" s="14"/>
      <c r="E13" s="14"/>
      <c r="F13" s="14"/>
      <c r="G13" s="14"/>
      <c r="I13">
        <v>7.6689626117417307E-3</v>
      </c>
      <c r="J13" t="s">
        <v>7</v>
      </c>
      <c r="K13" t="s">
        <v>15</v>
      </c>
    </row>
    <row r="14" spans="1:26" x14ac:dyDescent="0.35">
      <c r="A14" t="s">
        <v>561</v>
      </c>
      <c r="B14" s="2">
        <v>4.6429345025840507E-2</v>
      </c>
      <c r="C14" s="2">
        <f t="shared" si="0"/>
        <v>4.676796704588021E-2</v>
      </c>
      <c r="D14" s="14"/>
      <c r="E14" s="14"/>
      <c r="F14" s="14"/>
      <c r="G14" s="14"/>
      <c r="I14">
        <v>7.0653692878040941E-3</v>
      </c>
      <c r="J14" t="s">
        <v>7</v>
      </c>
      <c r="K14" t="s">
        <v>15</v>
      </c>
    </row>
    <row r="15" spans="1:26" x14ac:dyDescent="0.35">
      <c r="A15" t="s">
        <v>562</v>
      </c>
      <c r="B15" s="2">
        <v>8.8445285308243644E-3</v>
      </c>
      <c r="C15" s="2">
        <f t="shared" si="0"/>
        <v>8.9090341170164518E-3</v>
      </c>
      <c r="D15" s="14"/>
      <c r="E15" s="14"/>
      <c r="F15" s="14"/>
      <c r="G15" s="14"/>
      <c r="I15">
        <v>9.42734335833058E-3</v>
      </c>
      <c r="J15" t="s">
        <v>6</v>
      </c>
      <c r="K15" t="s">
        <v>15</v>
      </c>
    </row>
    <row r="16" spans="1:26" x14ac:dyDescent="0.35">
      <c r="A16" t="s">
        <v>563</v>
      </c>
      <c r="B16" s="2">
        <v>7.1003461969649517E-2</v>
      </c>
      <c r="C16" s="2">
        <f t="shared" si="0"/>
        <v>7.1521309802923788E-2</v>
      </c>
      <c r="D16" s="14"/>
      <c r="E16" s="14"/>
      <c r="F16" s="14"/>
      <c r="G16" s="14"/>
      <c r="I16">
        <v>3.117414101549359E-3</v>
      </c>
      <c r="J16" t="s">
        <v>6</v>
      </c>
      <c r="K16" t="s">
        <v>16</v>
      </c>
    </row>
    <row r="17" spans="1:11" x14ac:dyDescent="0.35">
      <c r="A17" t="s">
        <v>564</v>
      </c>
      <c r="B17" s="2">
        <v>5.1825463266321585E-2</v>
      </c>
      <c r="C17" s="2">
        <f t="shared" si="0"/>
        <v>5.2203440665119012E-2</v>
      </c>
      <c r="D17" s="14"/>
      <c r="E17" s="14"/>
      <c r="F17" s="14"/>
      <c r="G17" s="14"/>
      <c r="I17">
        <v>1.5031069889045875E-3</v>
      </c>
      <c r="J17" t="s">
        <v>6</v>
      </c>
      <c r="K17" t="s">
        <v>16</v>
      </c>
    </row>
    <row r="18" spans="1:11" x14ac:dyDescent="0.35">
      <c r="A18" t="s">
        <v>565</v>
      </c>
      <c r="B18" s="2">
        <v>6.7636212420646005E-2</v>
      </c>
      <c r="C18" s="2">
        <f t="shared" si="0"/>
        <v>6.8129501974159346E-2</v>
      </c>
      <c r="D18" s="14"/>
      <c r="E18" s="14"/>
      <c r="F18" s="14"/>
      <c r="G18" s="14"/>
      <c r="I18">
        <v>2.1209067644160657E-3</v>
      </c>
      <c r="J18" t="s">
        <v>6</v>
      </c>
      <c r="K18" t="s">
        <v>16</v>
      </c>
    </row>
    <row r="19" spans="1:11" x14ac:dyDescent="0.35">
      <c r="A19" t="s">
        <v>566</v>
      </c>
      <c r="B19" s="2">
        <v>1.656756182298472E-2</v>
      </c>
      <c r="C19" s="2">
        <f t="shared" si="0"/>
        <v>1.6688393621247424E-2</v>
      </c>
      <c r="D19" s="14"/>
      <c r="E19" s="14"/>
      <c r="F19" s="14"/>
      <c r="G19" s="14"/>
      <c r="I19">
        <v>2.2930651741622128E-3</v>
      </c>
      <c r="J19" t="s">
        <v>6</v>
      </c>
      <c r="K19" t="s">
        <v>16</v>
      </c>
    </row>
    <row r="20" spans="1:11" x14ac:dyDescent="0.35">
      <c r="A20" t="s">
        <v>567</v>
      </c>
      <c r="B20" s="2">
        <v>6.0917150265419898E-2</v>
      </c>
      <c r="C20" s="2">
        <f t="shared" si="0"/>
        <v>6.1361435845293105E-2</v>
      </c>
      <c r="D20" s="14"/>
      <c r="E20" s="14"/>
      <c r="F20" s="14"/>
      <c r="G20" s="14"/>
      <c r="I20">
        <v>2.9694882093348083E-3</v>
      </c>
      <c r="J20" t="s">
        <v>6</v>
      </c>
      <c r="K20" t="s">
        <v>16</v>
      </c>
    </row>
    <row r="21" spans="1:11" x14ac:dyDescent="0.35">
      <c r="A21" t="s">
        <v>568</v>
      </c>
      <c r="B21" s="2">
        <v>9.6163774944641636E-2</v>
      </c>
      <c r="C21" s="2">
        <f t="shared" si="0"/>
        <v>9.6865123880498366E-2</v>
      </c>
      <c r="D21" s="14"/>
      <c r="E21" s="14"/>
      <c r="F21" s="14"/>
      <c r="G21" s="14"/>
      <c r="I21">
        <v>3.1545852989990041E-3</v>
      </c>
      <c r="J21" t="s">
        <v>7</v>
      </c>
      <c r="K21" t="s">
        <v>16</v>
      </c>
    </row>
    <row r="22" spans="1:11" x14ac:dyDescent="0.35">
      <c r="A22" t="s">
        <v>569</v>
      </c>
      <c r="B22" s="2">
        <v>5.318274210448791E-2</v>
      </c>
      <c r="C22" s="2">
        <f t="shared" si="0"/>
        <v>5.3570618512234984E-2</v>
      </c>
      <c r="D22" s="14"/>
      <c r="E22" s="14"/>
      <c r="F22" s="14"/>
      <c r="G22" s="14"/>
      <c r="I22">
        <v>3.12335328064346E-3</v>
      </c>
      <c r="J22" t="s">
        <v>7</v>
      </c>
      <c r="K22" t="s">
        <v>16</v>
      </c>
    </row>
    <row r="23" spans="1:11" x14ac:dyDescent="0.35">
      <c r="A23" t="s">
        <v>570</v>
      </c>
      <c r="B23" s="2">
        <v>2.4657428742380506E-2</v>
      </c>
      <c r="C23" s="2">
        <f t="shared" si="0"/>
        <v>2.4837262171542234E-2</v>
      </c>
      <c r="D23" s="14"/>
      <c r="E23" s="14"/>
      <c r="F23" s="14"/>
      <c r="G23" s="14"/>
      <c r="I23">
        <v>1.8253748246649768E-3</v>
      </c>
      <c r="J23" t="s">
        <v>7</v>
      </c>
      <c r="K23" t="s">
        <v>16</v>
      </c>
    </row>
    <row r="24" spans="1:11" x14ac:dyDescent="0.35">
      <c r="A24" t="s">
        <v>571</v>
      </c>
      <c r="B24" s="2">
        <v>3.4667063156937579E-2</v>
      </c>
      <c r="C24" s="2">
        <f t="shared" si="0"/>
        <v>3.4919899610876631E-2</v>
      </c>
      <c r="D24" s="14"/>
      <c r="E24" s="14"/>
      <c r="F24" s="14"/>
      <c r="G24" s="14"/>
      <c r="I24">
        <v>3.7160852596972898E-3</v>
      </c>
      <c r="J24" t="s">
        <v>6</v>
      </c>
      <c r="K24" t="s">
        <v>16</v>
      </c>
    </row>
    <row r="25" spans="1:11" x14ac:dyDescent="0.35">
      <c r="A25" t="s">
        <v>572</v>
      </c>
      <c r="B25" s="2">
        <v>4.0663026937401335E-2</v>
      </c>
      <c r="C25" s="2">
        <f t="shared" si="0"/>
        <v>4.0959593609078665E-2</v>
      </c>
      <c r="D25" s="14"/>
      <c r="E25" s="14"/>
      <c r="F25" s="14"/>
      <c r="G25" s="14"/>
      <c r="I25">
        <v>3.9791246382248945E-3</v>
      </c>
      <c r="J25" t="s">
        <v>6</v>
      </c>
      <c r="K25" t="s">
        <v>16</v>
      </c>
    </row>
    <row r="26" spans="1:11" x14ac:dyDescent="0.35">
      <c r="A26" t="s">
        <v>573</v>
      </c>
      <c r="B26" s="2">
        <v>6.2382375093614828E-2</v>
      </c>
      <c r="C26" s="2">
        <f t="shared" si="0"/>
        <v>6.2837346962318075E-2</v>
      </c>
      <c r="D26" s="14"/>
      <c r="E26" s="14"/>
      <c r="F26" s="14"/>
      <c r="G26" s="14"/>
    </row>
    <row r="27" spans="1:11" x14ac:dyDescent="0.35">
      <c r="A27" t="s">
        <v>574</v>
      </c>
      <c r="B27" s="2">
        <v>5.6283549854902581E-2</v>
      </c>
      <c r="C27" s="2">
        <f t="shared" si="0"/>
        <v>5.6694041308879915E-2</v>
      </c>
      <c r="D27" s="14"/>
      <c r="E27" s="14"/>
      <c r="F27" s="14"/>
      <c r="G27" s="14"/>
    </row>
    <row r="28" spans="1:11" x14ac:dyDescent="0.35">
      <c r="A28" t="s">
        <v>575</v>
      </c>
      <c r="B28" s="2">
        <v>1.1996224403855227E-2</v>
      </c>
      <c r="C28" s="2">
        <f t="shared" si="0"/>
        <v>1.2083716177392463E-2</v>
      </c>
      <c r="D28" s="14"/>
      <c r="E28" s="14"/>
      <c r="F28" s="14"/>
      <c r="G28" s="14"/>
    </row>
    <row r="29" spans="1:11" x14ac:dyDescent="0.35">
      <c r="A29" t="s">
        <v>576</v>
      </c>
      <c r="B29" s="2">
        <v>3.0132338443521919E-2</v>
      </c>
      <c r="C29" s="2">
        <f t="shared" si="0"/>
        <v>3.0352101899297285E-2</v>
      </c>
      <c r="D29" s="14"/>
      <c r="E29" s="14"/>
      <c r="F29" s="14"/>
      <c r="G29" s="14"/>
      <c r="I29" t="s">
        <v>15</v>
      </c>
    </row>
    <row r="30" spans="1:11" x14ac:dyDescent="0.35">
      <c r="A30" t="s">
        <v>577</v>
      </c>
      <c r="B30" s="2">
        <v>6.9162828921960753E-2</v>
      </c>
      <c r="C30" s="2">
        <f t="shared" si="0"/>
        <v>6.966725251071007E-2</v>
      </c>
      <c r="D30" s="14"/>
      <c r="E30" s="14"/>
      <c r="F30" s="14"/>
      <c r="G30" s="14"/>
      <c r="I30" t="s">
        <v>331</v>
      </c>
      <c r="J30">
        <f>AVERAGE(I11:I15)</f>
        <v>7.3167206386144006E-3</v>
      </c>
      <c r="K30" t="s">
        <v>37</v>
      </c>
    </row>
    <row r="31" spans="1:11" x14ac:dyDescent="0.35">
      <c r="B31" s="2">
        <f>SUM(B11:B30)</f>
        <v>0.99275953090482827</v>
      </c>
      <c r="C31" s="2">
        <f>SUM(C11:C30)</f>
        <v>0.99999999999999978</v>
      </c>
      <c r="D31" s="14"/>
      <c r="E31" s="14"/>
      <c r="F31" s="14"/>
      <c r="G31" s="14"/>
      <c r="I31" t="s">
        <v>339</v>
      </c>
      <c r="J31">
        <f>1-J30</f>
        <v>0.99268327936138556</v>
      </c>
      <c r="K31" t="s">
        <v>37</v>
      </c>
    </row>
    <row r="32" spans="1:11" x14ac:dyDescent="0.35">
      <c r="D32" s="14"/>
      <c r="E32" s="14"/>
      <c r="F32" s="14"/>
      <c r="G32" s="14"/>
    </row>
    <row r="33" spans="1:11" x14ac:dyDescent="0.35">
      <c r="A33" t="s">
        <v>578</v>
      </c>
      <c r="B33" t="s">
        <v>580</v>
      </c>
      <c r="C33" s="238" t="s">
        <v>581</v>
      </c>
      <c r="D33" s="14"/>
      <c r="E33" s="14"/>
      <c r="F33" s="14"/>
      <c r="G33" s="14"/>
    </row>
    <row r="34" spans="1:11" x14ac:dyDescent="0.35">
      <c r="A34" t="s">
        <v>558</v>
      </c>
      <c r="B34" s="2">
        <v>8.6131565889294812E-2</v>
      </c>
      <c r="C34" s="2">
        <f>B34/$B$54</f>
        <v>8.6914994384415981E-2</v>
      </c>
      <c r="D34" s="14"/>
      <c r="E34" s="14"/>
      <c r="F34" s="14"/>
      <c r="G34" s="14"/>
      <c r="I34" t="s">
        <v>16</v>
      </c>
    </row>
    <row r="35" spans="1:11" x14ac:dyDescent="0.35">
      <c r="A35" t="s">
        <v>559</v>
      </c>
      <c r="B35" s="2">
        <v>6.3311958898297549E-2</v>
      </c>
      <c r="C35" s="2">
        <f t="shared" ref="C35:C53" si="1">B35/$B$54</f>
        <v>6.3887826667224659E-2</v>
      </c>
      <c r="D35" s="14"/>
      <c r="E35" s="14"/>
      <c r="F35" s="14"/>
      <c r="G35" s="14"/>
      <c r="I35" t="s">
        <v>331</v>
      </c>
      <c r="J35">
        <f>AVERAGE(I16:I25)</f>
        <v>2.7802504540596655E-3</v>
      </c>
      <c r="K35" t="s">
        <v>37</v>
      </c>
    </row>
    <row r="36" spans="1:11" x14ac:dyDescent="0.35">
      <c r="A36" t="s">
        <v>560</v>
      </c>
      <c r="B36" s="2">
        <v>4.01876580331142E-2</v>
      </c>
      <c r="C36" s="2">
        <f t="shared" si="1"/>
        <v>4.0553193666075918E-2</v>
      </c>
      <c r="D36" s="14"/>
      <c r="E36" s="14"/>
      <c r="F36" s="14"/>
      <c r="G36" s="14"/>
      <c r="I36" t="s">
        <v>339</v>
      </c>
      <c r="J36">
        <f>1-J35</f>
        <v>0.99721974954594028</v>
      </c>
      <c r="K36" t="s">
        <v>37</v>
      </c>
    </row>
    <row r="37" spans="1:11" x14ac:dyDescent="0.35">
      <c r="A37" t="s">
        <v>561</v>
      </c>
      <c r="B37" s="2">
        <v>4.7894402678931268E-2</v>
      </c>
      <c r="C37" s="2">
        <f t="shared" si="1"/>
        <v>4.8330036693337901E-2</v>
      </c>
      <c r="D37" s="14"/>
      <c r="E37" s="14"/>
      <c r="F37" s="14"/>
      <c r="G37" s="14"/>
    </row>
    <row r="38" spans="1:11" x14ac:dyDescent="0.35">
      <c r="A38" t="s">
        <v>562</v>
      </c>
      <c r="B38" s="2">
        <v>9.334068577012437E-3</v>
      </c>
      <c r="C38" s="2">
        <f t="shared" si="1"/>
        <v>9.4189686391806509E-3</v>
      </c>
      <c r="D38" s="14"/>
      <c r="E38" s="14"/>
      <c r="F38" s="14"/>
      <c r="G38" s="14"/>
    </row>
    <row r="39" spans="1:11" x14ac:dyDescent="0.35">
      <c r="A39" t="s">
        <v>563</v>
      </c>
      <c r="B39" s="2">
        <v>7.2737500466044797E-2</v>
      </c>
      <c r="C39" s="2">
        <f t="shared" si="1"/>
        <v>7.3399100309733137E-2</v>
      </c>
      <c r="D39" s="14"/>
      <c r="E39" s="14"/>
      <c r="F39" s="14"/>
      <c r="G39" s="14"/>
    </row>
    <row r="40" spans="1:11" x14ac:dyDescent="0.35">
      <c r="A40" t="s">
        <v>564</v>
      </c>
      <c r="B40" s="2">
        <v>4.8928185919690503E-2</v>
      </c>
      <c r="C40" s="2">
        <f t="shared" si="1"/>
        <v>4.9373222935659072E-2</v>
      </c>
      <c r="D40" s="14"/>
      <c r="E40" s="14"/>
      <c r="F40" s="14"/>
      <c r="G40" s="14"/>
    </row>
    <row r="41" spans="1:11" x14ac:dyDescent="0.35">
      <c r="A41" t="s">
        <v>565</v>
      </c>
      <c r="B41" s="2">
        <v>7.066673064909143E-2</v>
      </c>
      <c r="C41" s="2">
        <f t="shared" si="1"/>
        <v>7.1309495353017852E-2</v>
      </c>
      <c r="D41" s="14"/>
      <c r="E41" s="14"/>
      <c r="F41" s="14"/>
      <c r="G41" s="14"/>
    </row>
    <row r="42" spans="1:11" x14ac:dyDescent="0.35">
      <c r="A42" t="s">
        <v>566</v>
      </c>
      <c r="B42" s="2">
        <v>1.6721080527586769E-2</v>
      </c>
      <c r="C42" s="2">
        <f t="shared" si="1"/>
        <v>1.6873170772542544E-2</v>
      </c>
      <c r="D42" s="14"/>
      <c r="E42" s="14"/>
      <c r="F42" s="14"/>
      <c r="G42" s="14"/>
    </row>
    <row r="43" spans="1:11" x14ac:dyDescent="0.35">
      <c r="A43" t="s">
        <v>567</v>
      </c>
      <c r="B43" s="2">
        <v>6.1372355576905326E-2</v>
      </c>
      <c r="C43" s="2">
        <f t="shared" si="1"/>
        <v>6.1930581259617923E-2</v>
      </c>
      <c r="D43" s="14"/>
      <c r="E43" s="14"/>
      <c r="F43" s="14"/>
      <c r="G43" s="14"/>
    </row>
    <row r="44" spans="1:11" x14ac:dyDescent="0.35">
      <c r="A44" t="s">
        <v>568</v>
      </c>
      <c r="B44" s="2">
        <v>9.4638630590431594E-2</v>
      </c>
      <c r="C44" s="2">
        <f t="shared" si="1"/>
        <v>9.5499436953096428E-2</v>
      </c>
      <c r="D44" s="14"/>
      <c r="E44" s="14"/>
      <c r="F44" s="14"/>
      <c r="G44" s="14"/>
    </row>
    <row r="45" spans="1:11" x14ac:dyDescent="0.35">
      <c r="A45" t="s">
        <v>569</v>
      </c>
      <c r="B45" s="2">
        <v>5.6845808879317415E-2</v>
      </c>
      <c r="C45" s="2">
        <f t="shared" si="1"/>
        <v>5.7362862366554718E-2</v>
      </c>
      <c r="D45" s="14"/>
      <c r="E45" s="14"/>
      <c r="F45" s="14"/>
      <c r="G45" s="14"/>
    </row>
    <row r="46" spans="1:11" x14ac:dyDescent="0.35">
      <c r="A46" t="s">
        <v>570</v>
      </c>
      <c r="B46" s="2">
        <v>2.3464516066241406E-2</v>
      </c>
      <c r="C46" s="2">
        <f t="shared" si="1"/>
        <v>2.3677942703975469E-2</v>
      </c>
      <c r="D46" s="14"/>
      <c r="E46" s="14"/>
      <c r="F46" s="14"/>
      <c r="G46" s="14"/>
    </row>
    <row r="47" spans="1:11" x14ac:dyDescent="0.35">
      <c r="A47" t="s">
        <v>571</v>
      </c>
      <c r="B47" s="2">
        <v>3.2860994520638967E-2</v>
      </c>
      <c r="C47" s="2">
        <f t="shared" si="1"/>
        <v>3.3159888883230473E-2</v>
      </c>
      <c r="D47" s="14"/>
      <c r="E47" s="14"/>
      <c r="F47" s="14"/>
      <c r="G47" s="14"/>
    </row>
    <row r="48" spans="1:11" x14ac:dyDescent="0.35">
      <c r="A48" t="s">
        <v>572</v>
      </c>
      <c r="B48" s="2">
        <v>4.1634504452921953E-2</v>
      </c>
      <c r="C48" s="2">
        <f t="shared" si="1"/>
        <v>4.2013200193930449E-2</v>
      </c>
      <c r="D48" s="14"/>
      <c r="E48" s="14"/>
      <c r="F48" s="14"/>
      <c r="G48" s="14"/>
    </row>
    <row r="49" spans="1:7" x14ac:dyDescent="0.35">
      <c r="A49" t="s">
        <v>573</v>
      </c>
      <c r="B49" s="2">
        <v>5.6841129414881064E-2</v>
      </c>
      <c r="C49" s="2">
        <f t="shared" si="1"/>
        <v>5.7358140339026156E-2</v>
      </c>
      <c r="D49" s="14"/>
      <c r="E49" s="14"/>
      <c r="F49" s="14"/>
      <c r="G49" s="14"/>
    </row>
    <row r="50" spans="1:7" x14ac:dyDescent="0.35">
      <c r="A50" t="s">
        <v>574</v>
      </c>
      <c r="B50" s="2">
        <v>5.7338108593692635E-2</v>
      </c>
      <c r="C50" s="2">
        <f t="shared" si="1"/>
        <v>5.7859639900651426E-2</v>
      </c>
      <c r="D50" s="14"/>
      <c r="E50" s="14"/>
      <c r="F50" s="14"/>
      <c r="G50" s="14"/>
    </row>
    <row r="51" spans="1:7" x14ac:dyDescent="0.35">
      <c r="A51" t="s">
        <v>575</v>
      </c>
      <c r="B51" s="2">
        <v>1.124703533926202E-2</v>
      </c>
      <c r="C51" s="2">
        <f t="shared" si="1"/>
        <v>1.1349335208995467E-2</v>
      </c>
      <c r="D51" s="14"/>
      <c r="E51" s="14"/>
      <c r="F51" s="14"/>
      <c r="G51" s="14"/>
    </row>
    <row r="52" spans="1:7" x14ac:dyDescent="0.35">
      <c r="A52" t="s">
        <v>576</v>
      </c>
      <c r="B52" s="2">
        <v>2.7548909922754151E-2</v>
      </c>
      <c r="C52" s="2">
        <f t="shared" si="1"/>
        <v>2.7799487058095592E-2</v>
      </c>
      <c r="D52" s="14"/>
      <c r="E52" s="14"/>
      <c r="F52" s="14"/>
      <c r="G52" s="14"/>
    </row>
    <row r="53" spans="1:7" x14ac:dyDescent="0.35">
      <c r="A53" t="s">
        <v>577</v>
      </c>
      <c r="B53" s="2">
        <v>7.1281122670707436E-2</v>
      </c>
      <c r="C53" s="2">
        <f t="shared" si="1"/>
        <v>7.1929475711638283E-2</v>
      </c>
      <c r="D53" s="14"/>
      <c r="E53" s="14"/>
      <c r="F53" s="14"/>
      <c r="G53" s="14"/>
    </row>
    <row r="54" spans="1:7" x14ac:dyDescent="0.35">
      <c r="B54" s="2">
        <f>SUM(B34:B53)</f>
        <v>0.99098626766681763</v>
      </c>
      <c r="C54" s="2">
        <f>SUM(C34:C53)</f>
        <v>1.0000000000000002</v>
      </c>
      <c r="D54" s="14"/>
      <c r="E54" s="14"/>
      <c r="F54" s="14"/>
      <c r="G54" s="14"/>
    </row>
    <row r="55" spans="1:7" x14ac:dyDescent="0.35">
      <c r="D55" s="14"/>
      <c r="E55" s="14"/>
      <c r="F55" s="14"/>
      <c r="G55" s="14"/>
    </row>
    <row r="56" spans="1:7" x14ac:dyDescent="0.35">
      <c r="D56" s="14"/>
      <c r="E56" s="14"/>
      <c r="F56" s="14"/>
      <c r="G56" s="14"/>
    </row>
    <row r="57" spans="1:7" x14ac:dyDescent="0.35">
      <c r="D57" s="14"/>
      <c r="E57" s="14"/>
      <c r="F57" s="14"/>
      <c r="G57" s="14"/>
    </row>
    <row r="58" spans="1:7" x14ac:dyDescent="0.35">
      <c r="D58" s="14"/>
      <c r="E58" s="14"/>
      <c r="F58" s="14"/>
      <c r="G58" s="14"/>
    </row>
    <row r="59" spans="1:7" x14ac:dyDescent="0.35">
      <c r="D59" s="14"/>
      <c r="E59" s="14"/>
      <c r="F59" s="14"/>
      <c r="G59" s="14"/>
    </row>
    <row r="60" spans="1:7" x14ac:dyDescent="0.35">
      <c r="D60" s="14"/>
      <c r="E60" s="14"/>
      <c r="F60" s="14"/>
      <c r="G60" s="14"/>
    </row>
    <row r="61" spans="1:7" x14ac:dyDescent="0.35">
      <c r="D61" s="14"/>
      <c r="E61" s="14"/>
      <c r="F61" s="14"/>
      <c r="G61" s="14"/>
    </row>
    <row r="62" spans="1:7" x14ac:dyDescent="0.35">
      <c r="D62" s="14"/>
      <c r="E62" s="14"/>
      <c r="F62" s="14"/>
      <c r="G62" s="14"/>
    </row>
    <row r="63" spans="1:7" x14ac:dyDescent="0.35">
      <c r="D63" s="14"/>
      <c r="E63" s="14"/>
      <c r="F63" s="14"/>
      <c r="G63" s="14"/>
    </row>
    <row r="64" spans="1:7" x14ac:dyDescent="0.35">
      <c r="D64" s="14"/>
      <c r="E64" s="14"/>
      <c r="F64" s="14"/>
      <c r="G64" s="14"/>
    </row>
    <row r="65" spans="4:7" x14ac:dyDescent="0.35">
      <c r="D65" s="14"/>
      <c r="E65" s="14"/>
      <c r="F65" s="14"/>
      <c r="G65" s="14"/>
    </row>
    <row r="66" spans="4:7" x14ac:dyDescent="0.35">
      <c r="D66" s="14"/>
      <c r="E66" s="14"/>
      <c r="F66" s="14"/>
      <c r="G66" s="14"/>
    </row>
    <row r="67" spans="4:7" x14ac:dyDescent="0.35">
      <c r="D67" s="14"/>
      <c r="E67" s="14"/>
      <c r="F67" s="14"/>
      <c r="G67" s="14"/>
    </row>
    <row r="68" spans="4:7" x14ac:dyDescent="0.35">
      <c r="D68" s="14"/>
      <c r="E68" s="14"/>
      <c r="F68" s="14"/>
      <c r="G68" s="14"/>
    </row>
    <row r="69" spans="4:7" x14ac:dyDescent="0.35">
      <c r="D69" s="14"/>
      <c r="E69" s="14"/>
      <c r="F69" s="14"/>
      <c r="G69" s="14"/>
    </row>
    <row r="70" spans="4:7" x14ac:dyDescent="0.35">
      <c r="D70" s="14"/>
      <c r="E70" s="14"/>
      <c r="F70" s="14"/>
      <c r="G70" s="14"/>
    </row>
    <row r="71" spans="4:7" x14ac:dyDescent="0.35">
      <c r="D71" s="14"/>
      <c r="E71" s="14"/>
      <c r="F71" s="14"/>
      <c r="G71" s="14"/>
    </row>
    <row r="72" spans="4:7" x14ac:dyDescent="0.35">
      <c r="D72" s="14"/>
      <c r="E72" s="14"/>
      <c r="F72" s="14"/>
      <c r="G72" s="14"/>
    </row>
    <row r="73" spans="4:7" x14ac:dyDescent="0.35">
      <c r="D73" s="14"/>
      <c r="E73" s="14"/>
      <c r="F73" s="14"/>
      <c r="G73" s="14"/>
    </row>
    <row r="74" spans="4:7" x14ac:dyDescent="0.35">
      <c r="D74" s="14"/>
      <c r="E74" s="14"/>
      <c r="F74" s="14"/>
      <c r="G74" s="14"/>
    </row>
    <row r="75" spans="4:7" x14ac:dyDescent="0.35">
      <c r="D75" s="14"/>
      <c r="E75" s="14"/>
      <c r="F75" s="14"/>
      <c r="G75" s="14"/>
    </row>
    <row r="76" spans="4:7" x14ac:dyDescent="0.35">
      <c r="D76" s="14"/>
      <c r="E76" s="14"/>
      <c r="F76" s="14"/>
      <c r="G76" s="14"/>
    </row>
    <row r="77" spans="4:7" x14ac:dyDescent="0.35">
      <c r="D77" s="14"/>
      <c r="E77" s="14"/>
      <c r="F77" s="14"/>
      <c r="G77" s="14"/>
    </row>
    <row r="78" spans="4:7" x14ac:dyDescent="0.35">
      <c r="D78" s="14"/>
      <c r="E78" s="14"/>
      <c r="F78" s="14"/>
      <c r="G78" s="14"/>
    </row>
    <row r="79" spans="4:7" x14ac:dyDescent="0.35">
      <c r="D79" s="14"/>
      <c r="E79" s="14"/>
      <c r="F79" s="14"/>
      <c r="G79" s="14"/>
    </row>
    <row r="80" spans="4:7" x14ac:dyDescent="0.35">
      <c r="D80" s="14"/>
      <c r="E80" s="14"/>
      <c r="F80" s="14"/>
      <c r="G80" s="14"/>
    </row>
    <row r="81" spans="4:7" x14ac:dyDescent="0.35">
      <c r="D81" s="14"/>
      <c r="E81" s="14"/>
      <c r="F81" s="14"/>
      <c r="G81" s="14"/>
    </row>
    <row r="82" spans="4:7" x14ac:dyDescent="0.35">
      <c r="D82" s="14"/>
      <c r="E82" s="14"/>
      <c r="F82" s="14"/>
      <c r="G82" s="14"/>
    </row>
    <row r="83" spans="4:7" x14ac:dyDescent="0.35">
      <c r="D83" s="14"/>
      <c r="E83" s="14"/>
      <c r="F83" s="14"/>
      <c r="G83" s="14"/>
    </row>
    <row r="84" spans="4:7" x14ac:dyDescent="0.35">
      <c r="D84" s="14"/>
      <c r="E84" s="14"/>
      <c r="F84" s="14"/>
      <c r="G84" s="14"/>
    </row>
    <row r="85" spans="4:7" x14ac:dyDescent="0.35">
      <c r="D85" s="14"/>
      <c r="E85" s="14"/>
      <c r="F85" s="14"/>
      <c r="G85" s="14"/>
    </row>
    <row r="86" spans="4:7" x14ac:dyDescent="0.35">
      <c r="D86" s="14"/>
      <c r="E86" s="14"/>
      <c r="F86" s="14"/>
      <c r="G86" s="14"/>
    </row>
    <row r="87" spans="4:7" x14ac:dyDescent="0.35">
      <c r="D87" s="14"/>
      <c r="E87" s="14"/>
      <c r="F87" s="14"/>
      <c r="G87" s="14"/>
    </row>
    <row r="88" spans="4:7" x14ac:dyDescent="0.35">
      <c r="D88" s="14"/>
      <c r="E88" s="14"/>
      <c r="F88" s="14"/>
      <c r="G88" s="14"/>
    </row>
    <row r="89" spans="4:7" x14ac:dyDescent="0.35">
      <c r="D89" s="14"/>
      <c r="E89" s="14"/>
      <c r="F89" s="14"/>
      <c r="G89" s="14"/>
    </row>
    <row r="90" spans="4:7" x14ac:dyDescent="0.35">
      <c r="D90" s="14"/>
      <c r="E90" s="14"/>
      <c r="F90" s="14"/>
      <c r="G90" s="14"/>
    </row>
    <row r="91" spans="4:7" x14ac:dyDescent="0.35">
      <c r="D91" s="14"/>
      <c r="E91" s="14"/>
      <c r="F91" s="14"/>
      <c r="G91" s="14"/>
    </row>
    <row r="92" spans="4:7" x14ac:dyDescent="0.35">
      <c r="D92" s="14"/>
      <c r="E92" s="14"/>
      <c r="F92" s="14"/>
      <c r="G92" s="14"/>
    </row>
    <row r="93" spans="4:7" x14ac:dyDescent="0.35">
      <c r="D93" s="14"/>
      <c r="E93" s="14"/>
      <c r="F93" s="14"/>
      <c r="G93" s="14"/>
    </row>
    <row r="94" spans="4:7" x14ac:dyDescent="0.35">
      <c r="D94" s="14"/>
      <c r="E94" s="14"/>
      <c r="F94" s="14"/>
      <c r="G94" s="14"/>
    </row>
    <row r="95" spans="4:7" x14ac:dyDescent="0.35">
      <c r="D95" s="14"/>
      <c r="E95" s="14"/>
      <c r="F95" s="14"/>
      <c r="G95" s="14"/>
    </row>
    <row r="96" spans="4:7" x14ac:dyDescent="0.35">
      <c r="D96" s="14"/>
      <c r="E96" s="14"/>
      <c r="F96" s="14"/>
      <c r="G96" s="14"/>
    </row>
    <row r="97" spans="4:7" x14ac:dyDescent="0.35">
      <c r="D97" s="14"/>
      <c r="E97" s="14"/>
      <c r="F97" s="14"/>
      <c r="G97" s="14"/>
    </row>
    <row r="98" spans="4:7" x14ac:dyDescent="0.35">
      <c r="D98" s="14"/>
      <c r="E98" s="14"/>
      <c r="F98" s="14"/>
      <c r="G98" s="14"/>
    </row>
    <row r="99" spans="4:7" x14ac:dyDescent="0.35">
      <c r="D99" s="14"/>
      <c r="E99" s="14"/>
      <c r="F99" s="14"/>
      <c r="G99" s="14"/>
    </row>
    <row r="100" spans="4:7" x14ac:dyDescent="0.35">
      <c r="D100" s="14"/>
      <c r="E100" s="14"/>
      <c r="F100" s="14"/>
      <c r="G100" s="14"/>
    </row>
    <row r="101" spans="4:7" x14ac:dyDescent="0.35">
      <c r="D101" s="14"/>
      <c r="E101" s="14"/>
      <c r="F101" s="14"/>
      <c r="G101" s="14"/>
    </row>
    <row r="102" spans="4:7" x14ac:dyDescent="0.35">
      <c r="D102" s="14"/>
      <c r="E102" s="14"/>
      <c r="F102" s="14"/>
      <c r="G102" s="14"/>
    </row>
    <row r="103" spans="4:7" x14ac:dyDescent="0.35">
      <c r="D103" s="14"/>
      <c r="E103" s="14"/>
      <c r="F103" s="14"/>
      <c r="G103" s="14"/>
    </row>
    <row r="104" spans="4:7" x14ac:dyDescent="0.35">
      <c r="D104" s="14"/>
      <c r="E104" s="14"/>
      <c r="F104" s="14"/>
      <c r="G104" s="14"/>
    </row>
    <row r="105" spans="4:7" x14ac:dyDescent="0.35">
      <c r="D105" s="14"/>
      <c r="E105" s="14"/>
      <c r="F105" s="14"/>
      <c r="G105" s="14"/>
    </row>
    <row r="106" spans="4:7" x14ac:dyDescent="0.35">
      <c r="D106" s="14"/>
      <c r="E106" s="14"/>
      <c r="F106" s="14"/>
      <c r="G106" s="14"/>
    </row>
    <row r="107" spans="4:7" x14ac:dyDescent="0.35">
      <c r="D107" s="14"/>
      <c r="E107" s="14"/>
      <c r="F107" s="14"/>
      <c r="G107" s="14"/>
    </row>
    <row r="108" spans="4:7" x14ac:dyDescent="0.35">
      <c r="D108" s="14"/>
      <c r="E108" s="14"/>
      <c r="F108" s="14"/>
      <c r="G108" s="14"/>
    </row>
    <row r="109" spans="4:7" x14ac:dyDescent="0.35">
      <c r="D109" s="14"/>
      <c r="E109" s="14"/>
      <c r="F109" s="14"/>
      <c r="G109" s="14"/>
    </row>
    <row r="110" spans="4:7" x14ac:dyDescent="0.35">
      <c r="D110" s="14"/>
      <c r="E110" s="14"/>
      <c r="F110" s="14"/>
      <c r="G110" s="14"/>
    </row>
    <row r="111" spans="4:7" x14ac:dyDescent="0.35">
      <c r="D111" s="14"/>
      <c r="E111" s="14"/>
      <c r="F111" s="14"/>
      <c r="G111" s="14"/>
    </row>
    <row r="112" spans="4:7" x14ac:dyDescent="0.35">
      <c r="D112" s="14"/>
      <c r="E112" s="14"/>
      <c r="F112" s="14"/>
      <c r="G112" s="14"/>
    </row>
    <row r="113" spans="4:7" x14ac:dyDescent="0.35">
      <c r="D113" s="14"/>
      <c r="E113" s="14"/>
      <c r="F113" s="14"/>
      <c r="G113" s="14"/>
    </row>
    <row r="114" spans="4:7" x14ac:dyDescent="0.35">
      <c r="D114" s="14"/>
      <c r="E114" s="14"/>
      <c r="F114" s="14"/>
      <c r="G114" s="14"/>
    </row>
    <row r="115" spans="4:7" x14ac:dyDescent="0.35">
      <c r="D115" s="14"/>
      <c r="E115" s="14"/>
      <c r="F115" s="14"/>
      <c r="G115" s="14"/>
    </row>
    <row r="116" spans="4:7" x14ac:dyDescent="0.35">
      <c r="D116" s="14"/>
      <c r="E116" s="14"/>
      <c r="F116" s="14"/>
      <c r="G116" s="14"/>
    </row>
    <row r="117" spans="4:7" x14ac:dyDescent="0.35">
      <c r="D117" s="14"/>
      <c r="E117" s="14"/>
      <c r="F117" s="14"/>
      <c r="G117" s="14"/>
    </row>
    <row r="118" spans="4:7" x14ac:dyDescent="0.35">
      <c r="D118" s="14"/>
      <c r="E118" s="14"/>
      <c r="F118" s="14"/>
      <c r="G118" s="14"/>
    </row>
    <row r="119" spans="4:7" x14ac:dyDescent="0.35">
      <c r="D119" s="14"/>
      <c r="E119" s="14"/>
      <c r="F119" s="14"/>
      <c r="G119" s="14"/>
    </row>
    <row r="120" spans="4:7" x14ac:dyDescent="0.35">
      <c r="D120" s="14"/>
      <c r="E120" s="14"/>
      <c r="F120" s="14"/>
      <c r="G120" s="14"/>
    </row>
    <row r="121" spans="4:7" x14ac:dyDescent="0.35">
      <c r="D121" s="14"/>
      <c r="E121" s="14"/>
      <c r="F121" s="14"/>
      <c r="G121" s="14"/>
    </row>
    <row r="122" spans="4:7" x14ac:dyDescent="0.35">
      <c r="D122" s="14"/>
      <c r="E122" s="14"/>
      <c r="F122" s="14"/>
      <c r="G122" s="14"/>
    </row>
    <row r="123" spans="4:7" x14ac:dyDescent="0.35">
      <c r="D123" s="14"/>
      <c r="E123" s="14"/>
      <c r="F123" s="14"/>
      <c r="G123" s="14"/>
    </row>
    <row r="124" spans="4:7" x14ac:dyDescent="0.35">
      <c r="D124" s="14"/>
      <c r="E124" s="14"/>
      <c r="F124" s="14"/>
      <c r="G124" s="14"/>
    </row>
    <row r="125" spans="4:7" x14ac:dyDescent="0.35">
      <c r="D125" s="14"/>
      <c r="E125" s="14"/>
      <c r="F125" s="14"/>
      <c r="G125" s="14"/>
    </row>
    <row r="126" spans="4:7" x14ac:dyDescent="0.35">
      <c r="D126" s="14"/>
      <c r="E126" s="14"/>
      <c r="F126" s="14"/>
      <c r="G126" s="14"/>
    </row>
    <row r="127" spans="4:7" x14ac:dyDescent="0.35">
      <c r="D127" s="14"/>
      <c r="E127" s="14"/>
      <c r="F127" s="14"/>
      <c r="G127" s="14"/>
    </row>
    <row r="128" spans="4:7" x14ac:dyDescent="0.35">
      <c r="D128" s="14"/>
      <c r="E128" s="14"/>
      <c r="F128" s="14"/>
      <c r="G128" s="14"/>
    </row>
    <row r="129" spans="4:7" x14ac:dyDescent="0.35">
      <c r="D129" s="14"/>
      <c r="E129" s="14"/>
      <c r="F129" s="14"/>
      <c r="G129" s="14"/>
    </row>
    <row r="130" spans="4:7" x14ac:dyDescent="0.35">
      <c r="D130" s="14"/>
      <c r="E130" s="14"/>
      <c r="F130" s="14"/>
      <c r="G130" s="14"/>
    </row>
    <row r="131" spans="4:7" x14ac:dyDescent="0.35">
      <c r="D131" s="14"/>
      <c r="E131" s="14"/>
      <c r="F131" s="14"/>
      <c r="G131" s="14"/>
    </row>
    <row r="132" spans="4:7" x14ac:dyDescent="0.35">
      <c r="D132" s="14"/>
      <c r="E132" s="14"/>
      <c r="F132" s="14"/>
      <c r="G132" s="14"/>
    </row>
    <row r="133" spans="4:7" x14ac:dyDescent="0.35">
      <c r="D133" s="14"/>
      <c r="E133" s="14"/>
      <c r="F133" s="14"/>
      <c r="G133" s="14"/>
    </row>
    <row r="134" spans="4:7" x14ac:dyDescent="0.35">
      <c r="D134" s="14"/>
      <c r="E134" s="14"/>
      <c r="F134" s="14"/>
      <c r="G134" s="14"/>
    </row>
    <row r="135" spans="4:7" x14ac:dyDescent="0.35">
      <c r="D135" s="14"/>
      <c r="E135" s="14"/>
      <c r="F135" s="14"/>
      <c r="G135" s="14"/>
    </row>
    <row r="136" spans="4:7" x14ac:dyDescent="0.35">
      <c r="D136" s="14"/>
      <c r="E136" s="14"/>
      <c r="F136" s="14"/>
      <c r="G136" s="14"/>
    </row>
    <row r="137" spans="4:7" x14ac:dyDescent="0.35">
      <c r="D137" s="14"/>
      <c r="E137" s="14"/>
      <c r="F137" s="14"/>
      <c r="G137" s="14"/>
    </row>
    <row r="138" spans="4:7" x14ac:dyDescent="0.35">
      <c r="D138" s="14"/>
      <c r="E138" s="14"/>
      <c r="F138" s="14"/>
      <c r="G138" s="14"/>
    </row>
    <row r="139" spans="4:7" x14ac:dyDescent="0.35">
      <c r="D139" s="14"/>
      <c r="E139" s="14"/>
      <c r="F139" s="14"/>
      <c r="G139" s="14"/>
    </row>
    <row r="140" spans="4:7" x14ac:dyDescent="0.35">
      <c r="D140" s="14"/>
      <c r="E140" s="14"/>
      <c r="F140" s="14"/>
      <c r="G140" s="14"/>
    </row>
    <row r="141" spans="4:7" x14ac:dyDescent="0.35">
      <c r="D141" s="14"/>
      <c r="E141" s="14"/>
      <c r="F141" s="14"/>
      <c r="G141" s="14"/>
    </row>
    <row r="142" spans="4:7" x14ac:dyDescent="0.35">
      <c r="D142" s="14"/>
      <c r="E142" s="14"/>
      <c r="F142" s="14"/>
      <c r="G142" s="14"/>
    </row>
    <row r="143" spans="4:7" x14ac:dyDescent="0.35">
      <c r="D143" s="14"/>
      <c r="E143" s="14"/>
      <c r="F143" s="14"/>
      <c r="G143" s="14"/>
    </row>
    <row r="144" spans="4:7" x14ac:dyDescent="0.35">
      <c r="D144" s="14"/>
      <c r="E144" s="14"/>
      <c r="F144" s="14"/>
      <c r="G144" s="14"/>
    </row>
    <row r="145" spans="4:7" x14ac:dyDescent="0.35">
      <c r="D145" s="14"/>
      <c r="E145" s="14"/>
      <c r="F145" s="14"/>
      <c r="G145" s="14"/>
    </row>
    <row r="146" spans="4:7" x14ac:dyDescent="0.35">
      <c r="D146" s="14"/>
      <c r="E146" s="14"/>
      <c r="F146" s="14"/>
      <c r="G146" s="14"/>
    </row>
    <row r="147" spans="4:7" x14ac:dyDescent="0.35">
      <c r="D147" s="14"/>
      <c r="E147" s="14"/>
      <c r="F147" s="14"/>
      <c r="G147" s="14"/>
    </row>
    <row r="148" spans="4:7" x14ac:dyDescent="0.35">
      <c r="D148" s="14"/>
      <c r="E148" s="14"/>
      <c r="F148" s="14"/>
      <c r="G148" s="14"/>
    </row>
    <row r="149" spans="4:7" x14ac:dyDescent="0.35">
      <c r="D149" s="14"/>
      <c r="E149" s="14"/>
      <c r="F149" s="14"/>
      <c r="G149" s="14"/>
    </row>
    <row r="150" spans="4:7" x14ac:dyDescent="0.35">
      <c r="D150" s="14"/>
      <c r="E150" s="14"/>
      <c r="F150" s="14"/>
      <c r="G150" s="14"/>
    </row>
    <row r="151" spans="4:7" x14ac:dyDescent="0.35">
      <c r="D151" s="14"/>
      <c r="E151" s="14"/>
      <c r="F151" s="14"/>
      <c r="G151" s="14"/>
    </row>
    <row r="152" spans="4:7" x14ac:dyDescent="0.35">
      <c r="D152" s="14"/>
      <c r="E152" s="14"/>
      <c r="F152" s="14"/>
      <c r="G152" s="14"/>
    </row>
    <row r="153" spans="4:7" x14ac:dyDescent="0.35">
      <c r="D153" s="14"/>
      <c r="E153" s="14"/>
      <c r="F153" s="14"/>
      <c r="G153" s="14"/>
    </row>
    <row r="154" spans="4:7" x14ac:dyDescent="0.35">
      <c r="D154" s="14"/>
      <c r="E154" s="14"/>
      <c r="F154" s="14"/>
      <c r="G154" s="14"/>
    </row>
    <row r="155" spans="4:7" x14ac:dyDescent="0.35">
      <c r="D155" s="14"/>
      <c r="E155" s="14"/>
      <c r="F155" s="14"/>
      <c r="G155" s="14"/>
    </row>
    <row r="156" spans="4:7" x14ac:dyDescent="0.35">
      <c r="D156" s="14"/>
      <c r="E156" s="14"/>
      <c r="F156" s="14"/>
      <c r="G156" s="14"/>
    </row>
    <row r="157" spans="4:7" x14ac:dyDescent="0.35">
      <c r="D157" s="14"/>
      <c r="E157" s="14"/>
      <c r="F157" s="14"/>
      <c r="G157" s="14"/>
    </row>
    <row r="158" spans="4:7" x14ac:dyDescent="0.35">
      <c r="D158" s="14"/>
      <c r="E158" s="14"/>
      <c r="F158" s="14"/>
      <c r="G158" s="14"/>
    </row>
    <row r="159" spans="4:7" x14ac:dyDescent="0.35">
      <c r="D159" s="14"/>
      <c r="E159" s="14"/>
      <c r="F159" s="14"/>
      <c r="G159" s="14"/>
    </row>
    <row r="160" spans="4:7" x14ac:dyDescent="0.35">
      <c r="D160" s="14"/>
      <c r="E160" s="14"/>
      <c r="F160" s="14"/>
      <c r="G160" s="14"/>
    </row>
    <row r="161" spans="4:7" x14ac:dyDescent="0.35">
      <c r="D161" s="14"/>
      <c r="E161" s="14"/>
      <c r="F161" s="14"/>
      <c r="G161" s="14"/>
    </row>
    <row r="162" spans="4:7" x14ac:dyDescent="0.35">
      <c r="D162" s="14"/>
      <c r="E162" s="14"/>
      <c r="F162" s="14"/>
      <c r="G162" s="14"/>
    </row>
    <row r="163" spans="4:7" x14ac:dyDescent="0.35">
      <c r="D163" s="14"/>
      <c r="E163" s="14"/>
      <c r="F163" s="14"/>
      <c r="G163" s="14"/>
    </row>
    <row r="164" spans="4:7" x14ac:dyDescent="0.35">
      <c r="D164" s="14"/>
      <c r="E164" s="14"/>
      <c r="F164" s="14"/>
      <c r="G164" s="14"/>
    </row>
    <row r="165" spans="4:7" x14ac:dyDescent="0.35">
      <c r="D165" s="14"/>
      <c r="E165" s="14"/>
      <c r="F165" s="14"/>
      <c r="G165" s="14"/>
    </row>
    <row r="166" spans="4:7" x14ac:dyDescent="0.35">
      <c r="D166" s="14"/>
      <c r="E166" s="14"/>
      <c r="F166" s="14"/>
      <c r="G166" s="14"/>
    </row>
    <row r="167" spans="4:7" x14ac:dyDescent="0.35">
      <c r="D167" s="14"/>
      <c r="E167" s="14"/>
      <c r="F167" s="14"/>
      <c r="G167" s="14"/>
    </row>
    <row r="168" spans="4:7" x14ac:dyDescent="0.35">
      <c r="D168" s="14"/>
      <c r="E168" s="14"/>
      <c r="F168" s="14"/>
      <c r="G168" s="14"/>
    </row>
    <row r="169" spans="4:7" x14ac:dyDescent="0.35">
      <c r="D169" s="14"/>
      <c r="E169" s="14"/>
      <c r="F169" s="14"/>
      <c r="G169" s="14"/>
    </row>
    <row r="170" spans="4:7" x14ac:dyDescent="0.35">
      <c r="D170" s="14"/>
      <c r="E170" s="14"/>
      <c r="F170" s="14"/>
      <c r="G170" s="14"/>
    </row>
    <row r="171" spans="4:7" x14ac:dyDescent="0.35">
      <c r="D171" s="14"/>
      <c r="E171" s="14"/>
      <c r="F171" s="14"/>
      <c r="G171" s="14"/>
    </row>
    <row r="172" spans="4:7" x14ac:dyDescent="0.35">
      <c r="D172" s="14"/>
      <c r="E172" s="14"/>
      <c r="F172" s="14"/>
      <c r="G172" s="14"/>
    </row>
    <row r="173" spans="4:7" x14ac:dyDescent="0.35">
      <c r="D173" s="14"/>
      <c r="E173" s="14"/>
      <c r="F173" s="14"/>
      <c r="G173" s="14"/>
    </row>
    <row r="174" spans="4:7" x14ac:dyDescent="0.35">
      <c r="D174" s="14"/>
      <c r="E174" s="14"/>
      <c r="F174" s="14"/>
      <c r="G174" s="14"/>
    </row>
    <row r="175" spans="4:7" x14ac:dyDescent="0.35">
      <c r="D175" s="14"/>
      <c r="E175" s="14"/>
      <c r="F175" s="14"/>
      <c r="G175" s="14"/>
    </row>
    <row r="176" spans="4:7" x14ac:dyDescent="0.35">
      <c r="D176" s="14"/>
      <c r="E176" s="14"/>
      <c r="F176" s="14"/>
      <c r="G176" s="14"/>
    </row>
    <row r="177" spans="4:7" x14ac:dyDescent="0.35">
      <c r="D177" s="14"/>
      <c r="E177" s="14"/>
      <c r="F177" s="14"/>
      <c r="G177" s="14"/>
    </row>
    <row r="178" spans="4:7" x14ac:dyDescent="0.35">
      <c r="D178" s="14"/>
      <c r="E178" s="14"/>
      <c r="F178" s="14"/>
      <c r="G178" s="14"/>
    </row>
    <row r="179" spans="4:7" x14ac:dyDescent="0.35">
      <c r="D179" s="14"/>
      <c r="E179" s="14"/>
      <c r="F179" s="14"/>
      <c r="G179" s="14"/>
    </row>
    <row r="180" spans="4:7" x14ac:dyDescent="0.35">
      <c r="D180" s="14"/>
      <c r="E180" s="14"/>
      <c r="F180" s="14"/>
      <c r="G180" s="14"/>
    </row>
    <row r="181" spans="4:7" x14ac:dyDescent="0.35">
      <c r="D181" s="14"/>
      <c r="E181" s="14"/>
      <c r="F181" s="14"/>
      <c r="G181" s="14"/>
    </row>
    <row r="182" spans="4:7" x14ac:dyDescent="0.35">
      <c r="D182" s="14"/>
      <c r="E182" s="14"/>
      <c r="F182" s="14"/>
      <c r="G182" s="14"/>
    </row>
    <row r="183" spans="4:7" x14ac:dyDescent="0.35">
      <c r="D183" s="14"/>
      <c r="E183" s="14"/>
      <c r="F183" s="14"/>
      <c r="G183" s="14"/>
    </row>
    <row r="184" spans="4:7" x14ac:dyDescent="0.35">
      <c r="D184" s="14"/>
      <c r="E184" s="14"/>
      <c r="F184" s="14"/>
      <c r="G184" s="14"/>
    </row>
    <row r="185" spans="4:7" x14ac:dyDescent="0.35">
      <c r="D185" s="14"/>
      <c r="E185" s="14"/>
      <c r="F185" s="14"/>
      <c r="G185" s="14"/>
    </row>
    <row r="186" spans="4:7" x14ac:dyDescent="0.35">
      <c r="D186" s="14"/>
      <c r="E186" s="14"/>
      <c r="F186" s="14"/>
      <c r="G186" s="14"/>
    </row>
    <row r="187" spans="4:7" x14ac:dyDescent="0.35">
      <c r="D187" s="14"/>
      <c r="E187" s="14"/>
      <c r="F187" s="14"/>
      <c r="G187" s="14"/>
    </row>
    <row r="188" spans="4:7" x14ac:dyDescent="0.35">
      <c r="D188" s="14"/>
      <c r="E188" s="14"/>
      <c r="F188" s="14"/>
      <c r="G188" s="14"/>
    </row>
    <row r="189" spans="4:7" x14ac:dyDescent="0.35">
      <c r="D189" s="14"/>
      <c r="E189" s="14"/>
      <c r="F189" s="14"/>
      <c r="G189" s="14"/>
    </row>
    <row r="190" spans="4:7" x14ac:dyDescent="0.35">
      <c r="D190" s="14"/>
      <c r="E190" s="14"/>
      <c r="F190" s="14"/>
      <c r="G190" s="14"/>
    </row>
    <row r="191" spans="4:7" x14ac:dyDescent="0.35">
      <c r="D191" s="14"/>
      <c r="E191" s="14"/>
      <c r="F191" s="14"/>
      <c r="G191" s="14"/>
    </row>
    <row r="192" spans="4:7" x14ac:dyDescent="0.35">
      <c r="D192" s="14"/>
      <c r="E192" s="14"/>
      <c r="F192" s="14"/>
      <c r="G192" s="14"/>
    </row>
    <row r="193" spans="4:7" x14ac:dyDescent="0.35">
      <c r="D193" s="14"/>
      <c r="E193" s="14"/>
      <c r="F193" s="14"/>
      <c r="G193" s="14"/>
    </row>
    <row r="194" spans="4:7" x14ac:dyDescent="0.35">
      <c r="D194" s="14"/>
      <c r="E194" s="14"/>
      <c r="F194" s="14"/>
      <c r="G194" s="14"/>
    </row>
    <row r="195" spans="4:7" x14ac:dyDescent="0.35">
      <c r="D195" s="14"/>
      <c r="E195" s="14"/>
      <c r="F195" s="14"/>
      <c r="G195" s="14"/>
    </row>
    <row r="196" spans="4:7" x14ac:dyDescent="0.35">
      <c r="D196" s="14"/>
      <c r="E196" s="14"/>
      <c r="F196" s="14"/>
      <c r="G196" s="14"/>
    </row>
    <row r="197" spans="4:7" x14ac:dyDescent="0.35">
      <c r="D197" s="14"/>
      <c r="E197" s="14"/>
      <c r="F197" s="14"/>
      <c r="G197" s="14"/>
    </row>
    <row r="198" spans="4:7" x14ac:dyDescent="0.35">
      <c r="D198" s="14"/>
      <c r="E198" s="14"/>
      <c r="F198" s="14"/>
      <c r="G198" s="14"/>
    </row>
    <row r="199" spans="4:7" x14ac:dyDescent="0.35">
      <c r="D199" s="14"/>
      <c r="E199" s="14"/>
      <c r="F199" s="14"/>
      <c r="G199" s="14"/>
    </row>
    <row r="200" spans="4:7" x14ac:dyDescent="0.35">
      <c r="D200" s="14"/>
      <c r="E200" s="14"/>
      <c r="F200" s="14"/>
      <c r="G200" s="14"/>
    </row>
    <row r="201" spans="4:7" x14ac:dyDescent="0.35">
      <c r="D201" s="14"/>
      <c r="E201" s="14"/>
      <c r="F201" s="14"/>
      <c r="G201" s="14"/>
    </row>
    <row r="202" spans="4:7" x14ac:dyDescent="0.35">
      <c r="D202" s="14"/>
      <c r="E202" s="14"/>
      <c r="F202" s="14"/>
      <c r="G202" s="14"/>
    </row>
    <row r="203" spans="4:7" x14ac:dyDescent="0.35">
      <c r="D203" s="14"/>
      <c r="E203" s="14"/>
      <c r="F203" s="14"/>
      <c r="G203" s="14"/>
    </row>
    <row r="204" spans="4:7" x14ac:dyDescent="0.35">
      <c r="D204" s="14"/>
      <c r="E204" s="14"/>
      <c r="F204" s="14"/>
      <c r="G204" s="14"/>
    </row>
    <row r="205" spans="4:7" x14ac:dyDescent="0.35">
      <c r="D205" s="14"/>
      <c r="E205" s="14"/>
      <c r="F205" s="14"/>
      <c r="G205" s="14"/>
    </row>
    <row r="206" spans="4:7" x14ac:dyDescent="0.35">
      <c r="D206" s="14"/>
      <c r="E206" s="14"/>
      <c r="F206" s="14"/>
      <c r="G206" s="14"/>
    </row>
    <row r="207" spans="4:7" x14ac:dyDescent="0.35">
      <c r="D207" s="14"/>
      <c r="E207" s="14"/>
      <c r="F207" s="14"/>
      <c r="G207" s="14"/>
    </row>
    <row r="208" spans="4:7" x14ac:dyDescent="0.35">
      <c r="D208" s="14"/>
      <c r="E208" s="14"/>
      <c r="F208" s="14"/>
      <c r="G208" s="14"/>
    </row>
    <row r="209" spans="4:7" x14ac:dyDescent="0.35">
      <c r="D209" s="14"/>
      <c r="E209" s="14"/>
      <c r="F209" s="14"/>
      <c r="G209" s="14"/>
    </row>
    <row r="210" spans="4:7" x14ac:dyDescent="0.35">
      <c r="D210" s="14"/>
      <c r="E210" s="14"/>
      <c r="F210" s="14"/>
      <c r="G210" s="14"/>
    </row>
    <row r="211" spans="4:7" x14ac:dyDescent="0.35">
      <c r="D211" s="14"/>
      <c r="E211" s="14"/>
      <c r="F211" s="14"/>
      <c r="G211" s="14"/>
    </row>
    <row r="212" spans="4:7" x14ac:dyDescent="0.35">
      <c r="D212" s="14"/>
      <c r="E212" s="14"/>
      <c r="F212" s="14"/>
      <c r="G212" s="14"/>
    </row>
    <row r="213" spans="4:7" x14ac:dyDescent="0.35">
      <c r="D213" s="14"/>
      <c r="E213" s="14"/>
      <c r="F213" s="14"/>
      <c r="G213" s="14"/>
    </row>
    <row r="214" spans="4:7" x14ac:dyDescent="0.35">
      <c r="D214" s="14"/>
      <c r="E214" s="14"/>
      <c r="F214" s="14"/>
      <c r="G214" s="14"/>
    </row>
    <row r="215" spans="4:7" x14ac:dyDescent="0.35">
      <c r="D215" s="14"/>
      <c r="E215" s="14"/>
      <c r="F215" s="14"/>
      <c r="G215" s="14"/>
    </row>
    <row r="216" spans="4:7" x14ac:dyDescent="0.35">
      <c r="D216" s="14"/>
      <c r="E216" s="14"/>
      <c r="F216" s="14"/>
      <c r="G216" s="14"/>
    </row>
    <row r="217" spans="4:7" x14ac:dyDescent="0.35">
      <c r="D217" s="14"/>
      <c r="E217" s="14"/>
      <c r="F217" s="14"/>
      <c r="G217" s="14"/>
    </row>
    <row r="218" spans="4:7" x14ac:dyDescent="0.35">
      <c r="D218" s="14"/>
      <c r="E218" s="14"/>
      <c r="F218" s="14"/>
      <c r="G218" s="14"/>
    </row>
    <row r="219" spans="4:7" x14ac:dyDescent="0.35">
      <c r="D219" s="14"/>
      <c r="E219" s="14"/>
      <c r="F219" s="14"/>
      <c r="G219" s="14"/>
    </row>
    <row r="220" spans="4:7" x14ac:dyDescent="0.35">
      <c r="D220" s="14"/>
      <c r="E220" s="14"/>
      <c r="F220" s="14"/>
      <c r="G220" s="14"/>
    </row>
    <row r="221" spans="4:7" x14ac:dyDescent="0.35">
      <c r="D221" s="14"/>
      <c r="E221" s="14"/>
      <c r="F221" s="14"/>
      <c r="G221" s="14"/>
    </row>
    <row r="222" spans="4:7" x14ac:dyDescent="0.35">
      <c r="D222" s="14"/>
      <c r="E222" s="14"/>
      <c r="F222" s="14"/>
      <c r="G222" s="14"/>
    </row>
    <row r="223" spans="4:7" x14ac:dyDescent="0.35">
      <c r="D223" s="14"/>
      <c r="E223" s="14"/>
      <c r="F223" s="14"/>
      <c r="G223" s="14"/>
    </row>
    <row r="224" spans="4:7" x14ac:dyDescent="0.35">
      <c r="D224" s="14"/>
      <c r="E224" s="14"/>
      <c r="F224" s="14"/>
      <c r="G224" s="14"/>
    </row>
    <row r="225" spans="4:7" x14ac:dyDescent="0.35">
      <c r="D225" s="14"/>
      <c r="E225" s="14"/>
      <c r="F225" s="14"/>
      <c r="G225" s="14"/>
    </row>
    <row r="226" spans="4:7" x14ac:dyDescent="0.35">
      <c r="D226" s="14"/>
      <c r="E226" s="14"/>
      <c r="F226" s="14"/>
      <c r="G226" s="14"/>
    </row>
    <row r="227" spans="4:7" x14ac:dyDescent="0.35">
      <c r="D227" s="14"/>
      <c r="E227" s="14"/>
      <c r="F227" s="14"/>
      <c r="G227" s="14"/>
    </row>
    <row r="228" spans="4:7" x14ac:dyDescent="0.35">
      <c r="D228" s="14"/>
      <c r="E228" s="14"/>
      <c r="F228" s="14"/>
      <c r="G228" s="14"/>
    </row>
    <row r="229" spans="4:7" x14ac:dyDescent="0.35">
      <c r="D229" s="14"/>
      <c r="E229" s="14"/>
      <c r="F229" s="14"/>
      <c r="G229" s="14"/>
    </row>
    <row r="230" spans="4:7" x14ac:dyDescent="0.35">
      <c r="D230" s="14"/>
      <c r="E230" s="14"/>
      <c r="F230" s="14"/>
      <c r="G230" s="14"/>
    </row>
    <row r="231" spans="4:7" x14ac:dyDescent="0.35">
      <c r="D231" s="14"/>
      <c r="E231" s="14"/>
      <c r="F231" s="14"/>
      <c r="G231" s="14"/>
    </row>
    <row r="232" spans="4:7" x14ac:dyDescent="0.35">
      <c r="D232" s="14"/>
      <c r="E232" s="14"/>
      <c r="F232" s="14"/>
      <c r="G232" s="14"/>
    </row>
    <row r="233" spans="4:7" x14ac:dyDescent="0.35">
      <c r="D233" s="14"/>
      <c r="E233" s="14"/>
      <c r="F233" s="14"/>
      <c r="G233" s="14"/>
    </row>
    <row r="234" spans="4:7" x14ac:dyDescent="0.35">
      <c r="D234" s="14"/>
      <c r="E234" s="14"/>
      <c r="F234" s="14"/>
      <c r="G234" s="14"/>
    </row>
    <row r="235" spans="4:7" x14ac:dyDescent="0.35">
      <c r="D235" s="14"/>
      <c r="E235" s="14"/>
      <c r="F235" s="14"/>
      <c r="G235" s="14"/>
    </row>
    <row r="236" spans="4:7" x14ac:dyDescent="0.35">
      <c r="D236" s="14"/>
      <c r="E236" s="14"/>
      <c r="F236" s="14"/>
      <c r="G236" s="14"/>
    </row>
    <row r="237" spans="4:7" x14ac:dyDescent="0.35">
      <c r="D237" s="14"/>
      <c r="E237" s="14"/>
      <c r="F237" s="14"/>
      <c r="G237" s="14"/>
    </row>
    <row r="238" spans="4:7" x14ac:dyDescent="0.35">
      <c r="D238" s="14"/>
      <c r="E238" s="14"/>
      <c r="F238" s="14"/>
      <c r="G238" s="14"/>
    </row>
    <row r="239" spans="4:7" x14ac:dyDescent="0.35">
      <c r="D239" s="14"/>
      <c r="E239" s="14"/>
      <c r="F239" s="14"/>
      <c r="G239" s="14"/>
    </row>
    <row r="240" spans="4:7" x14ac:dyDescent="0.35">
      <c r="D240" s="14"/>
      <c r="E240" s="14"/>
      <c r="F240" s="14"/>
      <c r="G240" s="14"/>
    </row>
    <row r="241" spans="4:7" x14ac:dyDescent="0.35">
      <c r="D241" s="14"/>
      <c r="E241" s="14"/>
      <c r="F241" s="14"/>
      <c r="G241" s="14"/>
    </row>
    <row r="242" spans="4:7" x14ac:dyDescent="0.35">
      <c r="D242" s="14"/>
      <c r="E242" s="14"/>
      <c r="F242" s="14"/>
      <c r="G242" s="14"/>
    </row>
    <row r="243" spans="4:7" x14ac:dyDescent="0.35">
      <c r="D243" s="14"/>
      <c r="E243" s="14"/>
      <c r="F243" s="14"/>
      <c r="G243" s="14"/>
    </row>
    <row r="244" spans="4:7" x14ac:dyDescent="0.35">
      <c r="D244" s="14"/>
      <c r="E244" s="14"/>
      <c r="F244" s="14"/>
      <c r="G244" s="14"/>
    </row>
    <row r="245" spans="4:7" x14ac:dyDescent="0.35">
      <c r="D245" s="14"/>
      <c r="E245" s="14"/>
      <c r="F245" s="14"/>
      <c r="G245" s="14"/>
    </row>
    <row r="246" spans="4:7" x14ac:dyDescent="0.35">
      <c r="D246" s="14"/>
      <c r="E246" s="14"/>
      <c r="F246" s="14"/>
      <c r="G246" s="14"/>
    </row>
    <row r="247" spans="4:7" x14ac:dyDescent="0.35">
      <c r="D247" s="14"/>
      <c r="E247" s="14"/>
      <c r="F247" s="14"/>
      <c r="G247" s="14"/>
    </row>
    <row r="248" spans="4:7" x14ac:dyDescent="0.35">
      <c r="D248" s="14"/>
      <c r="E248" s="14"/>
      <c r="F248" s="14"/>
      <c r="G248" s="14"/>
    </row>
    <row r="249" spans="4:7" x14ac:dyDescent="0.35">
      <c r="D249" s="14"/>
      <c r="E249" s="14"/>
      <c r="F249" s="14"/>
      <c r="G249" s="14"/>
    </row>
    <row r="250" spans="4:7" x14ac:dyDescent="0.35">
      <c r="D250" s="14"/>
      <c r="E250" s="14"/>
      <c r="F250" s="14"/>
      <c r="G250" s="14"/>
    </row>
    <row r="251" spans="4:7" x14ac:dyDescent="0.35">
      <c r="D251" s="14"/>
      <c r="E251" s="14"/>
      <c r="F251" s="14"/>
      <c r="G251" s="14"/>
    </row>
    <row r="252" spans="4:7" x14ac:dyDescent="0.35">
      <c r="D252" s="14"/>
      <c r="E252" s="14"/>
      <c r="F252" s="14"/>
      <c r="G252" s="14"/>
    </row>
    <row r="253" spans="4:7" x14ac:dyDescent="0.35">
      <c r="D253" s="14"/>
      <c r="E253" s="14"/>
      <c r="F253" s="14"/>
      <c r="G253" s="14"/>
    </row>
    <row r="254" spans="4:7" x14ac:dyDescent="0.35">
      <c r="D254" s="14"/>
      <c r="E254" s="14"/>
      <c r="F254" s="14"/>
      <c r="G254" s="14"/>
    </row>
    <row r="255" spans="4:7" x14ac:dyDescent="0.35">
      <c r="D255" s="14"/>
      <c r="E255" s="14"/>
      <c r="F255" s="14"/>
      <c r="G255" s="14"/>
    </row>
    <row r="256" spans="4:7" x14ac:dyDescent="0.35">
      <c r="D256" s="14"/>
      <c r="E256" s="14"/>
      <c r="F256" s="14"/>
      <c r="G256" s="14"/>
    </row>
    <row r="257" spans="4:7" x14ac:dyDescent="0.35">
      <c r="D257" s="14"/>
      <c r="E257" s="14"/>
      <c r="F257" s="14"/>
      <c r="G257" s="14"/>
    </row>
    <row r="258" spans="4:7" x14ac:dyDescent="0.35">
      <c r="D258" s="14"/>
      <c r="E258" s="14"/>
      <c r="F258" s="14"/>
      <c r="G258" s="14"/>
    </row>
    <row r="259" spans="4:7" x14ac:dyDescent="0.35">
      <c r="D259" s="14"/>
      <c r="E259" s="14"/>
      <c r="F259" s="14"/>
      <c r="G259" s="14"/>
    </row>
    <row r="260" spans="4:7" x14ac:dyDescent="0.35">
      <c r="D260" s="14"/>
      <c r="E260" s="14"/>
      <c r="F260" s="14"/>
      <c r="G260" s="14"/>
    </row>
    <row r="261" spans="4:7" x14ac:dyDescent="0.35">
      <c r="D261" s="14"/>
      <c r="E261" s="14"/>
      <c r="F261" s="14"/>
      <c r="G261" s="14"/>
    </row>
    <row r="262" spans="4:7" x14ac:dyDescent="0.35">
      <c r="D262" s="14"/>
      <c r="E262" s="14"/>
      <c r="F262" s="14"/>
      <c r="G262" s="14"/>
    </row>
    <row r="263" spans="4:7" x14ac:dyDescent="0.35">
      <c r="D263" s="14"/>
      <c r="E263" s="14"/>
      <c r="F263" s="14"/>
      <c r="G263" s="14"/>
    </row>
    <row r="264" spans="4:7" x14ac:dyDescent="0.35">
      <c r="D264" s="14"/>
      <c r="E264" s="14"/>
      <c r="F264" s="14"/>
      <c r="G264" s="14"/>
    </row>
    <row r="265" spans="4:7" x14ac:dyDescent="0.35">
      <c r="D265" s="14"/>
      <c r="E265" s="14"/>
      <c r="F265" s="14"/>
      <c r="G265" s="14"/>
    </row>
    <row r="266" spans="4:7" x14ac:dyDescent="0.35">
      <c r="D266" s="14"/>
      <c r="E266" s="14"/>
      <c r="F266" s="14"/>
      <c r="G266" s="14"/>
    </row>
    <row r="267" spans="4:7" x14ac:dyDescent="0.35">
      <c r="D267" s="14"/>
      <c r="E267" s="14"/>
      <c r="F267" s="14"/>
      <c r="G267" s="14"/>
    </row>
    <row r="268" spans="4:7" x14ac:dyDescent="0.35">
      <c r="D268" s="14"/>
      <c r="E268" s="14"/>
      <c r="F268" s="14"/>
      <c r="G268" s="14"/>
    </row>
    <row r="269" spans="4:7" x14ac:dyDescent="0.35">
      <c r="D269" s="14"/>
      <c r="E269" s="14"/>
      <c r="F269" s="14"/>
      <c r="G269" s="14"/>
    </row>
    <row r="270" spans="4:7" x14ac:dyDescent="0.35">
      <c r="D270" s="14"/>
      <c r="E270" s="14"/>
      <c r="F270" s="14"/>
      <c r="G270" s="14"/>
    </row>
    <row r="271" spans="4:7" x14ac:dyDescent="0.35">
      <c r="D271" s="14"/>
      <c r="E271" s="14"/>
      <c r="F271" s="14"/>
      <c r="G271" s="14"/>
    </row>
    <row r="272" spans="4:7" x14ac:dyDescent="0.35">
      <c r="D272" s="14"/>
      <c r="E272" s="14"/>
      <c r="F272" s="14"/>
      <c r="G272" s="14"/>
    </row>
    <row r="273" spans="4:7" x14ac:dyDescent="0.35">
      <c r="D273" s="14"/>
      <c r="E273" s="14"/>
      <c r="F273" s="14"/>
      <c r="G273" s="14"/>
    </row>
    <row r="274" spans="4:7" x14ac:dyDescent="0.35">
      <c r="D274" s="14"/>
      <c r="E274" s="14"/>
      <c r="F274" s="14"/>
      <c r="G274" s="14"/>
    </row>
    <row r="275" spans="4:7" x14ac:dyDescent="0.35">
      <c r="D275" s="14"/>
      <c r="E275" s="14"/>
      <c r="F275" s="14"/>
      <c r="G275" s="14"/>
    </row>
    <row r="276" spans="4:7" x14ac:dyDescent="0.35">
      <c r="D276" s="14"/>
      <c r="E276" s="14"/>
      <c r="F276" s="14"/>
      <c r="G276" s="14"/>
    </row>
    <row r="277" spans="4:7" x14ac:dyDescent="0.35">
      <c r="D277" s="14"/>
      <c r="E277" s="14"/>
      <c r="F277" s="14"/>
      <c r="G277" s="14"/>
    </row>
    <row r="278" spans="4:7" x14ac:dyDescent="0.35">
      <c r="D278" s="14"/>
      <c r="E278" s="14"/>
      <c r="F278" s="14"/>
      <c r="G278" s="14"/>
    </row>
    <row r="279" spans="4:7" x14ac:dyDescent="0.35">
      <c r="D279" s="14"/>
      <c r="E279" s="14"/>
      <c r="F279" s="14"/>
      <c r="G279" s="14"/>
    </row>
    <row r="280" spans="4:7" x14ac:dyDescent="0.35">
      <c r="D280" s="14"/>
      <c r="E280" s="14"/>
      <c r="F280" s="14"/>
      <c r="G280" s="14"/>
    </row>
    <row r="281" spans="4:7" x14ac:dyDescent="0.35">
      <c r="D281" s="14"/>
      <c r="E281" s="14"/>
      <c r="F281" s="14"/>
      <c r="G281" s="14"/>
    </row>
    <row r="282" spans="4:7" x14ac:dyDescent="0.35">
      <c r="D282" s="14"/>
      <c r="E282" s="14"/>
      <c r="F282" s="14"/>
      <c r="G282" s="14"/>
    </row>
    <row r="283" spans="4:7" x14ac:dyDescent="0.35">
      <c r="D283" s="14"/>
      <c r="E283" s="14"/>
      <c r="F283" s="14"/>
      <c r="G283" s="14"/>
    </row>
    <row r="284" spans="4:7" x14ac:dyDescent="0.35">
      <c r="D284" s="14"/>
      <c r="E284" s="14"/>
      <c r="F284" s="14"/>
      <c r="G284" s="14"/>
    </row>
    <row r="285" spans="4:7" x14ac:dyDescent="0.35">
      <c r="D285" s="14"/>
      <c r="E285" s="14"/>
      <c r="F285" s="14"/>
      <c r="G285" s="14"/>
    </row>
    <row r="286" spans="4:7" x14ac:dyDescent="0.35">
      <c r="D286" s="14"/>
      <c r="E286" s="14"/>
      <c r="F286" s="14"/>
      <c r="G286" s="14"/>
    </row>
    <row r="287" spans="4:7" x14ac:dyDescent="0.35">
      <c r="D287" s="14"/>
      <c r="E287" s="14"/>
      <c r="F287" s="14"/>
      <c r="G287" s="14"/>
    </row>
    <row r="288" spans="4:7" x14ac:dyDescent="0.35">
      <c r="D288" s="14"/>
      <c r="E288" s="14"/>
      <c r="F288" s="14"/>
      <c r="G288" s="14"/>
    </row>
    <row r="289" spans="4:7" x14ac:dyDescent="0.35">
      <c r="D289" s="14"/>
      <c r="E289" s="14"/>
      <c r="F289" s="14"/>
      <c r="G289" s="14"/>
    </row>
    <row r="290" spans="4:7" x14ac:dyDescent="0.35">
      <c r="D290" s="14"/>
      <c r="E290" s="14"/>
      <c r="F290" s="14"/>
      <c r="G290" s="14"/>
    </row>
    <row r="291" spans="4:7" x14ac:dyDescent="0.35">
      <c r="D291" s="14"/>
      <c r="E291" s="14"/>
      <c r="F291" s="14"/>
      <c r="G291" s="14"/>
    </row>
    <row r="292" spans="4:7" x14ac:dyDescent="0.35">
      <c r="D292" s="14"/>
      <c r="E292" s="14"/>
      <c r="F292" s="14"/>
      <c r="G292" s="14"/>
    </row>
    <row r="293" spans="4:7" x14ac:dyDescent="0.35">
      <c r="D293" s="14"/>
      <c r="E293" s="14"/>
      <c r="F293" s="14"/>
      <c r="G293" s="14"/>
    </row>
    <row r="294" spans="4:7" x14ac:dyDescent="0.35">
      <c r="D294" s="14"/>
      <c r="E294" s="14"/>
      <c r="F294" s="14"/>
      <c r="G294" s="14"/>
    </row>
    <row r="295" spans="4:7" x14ac:dyDescent="0.35">
      <c r="D295" s="14"/>
      <c r="E295" s="14"/>
      <c r="F295" s="14"/>
      <c r="G295" s="14"/>
    </row>
    <row r="296" spans="4:7" x14ac:dyDescent="0.35">
      <c r="D296" s="14"/>
      <c r="E296" s="14"/>
      <c r="F296" s="14"/>
      <c r="G296" s="14"/>
    </row>
    <row r="297" spans="4:7" x14ac:dyDescent="0.35">
      <c r="D297" s="14"/>
      <c r="E297" s="14"/>
      <c r="F297" s="14"/>
      <c r="G297" s="14"/>
    </row>
    <row r="298" spans="4:7" x14ac:dyDescent="0.35">
      <c r="D298" s="14"/>
      <c r="E298" s="14"/>
      <c r="F298" s="14"/>
      <c r="G298" s="14"/>
    </row>
    <row r="299" spans="4:7" x14ac:dyDescent="0.35">
      <c r="D299" s="14"/>
      <c r="E299" s="14"/>
      <c r="F299" s="14"/>
      <c r="G299" s="14"/>
    </row>
    <row r="300" spans="4:7" x14ac:dyDescent="0.35">
      <c r="D300" s="14"/>
      <c r="E300" s="14"/>
      <c r="F300" s="14"/>
      <c r="G300" s="14"/>
    </row>
    <row r="301" spans="4:7" x14ac:dyDescent="0.35">
      <c r="D301" s="14"/>
      <c r="E301" s="14"/>
      <c r="F301" s="14"/>
      <c r="G301" s="14"/>
    </row>
    <row r="302" spans="4:7" x14ac:dyDescent="0.35">
      <c r="D302" s="14"/>
      <c r="E302" s="14"/>
      <c r="F302" s="14"/>
      <c r="G302" s="14"/>
    </row>
    <row r="303" spans="4:7" x14ac:dyDescent="0.35">
      <c r="D303" s="14"/>
      <c r="E303" s="14"/>
      <c r="F303" s="14"/>
      <c r="G303" s="14"/>
    </row>
    <row r="304" spans="4:7" x14ac:dyDescent="0.35">
      <c r="D304" s="14"/>
      <c r="E304" s="14"/>
      <c r="F304" s="14"/>
      <c r="G304" s="14"/>
    </row>
    <row r="305" spans="4:7" x14ac:dyDescent="0.35">
      <c r="D305" s="14"/>
      <c r="E305" s="14"/>
      <c r="F305" s="14"/>
      <c r="G305" s="14"/>
    </row>
    <row r="306" spans="4:7" x14ac:dyDescent="0.35">
      <c r="D306" s="14"/>
      <c r="E306" s="14"/>
      <c r="F306" s="14"/>
      <c r="G306" s="14"/>
    </row>
    <row r="307" spans="4:7" x14ac:dyDescent="0.35">
      <c r="D307" s="14"/>
      <c r="E307" s="14"/>
      <c r="F307" s="14"/>
      <c r="G307" s="14"/>
    </row>
    <row r="308" spans="4:7" x14ac:dyDescent="0.35">
      <c r="D308" s="14"/>
      <c r="E308" s="14"/>
      <c r="F308" s="14"/>
      <c r="G308" s="14"/>
    </row>
    <row r="309" spans="4:7" x14ac:dyDescent="0.35">
      <c r="D309" s="14"/>
      <c r="E309" s="14"/>
      <c r="F309" s="14"/>
      <c r="G309" s="14"/>
    </row>
    <row r="310" spans="4:7" x14ac:dyDescent="0.35">
      <c r="D310" s="14"/>
      <c r="E310" s="14"/>
      <c r="F310" s="14"/>
      <c r="G310" s="14"/>
    </row>
    <row r="311" spans="4:7" x14ac:dyDescent="0.35">
      <c r="D311" s="14"/>
      <c r="E311" s="14"/>
      <c r="F311" s="14"/>
      <c r="G311" s="14"/>
    </row>
    <row r="312" spans="4:7" x14ac:dyDescent="0.35">
      <c r="D312" s="14"/>
      <c r="E312" s="14"/>
      <c r="F312" s="14"/>
      <c r="G312" s="14"/>
    </row>
    <row r="313" spans="4:7" x14ac:dyDescent="0.35">
      <c r="D313" s="14"/>
      <c r="E313" s="14"/>
      <c r="F313" s="14"/>
      <c r="G313" s="14"/>
    </row>
    <row r="314" spans="4:7" x14ac:dyDescent="0.35">
      <c r="D314" s="14"/>
      <c r="E314" s="14"/>
      <c r="F314" s="14"/>
      <c r="G314" s="14"/>
    </row>
    <row r="315" spans="4:7" x14ac:dyDescent="0.35">
      <c r="D315" s="14"/>
      <c r="E315" s="14"/>
      <c r="F315" s="14"/>
      <c r="G315" s="14"/>
    </row>
    <row r="316" spans="4:7" x14ac:dyDescent="0.35">
      <c r="D316" s="14"/>
      <c r="E316" s="14"/>
      <c r="F316" s="14"/>
      <c r="G316" s="14"/>
    </row>
    <row r="317" spans="4:7" x14ac:dyDescent="0.35">
      <c r="D317" s="14"/>
      <c r="E317" s="14"/>
      <c r="F317" s="14"/>
      <c r="G317" s="14"/>
    </row>
    <row r="318" spans="4:7" x14ac:dyDescent="0.35">
      <c r="D318" s="14"/>
      <c r="E318" s="14"/>
      <c r="F318" s="14"/>
      <c r="G318" s="14"/>
    </row>
    <row r="319" spans="4:7" x14ac:dyDescent="0.35">
      <c r="D319" s="14"/>
      <c r="E319" s="14"/>
      <c r="F319" s="14"/>
      <c r="G319" s="14"/>
    </row>
    <row r="320" spans="4:7" x14ac:dyDescent="0.35">
      <c r="D320" s="14"/>
      <c r="E320" s="14"/>
      <c r="F320" s="14"/>
      <c r="G320" s="14"/>
    </row>
    <row r="321" spans="4:7" x14ac:dyDescent="0.35">
      <c r="D321" s="14"/>
      <c r="E321" s="14"/>
      <c r="F321" s="14"/>
      <c r="G321" s="14"/>
    </row>
    <row r="322" spans="4:7" x14ac:dyDescent="0.35">
      <c r="D322" s="14"/>
      <c r="E322" s="14"/>
      <c r="F322" s="14"/>
      <c r="G322" s="14"/>
    </row>
    <row r="323" spans="4:7" x14ac:dyDescent="0.35">
      <c r="D323" s="14"/>
      <c r="E323" s="14"/>
      <c r="F323" s="14"/>
      <c r="G323" s="14"/>
    </row>
    <row r="324" spans="4:7" x14ac:dyDescent="0.35">
      <c r="D324" s="14"/>
      <c r="E324" s="14"/>
      <c r="F324" s="14"/>
      <c r="G324" s="14"/>
    </row>
    <row r="325" spans="4:7" x14ac:dyDescent="0.35">
      <c r="D325" s="14"/>
      <c r="E325" s="14"/>
      <c r="F325" s="14"/>
      <c r="G325" s="14"/>
    </row>
    <row r="326" spans="4:7" x14ac:dyDescent="0.35">
      <c r="D326" s="14"/>
      <c r="E326" s="14"/>
      <c r="F326" s="14"/>
      <c r="G326" s="14"/>
    </row>
    <row r="327" spans="4:7" x14ac:dyDescent="0.35">
      <c r="D327" s="14"/>
      <c r="E327" s="14"/>
      <c r="F327" s="14"/>
      <c r="G327" s="14"/>
    </row>
    <row r="328" spans="4:7" x14ac:dyDescent="0.35">
      <c r="D328" s="14"/>
      <c r="E328" s="14"/>
      <c r="F328" s="14"/>
      <c r="G328" s="14"/>
    </row>
    <row r="329" spans="4:7" x14ac:dyDescent="0.35">
      <c r="D329" s="14"/>
      <c r="E329" s="14"/>
      <c r="F329" s="14"/>
      <c r="G329" s="14"/>
    </row>
    <row r="330" spans="4:7" x14ac:dyDescent="0.35">
      <c r="D330" s="14"/>
      <c r="E330" s="14"/>
      <c r="F330" s="14"/>
      <c r="G330" s="14"/>
    </row>
    <row r="331" spans="4:7" x14ac:dyDescent="0.35">
      <c r="D331" s="14"/>
      <c r="E331" s="14"/>
      <c r="F331" s="14"/>
      <c r="G331" s="14"/>
    </row>
    <row r="332" spans="4:7" x14ac:dyDescent="0.35">
      <c r="D332" s="14"/>
      <c r="E332" s="14"/>
      <c r="F332" s="14"/>
      <c r="G332" s="14"/>
    </row>
    <row r="333" spans="4:7" x14ac:dyDescent="0.35">
      <c r="D333" s="14"/>
      <c r="E333" s="14"/>
      <c r="F333" s="14"/>
      <c r="G333" s="14"/>
    </row>
    <row r="334" spans="4:7" x14ac:dyDescent="0.35">
      <c r="D334" s="14"/>
      <c r="E334" s="14"/>
      <c r="F334" s="14"/>
      <c r="G334" s="14"/>
    </row>
    <row r="335" spans="4:7" x14ac:dyDescent="0.35">
      <c r="D335" s="14"/>
      <c r="E335" s="14"/>
      <c r="F335" s="14"/>
      <c r="G335" s="14"/>
    </row>
    <row r="336" spans="4:7" x14ac:dyDescent="0.35">
      <c r="D336" s="14"/>
      <c r="E336" s="14"/>
      <c r="F336" s="14"/>
      <c r="G336" s="14"/>
    </row>
    <row r="337" spans="4:7" x14ac:dyDescent="0.35">
      <c r="D337" s="14"/>
      <c r="E337" s="14"/>
      <c r="F337" s="14"/>
      <c r="G337" s="14"/>
    </row>
    <row r="338" spans="4:7" x14ac:dyDescent="0.35">
      <c r="D338" s="14"/>
      <c r="E338" s="14"/>
      <c r="F338" s="14"/>
      <c r="G338" s="14"/>
    </row>
    <row r="339" spans="4:7" x14ac:dyDescent="0.35">
      <c r="D339" s="14"/>
      <c r="E339" s="14"/>
      <c r="F339" s="14"/>
      <c r="G339" s="14"/>
    </row>
    <row r="340" spans="4:7" x14ac:dyDescent="0.35">
      <c r="D340" s="14"/>
      <c r="E340" s="14"/>
      <c r="F340" s="14"/>
      <c r="G340" s="14"/>
    </row>
    <row r="341" spans="4:7" x14ac:dyDescent="0.35">
      <c r="D341" s="14"/>
      <c r="E341" s="14"/>
      <c r="F341" s="14"/>
      <c r="G341" s="14"/>
    </row>
    <row r="342" spans="4:7" x14ac:dyDescent="0.35">
      <c r="D342" s="14"/>
      <c r="E342" s="14"/>
      <c r="F342" s="14"/>
      <c r="G342" s="14"/>
    </row>
    <row r="343" spans="4:7" x14ac:dyDescent="0.35">
      <c r="D343" s="14"/>
      <c r="E343" s="14"/>
      <c r="F343" s="14"/>
      <c r="G343" s="14"/>
    </row>
    <row r="344" spans="4:7" x14ac:dyDescent="0.35">
      <c r="D344" s="14"/>
      <c r="E344" s="14"/>
      <c r="F344" s="14"/>
      <c r="G344" s="14"/>
    </row>
    <row r="345" spans="4:7" x14ac:dyDescent="0.35">
      <c r="D345" s="14"/>
      <c r="E345" s="14"/>
      <c r="F345" s="14"/>
      <c r="G345" s="14"/>
    </row>
    <row r="346" spans="4:7" x14ac:dyDescent="0.35">
      <c r="D346" s="14"/>
      <c r="E346" s="14"/>
      <c r="F346" s="14"/>
      <c r="G346" s="14"/>
    </row>
    <row r="347" spans="4:7" x14ac:dyDescent="0.35">
      <c r="D347" s="14"/>
      <c r="E347" s="14"/>
      <c r="F347" s="14"/>
      <c r="G347" s="14"/>
    </row>
    <row r="348" spans="4:7" x14ac:dyDescent="0.35">
      <c r="D348" s="14"/>
      <c r="E348" s="14"/>
      <c r="F348" s="14"/>
      <c r="G348" s="14"/>
    </row>
    <row r="349" spans="4:7" x14ac:dyDescent="0.35">
      <c r="D349" s="14"/>
      <c r="E349" s="14"/>
      <c r="F349" s="14"/>
      <c r="G349" s="14"/>
    </row>
    <row r="350" spans="4:7" x14ac:dyDescent="0.35">
      <c r="D350" s="14"/>
      <c r="E350" s="14"/>
      <c r="F350" s="14"/>
      <c r="G350" s="14"/>
    </row>
    <row r="351" spans="4:7" x14ac:dyDescent="0.35">
      <c r="D351" s="14"/>
      <c r="E351" s="14"/>
      <c r="F351" s="14"/>
      <c r="G351" s="14"/>
    </row>
    <row r="352" spans="4:7" x14ac:dyDescent="0.35">
      <c r="D352" s="14"/>
      <c r="E352" s="14"/>
      <c r="F352" s="14"/>
      <c r="G352" s="14"/>
    </row>
    <row r="353" spans="4:7" x14ac:dyDescent="0.35">
      <c r="D353" s="14"/>
      <c r="E353" s="14"/>
      <c r="F353" s="14"/>
      <c r="G353" s="14"/>
    </row>
    <row r="354" spans="4:7" x14ac:dyDescent="0.35">
      <c r="D354" s="14"/>
      <c r="E354" s="14"/>
      <c r="F354" s="14"/>
      <c r="G354" s="14"/>
    </row>
    <row r="355" spans="4:7" x14ac:dyDescent="0.35">
      <c r="D355" s="14"/>
      <c r="E355" s="14"/>
      <c r="F355" s="14"/>
      <c r="G355" s="14"/>
    </row>
    <row r="356" spans="4:7" x14ac:dyDescent="0.35">
      <c r="D356" s="14"/>
      <c r="E356" s="14"/>
      <c r="F356" s="14"/>
      <c r="G356" s="14"/>
    </row>
    <row r="357" spans="4:7" x14ac:dyDescent="0.35">
      <c r="D357" s="14"/>
      <c r="E357" s="14"/>
      <c r="F357" s="14"/>
      <c r="G357" s="14"/>
    </row>
    <row r="358" spans="4:7" x14ac:dyDescent="0.35">
      <c r="D358" s="14"/>
      <c r="E358" s="14"/>
      <c r="F358" s="14"/>
      <c r="G358" s="14"/>
    </row>
    <row r="359" spans="4:7" x14ac:dyDescent="0.35">
      <c r="D359" s="14"/>
      <c r="E359" s="14"/>
      <c r="F359" s="14"/>
      <c r="G359" s="14"/>
    </row>
    <row r="360" spans="4:7" x14ac:dyDescent="0.35">
      <c r="D360" s="14"/>
      <c r="E360" s="14"/>
      <c r="F360" s="14"/>
      <c r="G360" s="14"/>
    </row>
    <row r="361" spans="4:7" x14ac:dyDescent="0.35">
      <c r="D361" s="14"/>
      <c r="E361" s="14"/>
      <c r="F361" s="14"/>
      <c r="G361" s="14"/>
    </row>
    <row r="362" spans="4:7" x14ac:dyDescent="0.35">
      <c r="D362" s="14"/>
      <c r="E362" s="14"/>
      <c r="F362" s="14"/>
      <c r="G362" s="14"/>
    </row>
    <row r="363" spans="4:7" x14ac:dyDescent="0.35">
      <c r="D363" s="14"/>
      <c r="E363" s="14"/>
      <c r="F363" s="14"/>
      <c r="G363" s="14"/>
    </row>
    <row r="364" spans="4:7" x14ac:dyDescent="0.35">
      <c r="D364" s="14"/>
      <c r="E364" s="14"/>
      <c r="F364" s="14"/>
      <c r="G364" s="14"/>
    </row>
    <row r="365" spans="4:7" x14ac:dyDescent="0.35">
      <c r="D365" s="14"/>
      <c r="E365" s="14"/>
      <c r="F365" s="14"/>
      <c r="G365" s="14"/>
    </row>
    <row r="366" spans="4:7" x14ac:dyDescent="0.35">
      <c r="D366" s="14"/>
      <c r="E366" s="14"/>
      <c r="F366" s="14"/>
      <c r="G366" s="14"/>
    </row>
    <row r="367" spans="4:7" x14ac:dyDescent="0.35">
      <c r="D367" s="14"/>
      <c r="E367" s="14"/>
      <c r="F367" s="14"/>
      <c r="G367" s="14"/>
    </row>
    <row r="368" spans="4:7" x14ac:dyDescent="0.35">
      <c r="D368" s="14"/>
      <c r="E368" s="14"/>
      <c r="F368" s="14"/>
      <c r="G368" s="14"/>
    </row>
    <row r="369" spans="4:7" x14ac:dyDescent="0.35">
      <c r="D369" s="14"/>
      <c r="E369" s="14"/>
      <c r="F369" s="14"/>
      <c r="G369" s="14"/>
    </row>
    <row r="370" spans="4:7" x14ac:dyDescent="0.35">
      <c r="D370" s="14"/>
      <c r="E370" s="14"/>
      <c r="F370" s="14"/>
      <c r="G370" s="14"/>
    </row>
    <row r="371" spans="4:7" x14ac:dyDescent="0.35">
      <c r="D371" s="14"/>
      <c r="E371" s="14"/>
      <c r="F371" s="14"/>
      <c r="G371" s="14"/>
    </row>
    <row r="372" spans="4:7" x14ac:dyDescent="0.35">
      <c r="D372" s="14"/>
      <c r="E372" s="14"/>
      <c r="F372" s="14"/>
      <c r="G372" s="14"/>
    </row>
    <row r="373" spans="4:7" x14ac:dyDescent="0.35">
      <c r="D373" s="14"/>
      <c r="E373" s="14"/>
      <c r="F373" s="14"/>
      <c r="G373" s="14"/>
    </row>
    <row r="374" spans="4:7" x14ac:dyDescent="0.35">
      <c r="D374" s="14"/>
      <c r="E374" s="14"/>
      <c r="F374" s="14"/>
      <c r="G374" s="14"/>
    </row>
    <row r="375" spans="4:7" x14ac:dyDescent="0.35">
      <c r="D375" s="14"/>
      <c r="E375" s="14"/>
      <c r="F375" s="14"/>
      <c r="G375" s="14"/>
    </row>
    <row r="376" spans="4:7" x14ac:dyDescent="0.35">
      <c r="D376" s="14"/>
      <c r="E376" s="14"/>
      <c r="F376" s="14"/>
      <c r="G376" s="14"/>
    </row>
    <row r="377" spans="4:7" x14ac:dyDescent="0.35">
      <c r="D377" s="14"/>
      <c r="E377" s="14"/>
      <c r="F377" s="14"/>
      <c r="G377" s="14"/>
    </row>
    <row r="378" spans="4:7" x14ac:dyDescent="0.35">
      <c r="D378" s="14"/>
      <c r="E378" s="14"/>
      <c r="F378" s="14"/>
      <c r="G378" s="14"/>
    </row>
    <row r="379" spans="4:7" x14ac:dyDescent="0.35">
      <c r="D379" s="14"/>
      <c r="E379" s="14"/>
      <c r="F379" s="14"/>
      <c r="G379" s="14"/>
    </row>
    <row r="380" spans="4:7" x14ac:dyDescent="0.35">
      <c r="D380" s="14"/>
      <c r="E380" s="14"/>
      <c r="F380" s="14"/>
      <c r="G380" s="14"/>
    </row>
    <row r="381" spans="4:7" x14ac:dyDescent="0.35">
      <c r="D381" s="14"/>
      <c r="E381" s="14"/>
      <c r="F381" s="14"/>
      <c r="G381" s="14"/>
    </row>
    <row r="382" spans="4:7" x14ac:dyDescent="0.35">
      <c r="D382" s="14"/>
      <c r="E382" s="14"/>
      <c r="F382" s="14"/>
      <c r="G382" s="14"/>
    </row>
    <row r="383" spans="4:7" x14ac:dyDescent="0.35">
      <c r="D383" s="14"/>
      <c r="E383" s="14"/>
      <c r="F383" s="14"/>
      <c r="G383" s="14"/>
    </row>
    <row r="384" spans="4:7" x14ac:dyDescent="0.35">
      <c r="D384" s="14"/>
      <c r="E384" s="14"/>
      <c r="F384" s="14"/>
      <c r="G384" s="14"/>
    </row>
    <row r="385" spans="4:7" x14ac:dyDescent="0.35">
      <c r="D385" s="14"/>
      <c r="E385" s="14"/>
      <c r="F385" s="14"/>
      <c r="G385" s="14"/>
    </row>
    <row r="386" spans="4:7" x14ac:dyDescent="0.35">
      <c r="D386" s="14"/>
      <c r="E386" s="14"/>
      <c r="F386" s="14"/>
      <c r="G386" s="14"/>
    </row>
    <row r="387" spans="4:7" x14ac:dyDescent="0.35">
      <c r="D387" s="14"/>
      <c r="E387" s="14"/>
      <c r="F387" s="14"/>
      <c r="G387" s="14"/>
    </row>
    <row r="388" spans="4:7" x14ac:dyDescent="0.35">
      <c r="D388" s="14"/>
      <c r="E388" s="14"/>
      <c r="F388" s="14"/>
      <c r="G388" s="14"/>
    </row>
    <row r="389" spans="4:7" x14ac:dyDescent="0.35">
      <c r="D389" s="14"/>
      <c r="E389" s="14"/>
      <c r="F389" s="14"/>
      <c r="G389" s="14"/>
    </row>
    <row r="390" spans="4:7" x14ac:dyDescent="0.35">
      <c r="D390" s="14"/>
      <c r="E390" s="14"/>
      <c r="F390" s="14"/>
      <c r="G390" s="14"/>
    </row>
    <row r="391" spans="4:7" x14ac:dyDescent="0.35">
      <c r="D391" s="14"/>
      <c r="E391" s="14"/>
      <c r="F391" s="14"/>
      <c r="G391" s="14"/>
    </row>
    <row r="392" spans="4:7" x14ac:dyDescent="0.35">
      <c r="D392" s="14"/>
      <c r="E392" s="14"/>
      <c r="F392" s="14"/>
      <c r="G392" s="14"/>
    </row>
    <row r="393" spans="4:7" x14ac:dyDescent="0.35">
      <c r="D393" s="14"/>
      <c r="E393" s="14"/>
      <c r="F393" s="14"/>
      <c r="G393" s="14"/>
    </row>
    <row r="394" spans="4:7" x14ac:dyDescent="0.35">
      <c r="D394" s="14"/>
      <c r="E394" s="14"/>
      <c r="F394" s="14"/>
      <c r="G394" s="14"/>
    </row>
    <row r="395" spans="4:7" x14ac:dyDescent="0.35">
      <c r="D395" s="14"/>
      <c r="E395" s="14"/>
      <c r="F395" s="14"/>
      <c r="G395" s="14"/>
    </row>
    <row r="396" spans="4:7" x14ac:dyDescent="0.35">
      <c r="D396" s="14"/>
      <c r="E396" s="14"/>
      <c r="F396" s="14"/>
      <c r="G396" s="14"/>
    </row>
    <row r="397" spans="4:7" x14ac:dyDescent="0.35">
      <c r="D397" s="14"/>
      <c r="E397" s="14"/>
      <c r="F397" s="14"/>
      <c r="G397" s="14"/>
    </row>
    <row r="398" spans="4:7" x14ac:dyDescent="0.35">
      <c r="D398" s="14"/>
      <c r="E398" s="14"/>
      <c r="F398" s="14"/>
      <c r="G398" s="14"/>
    </row>
    <row r="399" spans="4:7" x14ac:dyDescent="0.35">
      <c r="D399" s="14"/>
      <c r="E399" s="14"/>
      <c r="F399" s="14"/>
      <c r="G399" s="14"/>
    </row>
    <row r="400" spans="4:7" x14ac:dyDescent="0.35">
      <c r="D400" s="14"/>
      <c r="E400" s="14"/>
      <c r="F400" s="14"/>
      <c r="G400" s="14"/>
    </row>
    <row r="401" spans="4:7" x14ac:dyDescent="0.35">
      <c r="D401" s="14"/>
      <c r="E401" s="14"/>
      <c r="F401" s="14"/>
      <c r="G401" s="14"/>
    </row>
    <row r="402" spans="4:7" x14ac:dyDescent="0.35">
      <c r="D402" s="14"/>
      <c r="E402" s="14"/>
      <c r="F402" s="14"/>
      <c r="G402" s="14"/>
    </row>
    <row r="403" spans="4:7" x14ac:dyDescent="0.35">
      <c r="D403" s="14"/>
      <c r="E403" s="14"/>
      <c r="F403" s="14"/>
      <c r="G403" s="14"/>
    </row>
    <row r="404" spans="4:7" x14ac:dyDescent="0.35">
      <c r="D404" s="14"/>
      <c r="E404" s="14"/>
      <c r="F404" s="14"/>
      <c r="G404" s="14"/>
    </row>
    <row r="405" spans="4:7" x14ac:dyDescent="0.35">
      <c r="D405" s="14"/>
      <c r="E405" s="14"/>
      <c r="F405" s="14"/>
      <c r="G405" s="14"/>
    </row>
    <row r="406" spans="4:7" x14ac:dyDescent="0.35">
      <c r="D406" s="14"/>
      <c r="E406" s="14"/>
      <c r="F406" s="14"/>
      <c r="G406" s="14"/>
    </row>
    <row r="407" spans="4:7" x14ac:dyDescent="0.35">
      <c r="D407" s="14"/>
      <c r="E407" s="14"/>
      <c r="F407" s="14"/>
      <c r="G407" s="14"/>
    </row>
    <row r="408" spans="4:7" x14ac:dyDescent="0.35">
      <c r="D408" s="14"/>
      <c r="E408" s="14"/>
      <c r="F408" s="14"/>
      <c r="G408" s="14"/>
    </row>
    <row r="409" spans="4:7" x14ac:dyDescent="0.35">
      <c r="D409" s="14"/>
      <c r="E409" s="14"/>
      <c r="F409" s="14"/>
      <c r="G409" s="14"/>
    </row>
    <row r="410" spans="4:7" x14ac:dyDescent="0.35">
      <c r="D410" s="14"/>
      <c r="E410" s="14"/>
      <c r="F410" s="14"/>
      <c r="G410" s="14"/>
    </row>
    <row r="411" spans="4:7" x14ac:dyDescent="0.35">
      <c r="D411" s="14"/>
      <c r="E411" s="14"/>
      <c r="F411" s="14"/>
      <c r="G411" s="14"/>
    </row>
    <row r="412" spans="4:7" x14ac:dyDescent="0.35">
      <c r="D412" s="14"/>
      <c r="E412" s="14"/>
      <c r="F412" s="14"/>
      <c r="G412" s="14"/>
    </row>
    <row r="413" spans="4:7" x14ac:dyDescent="0.35">
      <c r="D413" s="14"/>
      <c r="E413" s="14"/>
      <c r="F413" s="14"/>
      <c r="G413" s="14"/>
    </row>
    <row r="414" spans="4:7" x14ac:dyDescent="0.35">
      <c r="D414" s="14"/>
      <c r="E414" s="14"/>
      <c r="F414" s="14"/>
      <c r="G414" s="14"/>
    </row>
    <row r="415" spans="4:7" x14ac:dyDescent="0.35">
      <c r="D415" s="14"/>
      <c r="E415" s="14"/>
      <c r="F415" s="14"/>
      <c r="G415" s="14"/>
    </row>
    <row r="416" spans="4:7" x14ac:dyDescent="0.35">
      <c r="D416" s="14"/>
      <c r="E416" s="14"/>
      <c r="F416" s="14"/>
      <c r="G416" s="14"/>
    </row>
    <row r="417" spans="4:7" x14ac:dyDescent="0.35">
      <c r="D417" s="14"/>
      <c r="E417" s="14"/>
      <c r="F417" s="14"/>
      <c r="G417" s="14"/>
    </row>
    <row r="418" spans="4:7" x14ac:dyDescent="0.35">
      <c r="D418" s="14"/>
      <c r="E418" s="14"/>
      <c r="F418" s="14"/>
      <c r="G418" s="14"/>
    </row>
    <row r="419" spans="4:7" x14ac:dyDescent="0.35">
      <c r="D419" s="14"/>
      <c r="E419" s="14"/>
      <c r="F419" s="14"/>
      <c r="G419" s="14"/>
    </row>
    <row r="420" spans="4:7" x14ac:dyDescent="0.35">
      <c r="D420" s="14"/>
      <c r="E420" s="14"/>
      <c r="F420" s="14"/>
      <c r="G420" s="14"/>
    </row>
    <row r="421" spans="4:7" x14ac:dyDescent="0.35">
      <c r="D421" s="14"/>
      <c r="E421" s="14"/>
      <c r="F421" s="14"/>
      <c r="G421" s="14"/>
    </row>
    <row r="422" spans="4:7" x14ac:dyDescent="0.35">
      <c r="D422" s="14"/>
      <c r="E422" s="14"/>
      <c r="F422" s="14"/>
      <c r="G422" s="14"/>
    </row>
    <row r="423" spans="4:7" x14ac:dyDescent="0.35">
      <c r="D423" s="14"/>
      <c r="E423" s="14"/>
      <c r="F423" s="14"/>
      <c r="G423" s="14"/>
    </row>
    <row r="424" spans="4:7" x14ac:dyDescent="0.35">
      <c r="D424" s="14"/>
      <c r="E424" s="14"/>
      <c r="F424" s="14"/>
      <c r="G424" s="14"/>
    </row>
    <row r="425" spans="4:7" x14ac:dyDescent="0.35">
      <c r="D425" s="14"/>
      <c r="E425" s="14"/>
      <c r="F425" s="14"/>
      <c r="G425" s="14"/>
    </row>
    <row r="426" spans="4:7" x14ac:dyDescent="0.35">
      <c r="D426" s="14"/>
      <c r="E426" s="14"/>
      <c r="F426" s="14"/>
      <c r="G426" s="14"/>
    </row>
    <row r="427" spans="4:7" x14ac:dyDescent="0.35">
      <c r="D427" s="14"/>
      <c r="E427" s="14"/>
      <c r="F427" s="14"/>
      <c r="G427" s="14"/>
    </row>
    <row r="428" spans="4:7" x14ac:dyDescent="0.35">
      <c r="D428" s="14"/>
      <c r="E428" s="14"/>
      <c r="F428" s="14"/>
      <c r="G428" s="14"/>
    </row>
    <row r="429" spans="4:7" x14ac:dyDescent="0.35">
      <c r="D429" s="14"/>
      <c r="E429" s="14"/>
      <c r="F429" s="14"/>
      <c r="G429" s="14"/>
    </row>
    <row r="430" spans="4:7" x14ac:dyDescent="0.35">
      <c r="D430" s="14"/>
      <c r="E430" s="14"/>
      <c r="F430" s="14"/>
      <c r="G430" s="14"/>
    </row>
    <row r="431" spans="4:7" x14ac:dyDescent="0.35">
      <c r="D431" s="14"/>
      <c r="E431" s="14"/>
      <c r="F431" s="14"/>
      <c r="G431" s="14"/>
    </row>
    <row r="432" spans="4:7" x14ac:dyDescent="0.35">
      <c r="D432" s="14"/>
      <c r="E432" s="14"/>
      <c r="F432" s="14"/>
      <c r="G432" s="14"/>
    </row>
    <row r="433" spans="4:7" x14ac:dyDescent="0.35">
      <c r="D433" s="14"/>
      <c r="E433" s="14"/>
      <c r="F433" s="14"/>
      <c r="G433" s="14"/>
    </row>
    <row r="434" spans="4:7" x14ac:dyDescent="0.35">
      <c r="D434" s="14"/>
      <c r="E434" s="14"/>
      <c r="F434" s="14"/>
      <c r="G434" s="14"/>
    </row>
    <row r="435" spans="4:7" x14ac:dyDescent="0.35">
      <c r="D435" s="14"/>
      <c r="E435" s="14"/>
      <c r="F435" s="14"/>
      <c r="G435" s="14"/>
    </row>
    <row r="436" spans="4:7" x14ac:dyDescent="0.35">
      <c r="D436" s="14"/>
      <c r="E436" s="14"/>
      <c r="F436" s="14"/>
      <c r="G436" s="14"/>
    </row>
    <row r="437" spans="4:7" x14ac:dyDescent="0.35">
      <c r="D437" s="14"/>
      <c r="E437" s="14"/>
      <c r="F437" s="14"/>
      <c r="G437" s="14"/>
    </row>
    <row r="438" spans="4:7" x14ac:dyDescent="0.35">
      <c r="D438" s="14"/>
      <c r="E438" s="14"/>
      <c r="F438" s="14"/>
      <c r="G438" s="14"/>
    </row>
    <row r="439" spans="4:7" x14ac:dyDescent="0.35">
      <c r="D439" s="14"/>
      <c r="E439" s="14"/>
      <c r="F439" s="14"/>
      <c r="G439" s="14"/>
    </row>
    <row r="440" spans="4:7" x14ac:dyDescent="0.35">
      <c r="D440" s="14"/>
      <c r="E440" s="14"/>
      <c r="F440" s="14"/>
      <c r="G440" s="14"/>
    </row>
    <row r="441" spans="4:7" x14ac:dyDescent="0.35">
      <c r="D441" s="14"/>
      <c r="E441" s="14"/>
      <c r="F441" s="14"/>
      <c r="G441" s="14"/>
    </row>
    <row r="442" spans="4:7" x14ac:dyDescent="0.35">
      <c r="D442" s="14"/>
      <c r="E442" s="14"/>
      <c r="F442" s="14"/>
      <c r="G442" s="14"/>
    </row>
    <row r="443" spans="4:7" x14ac:dyDescent="0.35">
      <c r="D443" s="14"/>
      <c r="E443" s="14"/>
      <c r="F443" s="14"/>
      <c r="G443" s="14"/>
    </row>
    <row r="444" spans="4:7" x14ac:dyDescent="0.35">
      <c r="D444" s="14"/>
      <c r="E444" s="14"/>
      <c r="F444" s="14"/>
      <c r="G444" s="14"/>
    </row>
    <row r="445" spans="4:7" x14ac:dyDescent="0.35">
      <c r="D445" s="14"/>
      <c r="E445" s="14"/>
      <c r="F445" s="14"/>
      <c r="G445" s="14"/>
    </row>
    <row r="446" spans="4:7" x14ac:dyDescent="0.35">
      <c r="D446" s="14"/>
      <c r="E446" s="14"/>
      <c r="F446" s="14"/>
      <c r="G446" s="14"/>
    </row>
    <row r="447" spans="4:7" x14ac:dyDescent="0.35">
      <c r="D447" s="14"/>
      <c r="E447" s="14"/>
      <c r="F447" s="14"/>
      <c r="G447" s="14"/>
    </row>
    <row r="448" spans="4:7" x14ac:dyDescent="0.35">
      <c r="D448" s="14"/>
      <c r="E448" s="14"/>
      <c r="F448" s="14"/>
      <c r="G448" s="14"/>
    </row>
    <row r="449" spans="4:7" x14ac:dyDescent="0.35">
      <c r="D449" s="14"/>
      <c r="E449" s="14"/>
      <c r="F449" s="14"/>
      <c r="G449" s="14"/>
    </row>
    <row r="450" spans="4:7" x14ac:dyDescent="0.35">
      <c r="D450" s="14"/>
      <c r="E450" s="14"/>
      <c r="F450" s="14"/>
      <c r="G450" s="14"/>
    </row>
    <row r="451" spans="4:7" x14ac:dyDescent="0.35">
      <c r="D451" s="14"/>
      <c r="E451" s="14"/>
      <c r="F451" s="14"/>
      <c r="G451" s="14"/>
    </row>
    <row r="452" spans="4:7" x14ac:dyDescent="0.35">
      <c r="D452" s="14"/>
      <c r="E452" s="14"/>
      <c r="F452" s="14"/>
      <c r="G452" s="14"/>
    </row>
    <row r="453" spans="4:7" x14ac:dyDescent="0.35">
      <c r="D453" s="14"/>
      <c r="E453" s="14"/>
      <c r="F453" s="14"/>
      <c r="G453" s="14"/>
    </row>
    <row r="454" spans="4:7" x14ac:dyDescent="0.35">
      <c r="D454" s="14"/>
      <c r="E454" s="14"/>
      <c r="F454" s="14"/>
      <c r="G454" s="14"/>
    </row>
    <row r="455" spans="4:7" x14ac:dyDescent="0.35">
      <c r="D455" s="14"/>
      <c r="E455" s="14"/>
      <c r="F455" s="14"/>
      <c r="G455" s="14"/>
    </row>
    <row r="456" spans="4:7" x14ac:dyDescent="0.35">
      <c r="D456" s="14"/>
      <c r="E456" s="14"/>
      <c r="F456" s="14"/>
      <c r="G456" s="14"/>
    </row>
    <row r="457" spans="4:7" x14ac:dyDescent="0.35">
      <c r="D457" s="14"/>
      <c r="E457" s="14"/>
      <c r="F457" s="14"/>
      <c r="G457" s="14"/>
    </row>
    <row r="458" spans="4:7" x14ac:dyDescent="0.35">
      <c r="D458" s="14"/>
      <c r="E458" s="14"/>
      <c r="F458" s="14"/>
      <c r="G458" s="14"/>
    </row>
    <row r="459" spans="4:7" x14ac:dyDescent="0.35">
      <c r="D459" s="14"/>
      <c r="E459" s="14"/>
      <c r="F459" s="14"/>
      <c r="G459" s="14"/>
    </row>
    <row r="460" spans="4:7" x14ac:dyDescent="0.35">
      <c r="D460" s="14"/>
      <c r="E460" s="14"/>
      <c r="F460" s="14"/>
      <c r="G460" s="14"/>
    </row>
    <row r="461" spans="4:7" x14ac:dyDescent="0.35">
      <c r="D461" s="14"/>
      <c r="E461" s="14"/>
      <c r="F461" s="14"/>
      <c r="G461" s="14"/>
    </row>
    <row r="462" spans="4:7" x14ac:dyDescent="0.35">
      <c r="D462" s="14"/>
      <c r="E462" s="14"/>
      <c r="F462" s="14"/>
      <c r="G462" s="14"/>
    </row>
    <row r="463" spans="4:7" x14ac:dyDescent="0.35">
      <c r="D463" s="14"/>
      <c r="E463" s="14"/>
      <c r="F463" s="14"/>
      <c r="G463" s="14"/>
    </row>
    <row r="464" spans="4:7" x14ac:dyDescent="0.35">
      <c r="D464" s="14"/>
      <c r="E464" s="14"/>
      <c r="F464" s="14"/>
      <c r="G464" s="14"/>
    </row>
    <row r="465" spans="4:7" x14ac:dyDescent="0.35">
      <c r="D465" s="14"/>
      <c r="E465" s="14"/>
      <c r="F465" s="14"/>
      <c r="G465" s="14"/>
    </row>
    <row r="466" spans="4:7" x14ac:dyDescent="0.35">
      <c r="D466" s="14"/>
      <c r="E466" s="14"/>
      <c r="F466" s="14"/>
      <c r="G466" s="14"/>
    </row>
    <row r="467" spans="4:7" x14ac:dyDescent="0.35">
      <c r="D467" s="14"/>
      <c r="E467" s="14"/>
      <c r="F467" s="14"/>
      <c r="G467" s="14"/>
    </row>
    <row r="468" spans="4:7" x14ac:dyDescent="0.35">
      <c r="D468" s="14"/>
      <c r="E468" s="14"/>
      <c r="F468" s="14"/>
      <c r="G468" s="14"/>
    </row>
    <row r="469" spans="4:7" x14ac:dyDescent="0.35">
      <c r="D469" s="14"/>
      <c r="E469" s="14"/>
      <c r="F469" s="14"/>
      <c r="G469" s="14"/>
    </row>
    <row r="470" spans="4:7" x14ac:dyDescent="0.35">
      <c r="D470" s="14"/>
      <c r="E470" s="14"/>
      <c r="F470" s="14"/>
      <c r="G470" s="14"/>
    </row>
    <row r="471" spans="4:7" x14ac:dyDescent="0.35">
      <c r="D471" s="14"/>
      <c r="E471" s="14"/>
      <c r="F471" s="14"/>
      <c r="G471" s="14"/>
    </row>
    <row r="472" spans="4:7" x14ac:dyDescent="0.35">
      <c r="D472" s="14"/>
      <c r="E472" s="14"/>
      <c r="F472" s="14"/>
      <c r="G472" s="14"/>
    </row>
    <row r="473" spans="4:7" x14ac:dyDescent="0.35">
      <c r="D473" s="14"/>
      <c r="E473" s="14"/>
      <c r="F473" s="14"/>
      <c r="G473" s="14"/>
    </row>
    <row r="474" spans="4:7" x14ac:dyDescent="0.35">
      <c r="D474" s="14"/>
      <c r="E474" s="14"/>
      <c r="F474" s="14"/>
      <c r="G474" s="14"/>
    </row>
    <row r="475" spans="4:7" x14ac:dyDescent="0.35">
      <c r="D475" s="14"/>
      <c r="E475" s="14"/>
      <c r="F475" s="14"/>
      <c r="G475" s="14"/>
    </row>
    <row r="476" spans="4:7" x14ac:dyDescent="0.35">
      <c r="D476" s="14"/>
      <c r="E476" s="14"/>
      <c r="F476" s="14"/>
      <c r="G476" s="14"/>
    </row>
    <row r="477" spans="4:7" x14ac:dyDescent="0.35">
      <c r="D477" s="14"/>
      <c r="E477" s="14"/>
      <c r="F477" s="14"/>
      <c r="G477" s="14"/>
    </row>
    <row r="478" spans="4:7" x14ac:dyDescent="0.35">
      <c r="D478" s="14"/>
      <c r="E478" s="14"/>
      <c r="F478" s="14"/>
      <c r="G478" s="14"/>
    </row>
    <row r="479" spans="4:7" x14ac:dyDescent="0.35">
      <c r="D479" s="14"/>
      <c r="E479" s="14"/>
      <c r="F479" s="14"/>
      <c r="G479" s="14"/>
    </row>
    <row r="480" spans="4:7" x14ac:dyDescent="0.35">
      <c r="D480" s="14"/>
      <c r="E480" s="14"/>
      <c r="F480" s="14"/>
      <c r="G480" s="14"/>
    </row>
    <row r="481" spans="4:7" x14ac:dyDescent="0.35">
      <c r="D481" s="14"/>
      <c r="E481" s="14"/>
      <c r="F481" s="14"/>
      <c r="G481" s="14"/>
    </row>
    <row r="482" spans="4:7" x14ac:dyDescent="0.35">
      <c r="D482" s="14"/>
      <c r="E482" s="14"/>
      <c r="F482" s="14"/>
      <c r="G482" s="14"/>
    </row>
    <row r="483" spans="4:7" x14ac:dyDescent="0.35">
      <c r="D483" s="14"/>
      <c r="E483" s="14"/>
      <c r="F483" s="14"/>
      <c r="G483" s="14"/>
    </row>
    <row r="484" spans="4:7" x14ac:dyDescent="0.35">
      <c r="D484" s="14"/>
      <c r="E484" s="14"/>
      <c r="F484" s="14"/>
      <c r="G484" s="14"/>
    </row>
    <row r="485" spans="4:7" x14ac:dyDescent="0.35">
      <c r="D485" s="14"/>
      <c r="E485" s="14"/>
      <c r="F485" s="14"/>
      <c r="G485" s="14"/>
    </row>
    <row r="486" spans="4:7" x14ac:dyDescent="0.35">
      <c r="D486" s="14"/>
      <c r="E486" s="14"/>
      <c r="F486" s="14"/>
      <c r="G486" s="14"/>
    </row>
    <row r="487" spans="4:7" x14ac:dyDescent="0.35">
      <c r="D487" s="14"/>
      <c r="E487" s="14"/>
      <c r="F487" s="14"/>
      <c r="G487" s="14"/>
    </row>
    <row r="488" spans="4:7" x14ac:dyDescent="0.35">
      <c r="D488" s="14"/>
      <c r="E488" s="14"/>
      <c r="F488" s="14"/>
      <c r="G488" s="14"/>
    </row>
    <row r="489" spans="4:7" x14ac:dyDescent="0.35">
      <c r="D489" s="14"/>
      <c r="E489" s="14"/>
      <c r="F489" s="14"/>
      <c r="G489" s="14"/>
    </row>
    <row r="490" spans="4:7" x14ac:dyDescent="0.35">
      <c r="D490" s="14"/>
      <c r="E490" s="14"/>
      <c r="F490" s="14"/>
      <c r="G490" s="14"/>
    </row>
    <row r="491" spans="4:7" x14ac:dyDescent="0.35">
      <c r="D491" s="14"/>
      <c r="E491" s="14"/>
      <c r="F491" s="14"/>
      <c r="G491" s="14"/>
    </row>
    <row r="492" spans="4:7" x14ac:dyDescent="0.35">
      <c r="D492" s="14"/>
      <c r="E492" s="14"/>
      <c r="F492" s="14"/>
      <c r="G492" s="14"/>
    </row>
    <row r="493" spans="4:7" x14ac:dyDescent="0.35">
      <c r="D493" s="14"/>
      <c r="E493" s="14"/>
      <c r="F493" s="14"/>
      <c r="G493" s="14"/>
    </row>
    <row r="494" spans="4:7" x14ac:dyDescent="0.35">
      <c r="D494" s="14"/>
      <c r="E494" s="14"/>
      <c r="F494" s="14"/>
      <c r="G494" s="14"/>
    </row>
    <row r="495" spans="4:7" x14ac:dyDescent="0.35">
      <c r="D495" s="14"/>
      <c r="E495" s="14"/>
      <c r="F495" s="14"/>
      <c r="G495" s="14"/>
    </row>
    <row r="496" spans="4:7" x14ac:dyDescent="0.35">
      <c r="D496" s="14"/>
      <c r="E496" s="14"/>
      <c r="F496" s="14"/>
      <c r="G496" s="14"/>
    </row>
    <row r="497" spans="4:7" x14ac:dyDescent="0.35">
      <c r="D497" s="14"/>
      <c r="E497" s="14"/>
      <c r="F497" s="14"/>
      <c r="G497" s="14"/>
    </row>
    <row r="498" spans="4:7" x14ac:dyDescent="0.35">
      <c r="D498" s="14"/>
      <c r="E498" s="14"/>
      <c r="F498" s="14"/>
      <c r="G498" s="14"/>
    </row>
    <row r="499" spans="4:7" x14ac:dyDescent="0.35">
      <c r="D499" s="14"/>
      <c r="E499" s="14"/>
      <c r="F499" s="14"/>
      <c r="G499" s="14"/>
    </row>
    <row r="500" spans="4:7" x14ac:dyDescent="0.35">
      <c r="D500" s="14"/>
      <c r="E500" s="14"/>
      <c r="F500" s="14"/>
      <c r="G500" s="14"/>
    </row>
    <row r="501" spans="4:7" x14ac:dyDescent="0.35">
      <c r="D501" s="14"/>
      <c r="E501" s="14"/>
      <c r="F501" s="14"/>
      <c r="G501" s="14"/>
    </row>
    <row r="502" spans="4:7" x14ac:dyDescent="0.35">
      <c r="D502" s="14"/>
      <c r="E502" s="14"/>
      <c r="F502" s="14"/>
      <c r="G502" s="14"/>
    </row>
    <row r="503" spans="4:7" x14ac:dyDescent="0.35">
      <c r="D503" s="14"/>
      <c r="E503" s="14"/>
      <c r="F503" s="14"/>
      <c r="G503" s="14"/>
    </row>
    <row r="504" spans="4:7" x14ac:dyDescent="0.35">
      <c r="D504" s="14"/>
      <c r="E504" s="14"/>
      <c r="F504" s="14"/>
      <c r="G504" s="14"/>
    </row>
    <row r="505" spans="4:7" x14ac:dyDescent="0.35">
      <c r="D505" s="14"/>
      <c r="E505" s="14"/>
      <c r="F505" s="14"/>
      <c r="G505" s="14"/>
    </row>
    <row r="506" spans="4:7" x14ac:dyDescent="0.35">
      <c r="D506" s="14"/>
      <c r="E506" s="14"/>
      <c r="F506" s="14"/>
      <c r="G506" s="14"/>
    </row>
    <row r="507" spans="4:7" x14ac:dyDescent="0.35">
      <c r="D507" s="14"/>
      <c r="E507" s="14"/>
      <c r="F507" s="14"/>
      <c r="G507" s="14"/>
    </row>
    <row r="508" spans="4:7" x14ac:dyDescent="0.35">
      <c r="D508" s="14"/>
      <c r="E508" s="14"/>
      <c r="F508" s="14"/>
      <c r="G508" s="14"/>
    </row>
    <row r="509" spans="4:7" x14ac:dyDescent="0.35">
      <c r="D509" s="14"/>
      <c r="E509" s="14"/>
      <c r="F509" s="14"/>
      <c r="G509" s="14"/>
    </row>
    <row r="510" spans="4:7" x14ac:dyDescent="0.35">
      <c r="D510" s="14"/>
      <c r="E510" s="14"/>
      <c r="F510" s="14"/>
      <c r="G510" s="14"/>
    </row>
    <row r="511" spans="4:7" x14ac:dyDescent="0.35">
      <c r="D511" s="14"/>
      <c r="E511" s="14"/>
      <c r="F511" s="14"/>
      <c r="G511" s="14"/>
    </row>
    <row r="512" spans="4:7" x14ac:dyDescent="0.35">
      <c r="D512" s="14"/>
      <c r="E512" s="14"/>
      <c r="F512" s="14"/>
      <c r="G512" s="14"/>
    </row>
    <row r="513" spans="4:7" x14ac:dyDescent="0.35">
      <c r="D513" s="14"/>
      <c r="E513" s="14"/>
      <c r="F513" s="14"/>
      <c r="G513" s="14"/>
    </row>
    <row r="514" spans="4:7" x14ac:dyDescent="0.35">
      <c r="D514" s="14"/>
      <c r="E514" s="14"/>
      <c r="F514" s="14"/>
      <c r="G514" s="14"/>
    </row>
    <row r="515" spans="4:7" x14ac:dyDescent="0.35">
      <c r="D515" s="14"/>
      <c r="E515" s="14"/>
      <c r="F515" s="14"/>
      <c r="G515" s="14"/>
    </row>
    <row r="516" spans="4:7" x14ac:dyDescent="0.35">
      <c r="D516" s="14"/>
      <c r="E516" s="14"/>
      <c r="F516" s="14"/>
      <c r="G516" s="14"/>
    </row>
    <row r="517" spans="4:7" x14ac:dyDescent="0.35">
      <c r="D517" s="14"/>
      <c r="E517" s="14"/>
      <c r="F517" s="14"/>
      <c r="G517" s="14"/>
    </row>
    <row r="518" spans="4:7" x14ac:dyDescent="0.35">
      <c r="D518" s="14"/>
      <c r="E518" s="14"/>
      <c r="F518" s="14"/>
      <c r="G518" s="14"/>
    </row>
    <row r="519" spans="4:7" x14ac:dyDescent="0.35">
      <c r="D519" s="14"/>
      <c r="E519" s="14"/>
      <c r="F519" s="14"/>
      <c r="G519" s="14"/>
    </row>
    <row r="520" spans="4:7" x14ac:dyDescent="0.35">
      <c r="D520" s="14"/>
      <c r="E520" s="14"/>
      <c r="F520" s="14"/>
      <c r="G520" s="14"/>
    </row>
    <row r="521" spans="4:7" x14ac:dyDescent="0.35">
      <c r="D521" s="14"/>
      <c r="E521" s="14"/>
      <c r="F521" s="14"/>
      <c r="G521" s="14"/>
    </row>
    <row r="522" spans="4:7" x14ac:dyDescent="0.35">
      <c r="D522" s="14"/>
      <c r="E522" s="14"/>
      <c r="F522" s="14"/>
      <c r="G522" s="14"/>
    </row>
    <row r="523" spans="4:7" x14ac:dyDescent="0.35">
      <c r="D523" s="14"/>
      <c r="E523" s="14"/>
      <c r="F523" s="14"/>
      <c r="G523" s="14"/>
    </row>
    <row r="524" spans="4:7" x14ac:dyDescent="0.35">
      <c r="D524" s="14"/>
      <c r="E524" s="14"/>
      <c r="F524" s="14"/>
      <c r="G524" s="14"/>
    </row>
    <row r="525" spans="4:7" x14ac:dyDescent="0.35">
      <c r="D525" s="14"/>
      <c r="E525" s="14"/>
      <c r="F525" s="14"/>
      <c r="G525" s="14"/>
    </row>
    <row r="526" spans="4:7" x14ac:dyDescent="0.35">
      <c r="D526" s="14"/>
      <c r="E526" s="14"/>
      <c r="F526" s="14"/>
      <c r="G526" s="14"/>
    </row>
    <row r="527" spans="4:7" x14ac:dyDescent="0.35">
      <c r="D527" s="14"/>
      <c r="E527" s="14"/>
      <c r="F527" s="14"/>
      <c r="G527" s="14"/>
    </row>
    <row r="528" spans="4:7" x14ac:dyDescent="0.35">
      <c r="D528" s="14"/>
      <c r="E528" s="14"/>
      <c r="F528" s="14"/>
      <c r="G528" s="14"/>
    </row>
    <row r="529" spans="4:7" x14ac:dyDescent="0.35">
      <c r="D529" s="14"/>
      <c r="E529" s="14"/>
      <c r="F529" s="14"/>
      <c r="G529" s="14"/>
    </row>
    <row r="530" spans="4:7" x14ac:dyDescent="0.35">
      <c r="D530" s="14"/>
      <c r="E530" s="14"/>
      <c r="F530" s="14"/>
      <c r="G530" s="14"/>
    </row>
    <row r="531" spans="4:7" x14ac:dyDescent="0.35">
      <c r="D531" s="14"/>
      <c r="E531" s="14"/>
      <c r="F531" s="14"/>
      <c r="G531" s="14"/>
    </row>
    <row r="532" spans="4:7" x14ac:dyDescent="0.35">
      <c r="D532" s="14"/>
      <c r="E532" s="14"/>
      <c r="F532" s="14"/>
      <c r="G532" s="14"/>
    </row>
    <row r="533" spans="4:7" x14ac:dyDescent="0.35">
      <c r="D533" s="14"/>
      <c r="E533" s="14"/>
      <c r="F533" s="14"/>
      <c r="G533" s="14"/>
    </row>
    <row r="534" spans="4:7" x14ac:dyDescent="0.35">
      <c r="D534" s="14"/>
      <c r="E534" s="14"/>
      <c r="F534" s="14"/>
      <c r="G534" s="14"/>
    </row>
    <row r="535" spans="4:7" x14ac:dyDescent="0.35">
      <c r="D535" s="14"/>
      <c r="E535" s="14"/>
      <c r="F535" s="14"/>
      <c r="G535" s="14"/>
    </row>
    <row r="536" spans="4:7" x14ac:dyDescent="0.35">
      <c r="D536" s="14"/>
      <c r="E536" s="14"/>
      <c r="F536" s="14"/>
      <c r="G536" s="14"/>
    </row>
    <row r="537" spans="4:7" x14ac:dyDescent="0.35">
      <c r="D537" s="14"/>
      <c r="E537" s="14"/>
      <c r="F537" s="14"/>
      <c r="G537" s="14"/>
    </row>
    <row r="538" spans="4:7" x14ac:dyDescent="0.35">
      <c r="D538" s="14"/>
      <c r="E538" s="14"/>
      <c r="F538" s="14"/>
      <c r="G538" s="14"/>
    </row>
    <row r="539" spans="4:7" x14ac:dyDescent="0.35">
      <c r="D539" s="14"/>
      <c r="E539" s="14"/>
      <c r="F539" s="14"/>
      <c r="G539" s="14"/>
    </row>
    <row r="540" spans="4:7" x14ac:dyDescent="0.35">
      <c r="D540" s="14"/>
      <c r="E540" s="14"/>
      <c r="F540" s="14"/>
      <c r="G540" s="14"/>
    </row>
    <row r="541" spans="4:7" x14ac:dyDescent="0.35">
      <c r="D541" s="14"/>
      <c r="E541" s="14"/>
      <c r="F541" s="14"/>
      <c r="G541" s="14"/>
    </row>
    <row r="542" spans="4:7" x14ac:dyDescent="0.35">
      <c r="D542" s="14"/>
      <c r="E542" s="14"/>
      <c r="F542" s="14"/>
      <c r="G542" s="14"/>
    </row>
    <row r="543" spans="4:7" x14ac:dyDescent="0.35">
      <c r="D543" s="14"/>
      <c r="E543" s="14"/>
      <c r="F543" s="14"/>
      <c r="G543" s="14"/>
    </row>
    <row r="544" spans="4:7" x14ac:dyDescent="0.35">
      <c r="D544" s="14"/>
      <c r="E544" s="14"/>
      <c r="F544" s="14"/>
      <c r="G544" s="14"/>
    </row>
    <row r="545" spans="4:7" x14ac:dyDescent="0.35">
      <c r="D545" s="14"/>
      <c r="E545" s="14"/>
      <c r="F545" s="14"/>
      <c r="G545" s="14"/>
    </row>
    <row r="546" spans="4:7" x14ac:dyDescent="0.35">
      <c r="D546" s="14"/>
      <c r="E546" s="14"/>
      <c r="F546" s="14"/>
      <c r="G546" s="14"/>
    </row>
    <row r="547" spans="4:7" x14ac:dyDescent="0.35">
      <c r="D547" s="14"/>
      <c r="E547" s="14"/>
      <c r="F547" s="14"/>
      <c r="G547" s="14"/>
    </row>
    <row r="548" spans="4:7" x14ac:dyDescent="0.35">
      <c r="D548" s="14"/>
      <c r="E548" s="14"/>
      <c r="F548" s="14"/>
      <c r="G548" s="14"/>
    </row>
    <row r="549" spans="4:7" x14ac:dyDescent="0.35">
      <c r="D549" s="14"/>
      <c r="E549" s="14"/>
      <c r="F549" s="14"/>
      <c r="G549" s="14"/>
    </row>
    <row r="550" spans="4:7" x14ac:dyDescent="0.35">
      <c r="D550" s="14"/>
      <c r="E550" s="14"/>
      <c r="F550" s="14"/>
      <c r="G550" s="14"/>
    </row>
    <row r="551" spans="4:7" x14ac:dyDescent="0.35">
      <c r="D551" s="14"/>
      <c r="E551" s="14"/>
      <c r="F551" s="14"/>
      <c r="G551" s="14"/>
    </row>
    <row r="552" spans="4:7" x14ac:dyDescent="0.35">
      <c r="D552" s="14"/>
      <c r="E552" s="14"/>
      <c r="F552" s="14"/>
      <c r="G552" s="14"/>
    </row>
    <row r="553" spans="4:7" x14ac:dyDescent="0.35">
      <c r="D553" s="14"/>
      <c r="E553" s="14"/>
      <c r="F553" s="14"/>
      <c r="G553" s="14"/>
    </row>
    <row r="554" spans="4:7" x14ac:dyDescent="0.35">
      <c r="D554" s="14"/>
      <c r="E554" s="14"/>
      <c r="F554" s="14"/>
      <c r="G554" s="14"/>
    </row>
    <row r="555" spans="4:7" x14ac:dyDescent="0.35">
      <c r="D555" s="14"/>
      <c r="E555" s="14"/>
      <c r="F555" s="14"/>
      <c r="G555" s="14"/>
    </row>
    <row r="556" spans="4:7" x14ac:dyDescent="0.35">
      <c r="D556" s="14"/>
      <c r="E556" s="14"/>
      <c r="F556" s="14"/>
      <c r="G556" s="14"/>
    </row>
    <row r="557" spans="4:7" x14ac:dyDescent="0.35">
      <c r="D557" s="14"/>
      <c r="E557" s="14"/>
      <c r="F557" s="14"/>
      <c r="G557" s="14"/>
    </row>
    <row r="558" spans="4:7" x14ac:dyDescent="0.35">
      <c r="D558" s="14"/>
      <c r="E558" s="14"/>
      <c r="F558" s="14"/>
      <c r="G558" s="14"/>
    </row>
    <row r="559" spans="4:7" x14ac:dyDescent="0.35">
      <c r="D559" s="14"/>
      <c r="E559" s="14"/>
      <c r="F559" s="14"/>
      <c r="G559" s="14"/>
    </row>
    <row r="560" spans="4:7" x14ac:dyDescent="0.35">
      <c r="D560" s="14"/>
      <c r="E560" s="14"/>
      <c r="F560" s="14"/>
      <c r="G560" s="14"/>
    </row>
    <row r="561" spans="4:7" x14ac:dyDescent="0.35">
      <c r="D561" s="14"/>
      <c r="E561" s="14"/>
      <c r="F561" s="14"/>
      <c r="G561" s="14"/>
    </row>
    <row r="562" spans="4:7" x14ac:dyDescent="0.35">
      <c r="D562" s="14"/>
      <c r="E562" s="14"/>
      <c r="F562" s="14"/>
      <c r="G562" s="14"/>
    </row>
    <row r="563" spans="4:7" x14ac:dyDescent="0.35">
      <c r="D563" s="14"/>
      <c r="E563" s="14"/>
      <c r="F563" s="14"/>
      <c r="G563" s="14"/>
    </row>
    <row r="564" spans="4:7" x14ac:dyDescent="0.35">
      <c r="D564" s="14"/>
      <c r="E564" s="14"/>
      <c r="F564" s="14"/>
      <c r="G564" s="14"/>
    </row>
    <row r="565" spans="4:7" x14ac:dyDescent="0.35">
      <c r="D565" s="14"/>
      <c r="E565" s="14"/>
      <c r="F565" s="14"/>
      <c r="G565" s="14"/>
    </row>
    <row r="566" spans="4:7" x14ac:dyDescent="0.35">
      <c r="D566" s="14"/>
      <c r="E566" s="14"/>
      <c r="F566" s="14"/>
      <c r="G566" s="14"/>
    </row>
    <row r="567" spans="4:7" x14ac:dyDescent="0.35">
      <c r="D567" s="14"/>
      <c r="E567" s="14"/>
      <c r="F567" s="14"/>
      <c r="G567" s="14"/>
    </row>
    <row r="568" spans="4:7" x14ac:dyDescent="0.35">
      <c r="D568" s="14"/>
      <c r="E568" s="14"/>
      <c r="F568" s="14"/>
      <c r="G568" s="14"/>
    </row>
    <row r="569" spans="4:7" x14ac:dyDescent="0.35">
      <c r="D569" s="14"/>
      <c r="E569" s="14"/>
      <c r="F569" s="14"/>
      <c r="G569" s="14"/>
    </row>
    <row r="570" spans="4:7" x14ac:dyDescent="0.35">
      <c r="D570" s="14"/>
      <c r="E570" s="14"/>
      <c r="F570" s="14"/>
      <c r="G570" s="14"/>
    </row>
    <row r="571" spans="4:7" x14ac:dyDescent="0.35">
      <c r="D571" s="14"/>
      <c r="E571" s="14"/>
      <c r="F571" s="14"/>
      <c r="G571" s="14"/>
    </row>
    <row r="572" spans="4:7" x14ac:dyDescent="0.35">
      <c r="D572" s="14"/>
      <c r="E572" s="14"/>
      <c r="F572" s="14"/>
      <c r="G572" s="14"/>
    </row>
    <row r="573" spans="4:7" x14ac:dyDescent="0.35">
      <c r="D573" s="14"/>
      <c r="E573" s="14"/>
      <c r="F573" s="14"/>
      <c r="G573" s="14"/>
    </row>
    <row r="574" spans="4:7" x14ac:dyDescent="0.35">
      <c r="D574" s="14"/>
      <c r="E574" s="14"/>
      <c r="F574" s="14"/>
      <c r="G574" s="14"/>
    </row>
    <row r="575" spans="4:7" x14ac:dyDescent="0.35">
      <c r="D575" s="14"/>
      <c r="E575" s="14"/>
      <c r="F575" s="14"/>
      <c r="G575" s="14"/>
    </row>
    <row r="576" spans="4:7" x14ac:dyDescent="0.35">
      <c r="D576" s="14"/>
      <c r="E576" s="14"/>
      <c r="F576" s="14"/>
      <c r="G576" s="14"/>
    </row>
    <row r="577" spans="4:7" x14ac:dyDescent="0.35">
      <c r="D577" s="14"/>
      <c r="E577" s="14"/>
      <c r="F577" s="14"/>
      <c r="G577" s="14"/>
    </row>
    <row r="578" spans="4:7" x14ac:dyDescent="0.35">
      <c r="D578" s="14"/>
      <c r="E578" s="14"/>
      <c r="F578" s="14"/>
      <c r="G578" s="14"/>
    </row>
    <row r="579" spans="4:7" x14ac:dyDescent="0.35">
      <c r="D579" s="14"/>
      <c r="E579" s="14"/>
      <c r="F579" s="14"/>
      <c r="G579" s="14"/>
    </row>
    <row r="580" spans="4:7" x14ac:dyDescent="0.35">
      <c r="D580" s="14"/>
      <c r="E580" s="14"/>
      <c r="F580" s="14"/>
      <c r="G580" s="14"/>
    </row>
    <row r="581" spans="4:7" x14ac:dyDescent="0.35">
      <c r="D581" s="14"/>
      <c r="E581" s="14"/>
      <c r="F581" s="14"/>
      <c r="G581" s="14"/>
    </row>
    <row r="582" spans="4:7" x14ac:dyDescent="0.35">
      <c r="D582" s="14"/>
      <c r="E582" s="14"/>
      <c r="F582" s="14"/>
      <c r="G582" s="14"/>
    </row>
    <row r="583" spans="4:7" x14ac:dyDescent="0.35">
      <c r="D583" s="14"/>
      <c r="E583" s="14"/>
      <c r="F583" s="14"/>
      <c r="G583" s="14"/>
    </row>
    <row r="584" spans="4:7" x14ac:dyDescent="0.35">
      <c r="D584" s="14"/>
      <c r="E584" s="14"/>
      <c r="F584" s="14"/>
      <c r="G584" s="14"/>
    </row>
    <row r="585" spans="4:7" x14ac:dyDescent="0.35">
      <c r="D585" s="14"/>
      <c r="E585" s="14"/>
      <c r="F585" s="14"/>
      <c r="G585" s="14"/>
    </row>
    <row r="586" spans="4:7" x14ac:dyDescent="0.35">
      <c r="D586" s="14"/>
      <c r="E586" s="14"/>
      <c r="F586" s="14"/>
      <c r="G586" s="14"/>
    </row>
    <row r="587" spans="4:7" x14ac:dyDescent="0.35">
      <c r="D587" s="14"/>
      <c r="E587" s="14"/>
      <c r="F587" s="14"/>
      <c r="G587" s="14"/>
    </row>
    <row r="588" spans="4:7" x14ac:dyDescent="0.35">
      <c r="D588" s="14"/>
      <c r="E588" s="14"/>
      <c r="F588" s="14"/>
      <c r="G588" s="14"/>
    </row>
    <row r="589" spans="4:7" x14ac:dyDescent="0.35">
      <c r="D589" s="14"/>
      <c r="E589" s="14"/>
      <c r="F589" s="14"/>
      <c r="G589" s="14"/>
    </row>
    <row r="590" spans="4:7" x14ac:dyDescent="0.35">
      <c r="D590" s="14"/>
      <c r="E590" s="14"/>
      <c r="F590" s="14"/>
      <c r="G590" s="14"/>
    </row>
    <row r="591" spans="4:7" x14ac:dyDescent="0.35">
      <c r="D591" s="14"/>
      <c r="E591" s="14"/>
      <c r="F591" s="14"/>
      <c r="G591" s="14"/>
    </row>
    <row r="592" spans="4:7" x14ac:dyDescent="0.35">
      <c r="D592" s="14"/>
      <c r="E592" s="14"/>
      <c r="F592" s="14"/>
      <c r="G592" s="14"/>
    </row>
    <row r="593" spans="4:7" x14ac:dyDescent="0.35">
      <c r="D593" s="14"/>
      <c r="E593" s="14"/>
      <c r="F593" s="14"/>
      <c r="G593" s="14"/>
    </row>
    <row r="594" spans="4:7" x14ac:dyDescent="0.35">
      <c r="D594" s="14"/>
      <c r="E594" s="14"/>
      <c r="F594" s="14"/>
      <c r="G594" s="14"/>
    </row>
    <row r="595" spans="4:7" x14ac:dyDescent="0.35">
      <c r="D595" s="14"/>
      <c r="E595" s="14"/>
      <c r="F595" s="14"/>
      <c r="G595" s="14"/>
    </row>
    <row r="596" spans="4:7" x14ac:dyDescent="0.35">
      <c r="D596" s="14"/>
      <c r="E596" s="14"/>
      <c r="F596" s="14"/>
      <c r="G596" s="14"/>
    </row>
    <row r="597" spans="4:7" x14ac:dyDescent="0.35">
      <c r="D597" s="14"/>
      <c r="E597" s="14"/>
      <c r="F597" s="14"/>
      <c r="G597" s="14"/>
    </row>
    <row r="598" spans="4:7" x14ac:dyDescent="0.35">
      <c r="D598" s="14"/>
      <c r="E598" s="14"/>
      <c r="F598" s="14"/>
      <c r="G598" s="14"/>
    </row>
    <row r="599" spans="4:7" x14ac:dyDescent="0.35">
      <c r="D599" s="14"/>
      <c r="E599" s="14"/>
      <c r="F599" s="14"/>
      <c r="G599" s="14"/>
    </row>
    <row r="600" spans="4:7" x14ac:dyDescent="0.35">
      <c r="D600" s="14"/>
      <c r="E600" s="14"/>
      <c r="F600" s="14"/>
      <c r="G600" s="14"/>
    </row>
    <row r="601" spans="4:7" x14ac:dyDescent="0.35">
      <c r="D601" s="14"/>
      <c r="E601" s="14"/>
      <c r="F601" s="14"/>
      <c r="G601" s="14"/>
    </row>
    <row r="602" spans="4:7" x14ac:dyDescent="0.35">
      <c r="D602" s="14"/>
      <c r="E602" s="14"/>
      <c r="F602" s="14"/>
      <c r="G602" s="14"/>
    </row>
    <row r="603" spans="4:7" x14ac:dyDescent="0.35">
      <c r="D603" s="14"/>
      <c r="E603" s="14"/>
      <c r="F603" s="14"/>
      <c r="G603" s="14"/>
    </row>
    <row r="604" spans="4:7" x14ac:dyDescent="0.35">
      <c r="D604" s="14"/>
      <c r="E604" s="14"/>
      <c r="F604" s="14"/>
      <c r="G604" s="14"/>
    </row>
    <row r="605" spans="4:7" x14ac:dyDescent="0.35">
      <c r="D605" s="14"/>
      <c r="E605" s="14"/>
      <c r="F605" s="14"/>
      <c r="G605" s="14"/>
    </row>
    <row r="606" spans="4:7" x14ac:dyDescent="0.35">
      <c r="D606" s="14"/>
      <c r="E606" s="14"/>
      <c r="F606" s="14"/>
      <c r="G606" s="14"/>
    </row>
    <row r="607" spans="4:7" x14ac:dyDescent="0.35">
      <c r="D607" s="14"/>
      <c r="E607" s="14"/>
      <c r="F607" s="14"/>
      <c r="G607" s="14"/>
    </row>
    <row r="608" spans="4:7" x14ac:dyDescent="0.35">
      <c r="D608" s="14"/>
      <c r="E608" s="14"/>
      <c r="F608" s="14"/>
      <c r="G608" s="14"/>
    </row>
    <row r="609" spans="4:7" x14ac:dyDescent="0.35">
      <c r="D609" s="14"/>
      <c r="E609" s="14"/>
      <c r="F609" s="14"/>
      <c r="G609" s="14"/>
    </row>
    <row r="610" spans="4:7" x14ac:dyDescent="0.35">
      <c r="D610" s="14"/>
      <c r="E610" s="14"/>
      <c r="F610" s="14"/>
      <c r="G610" s="14"/>
    </row>
    <row r="611" spans="4:7" x14ac:dyDescent="0.35">
      <c r="D611" s="14"/>
      <c r="E611" s="14"/>
      <c r="F611" s="14"/>
      <c r="G611" s="14"/>
    </row>
    <row r="612" spans="4:7" x14ac:dyDescent="0.35">
      <c r="D612" s="14"/>
      <c r="E612" s="14"/>
      <c r="F612" s="14"/>
      <c r="G612" s="14"/>
    </row>
    <row r="613" spans="4:7" x14ac:dyDescent="0.35">
      <c r="D613" s="14"/>
      <c r="E613" s="14"/>
      <c r="F613" s="14"/>
      <c r="G613" s="14"/>
    </row>
    <row r="614" spans="4:7" x14ac:dyDescent="0.35">
      <c r="D614" s="14"/>
      <c r="E614" s="14"/>
      <c r="F614" s="14"/>
      <c r="G614" s="14"/>
    </row>
    <row r="615" spans="4:7" x14ac:dyDescent="0.35">
      <c r="D615" s="14"/>
      <c r="E615" s="14"/>
      <c r="F615" s="14"/>
      <c r="G615" s="14"/>
    </row>
    <row r="616" spans="4:7" x14ac:dyDescent="0.35">
      <c r="D616" s="14"/>
      <c r="E616" s="14"/>
      <c r="F616" s="14"/>
      <c r="G616" s="14"/>
    </row>
    <row r="617" spans="4:7" x14ac:dyDescent="0.35">
      <c r="D617" s="14"/>
      <c r="E617" s="14"/>
      <c r="F617" s="14"/>
      <c r="G617" s="14"/>
    </row>
    <row r="618" spans="4:7" x14ac:dyDescent="0.35">
      <c r="D618" s="14"/>
      <c r="E618" s="14"/>
      <c r="F618" s="14"/>
      <c r="G618" s="14"/>
    </row>
    <row r="619" spans="4:7" x14ac:dyDescent="0.35">
      <c r="D619" s="14"/>
      <c r="E619" s="14"/>
      <c r="F619" s="14"/>
      <c r="G619" s="14"/>
    </row>
    <row r="620" spans="4:7" x14ac:dyDescent="0.35">
      <c r="D620" s="14"/>
      <c r="E620" s="14"/>
      <c r="F620" s="14"/>
      <c r="G620" s="14"/>
    </row>
    <row r="621" spans="4:7" x14ac:dyDescent="0.35">
      <c r="D621" s="14"/>
      <c r="E621" s="14"/>
      <c r="F621" s="14"/>
      <c r="G621" s="14"/>
    </row>
    <row r="622" spans="4:7" x14ac:dyDescent="0.35">
      <c r="D622" s="14"/>
      <c r="E622" s="14"/>
      <c r="F622" s="14"/>
      <c r="G622" s="14"/>
    </row>
    <row r="623" spans="4:7" x14ac:dyDescent="0.35">
      <c r="D623" s="14"/>
      <c r="E623" s="14"/>
      <c r="F623" s="14"/>
      <c r="G623" s="14"/>
    </row>
    <row r="624" spans="4:7" x14ac:dyDescent="0.35">
      <c r="D624" s="14"/>
      <c r="E624" s="14"/>
      <c r="F624" s="14"/>
      <c r="G624" s="14"/>
    </row>
    <row r="625" spans="4:7" x14ac:dyDescent="0.35">
      <c r="D625" s="14"/>
      <c r="E625" s="14"/>
      <c r="F625" s="14"/>
      <c r="G625" s="14"/>
    </row>
    <row r="626" spans="4:7" x14ac:dyDescent="0.35">
      <c r="D626" s="14"/>
      <c r="E626" s="14"/>
      <c r="F626" s="14"/>
      <c r="G626" s="14"/>
    </row>
    <row r="627" spans="4:7" x14ac:dyDescent="0.35">
      <c r="D627" s="14"/>
      <c r="E627" s="14"/>
      <c r="F627" s="14"/>
      <c r="G627" s="14"/>
    </row>
    <row r="628" spans="4:7" x14ac:dyDescent="0.35">
      <c r="D628" s="14"/>
      <c r="E628" s="14"/>
      <c r="F628" s="14"/>
      <c r="G628" s="14"/>
    </row>
    <row r="629" spans="4:7" x14ac:dyDescent="0.35">
      <c r="D629" s="14"/>
      <c r="E629" s="14"/>
      <c r="F629" s="14"/>
      <c r="G629" s="14"/>
    </row>
    <row r="630" spans="4:7" x14ac:dyDescent="0.35">
      <c r="D630" s="14"/>
      <c r="E630" s="14"/>
      <c r="F630" s="14"/>
      <c r="G630" s="14"/>
    </row>
    <row r="631" spans="4:7" x14ac:dyDescent="0.35">
      <c r="D631" s="14"/>
      <c r="E631" s="14"/>
      <c r="F631" s="14"/>
      <c r="G631" s="14"/>
    </row>
    <row r="632" spans="4:7" x14ac:dyDescent="0.35">
      <c r="D632" s="14"/>
      <c r="E632" s="14"/>
      <c r="F632" s="14"/>
      <c r="G632" s="14"/>
    </row>
    <row r="633" spans="4:7" x14ac:dyDescent="0.35">
      <c r="D633" s="14"/>
      <c r="E633" s="14"/>
      <c r="F633" s="14"/>
      <c r="G633" s="14"/>
    </row>
    <row r="634" spans="4:7" x14ac:dyDescent="0.35">
      <c r="D634" s="14"/>
      <c r="E634" s="14"/>
      <c r="F634" s="14"/>
      <c r="G634" s="14"/>
    </row>
    <row r="635" spans="4:7" x14ac:dyDescent="0.35">
      <c r="D635" s="14"/>
      <c r="E635" s="14"/>
      <c r="F635" s="14"/>
      <c r="G635" s="14"/>
    </row>
    <row r="636" spans="4:7" x14ac:dyDescent="0.35">
      <c r="D636" s="14"/>
      <c r="E636" s="14"/>
      <c r="F636" s="14"/>
      <c r="G636" s="14"/>
    </row>
    <row r="637" spans="4:7" x14ac:dyDescent="0.35">
      <c r="D637" s="14"/>
      <c r="E637" s="14"/>
      <c r="F637" s="14"/>
      <c r="G637" s="14"/>
    </row>
    <row r="638" spans="4:7" x14ac:dyDescent="0.35">
      <c r="D638" s="14"/>
      <c r="E638" s="14"/>
      <c r="F638" s="14"/>
      <c r="G638" s="14"/>
    </row>
    <row r="639" spans="4:7" x14ac:dyDescent="0.35">
      <c r="D639" s="14"/>
      <c r="E639" s="14"/>
      <c r="F639" s="14"/>
      <c r="G639" s="14"/>
    </row>
    <row r="640" spans="4:7" x14ac:dyDescent="0.35">
      <c r="D640" s="14"/>
      <c r="E640" s="14"/>
      <c r="F640" s="14"/>
      <c r="G640" s="14"/>
    </row>
    <row r="641" spans="4:7" x14ac:dyDescent="0.35">
      <c r="D641" s="14"/>
      <c r="E641" s="14"/>
      <c r="F641" s="14"/>
      <c r="G641" s="14"/>
    </row>
    <row r="642" spans="4:7" x14ac:dyDescent="0.35">
      <c r="D642" s="14"/>
      <c r="E642" s="14"/>
      <c r="F642" s="14"/>
      <c r="G642" s="14"/>
    </row>
    <row r="643" spans="4:7" x14ac:dyDescent="0.35">
      <c r="D643" s="14"/>
      <c r="E643" s="14"/>
      <c r="F643" s="14"/>
      <c r="G643" s="14"/>
    </row>
    <row r="644" spans="4:7" x14ac:dyDescent="0.35">
      <c r="D644" s="14"/>
      <c r="E644" s="14"/>
      <c r="F644" s="14"/>
      <c r="G644" s="14"/>
    </row>
    <row r="645" spans="4:7" x14ac:dyDescent="0.35">
      <c r="D645" s="14"/>
      <c r="E645" s="14"/>
      <c r="F645" s="14"/>
      <c r="G645" s="14"/>
    </row>
    <row r="646" spans="4:7" x14ac:dyDescent="0.35">
      <c r="D646" s="14"/>
      <c r="E646" s="14"/>
      <c r="F646" s="14"/>
      <c r="G646" s="14"/>
    </row>
    <row r="647" spans="4:7" x14ac:dyDescent="0.35">
      <c r="D647" s="14"/>
      <c r="E647" s="14"/>
      <c r="F647" s="14"/>
      <c r="G647" s="14"/>
    </row>
    <row r="648" spans="4:7" x14ac:dyDescent="0.35">
      <c r="D648" s="14"/>
      <c r="E648" s="14"/>
      <c r="F648" s="14"/>
      <c r="G648" s="14"/>
    </row>
    <row r="649" spans="4:7" x14ac:dyDescent="0.35">
      <c r="D649" s="14"/>
      <c r="E649" s="14"/>
      <c r="F649" s="14"/>
      <c r="G649" s="14"/>
    </row>
    <row r="650" spans="4:7" x14ac:dyDescent="0.35">
      <c r="D650" s="14"/>
      <c r="E650" s="14"/>
      <c r="F650" s="14"/>
      <c r="G650" s="14"/>
    </row>
    <row r="651" spans="4:7" x14ac:dyDescent="0.35">
      <c r="D651" s="14"/>
      <c r="E651" s="14"/>
      <c r="F651" s="14"/>
      <c r="G651" s="14"/>
    </row>
    <row r="652" spans="4:7" x14ac:dyDescent="0.35">
      <c r="D652" s="14"/>
      <c r="E652" s="14"/>
      <c r="F652" s="14"/>
      <c r="G652" s="14"/>
    </row>
    <row r="653" spans="4:7" x14ac:dyDescent="0.35">
      <c r="D653" s="14"/>
      <c r="E653" s="14"/>
      <c r="F653" s="14"/>
      <c r="G653" s="14"/>
    </row>
    <row r="654" spans="4:7" x14ac:dyDescent="0.35">
      <c r="D654" s="14"/>
      <c r="E654" s="14"/>
      <c r="F654" s="14"/>
      <c r="G654" s="14"/>
    </row>
    <row r="655" spans="4:7" x14ac:dyDescent="0.35">
      <c r="D655" s="14"/>
      <c r="E655" s="14"/>
      <c r="F655" s="14"/>
      <c r="G655" s="14"/>
    </row>
    <row r="656" spans="4:7" x14ac:dyDescent="0.35">
      <c r="D656" s="14"/>
      <c r="E656" s="14"/>
      <c r="F656" s="14"/>
      <c r="G656" s="14"/>
    </row>
    <row r="657" spans="4:7" x14ac:dyDescent="0.35">
      <c r="D657" s="14"/>
      <c r="E657" s="14"/>
      <c r="F657" s="14"/>
      <c r="G657" s="14"/>
    </row>
    <row r="658" spans="4:7" x14ac:dyDescent="0.35">
      <c r="D658" s="14"/>
      <c r="E658" s="14"/>
      <c r="F658" s="14"/>
      <c r="G658" s="14"/>
    </row>
    <row r="659" spans="4:7" x14ac:dyDescent="0.35">
      <c r="D659" s="14"/>
      <c r="E659" s="14"/>
      <c r="F659" s="14"/>
      <c r="G659" s="14"/>
    </row>
    <row r="660" spans="4:7" x14ac:dyDescent="0.35">
      <c r="D660" s="14"/>
      <c r="E660" s="14"/>
      <c r="F660" s="14"/>
      <c r="G660" s="14"/>
    </row>
    <row r="661" spans="4:7" x14ac:dyDescent="0.35">
      <c r="D661" s="14"/>
      <c r="E661" s="14"/>
      <c r="F661" s="14"/>
      <c r="G661" s="14"/>
    </row>
    <row r="662" spans="4:7" x14ac:dyDescent="0.35">
      <c r="D662" s="14"/>
      <c r="E662" s="14"/>
      <c r="F662" s="14"/>
      <c r="G662" s="14"/>
    </row>
    <row r="663" spans="4:7" x14ac:dyDescent="0.35">
      <c r="D663" s="14"/>
      <c r="E663" s="14"/>
      <c r="F663" s="14"/>
      <c r="G663" s="14"/>
    </row>
    <row r="664" spans="4:7" x14ac:dyDescent="0.35">
      <c r="D664" s="14"/>
      <c r="E664" s="14"/>
      <c r="F664" s="14"/>
      <c r="G664" s="14"/>
    </row>
    <row r="665" spans="4:7" x14ac:dyDescent="0.35">
      <c r="D665" s="14"/>
      <c r="E665" s="14"/>
      <c r="F665" s="14"/>
      <c r="G665" s="14"/>
    </row>
    <row r="666" spans="4:7" x14ac:dyDescent="0.35">
      <c r="D666" s="14"/>
      <c r="E666" s="14"/>
      <c r="F666" s="14"/>
      <c r="G666" s="14"/>
    </row>
    <row r="667" spans="4:7" x14ac:dyDescent="0.35">
      <c r="D667" s="14"/>
      <c r="E667" s="14"/>
      <c r="F667" s="14"/>
      <c r="G667" s="14"/>
    </row>
    <row r="668" spans="4:7" x14ac:dyDescent="0.35">
      <c r="D668" s="14"/>
      <c r="E668" s="14"/>
      <c r="F668" s="14"/>
      <c r="G668" s="14"/>
    </row>
    <row r="669" spans="4:7" x14ac:dyDescent="0.35">
      <c r="D669" s="14"/>
      <c r="E669" s="14"/>
      <c r="F669" s="14"/>
      <c r="G669" s="14"/>
    </row>
    <row r="670" spans="4:7" x14ac:dyDescent="0.35">
      <c r="D670" s="14"/>
      <c r="E670" s="14"/>
      <c r="F670" s="14"/>
      <c r="G670" s="14"/>
    </row>
    <row r="671" spans="4:7" x14ac:dyDescent="0.35">
      <c r="D671" s="14"/>
      <c r="E671" s="14"/>
      <c r="F671" s="14"/>
      <c r="G671" s="14"/>
    </row>
    <row r="672" spans="4:7" x14ac:dyDescent="0.35">
      <c r="D672" s="14"/>
      <c r="E672" s="14"/>
      <c r="F672" s="14"/>
      <c r="G672" s="14"/>
    </row>
    <row r="673" spans="4:7" x14ac:dyDescent="0.35">
      <c r="D673" s="14"/>
      <c r="E673" s="14"/>
      <c r="F673" s="14"/>
      <c r="G673" s="14"/>
    </row>
    <row r="674" spans="4:7" x14ac:dyDescent="0.35">
      <c r="D674" s="14"/>
      <c r="E674" s="14"/>
      <c r="F674" s="14"/>
      <c r="G674" s="14"/>
    </row>
    <row r="675" spans="4:7" x14ac:dyDescent="0.35">
      <c r="D675" s="14"/>
      <c r="E675" s="14"/>
      <c r="F675" s="14"/>
      <c r="G675" s="14"/>
    </row>
    <row r="676" spans="4:7" x14ac:dyDescent="0.35">
      <c r="D676" s="14"/>
      <c r="E676" s="14"/>
      <c r="F676" s="14"/>
      <c r="G676" s="14"/>
    </row>
    <row r="677" spans="4:7" x14ac:dyDescent="0.35">
      <c r="D677" s="14"/>
      <c r="E677" s="14"/>
      <c r="F677" s="14"/>
      <c r="G677" s="14"/>
    </row>
    <row r="678" spans="4:7" x14ac:dyDescent="0.35">
      <c r="D678" s="14"/>
      <c r="E678" s="14"/>
      <c r="F678" s="14"/>
      <c r="G678" s="14"/>
    </row>
    <row r="679" spans="4:7" x14ac:dyDescent="0.35">
      <c r="D679" s="14"/>
      <c r="E679" s="14"/>
      <c r="F679" s="14"/>
      <c r="G679" s="14"/>
    </row>
    <row r="680" spans="4:7" x14ac:dyDescent="0.35">
      <c r="D680" s="14"/>
      <c r="E680" s="14"/>
      <c r="F680" s="14"/>
      <c r="G680" s="14"/>
    </row>
    <row r="681" spans="4:7" x14ac:dyDescent="0.35">
      <c r="D681" s="14"/>
      <c r="E681" s="14"/>
      <c r="F681" s="14"/>
      <c r="G681" s="14"/>
    </row>
    <row r="682" spans="4:7" x14ac:dyDescent="0.35">
      <c r="D682" s="14"/>
      <c r="E682" s="14"/>
      <c r="F682" s="14"/>
      <c r="G682" s="14"/>
    </row>
    <row r="683" spans="4:7" x14ac:dyDescent="0.35">
      <c r="D683" s="14"/>
      <c r="E683" s="14"/>
      <c r="F683" s="14"/>
      <c r="G683" s="14"/>
    </row>
    <row r="684" spans="4:7" x14ac:dyDescent="0.35">
      <c r="D684" s="14"/>
      <c r="E684" s="14"/>
      <c r="F684" s="14"/>
      <c r="G684" s="14"/>
    </row>
    <row r="685" spans="4:7" x14ac:dyDescent="0.35">
      <c r="D685" s="14"/>
      <c r="E685" s="14"/>
      <c r="F685" s="14"/>
      <c r="G685" s="14"/>
    </row>
    <row r="686" spans="4:7" x14ac:dyDescent="0.35">
      <c r="D686" s="14"/>
      <c r="E686" s="14"/>
      <c r="F686" s="14"/>
      <c r="G686" s="14"/>
    </row>
    <row r="687" spans="4:7" x14ac:dyDescent="0.35">
      <c r="D687" s="14"/>
      <c r="E687" s="14"/>
      <c r="F687" s="14"/>
      <c r="G687" s="14"/>
    </row>
    <row r="688" spans="4:7" x14ac:dyDescent="0.35">
      <c r="D688" s="14"/>
      <c r="E688" s="14"/>
      <c r="F688" s="14"/>
      <c r="G688" s="14"/>
    </row>
    <row r="689" spans="4:7" x14ac:dyDescent="0.35">
      <c r="D689" s="14"/>
      <c r="E689" s="14"/>
      <c r="F689" s="14"/>
      <c r="G689" s="14"/>
    </row>
    <row r="690" spans="4:7" x14ac:dyDescent="0.35">
      <c r="D690" s="14"/>
      <c r="E690" s="14"/>
      <c r="F690" s="14"/>
      <c r="G690" s="14"/>
    </row>
    <row r="691" spans="4:7" x14ac:dyDescent="0.35">
      <c r="D691" s="14"/>
      <c r="E691" s="14"/>
      <c r="F691" s="14"/>
      <c r="G691" s="14"/>
    </row>
    <row r="692" spans="4:7" x14ac:dyDescent="0.35">
      <c r="D692" s="14"/>
      <c r="E692" s="14"/>
      <c r="F692" s="14"/>
      <c r="G692" s="14"/>
    </row>
    <row r="693" spans="4:7" x14ac:dyDescent="0.35">
      <c r="D693" s="14"/>
      <c r="E693" s="14"/>
      <c r="F693" s="14"/>
      <c r="G693" s="14"/>
    </row>
    <row r="694" spans="4:7" x14ac:dyDescent="0.35">
      <c r="D694" s="14"/>
      <c r="E694" s="14"/>
      <c r="F694" s="14"/>
      <c r="G694" s="14"/>
    </row>
    <row r="695" spans="4:7" x14ac:dyDescent="0.35">
      <c r="D695" s="14"/>
      <c r="E695" s="14"/>
      <c r="F695" s="14"/>
      <c r="G695" s="14"/>
    </row>
    <row r="696" spans="4:7" x14ac:dyDescent="0.35">
      <c r="D696" s="14"/>
      <c r="E696" s="14"/>
      <c r="F696" s="14"/>
      <c r="G696" s="14"/>
    </row>
    <row r="697" spans="4:7" x14ac:dyDescent="0.35">
      <c r="D697" s="14"/>
      <c r="E697" s="14"/>
      <c r="F697" s="14"/>
      <c r="G697" s="14"/>
    </row>
    <row r="698" spans="4:7" x14ac:dyDescent="0.35">
      <c r="D698" s="25"/>
      <c r="E698" s="25"/>
      <c r="F698" s="25"/>
      <c r="G698" s="25"/>
    </row>
    <row r="699" spans="4:7" x14ac:dyDescent="0.35">
      <c r="D699" s="25"/>
      <c r="E699" s="25"/>
      <c r="F699" s="25"/>
      <c r="G699" s="25"/>
    </row>
    <row r="700" spans="4:7" x14ac:dyDescent="0.35">
      <c r="D700" s="25"/>
      <c r="E700" s="25"/>
      <c r="F700" s="25"/>
      <c r="G700" s="25"/>
    </row>
    <row r="701" spans="4:7" x14ac:dyDescent="0.35">
      <c r="D701" s="25"/>
      <c r="E701" s="25"/>
      <c r="F701" s="25"/>
      <c r="G701" s="25"/>
    </row>
    <row r="702" spans="4:7" x14ac:dyDescent="0.35">
      <c r="D702" s="25"/>
      <c r="E702" s="25"/>
      <c r="F702" s="25"/>
      <c r="G702" s="25"/>
    </row>
    <row r="704" spans="4:7" x14ac:dyDescent="0.35">
      <c r="D704" s="16"/>
      <c r="E704" s="16"/>
      <c r="F704" s="16"/>
      <c r="G704" s="16"/>
    </row>
  </sheetData>
  <mergeCells count="1">
    <mergeCell ref="I2:N3"/>
  </mergeCells>
  <hyperlinks>
    <hyperlink ref="C6" r:id="rId1" xr:uid="{00000000-0004-0000-0600-000000000000}"/>
    <hyperlink ref="C7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3"/>
  <sheetViews>
    <sheetView topLeftCell="A22" workbookViewId="0">
      <selection activeCell="D44" sqref="D44"/>
    </sheetView>
  </sheetViews>
  <sheetFormatPr defaultRowHeight="14.5" x14ac:dyDescent="0.35"/>
  <cols>
    <col min="1" max="1" width="8.1796875" customWidth="1"/>
    <col min="2" max="2" width="9.81640625" customWidth="1"/>
    <col min="3" max="3" width="7.81640625" customWidth="1"/>
    <col min="4" max="4" width="6.26953125" customWidth="1"/>
    <col min="5" max="5" width="8.1796875" customWidth="1"/>
    <col min="6" max="6" width="8.453125" customWidth="1"/>
    <col min="7" max="7" width="6.453125" customWidth="1"/>
    <col min="8" max="8" width="8" customWidth="1"/>
    <col min="9" max="9" width="11.453125" customWidth="1"/>
    <col min="10" max="10" width="9.7265625" customWidth="1"/>
    <col min="11" max="11" width="10.54296875" customWidth="1"/>
    <col min="12" max="12" width="11.81640625" customWidth="1"/>
    <col min="13" max="13" width="12.54296875" customWidth="1"/>
    <col min="15" max="16" width="10.81640625" customWidth="1"/>
    <col min="18" max="18" width="12.1796875" customWidth="1"/>
    <col min="28" max="28" width="11.1796875" customWidth="1"/>
    <col min="29" max="29" width="16.26953125" customWidth="1"/>
    <col min="30" max="30" width="12.453125" customWidth="1"/>
    <col min="31" max="31" width="11.1796875" customWidth="1"/>
  </cols>
  <sheetData>
    <row r="1" spans="1:20" ht="21" x14ac:dyDescent="0.5">
      <c r="A1" s="21" t="s">
        <v>297</v>
      </c>
      <c r="I1" t="s">
        <v>129</v>
      </c>
    </row>
    <row r="2" spans="1:20" x14ac:dyDescent="0.35">
      <c r="I2" t="s">
        <v>96</v>
      </c>
      <c r="J2" t="s">
        <v>100</v>
      </c>
      <c r="K2">
        <v>1976</v>
      </c>
      <c r="L2" s="7" t="s">
        <v>101</v>
      </c>
    </row>
    <row r="3" spans="1:20" x14ac:dyDescent="0.35">
      <c r="A3" t="s">
        <v>0</v>
      </c>
      <c r="I3" t="s">
        <v>148</v>
      </c>
    </row>
    <row r="5" spans="1:20" x14ac:dyDescent="0.35">
      <c r="B5" s="10" t="s">
        <v>6</v>
      </c>
      <c r="C5" s="10" t="s">
        <v>6</v>
      </c>
      <c r="D5" s="10" t="s">
        <v>7</v>
      </c>
      <c r="E5" s="10" t="s">
        <v>7</v>
      </c>
      <c r="F5" s="10" t="s">
        <v>6</v>
      </c>
      <c r="G5" s="231" t="s">
        <v>7</v>
      </c>
      <c r="I5" s="10" t="s">
        <v>6</v>
      </c>
      <c r="J5" s="10" t="s">
        <v>6</v>
      </c>
      <c r="K5" s="10" t="s">
        <v>6</v>
      </c>
      <c r="L5" s="10" t="s">
        <v>6</v>
      </c>
      <c r="M5" s="10" t="s">
        <v>6</v>
      </c>
      <c r="N5" s="10" t="s">
        <v>7</v>
      </c>
      <c r="O5" s="10" t="s">
        <v>7</v>
      </c>
      <c r="P5" s="10" t="s">
        <v>7</v>
      </c>
      <c r="Q5" s="10" t="s">
        <v>6</v>
      </c>
      <c r="R5" s="10" t="s">
        <v>6</v>
      </c>
    </row>
    <row r="6" spans="1:20" x14ac:dyDescent="0.35">
      <c r="A6" t="s">
        <v>93</v>
      </c>
      <c r="B6" s="2">
        <v>1.8829319458613537E-3</v>
      </c>
      <c r="C6" s="2">
        <v>8.6597274205897417E-4</v>
      </c>
      <c r="D6" s="2">
        <v>1.7559741296949499E-3</v>
      </c>
      <c r="E6" s="2">
        <v>1.4755511164947564E-3</v>
      </c>
      <c r="F6" s="2">
        <v>1.1282761957000656E-3</v>
      </c>
      <c r="G6" s="2">
        <v>1.4217412259620202E-3</v>
      </c>
      <c r="I6">
        <v>1.1951527573237247E-3</v>
      </c>
      <c r="J6">
        <v>1.2114659293465057E-3</v>
      </c>
      <c r="K6">
        <v>9.8880851648960461E-3</v>
      </c>
      <c r="L6">
        <v>3.0046346447551273E-3</v>
      </c>
      <c r="M6">
        <v>8.1579996421969544E-3</v>
      </c>
      <c r="N6">
        <v>5.3078488319673843E-3</v>
      </c>
      <c r="O6">
        <v>5.6569825152913015E-3</v>
      </c>
      <c r="P6">
        <v>4.163057949611592E-3</v>
      </c>
      <c r="Q6">
        <v>6.3715298454789099E-3</v>
      </c>
      <c r="R6">
        <v>5.7820526517672419E-3</v>
      </c>
    </row>
    <row r="7" spans="1:20" x14ac:dyDescent="0.35">
      <c r="A7" t="s">
        <v>94</v>
      </c>
      <c r="B7" s="2">
        <v>0.10231632828002531</v>
      </c>
      <c r="C7" s="2">
        <v>0.11301325190323062</v>
      </c>
      <c r="D7" s="2">
        <v>0.13163644042238962</v>
      </c>
      <c r="E7" s="2">
        <v>0.11880483761564896</v>
      </c>
      <c r="F7" s="2">
        <v>8.9123750560194823E-2</v>
      </c>
      <c r="G7" s="2">
        <v>0.11097892175629787</v>
      </c>
      <c r="I7">
        <v>2.2417026013698629E-2</v>
      </c>
      <c r="J7">
        <v>1.3996388815946547E-2</v>
      </c>
      <c r="K7">
        <v>5.4626593831747089E-2</v>
      </c>
      <c r="L7">
        <v>6.3317330082728593E-2</v>
      </c>
      <c r="M7">
        <v>4.5914126295524701E-2</v>
      </c>
      <c r="N7">
        <v>4.9453566964508838E-2</v>
      </c>
      <c r="O7">
        <v>4.5386909910329447E-2</v>
      </c>
      <c r="P7">
        <v>4.8607351426548956E-2</v>
      </c>
      <c r="Q7">
        <v>3.9789396875807383E-2</v>
      </c>
      <c r="R7">
        <v>3.5573356211626023E-2</v>
      </c>
    </row>
    <row r="8" spans="1:20" x14ac:dyDescent="0.35">
      <c r="A8" t="s">
        <v>95</v>
      </c>
      <c r="B8" s="2">
        <v>2.453065870830707E-2</v>
      </c>
      <c r="C8" s="2">
        <v>3.6988409543587099E-2</v>
      </c>
      <c r="D8" s="2">
        <v>3.3344846617628189E-2</v>
      </c>
      <c r="E8" s="2">
        <v>3.2069154770437619E-2</v>
      </c>
      <c r="F8" s="2">
        <v>2.5352092019544137E-2</v>
      </c>
      <c r="G8" s="2">
        <v>3.0457032331900825E-2</v>
      </c>
      <c r="I8">
        <v>7.3884568887322847E-3</v>
      </c>
      <c r="J8">
        <v>4.0894242560586174E-3</v>
      </c>
      <c r="K8">
        <v>8.970006639540536E-3</v>
      </c>
      <c r="L8">
        <v>1.0110935177334888E-2</v>
      </c>
      <c r="M8">
        <v>1.0366003452291708E-2</v>
      </c>
      <c r="N8">
        <v>1.1435070468869575E-2</v>
      </c>
      <c r="O8">
        <v>1.1348911640715678E-2</v>
      </c>
      <c r="P8">
        <v>1.0179804826839825E-2</v>
      </c>
      <c r="Q8">
        <v>8.9923883223284977E-3</v>
      </c>
      <c r="R8">
        <v>9.1620066959309347E-3</v>
      </c>
    </row>
    <row r="10" spans="1:20" x14ac:dyDescent="0.35">
      <c r="T10">
        <v>96</v>
      </c>
    </row>
    <row r="11" spans="1:20" x14ac:dyDescent="0.35">
      <c r="T11">
        <v>45</v>
      </c>
    </row>
    <row r="12" spans="1:20" x14ac:dyDescent="0.35">
      <c r="H12" s="14">
        <v>1.4217412259620202E-3</v>
      </c>
      <c r="T12">
        <v>15</v>
      </c>
    </row>
    <row r="13" spans="1:20" x14ac:dyDescent="0.35">
      <c r="A13" t="s">
        <v>93</v>
      </c>
      <c r="B13" t="s">
        <v>94</v>
      </c>
      <c r="C13" t="s">
        <v>95</v>
      </c>
      <c r="D13" t="s">
        <v>13</v>
      </c>
      <c r="E13" t="s">
        <v>14</v>
      </c>
      <c r="H13" s="14">
        <v>0.11097892175629787</v>
      </c>
      <c r="T13">
        <v>132</v>
      </c>
    </row>
    <row r="14" spans="1:20" x14ac:dyDescent="0.35">
      <c r="A14">
        <v>1.8829319458613537E-3</v>
      </c>
      <c r="B14">
        <v>0.10231632828002531</v>
      </c>
      <c r="C14">
        <v>2.453065870830707E-2</v>
      </c>
      <c r="D14" t="s">
        <v>6</v>
      </c>
      <c r="E14" t="s">
        <v>15</v>
      </c>
      <c r="H14" s="14">
        <v>3.0457032331900825E-2</v>
      </c>
      <c r="T14">
        <v>15</v>
      </c>
    </row>
    <row r="15" spans="1:20" x14ac:dyDescent="0.35">
      <c r="A15">
        <v>8.6597274205897417E-4</v>
      </c>
      <c r="B15">
        <v>0.11301325190323062</v>
      </c>
      <c r="C15">
        <v>3.6988409543587099E-2</v>
      </c>
      <c r="D15" t="s">
        <v>6</v>
      </c>
      <c r="E15" t="s">
        <v>15</v>
      </c>
    </row>
    <row r="16" spans="1:20" x14ac:dyDescent="0.35">
      <c r="A16">
        <v>1.7559741296949499E-3</v>
      </c>
      <c r="B16">
        <v>0.13163644042238962</v>
      </c>
      <c r="C16">
        <v>3.3344846617628189E-2</v>
      </c>
      <c r="D16" t="s">
        <v>7</v>
      </c>
      <c r="E16" t="s">
        <v>15</v>
      </c>
    </row>
    <row r="17" spans="1:5" x14ac:dyDescent="0.35">
      <c r="A17">
        <v>1.4755511164947564E-3</v>
      </c>
      <c r="B17">
        <v>0.11880483761564896</v>
      </c>
      <c r="C17">
        <v>3.2069154770437619E-2</v>
      </c>
      <c r="D17" t="s">
        <v>7</v>
      </c>
      <c r="E17" t="s">
        <v>15</v>
      </c>
    </row>
    <row r="18" spans="1:5" x14ac:dyDescent="0.35">
      <c r="A18">
        <v>1.1282761957000656E-3</v>
      </c>
      <c r="B18">
        <v>8.9123750560194823E-2</v>
      </c>
      <c r="C18">
        <v>2.5352092019544137E-2</v>
      </c>
      <c r="D18" t="s">
        <v>6</v>
      </c>
      <c r="E18" t="s">
        <v>15</v>
      </c>
    </row>
    <row r="19" spans="1:5" x14ac:dyDescent="0.35">
      <c r="A19">
        <v>1.1951527573237247E-3</v>
      </c>
      <c r="B19">
        <v>2.2417026013698629E-2</v>
      </c>
      <c r="C19">
        <v>7.3884568887322847E-3</v>
      </c>
      <c r="D19" t="s">
        <v>6</v>
      </c>
      <c r="E19" t="s">
        <v>16</v>
      </c>
    </row>
    <row r="20" spans="1:5" x14ac:dyDescent="0.35">
      <c r="A20">
        <v>1.2114659293465057E-3</v>
      </c>
      <c r="B20">
        <v>1.3996388815946547E-2</v>
      </c>
      <c r="C20">
        <v>4.0894242560586174E-3</v>
      </c>
      <c r="D20" t="s">
        <v>6</v>
      </c>
      <c r="E20" t="s">
        <v>16</v>
      </c>
    </row>
    <row r="21" spans="1:5" x14ac:dyDescent="0.35">
      <c r="A21">
        <v>9.8880851648960461E-3</v>
      </c>
      <c r="B21">
        <v>5.4626593831747089E-2</v>
      </c>
      <c r="C21">
        <v>8.970006639540536E-3</v>
      </c>
      <c r="D21" t="s">
        <v>6</v>
      </c>
      <c r="E21" t="s">
        <v>16</v>
      </c>
    </row>
    <row r="22" spans="1:5" x14ac:dyDescent="0.35">
      <c r="A22">
        <v>3.0046346447551273E-3</v>
      </c>
      <c r="B22">
        <v>6.3317330082728593E-2</v>
      </c>
      <c r="C22">
        <v>1.0110935177334888E-2</v>
      </c>
      <c r="D22" t="s">
        <v>6</v>
      </c>
      <c r="E22" t="s">
        <v>16</v>
      </c>
    </row>
    <row r="23" spans="1:5" x14ac:dyDescent="0.35">
      <c r="A23">
        <v>8.1579996421969544E-3</v>
      </c>
      <c r="B23">
        <v>4.5914126295524701E-2</v>
      </c>
      <c r="C23">
        <v>1.0366003452291708E-2</v>
      </c>
      <c r="D23" t="s">
        <v>6</v>
      </c>
      <c r="E23" t="s">
        <v>16</v>
      </c>
    </row>
    <row r="24" spans="1:5" x14ac:dyDescent="0.35">
      <c r="A24">
        <v>5.3078488319673843E-3</v>
      </c>
      <c r="B24">
        <v>4.9453566964508838E-2</v>
      </c>
      <c r="C24">
        <v>1.1435070468869575E-2</v>
      </c>
      <c r="D24" t="s">
        <v>7</v>
      </c>
      <c r="E24" t="s">
        <v>16</v>
      </c>
    </row>
    <row r="25" spans="1:5" x14ac:dyDescent="0.35">
      <c r="A25">
        <v>5.6569825152913015E-3</v>
      </c>
      <c r="B25">
        <v>4.5386909910329447E-2</v>
      </c>
      <c r="C25">
        <v>1.1348911640715678E-2</v>
      </c>
      <c r="D25" t="s">
        <v>7</v>
      </c>
      <c r="E25" t="s">
        <v>16</v>
      </c>
    </row>
    <row r="26" spans="1:5" x14ac:dyDescent="0.35">
      <c r="A26">
        <v>4.163057949611592E-3</v>
      </c>
      <c r="B26">
        <v>4.8607351426548956E-2</v>
      </c>
      <c r="C26">
        <v>1.0179804826839825E-2</v>
      </c>
      <c r="D26" t="s">
        <v>7</v>
      </c>
      <c r="E26" t="s">
        <v>16</v>
      </c>
    </row>
    <row r="27" spans="1:5" x14ac:dyDescent="0.35">
      <c r="A27">
        <v>6.3715298454789099E-3</v>
      </c>
      <c r="B27">
        <v>3.9789396875807383E-2</v>
      </c>
      <c r="C27">
        <v>8.9923883223284977E-3</v>
      </c>
      <c r="D27" t="s">
        <v>6</v>
      </c>
      <c r="E27" t="s">
        <v>16</v>
      </c>
    </row>
    <row r="28" spans="1:5" x14ac:dyDescent="0.35">
      <c r="A28">
        <v>5.7820526517672419E-3</v>
      </c>
      <c r="B28">
        <v>3.5573356211626023E-2</v>
      </c>
      <c r="C28">
        <v>9.1620066959309347E-3</v>
      </c>
      <c r="D28" t="s">
        <v>6</v>
      </c>
      <c r="E28" t="s">
        <v>16</v>
      </c>
    </row>
    <row r="31" spans="1:5" x14ac:dyDescent="0.35">
      <c r="A31" s="6" t="s">
        <v>38</v>
      </c>
      <c r="B31" s="6" t="s">
        <v>109</v>
      </c>
      <c r="C31">
        <v>584.66999999999996</v>
      </c>
      <c r="D31" t="s">
        <v>111</v>
      </c>
    </row>
    <row r="32" spans="1:5" x14ac:dyDescent="0.35">
      <c r="A32" s="6"/>
      <c r="B32" s="6" t="s">
        <v>110</v>
      </c>
      <c r="C32">
        <v>584.66999999999996</v>
      </c>
      <c r="D32" t="s">
        <v>111</v>
      </c>
    </row>
    <row r="34" spans="1:24" x14ac:dyDescent="0.35">
      <c r="A34" t="s">
        <v>15</v>
      </c>
    </row>
    <row r="35" spans="1:24" x14ac:dyDescent="0.35">
      <c r="A35" s="6" t="s">
        <v>104</v>
      </c>
      <c r="B35" s="298" t="s">
        <v>106</v>
      </c>
      <c r="C35" s="298"/>
      <c r="E35" s="6" t="s">
        <v>105</v>
      </c>
      <c r="F35" s="298" t="s">
        <v>107</v>
      </c>
      <c r="G35" s="298"/>
      <c r="H35" s="192" t="s">
        <v>109</v>
      </c>
      <c r="I35" s="298" t="s">
        <v>112</v>
      </c>
      <c r="J35" s="298"/>
      <c r="K35" s="298" t="s">
        <v>114</v>
      </c>
      <c r="L35" s="298"/>
      <c r="M35" s="6" t="s">
        <v>115</v>
      </c>
      <c r="N35" s="192" t="s">
        <v>110</v>
      </c>
      <c r="O35" s="298" t="s">
        <v>113</v>
      </c>
      <c r="P35" s="298"/>
      <c r="Q35" s="298" t="s">
        <v>116</v>
      </c>
      <c r="R35" s="298"/>
      <c r="S35" s="6" t="s">
        <v>117</v>
      </c>
      <c r="T35" s="6" t="s">
        <v>316</v>
      </c>
      <c r="U35" s="6" t="s">
        <v>317</v>
      </c>
      <c r="V35" s="6" t="s">
        <v>318</v>
      </c>
      <c r="W35" s="6" t="s">
        <v>319</v>
      </c>
    </row>
    <row r="36" spans="1:24" x14ac:dyDescent="0.35">
      <c r="A36" t="s">
        <v>93</v>
      </c>
      <c r="B36" s="2">
        <f>AVERAGE(B6:F6)</f>
        <v>1.4217412259620202E-3</v>
      </c>
      <c r="C36" t="s">
        <v>37</v>
      </c>
      <c r="D36" s="13">
        <f>B36/$B$39</f>
        <v>9.9521500947880037E-3</v>
      </c>
      <c r="E36">
        <f>'PBP equations'!W27</f>
        <v>37511.641000000003</v>
      </c>
      <c r="F36" s="12">
        <f>B36/E36</f>
        <v>3.7901333774281433E-8</v>
      </c>
      <c r="G36" t="s">
        <v>108</v>
      </c>
      <c r="H36" s="193">
        <v>2</v>
      </c>
      <c r="I36">
        <f>F36*H36</f>
        <v>7.5802667548562866E-8</v>
      </c>
      <c r="J36" t="s">
        <v>108</v>
      </c>
      <c r="K36" s="11">
        <f>I36*$C$31</f>
        <v>4.4319545635618245E-5</v>
      </c>
      <c r="L36" t="s">
        <v>37</v>
      </c>
      <c r="M36" s="14">
        <f>K36/B36</f>
        <v>3.1172723155459922E-2</v>
      </c>
      <c r="N36" s="193">
        <v>1</v>
      </c>
      <c r="O36" s="12">
        <f>F36*N36</f>
        <v>3.7901333774281433E-8</v>
      </c>
      <c r="P36" t="s">
        <v>108</v>
      </c>
      <c r="Q36" s="11">
        <f>O36*$C$32</f>
        <v>2.2159772817809122E-5</v>
      </c>
      <c r="R36" t="s">
        <v>37</v>
      </c>
      <c r="S36" s="14">
        <f>Q36/B36</f>
        <v>1.5586361577729961E-2</v>
      </c>
      <c r="X36" s="13"/>
    </row>
    <row r="37" spans="1:24" x14ac:dyDescent="0.35">
      <c r="A37" t="s">
        <v>94</v>
      </c>
      <c r="B37" s="2">
        <f>AVERAGE(B7:F7)</f>
        <v>0.11097892175629787</v>
      </c>
      <c r="C37" t="s">
        <v>37</v>
      </c>
      <c r="D37" s="13">
        <f>B37/$B$39</f>
        <v>0.77684944806257927</v>
      </c>
      <c r="E37">
        <f>'PBP equations'!W56</f>
        <v>37618.763999999996</v>
      </c>
      <c r="F37" s="12">
        <f>B37/E37</f>
        <v>2.9500948451229784E-6</v>
      </c>
      <c r="G37" t="s">
        <v>108</v>
      </c>
      <c r="H37" s="193">
        <v>3</v>
      </c>
      <c r="I37">
        <f>F37*H37</f>
        <v>8.8502845353689346E-6</v>
      </c>
      <c r="J37" t="s">
        <v>108</v>
      </c>
      <c r="K37" s="11">
        <f>I37*$C$31</f>
        <v>5.1744958592941544E-3</v>
      </c>
      <c r="L37" t="s">
        <v>37</v>
      </c>
      <c r="M37" s="14">
        <f>K37/B37</f>
        <v>4.6625933802609779E-2</v>
      </c>
      <c r="N37" s="193">
        <v>0</v>
      </c>
      <c r="O37" s="12">
        <f>F37*N37</f>
        <v>0</v>
      </c>
      <c r="P37" t="s">
        <v>108</v>
      </c>
      <c r="Q37" s="11">
        <f>O37*$C$32</f>
        <v>0</v>
      </c>
      <c r="R37" t="s">
        <v>37</v>
      </c>
      <c r="S37" s="14">
        <f>Q37/B37</f>
        <v>0</v>
      </c>
      <c r="X37" s="13"/>
    </row>
    <row r="38" spans="1:24" x14ac:dyDescent="0.35">
      <c r="A38" t="s">
        <v>95</v>
      </c>
      <c r="B38" s="2">
        <f>AVERAGE(B8:F8)</f>
        <v>3.0457032331900825E-2</v>
      </c>
      <c r="C38" t="s">
        <v>37</v>
      </c>
      <c r="D38" s="13">
        <f>B38/$B$39</f>
        <v>0.21319840184263272</v>
      </c>
      <c r="E38">
        <f>'PBP equations'!W85</f>
        <v>35839.171999999999</v>
      </c>
      <c r="F38" s="12">
        <f>B38/E38</f>
        <v>8.4982522285673413E-7</v>
      </c>
      <c r="G38" t="s">
        <v>108</v>
      </c>
      <c r="H38" s="193">
        <v>2</v>
      </c>
      <c r="I38">
        <f>F38*H38</f>
        <v>1.6996504457134683E-6</v>
      </c>
      <c r="J38" t="s">
        <v>108</v>
      </c>
      <c r="K38" s="11">
        <f>I38*$C$31</f>
        <v>9.9373462609529347E-4</v>
      </c>
      <c r="L38" t="s">
        <v>37</v>
      </c>
      <c r="M38" s="14">
        <f>K38/B38</f>
        <v>3.2627427888121972E-2</v>
      </c>
      <c r="N38" s="193">
        <v>0</v>
      </c>
      <c r="O38" s="12">
        <f>F38*N38</f>
        <v>0</v>
      </c>
      <c r="P38" t="s">
        <v>108</v>
      </c>
      <c r="Q38" s="11">
        <f>O38*$C$32</f>
        <v>0</v>
      </c>
      <c r="R38" t="s">
        <v>37</v>
      </c>
      <c r="S38" s="14">
        <f>Q38/B38</f>
        <v>0</v>
      </c>
      <c r="X38" s="13"/>
    </row>
    <row r="39" spans="1:24" x14ac:dyDescent="0.35">
      <c r="B39" s="2">
        <f>SUM(B36:B38)</f>
        <v>0.1428576953141607</v>
      </c>
      <c r="H39" s="193"/>
      <c r="I39" s="193"/>
      <c r="T39" s="11">
        <f>SUM(K36:K38)</f>
        <v>6.212550031025066E-3</v>
      </c>
      <c r="U39" s="11">
        <f>SUM(Q36:Q38)</f>
        <v>2.2159772817809122E-5</v>
      </c>
      <c r="V39" s="14">
        <f>T39/B39</f>
        <v>4.3487682041649524E-2</v>
      </c>
      <c r="W39" s="14">
        <f>U39/B39</f>
        <v>1.5511780985320533E-4</v>
      </c>
    </row>
    <row r="40" spans="1:24" x14ac:dyDescent="0.35">
      <c r="H40" s="193"/>
      <c r="I40" s="193"/>
      <c r="V40" s="14">
        <f>T39/SUM(T39:U39)</f>
        <v>0.99644574109862338</v>
      </c>
      <c r="W40" s="14">
        <f>U39/SUM(T39:U39)</f>
        <v>3.554258901376701E-3</v>
      </c>
    </row>
    <row r="41" spans="1:24" x14ac:dyDescent="0.35">
      <c r="A41" t="s">
        <v>16</v>
      </c>
      <c r="H41" s="193"/>
      <c r="I41" s="193"/>
    </row>
    <row r="42" spans="1:24" x14ac:dyDescent="0.35">
      <c r="A42" s="6" t="s">
        <v>104</v>
      </c>
      <c r="B42" s="298" t="s">
        <v>103</v>
      </c>
      <c r="C42" s="298"/>
      <c r="E42" s="6" t="s">
        <v>105</v>
      </c>
      <c r="F42" s="192" t="s">
        <v>107</v>
      </c>
      <c r="G42" s="192"/>
      <c r="H42" s="192" t="s">
        <v>109</v>
      </c>
      <c r="I42" s="298" t="s">
        <v>112</v>
      </c>
      <c r="J42" s="298"/>
      <c r="K42" s="298" t="s">
        <v>114</v>
      </c>
      <c r="L42" s="298"/>
      <c r="M42" s="6" t="s">
        <v>115</v>
      </c>
      <c r="N42" s="192" t="s">
        <v>110</v>
      </c>
      <c r="O42" s="298" t="s">
        <v>113</v>
      </c>
      <c r="P42" s="298"/>
      <c r="Q42" s="298" t="s">
        <v>116</v>
      </c>
      <c r="R42" s="298"/>
      <c r="S42" s="6" t="s">
        <v>117</v>
      </c>
      <c r="T42" s="6" t="s">
        <v>316</v>
      </c>
      <c r="U42" s="6" t="s">
        <v>317</v>
      </c>
      <c r="V42" s="6" t="s">
        <v>318</v>
      </c>
      <c r="W42" s="6" t="s">
        <v>319</v>
      </c>
    </row>
    <row r="43" spans="1:24" x14ac:dyDescent="0.35">
      <c r="A43" t="s">
        <v>93</v>
      </c>
      <c r="B43" s="2">
        <f>AVERAGE(I6:R6)</f>
        <v>5.0738809932634795E-3</v>
      </c>
      <c r="C43" t="s">
        <v>37</v>
      </c>
      <c r="D43" s="13">
        <f>B43/$B$46</f>
        <v>9.0304454722391084E-2</v>
      </c>
      <c r="E43">
        <f>E36</f>
        <v>37511.641000000003</v>
      </c>
      <c r="F43" s="12">
        <f>B43/E43</f>
        <v>1.3526150437576108E-7</v>
      </c>
      <c r="G43" t="s">
        <v>108</v>
      </c>
      <c r="H43" s="193">
        <v>2</v>
      </c>
      <c r="I43">
        <f>F43*H43</f>
        <v>2.7052300875152217E-7</v>
      </c>
      <c r="J43" t="s">
        <v>108</v>
      </c>
      <c r="K43" s="11">
        <f>I43*$C$31</f>
        <v>1.5816668752675247E-4</v>
      </c>
      <c r="L43" t="s">
        <v>37</v>
      </c>
      <c r="M43" s="14">
        <f>K43/B43</f>
        <v>3.1172723155459922E-2</v>
      </c>
      <c r="N43" s="193">
        <v>1</v>
      </c>
      <c r="O43" s="12">
        <f>F43*N43</f>
        <v>1.3526150437576108E-7</v>
      </c>
      <c r="P43" t="s">
        <v>108</v>
      </c>
      <c r="Q43" s="11">
        <f>O43*$C$32</f>
        <v>7.9083343763376233E-5</v>
      </c>
      <c r="R43" t="s">
        <v>37</v>
      </c>
      <c r="S43" s="14">
        <f>Q43/B43</f>
        <v>1.5586361577729961E-2</v>
      </c>
    </row>
    <row r="44" spans="1:24" x14ac:dyDescent="0.35">
      <c r="A44" t="s">
        <v>94</v>
      </c>
      <c r="B44" s="2">
        <f>AVERAGE(I7:R7)</f>
        <v>4.1908204642846628E-2</v>
      </c>
      <c r="C44" t="s">
        <v>37</v>
      </c>
      <c r="D44" s="13">
        <f>B44/$B$46</f>
        <v>0.74587826827063286</v>
      </c>
      <c r="E44">
        <f t="shared" ref="E44:E45" si="0">E37</f>
        <v>37618.763999999996</v>
      </c>
      <c r="F44" s="12">
        <f>B44/E44</f>
        <v>1.1140239653500214E-6</v>
      </c>
      <c r="G44" t="s">
        <v>108</v>
      </c>
      <c r="H44" s="193">
        <v>3</v>
      </c>
      <c r="I44">
        <f>F44*H44</f>
        <v>3.3420718960500642E-6</v>
      </c>
      <c r="J44" t="s">
        <v>108</v>
      </c>
      <c r="K44" s="11">
        <f>I44*$C$31</f>
        <v>1.9540091754635907E-3</v>
      </c>
      <c r="L44" t="s">
        <v>37</v>
      </c>
      <c r="M44" s="14">
        <f>K44/B44</f>
        <v>4.6625933802609779E-2</v>
      </c>
      <c r="N44" s="193">
        <v>0</v>
      </c>
      <c r="O44" s="12">
        <f>F44*N44</f>
        <v>0</v>
      </c>
      <c r="P44" t="s">
        <v>108</v>
      </c>
      <c r="Q44" s="11">
        <f>O44*$C$32</f>
        <v>0</v>
      </c>
      <c r="R44" t="s">
        <v>37</v>
      </c>
      <c r="S44" s="14">
        <f>Q44/B44</f>
        <v>0</v>
      </c>
    </row>
    <row r="45" spans="1:24" x14ac:dyDescent="0.35">
      <c r="A45" t="s">
        <v>95</v>
      </c>
      <c r="B45" s="2">
        <f>AVERAGE(I8:R8)</f>
        <v>9.2043008368642536E-3</v>
      </c>
      <c r="C45" t="s">
        <v>37</v>
      </c>
      <c r="D45" s="13">
        <f>B45/$B$46</f>
        <v>0.16381727700697607</v>
      </c>
      <c r="E45">
        <f t="shared" si="0"/>
        <v>35839.171999999999</v>
      </c>
      <c r="F45" s="12">
        <f>B45/E45</f>
        <v>2.5682236288450678E-7</v>
      </c>
      <c r="G45" t="s">
        <v>108</v>
      </c>
      <c r="H45" s="193">
        <v>2</v>
      </c>
      <c r="I45">
        <f>F45*H45</f>
        <v>5.1364472576901356E-7</v>
      </c>
      <c r="J45" t="s">
        <v>108</v>
      </c>
      <c r="K45" s="11">
        <f>I45*$C$31</f>
        <v>3.0031266181536912E-4</v>
      </c>
      <c r="L45" t="s">
        <v>37</v>
      </c>
      <c r="M45" s="14">
        <f>K45/B45</f>
        <v>3.2627427888121965E-2</v>
      </c>
      <c r="N45" s="193">
        <v>0</v>
      </c>
      <c r="O45" s="12">
        <f>F45*N45</f>
        <v>0</v>
      </c>
      <c r="P45" t="s">
        <v>108</v>
      </c>
      <c r="Q45" s="11">
        <f>O45*$C$32</f>
        <v>0</v>
      </c>
      <c r="R45" t="s">
        <v>37</v>
      </c>
      <c r="S45" s="14">
        <f>Q45/B45</f>
        <v>0</v>
      </c>
    </row>
    <row r="46" spans="1:24" x14ac:dyDescent="0.35">
      <c r="B46" s="2">
        <f>SUM(B43:B45)</f>
        <v>5.6186386472974359E-2</v>
      </c>
      <c r="T46" s="11">
        <f>SUM(K43:K45)</f>
        <v>2.4124885248057123E-3</v>
      </c>
      <c r="U46" s="11">
        <f>SUM(Q43:Q45)</f>
        <v>7.9083343763376233E-5</v>
      </c>
      <c r="V46" s="14">
        <f>T46/B46</f>
        <v>4.2937242920331221E-2</v>
      </c>
      <c r="W46" s="14">
        <f>U46/B46</f>
        <v>1.4075178833829313E-3</v>
      </c>
    </row>
    <row r="47" spans="1:24" x14ac:dyDescent="0.35">
      <c r="V47" s="14">
        <f>T46/SUM(T46:U46)</f>
        <v>0.96825965778430723</v>
      </c>
      <c r="W47" s="14">
        <f>U46/SUM(T46:U46)</f>
        <v>3.1740342215692885E-2</v>
      </c>
    </row>
    <row r="48" spans="1:24" x14ac:dyDescent="0.35">
      <c r="J48" t="s">
        <v>417</v>
      </c>
      <c r="N48" t="s">
        <v>418</v>
      </c>
    </row>
    <row r="49" spans="1:16" ht="39" customHeight="1" x14ac:dyDescent="0.35">
      <c r="A49" s="169" t="s">
        <v>414</v>
      </c>
      <c r="B49" s="170" t="s">
        <v>105</v>
      </c>
      <c r="C49" s="170" t="s">
        <v>109</v>
      </c>
      <c r="D49" s="170" t="s">
        <v>110</v>
      </c>
      <c r="E49" s="171" t="s">
        <v>115</v>
      </c>
      <c r="F49" s="171" t="s">
        <v>117</v>
      </c>
      <c r="J49" s="190" t="s">
        <v>414</v>
      </c>
      <c r="K49" s="190" t="s">
        <v>419</v>
      </c>
      <c r="L49" s="191" t="s">
        <v>420</v>
      </c>
      <c r="N49" s="190" t="s">
        <v>414</v>
      </c>
      <c r="O49" s="190" t="s">
        <v>419</v>
      </c>
      <c r="P49" s="191" t="s">
        <v>420</v>
      </c>
    </row>
    <row r="50" spans="1:16" x14ac:dyDescent="0.35">
      <c r="A50" s="172" t="s">
        <v>411</v>
      </c>
      <c r="B50" s="173">
        <v>36500</v>
      </c>
      <c r="C50" s="173">
        <v>2</v>
      </c>
      <c r="D50" s="173">
        <v>1</v>
      </c>
      <c r="E50" s="174">
        <v>3.2036712328767127E-2</v>
      </c>
      <c r="F50" s="174">
        <v>1.6018356164383563E-2</v>
      </c>
      <c r="G50" s="168"/>
      <c r="J50" t="s">
        <v>411</v>
      </c>
      <c r="K50" s="12">
        <f>F36</f>
        <v>3.7901333774281433E-8</v>
      </c>
      <c r="L50" s="14">
        <f>K50/$K$53</f>
        <v>9.8757419396742745E-3</v>
      </c>
      <c r="N50" t="s">
        <v>411</v>
      </c>
      <c r="O50" s="12">
        <f>F43</f>
        <v>1.3526150437576108E-7</v>
      </c>
      <c r="P50" s="14">
        <f>O50/$O$53</f>
        <v>8.9808645468189716E-2</v>
      </c>
    </row>
    <row r="51" spans="1:16" x14ac:dyDescent="0.35">
      <c r="A51" s="175" t="s">
        <v>413</v>
      </c>
      <c r="B51" s="176">
        <v>35900</v>
      </c>
      <c r="C51" s="176">
        <v>3</v>
      </c>
      <c r="D51" s="176">
        <v>0</v>
      </c>
      <c r="E51" s="177">
        <v>4.885821727019498E-2</v>
      </c>
      <c r="F51" s="177">
        <v>0</v>
      </c>
      <c r="G51" s="168"/>
      <c r="J51" t="s">
        <v>413</v>
      </c>
      <c r="K51" s="12">
        <f>F37</f>
        <v>2.9500948451229784E-6</v>
      </c>
      <c r="L51" s="14">
        <f>K51/$K$53</f>
        <v>0.76868997702047859</v>
      </c>
      <c r="N51" t="s">
        <v>413</v>
      </c>
      <c r="O51" s="12">
        <f>F44</f>
        <v>1.1140239653500214E-6</v>
      </c>
      <c r="P51" s="14">
        <f>O51/$O$53</f>
        <v>0.73967078666556474</v>
      </c>
    </row>
    <row r="52" spans="1:16" x14ac:dyDescent="0.35">
      <c r="A52" s="178" t="s">
        <v>412</v>
      </c>
      <c r="B52" s="179">
        <v>29800</v>
      </c>
      <c r="C52" s="179">
        <v>2</v>
      </c>
      <c r="D52" s="179">
        <v>0</v>
      </c>
      <c r="E52" s="180">
        <v>3.9239597315436241E-2</v>
      </c>
      <c r="F52" s="180">
        <v>0</v>
      </c>
      <c r="G52" s="168"/>
      <c r="J52" t="s">
        <v>412</v>
      </c>
      <c r="K52" s="12">
        <f>F38</f>
        <v>8.4982522285673413E-7</v>
      </c>
      <c r="L52" s="14">
        <f>K52/$K$53</f>
        <v>0.22143428103984716</v>
      </c>
      <c r="N52" t="s">
        <v>412</v>
      </c>
      <c r="O52" s="12">
        <f>F45</f>
        <v>2.5682236288450678E-7</v>
      </c>
      <c r="P52" s="14">
        <f>O52/$O$53</f>
        <v>0.17052056786624553</v>
      </c>
    </row>
    <row r="53" spans="1:16" x14ac:dyDescent="0.35">
      <c r="K53">
        <f>SUM(K50:K52)</f>
        <v>3.8378214017539939E-6</v>
      </c>
      <c r="O53">
        <f>SUM(O50:O52)</f>
        <v>1.5061078326102893E-6</v>
      </c>
    </row>
  </sheetData>
  <mergeCells count="11">
    <mergeCell ref="Q35:R35"/>
    <mergeCell ref="I42:J42"/>
    <mergeCell ref="K42:L42"/>
    <mergeCell ref="O42:P42"/>
    <mergeCell ref="Q42:R42"/>
    <mergeCell ref="O35:P35"/>
    <mergeCell ref="B35:C35"/>
    <mergeCell ref="B42:C42"/>
    <mergeCell ref="F35:G35"/>
    <mergeCell ref="I35:J35"/>
    <mergeCell ref="K35:L35"/>
  </mergeCells>
  <hyperlinks>
    <hyperlink ref="L2" r:id="rId1" xr:uid="{00000000-0004-0000-07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5"/>
  <sheetViews>
    <sheetView zoomScaleNormal="100" workbookViewId="0">
      <selection activeCell="C15" sqref="C15"/>
    </sheetView>
  </sheetViews>
  <sheetFormatPr defaultRowHeight="14.5" x14ac:dyDescent="0.35"/>
  <cols>
    <col min="1" max="1" width="21.81640625" customWidth="1"/>
    <col min="2" max="2" width="21.1796875" customWidth="1"/>
    <col min="3" max="3" width="20.81640625" customWidth="1"/>
    <col min="4" max="4" width="18.81640625" customWidth="1"/>
    <col min="5" max="5" width="20.453125" customWidth="1"/>
    <col min="6" max="6" width="16.26953125" customWidth="1"/>
    <col min="7" max="7" width="16.7265625" customWidth="1"/>
    <col min="8" max="8" width="15.453125" customWidth="1"/>
    <col min="9" max="9" width="18.7265625" customWidth="1"/>
    <col min="10" max="10" width="16.453125" customWidth="1"/>
    <col min="14" max="14" width="20.26953125" customWidth="1"/>
    <col min="15" max="15" width="16.453125" customWidth="1"/>
  </cols>
  <sheetData>
    <row r="1" spans="1:18" ht="18.5" x14ac:dyDescent="0.45">
      <c r="A1" s="239" t="s">
        <v>582</v>
      </c>
    </row>
    <row r="3" spans="1:18" x14ac:dyDescent="0.35">
      <c r="C3" s="6" t="s">
        <v>583</v>
      </c>
      <c r="D3" s="195"/>
      <c r="E3" s="6" t="s">
        <v>584</v>
      </c>
    </row>
    <row r="4" spans="1:18" x14ac:dyDescent="0.35">
      <c r="A4" s="6" t="s">
        <v>585</v>
      </c>
      <c r="B4" s="6" t="s">
        <v>586</v>
      </c>
      <c r="C4" s="195" t="s">
        <v>19</v>
      </c>
      <c r="D4" s="195" t="s">
        <v>587</v>
      </c>
      <c r="E4" s="195" t="s">
        <v>19</v>
      </c>
      <c r="F4" s="195" t="s">
        <v>587</v>
      </c>
      <c r="G4" t="s">
        <v>129</v>
      </c>
      <c r="H4" s="6" t="s">
        <v>588</v>
      </c>
    </row>
    <row r="5" spans="1:18" x14ac:dyDescent="0.35">
      <c r="A5" s="240" t="s">
        <v>124</v>
      </c>
      <c r="B5" s="241" t="s">
        <v>589</v>
      </c>
      <c r="C5">
        <f>AVERAGE(O8:O12)</f>
        <v>1.4101611369321757E-3</v>
      </c>
      <c r="D5" s="14">
        <f t="shared" ref="D5:D12" si="0">C5/C$21</f>
        <v>0.2711200616934179</v>
      </c>
      <c r="E5">
        <f>AVERAGE(O13:O22)</f>
        <v>1.0062646687471529E-2</v>
      </c>
      <c r="F5" s="14">
        <f t="shared" ref="F5:F12" si="1">E5/E$21</f>
        <v>0.6868948898384043</v>
      </c>
      <c r="G5" t="s">
        <v>590</v>
      </c>
      <c r="N5" s="6" t="s">
        <v>591</v>
      </c>
    </row>
    <row r="6" spans="1:18" x14ac:dyDescent="0.35">
      <c r="A6" s="242" t="s">
        <v>126</v>
      </c>
      <c r="B6" s="241" t="s">
        <v>592</v>
      </c>
      <c r="C6">
        <f>$B$38*C23</f>
        <v>1.3436538751851544E-3</v>
      </c>
      <c r="D6" s="14">
        <f t="shared" si="0"/>
        <v>0.25833325851492417</v>
      </c>
      <c r="E6">
        <f>$B$38*E23</f>
        <v>1.6868883299659533E-3</v>
      </c>
      <c r="F6" s="14">
        <f t="shared" si="1"/>
        <v>0.11515012000016936</v>
      </c>
    </row>
    <row r="7" spans="1:18" ht="29" x14ac:dyDescent="0.35">
      <c r="A7" s="242" t="s">
        <v>127</v>
      </c>
      <c r="B7" s="241" t="s">
        <v>593</v>
      </c>
      <c r="C7">
        <f>$G$38*C23</f>
        <v>6.7148012917421244E-5</v>
      </c>
      <c r="D7" s="14">
        <f t="shared" si="0"/>
        <v>1.290999512606571E-2</v>
      </c>
      <c r="E7">
        <f>$G$38*E23</f>
        <v>8.4300876485167962E-5</v>
      </c>
      <c r="F7" s="14">
        <f t="shared" si="1"/>
        <v>5.7545338781153756E-3</v>
      </c>
      <c r="N7" s="243" t="s">
        <v>594</v>
      </c>
      <c r="O7" s="243" t="s">
        <v>595</v>
      </c>
      <c r="P7" s="206" t="s">
        <v>13</v>
      </c>
      <c r="Q7" s="206" t="s">
        <v>14</v>
      </c>
      <c r="R7" s="206"/>
    </row>
    <row r="8" spans="1:18" x14ac:dyDescent="0.35">
      <c r="A8" s="242" t="s">
        <v>120</v>
      </c>
      <c r="B8" s="241" t="s">
        <v>596</v>
      </c>
      <c r="C8">
        <f>$F$38*C23</f>
        <v>9.9863115122990364E-4</v>
      </c>
      <c r="D8" s="14">
        <f t="shared" si="0"/>
        <v>0.19199858245947576</v>
      </c>
      <c r="E8">
        <f>$F$38*E23</f>
        <v>1.2537300461534827E-3</v>
      </c>
      <c r="F8" s="14">
        <f t="shared" si="1"/>
        <v>8.5581933728420059E-2</v>
      </c>
      <c r="N8" s="235">
        <v>2.3323983963158467E-3</v>
      </c>
      <c r="O8" s="235">
        <v>1.6566908170791896E-3</v>
      </c>
      <c r="P8" s="235" t="s">
        <v>6</v>
      </c>
      <c r="Q8" t="s">
        <v>597</v>
      </c>
    </row>
    <row r="9" spans="1:18" x14ac:dyDescent="0.35">
      <c r="A9" s="242" t="s">
        <v>128</v>
      </c>
      <c r="B9" s="241" t="s">
        <v>598</v>
      </c>
      <c r="C9">
        <f>$B49/1000</f>
        <v>2.5099999999999998E-4</v>
      </c>
      <c r="D9" s="14">
        <f t="shared" si="0"/>
        <v>4.8257701692938464E-2</v>
      </c>
      <c r="E9">
        <f>$B49/1000</f>
        <v>2.5099999999999998E-4</v>
      </c>
      <c r="F9" s="14">
        <f t="shared" si="1"/>
        <v>1.7133724625758632E-2</v>
      </c>
      <c r="G9" t="s">
        <v>599</v>
      </c>
      <c r="H9" s="7" t="s">
        <v>600</v>
      </c>
      <c r="N9" s="235">
        <v>3.211177077101281E-3</v>
      </c>
      <c r="O9" s="235">
        <v>1.3506002265327856E-3</v>
      </c>
      <c r="P9" s="235" t="s">
        <v>6</v>
      </c>
      <c r="Q9" t="s">
        <v>597</v>
      </c>
    </row>
    <row r="10" spans="1:18" x14ac:dyDescent="0.35">
      <c r="A10" s="242"/>
      <c r="B10" s="241" t="s">
        <v>601</v>
      </c>
      <c r="C10">
        <f>$B50/1000</f>
        <v>1.1E-5</v>
      </c>
      <c r="D10" s="14">
        <f t="shared" si="0"/>
        <v>2.1148793570610483E-3</v>
      </c>
      <c r="E10">
        <f>$B50/1000</f>
        <v>1.1E-5</v>
      </c>
      <c r="F10" s="14">
        <f t="shared" si="1"/>
        <v>7.5088036208503968E-4</v>
      </c>
      <c r="G10" t="s">
        <v>602</v>
      </c>
      <c r="H10" s="7" t="s">
        <v>603</v>
      </c>
      <c r="N10" s="235">
        <v>3.5915251900718852E-3</v>
      </c>
      <c r="O10" s="235">
        <v>1.4788633135590114E-3</v>
      </c>
      <c r="P10" s="235" t="s">
        <v>7</v>
      </c>
      <c r="Q10" t="s">
        <v>597</v>
      </c>
    </row>
    <row r="11" spans="1:18" x14ac:dyDescent="0.35">
      <c r="A11" s="242"/>
      <c r="B11" s="241" t="s">
        <v>604</v>
      </c>
      <c r="C11">
        <f>$B51/1000</f>
        <v>1.1E-5</v>
      </c>
      <c r="D11" s="14">
        <f t="shared" si="0"/>
        <v>2.1148793570610483E-3</v>
      </c>
      <c r="E11">
        <f>$B51/1000</f>
        <v>1.1E-5</v>
      </c>
      <c r="F11" s="14">
        <f t="shared" si="1"/>
        <v>7.5088036208503968E-4</v>
      </c>
      <c r="N11" s="235">
        <v>3.1846941839177739E-3</v>
      </c>
      <c r="O11" s="235">
        <v>1.3955401480089122E-3</v>
      </c>
      <c r="P11" s="235" t="s">
        <v>7</v>
      </c>
      <c r="Q11" t="s">
        <v>597</v>
      </c>
    </row>
    <row r="12" spans="1:18" x14ac:dyDescent="0.35">
      <c r="A12" s="242"/>
      <c r="B12" s="241" t="s">
        <v>605</v>
      </c>
      <c r="C12">
        <f>$B52/1000</f>
        <v>1.7000000000000001E-4</v>
      </c>
      <c r="D12" s="14">
        <f t="shared" si="0"/>
        <v>3.2684499154579841E-2</v>
      </c>
      <c r="E12">
        <f>$B52/1000</f>
        <v>1.7000000000000001E-4</v>
      </c>
      <c r="F12" s="14">
        <f t="shared" si="1"/>
        <v>1.1604514686768796E-2</v>
      </c>
      <c r="N12" s="235">
        <v>3.2556110356838784E-3</v>
      </c>
      <c r="O12" s="235">
        <v>1.1691111794809802E-3</v>
      </c>
      <c r="P12" s="235" t="s">
        <v>6</v>
      </c>
      <c r="Q12" t="s">
        <v>597</v>
      </c>
    </row>
    <row r="13" spans="1:18" x14ac:dyDescent="0.35">
      <c r="A13" s="242"/>
      <c r="B13" s="241" t="s">
        <v>606</v>
      </c>
      <c r="C13">
        <v>0</v>
      </c>
      <c r="D13" s="14">
        <f t="shared" ref="D13:D16" si="2">C13/C$21</f>
        <v>0</v>
      </c>
      <c r="E13">
        <v>0</v>
      </c>
      <c r="F13" s="14">
        <f t="shared" ref="F13:F16" si="3">E13/E$21</f>
        <v>0</v>
      </c>
      <c r="N13" s="235">
        <v>3.4574147748515998E-3</v>
      </c>
      <c r="O13" s="235">
        <v>1.0433232184331044E-2</v>
      </c>
      <c r="P13" s="235" t="s">
        <v>6</v>
      </c>
      <c r="Q13" t="s">
        <v>607</v>
      </c>
    </row>
    <row r="14" spans="1:18" x14ac:dyDescent="0.35">
      <c r="A14" s="242"/>
      <c r="B14" s="241" t="s">
        <v>608</v>
      </c>
      <c r="C14">
        <v>0</v>
      </c>
      <c r="D14" s="14">
        <f t="shared" si="2"/>
        <v>0</v>
      </c>
      <c r="E14">
        <v>0</v>
      </c>
      <c r="F14" s="14">
        <f t="shared" si="3"/>
        <v>0</v>
      </c>
      <c r="N14" s="235">
        <v>3.1468563847249992E-3</v>
      </c>
      <c r="O14" s="235">
        <v>8.9801032919757696E-3</v>
      </c>
      <c r="P14" s="235" t="s">
        <v>6</v>
      </c>
      <c r="Q14" t="s">
        <v>607</v>
      </c>
    </row>
    <row r="15" spans="1:18" x14ac:dyDescent="0.35">
      <c r="A15" s="242"/>
      <c r="B15" s="241" t="s">
        <v>609</v>
      </c>
      <c r="C15">
        <v>0</v>
      </c>
      <c r="D15" s="14">
        <f t="shared" si="2"/>
        <v>0</v>
      </c>
      <c r="E15">
        <v>0</v>
      </c>
      <c r="F15" s="14">
        <f t="shared" si="3"/>
        <v>0</v>
      </c>
      <c r="N15" s="235">
        <v>2.803364654434802E-3</v>
      </c>
      <c r="O15" s="235">
        <v>9.8431663992086509E-3</v>
      </c>
      <c r="P15" s="235" t="s">
        <v>6</v>
      </c>
      <c r="Q15" t="s">
        <v>607</v>
      </c>
    </row>
    <row r="16" spans="1:18" x14ac:dyDescent="0.35">
      <c r="A16" s="242"/>
      <c r="B16" s="241" t="s">
        <v>610</v>
      </c>
      <c r="C16">
        <v>0</v>
      </c>
      <c r="D16" s="14">
        <f t="shared" si="2"/>
        <v>0</v>
      </c>
      <c r="E16">
        <v>0</v>
      </c>
      <c r="F16" s="14">
        <f t="shared" si="3"/>
        <v>0</v>
      </c>
      <c r="N16" s="235">
        <v>3.369271130070768E-3</v>
      </c>
      <c r="O16" s="235">
        <v>6.7502893229762885E-3</v>
      </c>
      <c r="P16" s="235" t="s">
        <v>6</v>
      </c>
      <c r="Q16" t="s">
        <v>607</v>
      </c>
    </row>
    <row r="17" spans="1:17" x14ac:dyDescent="0.35">
      <c r="A17" s="242" t="s">
        <v>123</v>
      </c>
      <c r="B17" s="241" t="s">
        <v>611</v>
      </c>
      <c r="C17">
        <f>$E$38*C23</f>
        <v>9.6150789265984335E-5</v>
      </c>
      <c r="D17" s="14">
        <f>C17/C$21</f>
        <v>1.848611994397794E-2</v>
      </c>
      <c r="E17">
        <f>$E$38*E23</f>
        <v>1.2071237044395397E-4</v>
      </c>
      <c r="F17" s="14">
        <f>E17/E$21</f>
        <v>8.240049857009055E-3</v>
      </c>
      <c r="N17" s="235">
        <v>2.9940806929113187E-3</v>
      </c>
      <c r="O17" s="235">
        <v>1.1319519326336056E-2</v>
      </c>
      <c r="P17" s="235" t="s">
        <v>6</v>
      </c>
      <c r="Q17" t="s">
        <v>607</v>
      </c>
    </row>
    <row r="18" spans="1:17" x14ac:dyDescent="0.35">
      <c r="A18" s="242" t="s">
        <v>125</v>
      </c>
      <c r="B18" s="241" t="s">
        <v>612</v>
      </c>
      <c r="C18">
        <f>0.233/1000</f>
        <v>2.3300000000000003E-4</v>
      </c>
      <c r="D18" s="14">
        <f>C18/C$21</f>
        <v>4.4796990017747666E-2</v>
      </c>
      <c r="E18">
        <f>0.233/1000</f>
        <v>2.3300000000000003E-4</v>
      </c>
      <c r="F18" s="14">
        <f>E18/E$21</f>
        <v>1.5905011305983114E-2</v>
      </c>
      <c r="G18" t="s">
        <v>613</v>
      </c>
      <c r="H18" s="7" t="s">
        <v>614</v>
      </c>
      <c r="N18" s="235">
        <v>3.3963806071219227E-3</v>
      </c>
      <c r="O18" s="235">
        <v>1.0312047742105989E-2</v>
      </c>
      <c r="P18" s="235" t="s">
        <v>7</v>
      </c>
      <c r="Q18" t="s">
        <v>607</v>
      </c>
    </row>
    <row r="19" spans="1:17" ht="34.5" customHeight="1" x14ac:dyDescent="0.35">
      <c r="A19" s="242" t="s">
        <v>615</v>
      </c>
      <c r="B19" s="241" t="s">
        <v>616</v>
      </c>
      <c r="C19">
        <f>$C$38*C23</f>
        <v>3.176617534170313E-4</v>
      </c>
      <c r="D19" s="14">
        <f>C19/C$21</f>
        <v>6.107420771177241E-2</v>
      </c>
      <c r="E19">
        <f>$C$38*E23</f>
        <v>3.9880799260291007E-4</v>
      </c>
      <c r="F19" s="14">
        <f>E19/E$21</f>
        <v>2.7223371808007359E-2</v>
      </c>
      <c r="N19" s="235">
        <v>3.5383442759737106E-3</v>
      </c>
      <c r="O19" s="235">
        <v>1.0352933251923078E-2</v>
      </c>
      <c r="P19" s="235" t="s">
        <v>7</v>
      </c>
      <c r="Q19" t="s">
        <v>607</v>
      </c>
    </row>
    <row r="20" spans="1:17" ht="33.75" customHeight="1" x14ac:dyDescent="0.35">
      <c r="A20" s="242" t="s">
        <v>617</v>
      </c>
      <c r="B20" s="241" t="s">
        <v>618</v>
      </c>
      <c r="C20">
        <f>$D$38*C23</f>
        <v>2.9183559460263845E-4</v>
      </c>
      <c r="D20" s="14">
        <f>C20/C$21</f>
        <v>5.610882497097789E-2</v>
      </c>
      <c r="E20">
        <f>$D$38*E23</f>
        <v>3.6638457857015308E-4</v>
      </c>
      <c r="F20" s="14">
        <f>E20/E$21</f>
        <v>2.5010089547193748E-2</v>
      </c>
      <c r="N20" s="235">
        <v>3.6277444406817277E-3</v>
      </c>
      <c r="O20" s="235">
        <v>1.0662029392735323E-2</v>
      </c>
      <c r="P20" s="235" t="s">
        <v>7</v>
      </c>
      <c r="Q20" t="s">
        <v>607</v>
      </c>
    </row>
    <row r="21" spans="1:17" x14ac:dyDescent="0.35">
      <c r="C21" s="6">
        <f>SUM(C5:C20)</f>
        <v>5.2012423135503099E-3</v>
      </c>
      <c r="D21" s="244"/>
      <c r="E21" s="6">
        <f>SUM(E5:E20)</f>
        <v>1.4649470881693152E-2</v>
      </c>
      <c r="N21" s="235">
        <v>3.6123269329011915E-3</v>
      </c>
      <c r="O21" s="235">
        <v>1.0260545649836363E-2</v>
      </c>
      <c r="P21" s="235" t="s">
        <v>6</v>
      </c>
      <c r="Q21" t="s">
        <v>607</v>
      </c>
    </row>
    <row r="22" spans="1:17" x14ac:dyDescent="0.35">
      <c r="N22" s="235">
        <v>9.1624580485441635E-3</v>
      </c>
      <c r="O22" s="235">
        <v>1.1712600313286753E-2</v>
      </c>
      <c r="P22" s="235" t="s">
        <v>6</v>
      </c>
      <c r="Q22" t="s">
        <v>607</v>
      </c>
    </row>
    <row r="23" spans="1:17" x14ac:dyDescent="0.35">
      <c r="A23" s="245" t="s">
        <v>619</v>
      </c>
      <c r="C23">
        <f>AVERAGE(N8:N12)</f>
        <v>3.1150811766181329E-3</v>
      </c>
      <c r="D23" t="s">
        <v>37</v>
      </c>
      <c r="E23">
        <f>AVERAGE(N13:N22)</f>
        <v>3.9108241942216208E-3</v>
      </c>
      <c r="F23" t="s">
        <v>37</v>
      </c>
      <c r="G23" t="s">
        <v>590</v>
      </c>
    </row>
    <row r="26" spans="1:17" ht="18.5" x14ac:dyDescent="0.45">
      <c r="A26" s="239" t="s">
        <v>620</v>
      </c>
    </row>
    <row r="27" spans="1:17" x14ac:dyDescent="0.35">
      <c r="D27" s="198"/>
      <c r="E27" s="198"/>
    </row>
    <row r="28" spans="1:17" ht="29" x14ac:dyDescent="0.35">
      <c r="A28" s="242" t="s">
        <v>621</v>
      </c>
      <c r="B28" s="242" t="s">
        <v>119</v>
      </c>
      <c r="C28" s="242" t="s">
        <v>615</v>
      </c>
      <c r="D28" s="242" t="s">
        <v>617</v>
      </c>
      <c r="E28" s="242" t="s">
        <v>123</v>
      </c>
      <c r="F28" s="242" t="s">
        <v>120</v>
      </c>
      <c r="G28" s="242" t="s">
        <v>127</v>
      </c>
      <c r="H28" s="242" t="s">
        <v>129</v>
      </c>
      <c r="I28" s="242" t="s">
        <v>588</v>
      </c>
    </row>
    <row r="29" spans="1:17" x14ac:dyDescent="0.35">
      <c r="A29" s="246" t="s">
        <v>622</v>
      </c>
      <c r="B29" s="5">
        <v>0.44989999999999997</v>
      </c>
      <c r="C29" s="5"/>
      <c r="D29" s="5"/>
      <c r="E29" s="5">
        <v>5.4100000000000002E-2</v>
      </c>
      <c r="F29" s="5">
        <v>0.43560000000000004</v>
      </c>
      <c r="H29" t="s">
        <v>623</v>
      </c>
      <c r="I29" s="7" t="s">
        <v>624</v>
      </c>
    </row>
    <row r="30" spans="1:17" x14ac:dyDescent="0.35">
      <c r="A30" s="246" t="s">
        <v>625</v>
      </c>
      <c r="B30" s="5">
        <v>0.4</v>
      </c>
      <c r="C30" s="5">
        <v>0.12</v>
      </c>
      <c r="D30" s="5">
        <v>7.0000000000000007E-2</v>
      </c>
      <c r="E30" s="5">
        <v>0.04</v>
      </c>
      <c r="F30" s="5">
        <v>0.37</v>
      </c>
      <c r="H30" t="s">
        <v>626</v>
      </c>
      <c r="I30" s="7" t="s">
        <v>627</v>
      </c>
    </row>
    <row r="31" spans="1:17" x14ac:dyDescent="0.35">
      <c r="A31" s="246" t="s">
        <v>625</v>
      </c>
      <c r="B31" s="235">
        <v>0.61499999999999999</v>
      </c>
      <c r="C31" s="235">
        <v>0.04</v>
      </c>
      <c r="D31" s="235">
        <v>0.08</v>
      </c>
      <c r="E31" s="235">
        <v>0.01</v>
      </c>
      <c r="F31" s="235">
        <v>0.25</v>
      </c>
      <c r="G31" s="235">
        <v>5.0000000000000001E-3</v>
      </c>
      <c r="H31" t="s">
        <v>628</v>
      </c>
      <c r="I31" s="7" t="s">
        <v>629</v>
      </c>
    </row>
    <row r="32" spans="1:17" x14ac:dyDescent="0.35">
      <c r="A32" s="246" t="s">
        <v>630</v>
      </c>
      <c r="B32" s="5">
        <v>0.5</v>
      </c>
      <c r="C32" s="235">
        <v>0.05</v>
      </c>
      <c r="D32" s="235">
        <v>0.04</v>
      </c>
      <c r="E32" s="235">
        <v>0.02</v>
      </c>
      <c r="F32" s="235">
        <v>0.2</v>
      </c>
      <c r="G32" s="235">
        <v>0.02</v>
      </c>
      <c r="H32" t="s">
        <v>631</v>
      </c>
      <c r="I32" s="7"/>
    </row>
    <row r="33" spans="1:9" x14ac:dyDescent="0.35">
      <c r="A33" s="246" t="s">
        <v>310</v>
      </c>
      <c r="B33" s="5">
        <v>0.54</v>
      </c>
      <c r="C33" s="235">
        <v>0.1</v>
      </c>
      <c r="D33" s="235">
        <v>7.0000000000000007E-2</v>
      </c>
      <c r="E33" s="235"/>
      <c r="F33" s="235">
        <v>0.19</v>
      </c>
      <c r="G33" s="235"/>
      <c r="H33" t="s">
        <v>632</v>
      </c>
      <c r="I33" s="7" t="s">
        <v>633</v>
      </c>
    </row>
    <row r="34" spans="1:9" x14ac:dyDescent="0.35">
      <c r="A34" s="246" t="s">
        <v>634</v>
      </c>
      <c r="B34" s="5">
        <v>0.34</v>
      </c>
      <c r="C34" s="235">
        <v>0.16500000000000001</v>
      </c>
      <c r="D34" s="235">
        <v>0.16500000000000001</v>
      </c>
      <c r="E34" s="235"/>
      <c r="F34" s="235">
        <v>0.28000000000000003</v>
      </c>
      <c r="G34" s="235">
        <v>0.04</v>
      </c>
      <c r="H34" t="s">
        <v>632</v>
      </c>
    </row>
    <row r="35" spans="1:9" x14ac:dyDescent="0.35">
      <c r="A35" s="246" t="s">
        <v>622</v>
      </c>
      <c r="B35" s="5">
        <v>0.19</v>
      </c>
      <c r="C35" s="235">
        <v>0.14000000000000001</v>
      </c>
      <c r="D35" s="235">
        <v>0.14000000000000001</v>
      </c>
      <c r="F35" s="235">
        <v>0.53</v>
      </c>
      <c r="H35" t="s">
        <v>632</v>
      </c>
    </row>
    <row r="37" spans="1:9" x14ac:dyDescent="0.35">
      <c r="A37" t="s">
        <v>38</v>
      </c>
      <c r="B37" s="5">
        <f t="shared" ref="B37:G37" si="4">AVERAGE(B29:B35)</f>
        <v>0.43355714285714286</v>
      </c>
      <c r="C37" s="5">
        <f t="shared" si="4"/>
        <v>0.10250000000000002</v>
      </c>
      <c r="D37" s="5">
        <f t="shared" si="4"/>
        <v>9.4166666666666676E-2</v>
      </c>
      <c r="E37" s="5">
        <f t="shared" si="4"/>
        <v>3.1025E-2</v>
      </c>
      <c r="F37" s="5">
        <f t="shared" si="4"/>
        <v>0.32222857142857148</v>
      </c>
      <c r="G37" s="5">
        <f t="shared" si="4"/>
        <v>2.1666666666666667E-2</v>
      </c>
      <c r="H37" s="5">
        <f>SUM(B37:G37)</f>
        <v>1.0051440476190476</v>
      </c>
    </row>
    <row r="38" spans="1:9" x14ac:dyDescent="0.35">
      <c r="A38" t="s">
        <v>581</v>
      </c>
      <c r="B38" s="5">
        <f t="shared" ref="B38:G38" si="5">B37/$H$37</f>
        <v>0.43133831800938272</v>
      </c>
      <c r="C38" s="5">
        <f t="shared" si="5"/>
        <v>0.10197543351403082</v>
      </c>
      <c r="D38" s="5">
        <f t="shared" si="5"/>
        <v>9.3684747862483583E-2</v>
      </c>
      <c r="E38" s="5">
        <f t="shared" si="5"/>
        <v>3.0866222680710299E-2</v>
      </c>
      <c r="F38" s="5">
        <f t="shared" si="5"/>
        <v>0.3205794952393699</v>
      </c>
      <c r="G38" s="5">
        <f t="shared" si="5"/>
        <v>2.1555782694022772E-2</v>
      </c>
    </row>
    <row r="41" spans="1:9" ht="18.5" x14ac:dyDescent="0.45">
      <c r="A41" s="239" t="s">
        <v>635</v>
      </c>
    </row>
    <row r="43" spans="1:9" x14ac:dyDescent="0.35">
      <c r="A43" s="242" t="s">
        <v>621</v>
      </c>
      <c r="B43" t="s">
        <v>636</v>
      </c>
      <c r="C43" t="s">
        <v>585</v>
      </c>
      <c r="D43" t="s">
        <v>129</v>
      </c>
      <c r="F43" t="s">
        <v>588</v>
      </c>
    </row>
    <row r="44" spans="1:9" x14ac:dyDescent="0.35">
      <c r="A44" s="246" t="s">
        <v>311</v>
      </c>
      <c r="B44">
        <v>6.5699999999999995E-2</v>
      </c>
      <c r="C44" t="s">
        <v>637</v>
      </c>
      <c r="D44" t="s">
        <v>638</v>
      </c>
      <c r="F44" s="7" t="s">
        <v>639</v>
      </c>
    </row>
    <row r="45" spans="1:9" x14ac:dyDescent="0.35">
      <c r="A45" s="246" t="s">
        <v>311</v>
      </c>
      <c r="B45">
        <v>8.0000000000000002E-3</v>
      </c>
      <c r="C45" t="s">
        <v>637</v>
      </c>
      <c r="D45" t="s">
        <v>638</v>
      </c>
    </row>
    <row r="46" spans="1:9" x14ac:dyDescent="0.35">
      <c r="A46" s="246" t="s">
        <v>311</v>
      </c>
      <c r="B46">
        <f>1.3/100</f>
        <v>1.3000000000000001E-2</v>
      </c>
      <c r="C46" t="s">
        <v>637</v>
      </c>
      <c r="D46" t="s">
        <v>640</v>
      </c>
      <c r="F46" s="7" t="s">
        <v>641</v>
      </c>
    </row>
    <row r="47" spans="1:9" x14ac:dyDescent="0.35">
      <c r="A47" s="246" t="s">
        <v>311</v>
      </c>
      <c r="B47">
        <v>6.4000000000000001E-2</v>
      </c>
      <c r="C47" t="s">
        <v>637</v>
      </c>
      <c r="D47" t="s">
        <v>642</v>
      </c>
      <c r="F47" s="7" t="s">
        <v>643</v>
      </c>
    </row>
    <row r="48" spans="1:9" x14ac:dyDescent="0.35">
      <c r="A48" s="246" t="s">
        <v>644</v>
      </c>
      <c r="B48">
        <f>22.2/100</f>
        <v>0.222</v>
      </c>
      <c r="C48" t="s">
        <v>645</v>
      </c>
      <c r="D48" t="s">
        <v>602</v>
      </c>
      <c r="F48" s="7" t="s">
        <v>603</v>
      </c>
    </row>
    <row r="49" spans="1:6" x14ac:dyDescent="0.35">
      <c r="A49" s="246" t="s">
        <v>191</v>
      </c>
      <c r="B49">
        <f>251/1000</f>
        <v>0.251</v>
      </c>
      <c r="C49" t="s">
        <v>637</v>
      </c>
      <c r="D49" t="s">
        <v>599</v>
      </c>
      <c r="F49" s="7" t="s">
        <v>600</v>
      </c>
    </row>
    <row r="50" spans="1:6" x14ac:dyDescent="0.35">
      <c r="A50" s="246" t="s">
        <v>191</v>
      </c>
      <c r="B50">
        <v>1.0999999999999999E-2</v>
      </c>
      <c r="C50" t="s">
        <v>646</v>
      </c>
      <c r="D50" t="s">
        <v>599</v>
      </c>
    </row>
    <row r="51" spans="1:6" x14ac:dyDescent="0.35">
      <c r="A51" s="246" t="s">
        <v>191</v>
      </c>
      <c r="B51">
        <v>1.0999999999999999E-2</v>
      </c>
      <c r="C51" t="s">
        <v>647</v>
      </c>
      <c r="D51" t="s">
        <v>599</v>
      </c>
    </row>
    <row r="52" spans="1:6" x14ac:dyDescent="0.35">
      <c r="A52" s="246" t="s">
        <v>191</v>
      </c>
      <c r="B52">
        <v>0.17</v>
      </c>
      <c r="C52" t="s">
        <v>648</v>
      </c>
      <c r="D52" t="s">
        <v>599</v>
      </c>
    </row>
    <row r="53" spans="1:6" x14ac:dyDescent="0.35">
      <c r="A53" s="246" t="s">
        <v>311</v>
      </c>
      <c r="B53">
        <f>5/100</f>
        <v>0.05</v>
      </c>
      <c r="C53" t="s">
        <v>637</v>
      </c>
      <c r="D53" t="s">
        <v>649</v>
      </c>
      <c r="F53" s="7" t="s">
        <v>650</v>
      </c>
    </row>
    <row r="55" spans="1:6" x14ac:dyDescent="0.35">
      <c r="A55" s="246" t="s">
        <v>651</v>
      </c>
    </row>
  </sheetData>
  <hyperlinks>
    <hyperlink ref="H18" r:id="rId1" xr:uid="{00000000-0004-0000-0800-000000000000}"/>
    <hyperlink ref="I29" r:id="rId2" xr:uid="{00000000-0004-0000-0800-000001000000}"/>
    <hyperlink ref="I30" r:id="rId3" xr:uid="{00000000-0004-0000-0800-000002000000}"/>
    <hyperlink ref="I33" r:id="rId4" xr:uid="{00000000-0004-0000-0800-000003000000}"/>
    <hyperlink ref="F44" r:id="rId5" xr:uid="{00000000-0004-0000-0800-000004000000}"/>
    <hyperlink ref="F46" r:id="rId6" xr:uid="{00000000-0004-0000-0800-000005000000}"/>
    <hyperlink ref="F47" r:id="rId7" xr:uid="{00000000-0004-0000-0800-000006000000}"/>
    <hyperlink ref="F48" r:id="rId8" xr:uid="{00000000-0004-0000-0800-000007000000}"/>
    <hyperlink ref="F49" r:id="rId9" xr:uid="{00000000-0004-0000-0800-000008000000}"/>
    <hyperlink ref="F53" r:id="rId10" xr:uid="{00000000-0004-0000-0800-000009000000}"/>
    <hyperlink ref="H9" r:id="rId11" xr:uid="{00000000-0004-0000-0800-00000A000000}"/>
    <hyperlink ref="H10" r:id="rId12" xr:uid="{00000000-0004-0000-0800-00000B000000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89F3198EAFE942B705DFF6F8FC8454" ma:contentTypeVersion="13" ma:contentTypeDescription="Create a new document." ma:contentTypeScope="" ma:versionID="c33e03523d3fa7deb555571fb3dc586a">
  <xsd:schema xmlns:xsd="http://www.w3.org/2001/XMLSchema" xmlns:xs="http://www.w3.org/2001/XMLSchema" xmlns:p="http://schemas.microsoft.com/office/2006/metadata/properties" xmlns:ns3="2019869c-af10-4316-8d1e-74f9d4aa256a" xmlns:ns4="07279010-abbb-4bfa-8753-87a4e935e5ff" targetNamespace="http://schemas.microsoft.com/office/2006/metadata/properties" ma:root="true" ma:fieldsID="e61566773f6353b752b14fcde82b5f4d" ns3:_="" ns4:_="">
    <xsd:import namespace="2019869c-af10-4316-8d1e-74f9d4aa256a"/>
    <xsd:import namespace="07279010-abbb-4bfa-8753-87a4e935e5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9869c-af10-4316-8d1e-74f9d4aa25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79010-abbb-4bfa-8753-87a4e935e5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68876-A917-4E27-A23E-B7723177F10E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07279010-abbb-4bfa-8753-87a4e935e5ff"/>
    <ds:schemaRef ds:uri="2019869c-af10-4316-8d1e-74f9d4aa256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2ABE78-CF3D-4F82-AE52-BF5A61BEF7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19869c-af10-4316-8d1e-74f9d4aa256a"/>
    <ds:schemaRef ds:uri="07279010-abbb-4bfa-8753-87a4e935e5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0C680D-CF73-4F6C-9814-63AB8EDC5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 composition</vt:lpstr>
      <vt:lpstr>Biomass equation BG11</vt:lpstr>
      <vt:lpstr>Biomass equation BG11o</vt:lpstr>
      <vt:lpstr>PBP equations</vt:lpstr>
      <vt:lpstr>Cell membrane lipids</vt:lpstr>
      <vt:lpstr>Carbohydrates</vt:lpstr>
      <vt:lpstr>Protein composition</vt:lpstr>
      <vt:lpstr>Phycobiliproteins</vt:lpstr>
      <vt:lpstr>Hydrophobic pigments</vt:lpstr>
      <vt:lpstr>DNA and RNA</vt:lpstr>
      <vt:lpstr>Soluble pool</vt:lpstr>
      <vt:lpstr>Inorganic ions</vt:lpstr>
      <vt:lpstr>Maintenance 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2020-12-17T23:43:16Z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0x0101008F89F3198EAFE942B705DFF6F8FC8454</vt:lpwstr>
  </property>
</Properties>
</file>