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sumail2-my.sharepoint.com/personal/dnoren1_lsu_edu/Documents/PhD Research/9000-13 Research Experiments - Summer 2020/iDN1004/Datasets/BEJ_Datasets/"/>
    </mc:Choice>
  </mc:AlternateContent>
  <xr:revisionPtr revIDLastSave="248" documentId="11_4DB16FA1C2F7AC7444F23C53734985B8D8836EDC" xr6:coauthVersionLast="45" xr6:coauthVersionMax="45" xr10:uidLastSave="{9F5A22F4-0F70-4FF4-8E8C-FBD812C6E907}"/>
  <bookViews>
    <workbookView xWindow="33720" yWindow="5535" windowWidth="19440" windowHeight="10440" tabRatio="913" firstSheet="2" activeTab="9" xr2:uid="{00000000-000D-0000-FFFF-FFFF00000000}"/>
  </bookViews>
  <sheets>
    <sheet name="FBA Constraints" sheetId="14" r:id="rId1"/>
    <sheet name="Growth rates" sheetId="1" r:id="rId2"/>
    <sheet name="C-Phycocyanin production" sheetId="2" r:id="rId3"/>
    <sheet name="CPC metabolic flux" sheetId="3" r:id="rId4"/>
    <sheet name="Nitrate consumption BG11" sheetId="4" r:id="rId5"/>
    <sheet name="Nitrate flux" sheetId="5" r:id="rId6"/>
    <sheet name="N2 Fixation" sheetId="9" r:id="rId7"/>
    <sheet name="N2 flux" sheetId="8" r:id="rId8"/>
    <sheet name="Light uptake" sheetId="6" r:id="rId9"/>
    <sheet name="Ci uptake rates" sheetId="13" r:id="rId10"/>
    <sheet name="CPC to ChlA" sheetId="10" state="hidden" r:id="rId11"/>
    <sheet name="Biomass vs OD" sheetId="11" state="hidden" r:id="rId12"/>
    <sheet name="Cell count vs OD" sheetId="12" state="hidden" r:id="rId13"/>
  </sheets>
  <externalReferences>
    <externalReference r:id="rId14"/>
  </externalReferences>
  <definedNames>
    <definedName name="_xlnm._FilterDatabase" localSheetId="2" hidden="1">'C-Phycocyanin production'!$Q$25:$W$88</definedName>
    <definedName name="_xlnm._FilterDatabase" localSheetId="6" hidden="1">'N2 Fixation'!$M$6:$R$34</definedName>
    <definedName name="_xlnm._FilterDatabase" localSheetId="4" hidden="1">'Nitrate consumption BG11'!$A$42:$F$93</definedName>
    <definedName name="solver_adj" localSheetId="1" hidden="1">'Growth rates'!$N$138:$N$139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0</definedName>
    <definedName name="solver_nwt" localSheetId="1" hidden="1">1</definedName>
    <definedName name="solver_opt" localSheetId="1" hidden="1">'Growth rates'!$P$138</definedName>
    <definedName name="solver_pre" localSheetId="1" hidden="1">0.000001</definedName>
    <definedName name="solver_rbv" localSheetId="1" hidden="1">1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23" i="6" l="1"/>
  <c r="W23" i="6"/>
  <c r="X22" i="6"/>
  <c r="W22" i="6"/>
  <c r="V22" i="6"/>
  <c r="V21" i="6"/>
  <c r="W21" i="6"/>
  <c r="W20" i="6"/>
  <c r="V20" i="6"/>
  <c r="W19" i="6"/>
  <c r="V19" i="6"/>
  <c r="F68" i="3" l="1"/>
  <c r="F67" i="3"/>
  <c r="F65" i="3"/>
  <c r="F64" i="3"/>
  <c r="B128" i="13" l="1"/>
  <c r="B129" i="13"/>
  <c r="B152" i="13"/>
  <c r="B144" i="13"/>
  <c r="B141" i="13"/>
  <c r="B132" i="13"/>
  <c r="B125" i="13"/>
  <c r="B126" i="13" s="1"/>
  <c r="B120" i="13"/>
  <c r="B112" i="13"/>
  <c r="D91" i="13"/>
  <c r="D89" i="13"/>
  <c r="D90" i="13" s="1"/>
  <c r="E102" i="13" l="1"/>
  <c r="B151" i="13"/>
  <c r="B140" i="13"/>
  <c r="D93" i="13"/>
  <c r="B156" i="13" s="1"/>
  <c r="B158" i="13"/>
  <c r="E101" i="13"/>
  <c r="F101" i="13" s="1"/>
  <c r="B105" i="13" l="1"/>
  <c r="B119" i="13" s="1"/>
  <c r="B104" i="13"/>
  <c r="F157" i="13"/>
  <c r="F156" i="13"/>
  <c r="C164" i="13" s="1"/>
  <c r="C165" i="13" s="1"/>
  <c r="B157" i="13"/>
  <c r="B44" i="13" l="1"/>
  <c r="B45" i="13" s="1"/>
  <c r="B39" i="13"/>
  <c r="B31" i="13"/>
  <c r="B71" i="13"/>
  <c r="B63" i="13"/>
  <c r="B60" i="13"/>
  <c r="B51" i="13"/>
  <c r="B70" i="13" l="1"/>
  <c r="B77" i="13"/>
  <c r="B48" i="13"/>
  <c r="B59" i="13" s="1"/>
  <c r="D10" i="13" l="1"/>
  <c r="D8" i="13"/>
  <c r="D9" i="13" s="1"/>
  <c r="D12" i="13" l="1"/>
  <c r="B23" i="13" s="1"/>
  <c r="E20" i="13"/>
  <c r="E21" i="13"/>
  <c r="B75" i="13" l="1"/>
  <c r="F75" i="13"/>
  <c r="B164" i="13" s="1"/>
  <c r="F76" i="13"/>
  <c r="F20" i="13"/>
  <c r="B24" i="13" s="1"/>
  <c r="Q5" i="11"/>
  <c r="R5" i="11"/>
  <c r="Q6" i="11"/>
  <c r="R6" i="11"/>
  <c r="Q7" i="11"/>
  <c r="R7" i="11"/>
  <c r="Q8" i="11"/>
  <c r="R8" i="11"/>
  <c r="Q9" i="11"/>
  <c r="R9" i="11"/>
  <c r="Q10" i="11"/>
  <c r="R10" i="11"/>
  <c r="Q11" i="11"/>
  <c r="R11" i="11"/>
  <c r="Q12" i="11"/>
  <c r="R12" i="11"/>
  <c r="Q13" i="11"/>
  <c r="R13" i="11"/>
  <c r="Q14" i="11"/>
  <c r="R14" i="11"/>
  <c r="Q15" i="11"/>
  <c r="R15" i="11"/>
  <c r="Q16" i="11"/>
  <c r="R16" i="11"/>
  <c r="Q17" i="11"/>
  <c r="R17" i="11"/>
  <c r="Q18" i="11"/>
  <c r="R18" i="11"/>
  <c r="Q19" i="11"/>
  <c r="R19" i="11"/>
  <c r="Q20" i="11"/>
  <c r="R20" i="11"/>
  <c r="Q21" i="11"/>
  <c r="R21" i="11"/>
  <c r="Q22" i="11"/>
  <c r="R22" i="11"/>
  <c r="Q23" i="11"/>
  <c r="R23" i="11"/>
  <c r="Q24" i="11"/>
  <c r="R24" i="11"/>
  <c r="Q25" i="11"/>
  <c r="R25" i="11"/>
  <c r="Q26" i="11"/>
  <c r="R26" i="11"/>
  <c r="Q27" i="11"/>
  <c r="R27" i="11"/>
  <c r="Q28" i="11"/>
  <c r="R28" i="11"/>
  <c r="Q29" i="11"/>
  <c r="R29" i="11"/>
  <c r="A43" i="12"/>
  <c r="C31" i="12"/>
  <c r="C30" i="12"/>
  <c r="A28" i="12"/>
  <c r="A27" i="12"/>
  <c r="B26" i="12"/>
  <c r="D24" i="12" s="1"/>
  <c r="A26" i="12"/>
  <c r="C25" i="12" s="1"/>
  <c r="Q25" i="12"/>
  <c r="F25" i="12"/>
  <c r="Q24" i="12"/>
  <c r="F24" i="12"/>
  <c r="Q23" i="12"/>
  <c r="F23" i="12"/>
  <c r="Q22" i="12"/>
  <c r="F22" i="12"/>
  <c r="Q21" i="12"/>
  <c r="F21" i="12"/>
  <c r="Q20" i="12"/>
  <c r="F20" i="12"/>
  <c r="Q19" i="12"/>
  <c r="F19" i="12"/>
  <c r="C19" i="12"/>
  <c r="Q18" i="12"/>
  <c r="F18" i="12"/>
  <c r="Q17" i="12"/>
  <c r="F17" i="12"/>
  <c r="Q16" i="12"/>
  <c r="F16" i="12"/>
  <c r="C16" i="12"/>
  <c r="Q15" i="12"/>
  <c r="F15" i="12"/>
  <c r="Q14" i="12"/>
  <c r="F14" i="12"/>
  <c r="Q13" i="12"/>
  <c r="F13" i="12"/>
  <c r="Q12" i="12"/>
  <c r="F12" i="12"/>
  <c r="C12" i="12"/>
  <c r="Q11" i="12"/>
  <c r="F11" i="12"/>
  <c r="Q10" i="12"/>
  <c r="F10" i="12"/>
  <c r="Q9" i="12"/>
  <c r="F9" i="12"/>
  <c r="Q8" i="12"/>
  <c r="F8" i="12"/>
  <c r="Q7" i="12"/>
  <c r="F7" i="12"/>
  <c r="Q6" i="12"/>
  <c r="F6" i="12"/>
  <c r="Q5" i="12"/>
  <c r="F5" i="12"/>
  <c r="A47" i="11"/>
  <c r="C22" i="12" l="1"/>
  <c r="D164" i="13"/>
  <c r="B165" i="13"/>
  <c r="D165" i="13" s="1"/>
  <c r="C8" i="12"/>
  <c r="C13" i="12"/>
  <c r="C23" i="12"/>
  <c r="B76" i="13"/>
  <c r="B38" i="13"/>
  <c r="C6" i="12"/>
  <c r="C7" i="12"/>
  <c r="C10" i="12"/>
  <c r="C11" i="12"/>
  <c r="C18" i="12"/>
  <c r="C21" i="12"/>
  <c r="C5" i="12"/>
  <c r="D6" i="12"/>
  <c r="D10" i="12"/>
  <c r="D14" i="12"/>
  <c r="C17" i="12"/>
  <c r="C24" i="12"/>
  <c r="D18" i="12"/>
  <c r="D22" i="12"/>
  <c r="F26" i="12"/>
  <c r="C9" i="12"/>
  <c r="C14" i="12"/>
  <c r="C15" i="12"/>
  <c r="C20" i="12"/>
  <c r="D11" i="12"/>
  <c r="D5" i="12"/>
  <c r="D9" i="12"/>
  <c r="D13" i="12"/>
  <c r="D17" i="12"/>
  <c r="D21" i="12"/>
  <c r="D25" i="12"/>
  <c r="D15" i="12"/>
  <c r="D19" i="12"/>
  <c r="D23" i="12"/>
  <c r="D7" i="12"/>
  <c r="D8" i="12"/>
  <c r="D12" i="12"/>
  <c r="D16" i="12"/>
  <c r="D20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C35" i="11"/>
  <c r="C34" i="11"/>
  <c r="A32" i="11"/>
  <c r="A31" i="11"/>
  <c r="B30" i="11"/>
  <c r="D6" i="11" s="1"/>
  <c r="A30" i="11"/>
  <c r="C6" i="11" s="1"/>
  <c r="F5" i="11"/>
  <c r="C26" i="12" l="1"/>
  <c r="C19" i="11"/>
  <c r="C21" i="11"/>
  <c r="C27" i="11"/>
  <c r="C11" i="11"/>
  <c r="C29" i="11"/>
  <c r="C13" i="11"/>
  <c r="C25" i="11"/>
  <c r="C17" i="11"/>
  <c r="C9" i="11"/>
  <c r="C23" i="11"/>
  <c r="C15" i="11"/>
  <c r="C7" i="11"/>
  <c r="C28" i="11"/>
  <c r="C26" i="11"/>
  <c r="C24" i="11"/>
  <c r="C22" i="11"/>
  <c r="C20" i="11"/>
  <c r="C18" i="11"/>
  <c r="C16" i="11"/>
  <c r="C14" i="11"/>
  <c r="C12" i="11"/>
  <c r="C10" i="11"/>
  <c r="C8" i="11"/>
  <c r="E29" i="11"/>
  <c r="E28" i="11"/>
  <c r="E27" i="11"/>
  <c r="E26" i="11"/>
  <c r="E25" i="11"/>
  <c r="E24" i="11"/>
  <c r="E23" i="11"/>
  <c r="E22" i="11"/>
  <c r="E21" i="11"/>
  <c r="E20" i="11"/>
  <c r="E19" i="11"/>
  <c r="E18" i="11"/>
  <c r="E17" i="11"/>
  <c r="E16" i="11"/>
  <c r="E15" i="11"/>
  <c r="E14" i="11"/>
  <c r="E13" i="11"/>
  <c r="E12" i="11"/>
  <c r="E11" i="11"/>
  <c r="E10" i="11"/>
  <c r="E9" i="11"/>
  <c r="E8" i="11"/>
  <c r="E7" i="11"/>
  <c r="E6" i="11"/>
  <c r="D29" i="11"/>
  <c r="D28" i="11"/>
  <c r="D27" i="11"/>
  <c r="D26" i="11"/>
  <c r="D25" i="11"/>
  <c r="D24" i="11"/>
  <c r="D23" i="11"/>
  <c r="D22" i="11"/>
  <c r="D21" i="11"/>
  <c r="D20" i="11"/>
  <c r="D19" i="11"/>
  <c r="D18" i="11"/>
  <c r="D17" i="11"/>
  <c r="D16" i="11"/>
  <c r="D15" i="11"/>
  <c r="D14" i="11"/>
  <c r="D13" i="11"/>
  <c r="D12" i="11"/>
  <c r="D11" i="11"/>
  <c r="D10" i="11"/>
  <c r="D9" i="11"/>
  <c r="D8" i="11"/>
  <c r="D7" i="11"/>
  <c r="D26" i="12"/>
  <c r="E26" i="12"/>
  <c r="B30" i="12" s="1"/>
  <c r="F30" i="11"/>
  <c r="C5" i="11"/>
  <c r="E5" i="11"/>
  <c r="D5" i="11"/>
  <c r="B31" i="12" l="1"/>
  <c r="B32" i="12"/>
  <c r="C30" i="11"/>
  <c r="D30" i="11"/>
  <c r="E30" i="11"/>
  <c r="B34" i="11" l="1"/>
  <c r="B35" i="11" s="1"/>
  <c r="B41" i="12"/>
  <c r="H19" i="12"/>
  <c r="I19" i="12" s="1"/>
  <c r="H23" i="12"/>
  <c r="I23" i="12" s="1"/>
  <c r="H8" i="12"/>
  <c r="I8" i="12" s="1"/>
  <c r="H5" i="12"/>
  <c r="I5" i="12" s="1"/>
  <c r="B44" i="12"/>
  <c r="B33" i="12"/>
  <c r="B34" i="12"/>
  <c r="H10" i="12"/>
  <c r="I10" i="12" s="1"/>
  <c r="H14" i="12"/>
  <c r="I14" i="12" s="1"/>
  <c r="H7" i="12"/>
  <c r="I7" i="12" s="1"/>
  <c r="H18" i="12"/>
  <c r="I18" i="12" s="1"/>
  <c r="H22" i="12"/>
  <c r="I22" i="12" s="1"/>
  <c r="H11" i="12"/>
  <c r="I11" i="12" s="1"/>
  <c r="H15" i="12"/>
  <c r="I15" i="12" s="1"/>
  <c r="H12" i="12"/>
  <c r="I12" i="12" s="1"/>
  <c r="H16" i="12"/>
  <c r="I16" i="12" s="1"/>
  <c r="H20" i="12"/>
  <c r="I20" i="12" s="1"/>
  <c r="H24" i="12"/>
  <c r="I24" i="12" s="1"/>
  <c r="H9" i="12"/>
  <c r="I9" i="12" s="1"/>
  <c r="H13" i="12"/>
  <c r="I13" i="12" s="1"/>
  <c r="H6" i="12"/>
  <c r="I6" i="12" s="1"/>
  <c r="H17" i="12"/>
  <c r="I17" i="12" s="1"/>
  <c r="H21" i="12"/>
  <c r="I21" i="12" s="1"/>
  <c r="H25" i="12"/>
  <c r="I25" i="12" s="1"/>
  <c r="B36" i="11" l="1"/>
  <c r="B38" i="11" s="1"/>
  <c r="H10" i="11"/>
  <c r="I10" i="11" s="1"/>
  <c r="H6" i="11"/>
  <c r="I6" i="11" s="1"/>
  <c r="H16" i="11"/>
  <c r="I16" i="11" s="1"/>
  <c r="H28" i="11"/>
  <c r="I28" i="11" s="1"/>
  <c r="H15" i="11"/>
  <c r="I15" i="11" s="1"/>
  <c r="H25" i="11"/>
  <c r="I25" i="11" s="1"/>
  <c r="B45" i="11"/>
  <c r="H29" i="11"/>
  <c r="I29" i="11" s="1"/>
  <c r="H22" i="11"/>
  <c r="I22" i="11" s="1"/>
  <c r="H21" i="11"/>
  <c r="I21" i="11" s="1"/>
  <c r="H14" i="11"/>
  <c r="I14" i="11" s="1"/>
  <c r="H24" i="11"/>
  <c r="I24" i="11" s="1"/>
  <c r="H13" i="11"/>
  <c r="I13" i="11" s="1"/>
  <c r="H23" i="11"/>
  <c r="I23" i="11" s="1"/>
  <c r="H5" i="11"/>
  <c r="I5" i="11" s="1"/>
  <c r="H8" i="11"/>
  <c r="I8" i="11" s="1"/>
  <c r="H20" i="11"/>
  <c r="I20" i="11" s="1"/>
  <c r="H7" i="11"/>
  <c r="I7" i="11" s="1"/>
  <c r="H17" i="11"/>
  <c r="I17" i="11" s="1"/>
  <c r="H12" i="11"/>
  <c r="I12" i="11" s="1"/>
  <c r="H9" i="11"/>
  <c r="I9" i="11" s="1"/>
  <c r="H27" i="11"/>
  <c r="I27" i="11" s="1"/>
  <c r="H19" i="11"/>
  <c r="I19" i="11" s="1"/>
  <c r="H11" i="11"/>
  <c r="I11" i="11" s="1"/>
  <c r="H26" i="11"/>
  <c r="I26" i="11" s="1"/>
  <c r="H18" i="11"/>
  <c r="I18" i="11" s="1"/>
  <c r="I26" i="12"/>
  <c r="B35" i="12" s="1"/>
  <c r="B36" i="12" s="1"/>
  <c r="B46" i="12"/>
  <c r="B47" i="12"/>
  <c r="B48" i="12"/>
  <c r="B37" i="11" l="1"/>
  <c r="B48" i="11"/>
  <c r="B52" i="11" s="1"/>
  <c r="I30" i="11"/>
  <c r="B39" i="11" s="1"/>
  <c r="B40" i="11" s="1"/>
  <c r="B50" i="11"/>
  <c r="C47" i="12"/>
  <c r="C48" i="12"/>
  <c r="B51" i="11" l="1"/>
  <c r="C51" i="11" s="1"/>
  <c r="C52" i="11"/>
  <c r="U41" i="1" l="1"/>
  <c r="U42" i="1" s="1"/>
  <c r="J36" i="1"/>
  <c r="J37" i="1" s="1"/>
  <c r="S61" i="1"/>
  <c r="S62" i="1" s="1"/>
  <c r="H58" i="1"/>
  <c r="H59" i="1" s="1"/>
  <c r="S51" i="1"/>
  <c r="S52" i="1" s="1"/>
  <c r="H47" i="1"/>
  <c r="H48" i="1" s="1"/>
  <c r="O28" i="10" l="1"/>
  <c r="P28" i="10"/>
  <c r="Q28" i="10"/>
  <c r="R28" i="10"/>
  <c r="S28" i="10"/>
  <c r="T28" i="10"/>
  <c r="U28" i="10"/>
  <c r="V28" i="10"/>
  <c r="W28" i="10"/>
  <c r="N28" i="10"/>
  <c r="N12" i="10"/>
  <c r="O12" i="10"/>
  <c r="P12" i="10"/>
  <c r="Q12" i="10"/>
  <c r="R12" i="10"/>
  <c r="M12" i="10"/>
  <c r="C25" i="10" l="1"/>
  <c r="O25" i="10" s="1"/>
  <c r="O30" i="10" s="1"/>
  <c r="D25" i="10"/>
  <c r="P25" i="10" s="1"/>
  <c r="P30" i="10" s="1"/>
  <c r="E25" i="10"/>
  <c r="Q25" i="10" s="1"/>
  <c r="Q30" i="10" s="1"/>
  <c r="F25" i="10"/>
  <c r="R25" i="10" s="1"/>
  <c r="R30" i="10" s="1"/>
  <c r="G25" i="10"/>
  <c r="S25" i="10" s="1"/>
  <c r="S30" i="10" s="1"/>
  <c r="H25" i="10"/>
  <c r="T25" i="10" s="1"/>
  <c r="T30" i="10" s="1"/>
  <c r="I25" i="10"/>
  <c r="U25" i="10" s="1"/>
  <c r="U30" i="10" s="1"/>
  <c r="J25" i="10"/>
  <c r="V25" i="10" s="1"/>
  <c r="V30" i="10" s="1"/>
  <c r="K25" i="10"/>
  <c r="W25" i="10" s="1"/>
  <c r="W30" i="10" s="1"/>
  <c r="C26" i="10"/>
  <c r="O26" i="10" s="1"/>
  <c r="D26" i="10"/>
  <c r="P26" i="10" s="1"/>
  <c r="E26" i="10"/>
  <c r="Q26" i="10" s="1"/>
  <c r="F26" i="10"/>
  <c r="R26" i="10" s="1"/>
  <c r="G26" i="10"/>
  <c r="S26" i="10" s="1"/>
  <c r="H26" i="10"/>
  <c r="T26" i="10" s="1"/>
  <c r="I26" i="10"/>
  <c r="U26" i="10" s="1"/>
  <c r="J26" i="10"/>
  <c r="V26" i="10" s="1"/>
  <c r="K26" i="10"/>
  <c r="W26" i="10" s="1"/>
  <c r="B26" i="10"/>
  <c r="N26" i="10" s="1"/>
  <c r="B25" i="10"/>
  <c r="N25" i="10" s="1"/>
  <c r="N30" i="10" s="1"/>
  <c r="D14" i="10"/>
  <c r="E14" i="10"/>
  <c r="C9" i="10"/>
  <c r="N9" i="10" s="1"/>
  <c r="N14" i="10" s="1"/>
  <c r="D9" i="10"/>
  <c r="O9" i="10" s="1"/>
  <c r="O14" i="10" s="1"/>
  <c r="E9" i="10"/>
  <c r="P9" i="10" s="1"/>
  <c r="P14" i="10" s="1"/>
  <c r="F9" i="10"/>
  <c r="Q9" i="10" s="1"/>
  <c r="Q14" i="10" s="1"/>
  <c r="G9" i="10"/>
  <c r="R9" i="10" s="1"/>
  <c r="R14" i="10" s="1"/>
  <c r="C10" i="10"/>
  <c r="N10" i="10" s="1"/>
  <c r="D10" i="10"/>
  <c r="O10" i="10" s="1"/>
  <c r="E10" i="10"/>
  <c r="P10" i="10" s="1"/>
  <c r="F10" i="10"/>
  <c r="Q10" i="10" s="1"/>
  <c r="G10" i="10"/>
  <c r="R10" i="10" s="1"/>
  <c r="B10" i="10"/>
  <c r="M10" i="10" s="1"/>
  <c r="B9" i="10"/>
  <c r="M9" i="10" s="1"/>
  <c r="M14" i="10" s="1"/>
  <c r="F30" i="10" l="1"/>
  <c r="I30" i="10"/>
  <c r="E30" i="10"/>
  <c r="J30" i="10"/>
  <c r="X30" i="10"/>
  <c r="X31" i="10"/>
  <c r="B30" i="10"/>
  <c r="H30" i="10"/>
  <c r="D30" i="10"/>
  <c r="S15" i="10"/>
  <c r="S14" i="10"/>
  <c r="B14" i="10"/>
  <c r="G14" i="10"/>
  <c r="F14" i="10"/>
  <c r="K30" i="10"/>
  <c r="G30" i="10"/>
  <c r="C30" i="10"/>
  <c r="C14" i="10"/>
  <c r="R198" i="6"/>
  <c r="R197" i="6"/>
  <c r="O170" i="6"/>
  <c r="O169" i="6"/>
  <c r="V15" i="6"/>
  <c r="U15" i="6"/>
  <c r="V14" i="6"/>
  <c r="U14" i="6"/>
  <c r="W7" i="6"/>
  <c r="W8" i="6"/>
  <c r="W9" i="6"/>
  <c r="W10" i="6"/>
  <c r="W11" i="6"/>
  <c r="W12" i="6"/>
  <c r="W13" i="6"/>
  <c r="W6" i="6"/>
  <c r="B8" i="6"/>
  <c r="B9" i="6" s="1"/>
  <c r="G5" i="6"/>
  <c r="G6" i="6" s="1"/>
  <c r="B5" i="6"/>
  <c r="B6" i="6" s="1"/>
  <c r="L126" i="6"/>
  <c r="L129" i="6" s="1"/>
  <c r="L125" i="6"/>
  <c r="L128" i="6" s="1"/>
  <c r="G17" i="6" s="1"/>
  <c r="G18" i="6" s="1"/>
  <c r="G19" i="6" s="1"/>
  <c r="B17" i="6" l="1"/>
  <c r="B18" i="6" s="1"/>
  <c r="B19" i="6" s="1"/>
  <c r="G23" i="6"/>
  <c r="G24" i="6" s="1"/>
  <c r="G25" i="6" s="1"/>
  <c r="W14" i="6"/>
  <c r="W15" i="6"/>
  <c r="B23" i="6"/>
  <c r="B24" i="6" s="1"/>
  <c r="B25" i="6" s="1"/>
  <c r="G29" i="6"/>
  <c r="G30" i="6" s="1"/>
  <c r="G31" i="6" s="1"/>
  <c r="B29" i="6"/>
  <c r="B30" i="6" s="1"/>
  <c r="B31" i="6" s="1"/>
  <c r="G7" i="6"/>
  <c r="G8" i="6" s="1"/>
  <c r="G9" i="6" s="1"/>
  <c r="G10" i="6"/>
  <c r="G11" i="6"/>
  <c r="B10" i="6"/>
  <c r="B11" i="6"/>
  <c r="C27" i="8"/>
  <c r="C19" i="8"/>
  <c r="C12" i="8"/>
  <c r="C20" i="8" s="1"/>
  <c r="C28" i="8" s="1"/>
  <c r="B62" i="9"/>
  <c r="B61" i="9"/>
  <c r="B60" i="9"/>
  <c r="B59" i="9"/>
  <c r="B58" i="9"/>
  <c r="B57" i="9"/>
  <c r="B56" i="9"/>
  <c r="B55" i="9"/>
  <c r="B54" i="9"/>
  <c r="G55" i="9"/>
  <c r="G56" i="9"/>
  <c r="G57" i="9"/>
  <c r="G58" i="9"/>
  <c r="G59" i="9"/>
  <c r="G60" i="9"/>
  <c r="G61" i="9"/>
  <c r="G62" i="9"/>
  <c r="G54" i="9"/>
  <c r="F62" i="9"/>
  <c r="F61" i="9"/>
  <c r="F60" i="9"/>
  <c r="F59" i="9"/>
  <c r="F58" i="9"/>
  <c r="F57" i="9"/>
  <c r="F56" i="9"/>
  <c r="F55" i="9"/>
  <c r="F54" i="9"/>
  <c r="M55" i="9" l="1"/>
  <c r="M56" i="9" s="1"/>
  <c r="B12" i="6"/>
  <c r="B13" i="6" s="1"/>
  <c r="B14" i="6" s="1"/>
  <c r="G12" i="6"/>
  <c r="G13" i="6" s="1"/>
  <c r="G14" i="6" s="1"/>
  <c r="M54" i="9"/>
  <c r="J20" i="9" s="1"/>
  <c r="G43" i="9"/>
  <c r="G44" i="9"/>
  <c r="G45" i="9"/>
  <c r="G46" i="9"/>
  <c r="G47" i="9"/>
  <c r="G48" i="9"/>
  <c r="G49" i="9"/>
  <c r="G50" i="9"/>
  <c r="G42" i="9"/>
  <c r="F50" i="9"/>
  <c r="F49" i="9"/>
  <c r="F48" i="9"/>
  <c r="F47" i="9"/>
  <c r="F46" i="9"/>
  <c r="F45" i="9"/>
  <c r="F44" i="9"/>
  <c r="F43" i="9"/>
  <c r="F42" i="9"/>
  <c r="G31" i="9"/>
  <c r="G32" i="9"/>
  <c r="G33" i="9"/>
  <c r="G34" i="9"/>
  <c r="G35" i="9"/>
  <c r="G36" i="9"/>
  <c r="G37" i="9"/>
  <c r="G38" i="9"/>
  <c r="G30" i="9"/>
  <c r="F31" i="9"/>
  <c r="F32" i="9"/>
  <c r="F33" i="9"/>
  <c r="F34" i="9"/>
  <c r="F35" i="9"/>
  <c r="F36" i="9"/>
  <c r="F37" i="9"/>
  <c r="F38" i="9"/>
  <c r="F30" i="9"/>
  <c r="E18" i="9"/>
  <c r="E19" i="9"/>
  <c r="E20" i="9"/>
  <c r="E21" i="9"/>
  <c r="E22" i="9"/>
  <c r="E23" i="9"/>
  <c r="H11" i="9" s="1"/>
  <c r="E24" i="9"/>
  <c r="H12" i="9" s="1"/>
  <c r="E25" i="9"/>
  <c r="E17" i="9"/>
  <c r="H5" i="9" s="1"/>
  <c r="E6" i="9"/>
  <c r="E7" i="9"/>
  <c r="E8" i="9"/>
  <c r="E9" i="9"/>
  <c r="E10" i="9"/>
  <c r="E11" i="9"/>
  <c r="E12" i="9"/>
  <c r="E13" i="9"/>
  <c r="E5" i="9"/>
  <c r="B50" i="9"/>
  <c r="B38" i="9"/>
  <c r="B49" i="9"/>
  <c r="B37" i="9"/>
  <c r="B48" i="9"/>
  <c r="B36" i="9"/>
  <c r="B47" i="9"/>
  <c r="B35" i="9"/>
  <c r="B46" i="9"/>
  <c r="B34" i="9"/>
  <c r="B45" i="9"/>
  <c r="B33" i="9"/>
  <c r="B44" i="9"/>
  <c r="B32" i="9"/>
  <c r="B43" i="9"/>
  <c r="B31" i="9"/>
  <c r="B42" i="9"/>
  <c r="B30" i="9"/>
  <c r="F7" i="9" l="1"/>
  <c r="G19" i="9"/>
  <c r="G9" i="9"/>
  <c r="G17" i="9"/>
  <c r="F10" i="9"/>
  <c r="G22" i="9"/>
  <c r="F6" i="9"/>
  <c r="G18" i="9"/>
  <c r="H8" i="9"/>
  <c r="F13" i="9"/>
  <c r="G25" i="9"/>
  <c r="F9" i="9"/>
  <c r="G21" i="9"/>
  <c r="G6" i="9"/>
  <c r="H7" i="9"/>
  <c r="F11" i="9"/>
  <c r="G23" i="9"/>
  <c r="G12" i="9"/>
  <c r="G24" i="9"/>
  <c r="F8" i="9"/>
  <c r="S5" i="9" s="1"/>
  <c r="C3" i="8" s="1"/>
  <c r="G20" i="9"/>
  <c r="I12" i="9"/>
  <c r="H6" i="9"/>
  <c r="I6" i="9" s="1"/>
  <c r="I9" i="9"/>
  <c r="B8" i="8" s="1"/>
  <c r="H13" i="9"/>
  <c r="H9" i="9"/>
  <c r="H10" i="9"/>
  <c r="F12" i="9"/>
  <c r="G11" i="9"/>
  <c r="I11" i="9" s="1"/>
  <c r="B9" i="8" s="1"/>
  <c r="G5" i="9"/>
  <c r="F5" i="9"/>
  <c r="G13" i="9"/>
  <c r="I13" i="9" s="1"/>
  <c r="G8" i="9"/>
  <c r="I8" i="9" s="1"/>
  <c r="M43" i="9"/>
  <c r="M44" i="9" s="1"/>
  <c r="M42" i="9"/>
  <c r="J19" i="9" s="1"/>
  <c r="S6" i="9"/>
  <c r="S7" i="9" s="1"/>
  <c r="G7" i="9"/>
  <c r="I7" i="9" s="1"/>
  <c r="M30" i="9"/>
  <c r="J18" i="9" s="1"/>
  <c r="C11" i="8" s="1"/>
  <c r="M31" i="9"/>
  <c r="M32" i="9" s="1"/>
  <c r="G32" i="6"/>
  <c r="G26" i="6"/>
  <c r="G20" i="6"/>
  <c r="G40" i="6" s="1"/>
  <c r="B20" i="6"/>
  <c r="B40" i="6" s="1"/>
  <c r="B32" i="6"/>
  <c r="B26" i="6"/>
  <c r="G10" i="9"/>
  <c r="I10" i="9" s="1"/>
  <c r="C8" i="8" l="1"/>
  <c r="D8" i="8" s="1"/>
  <c r="E8" i="8" s="1"/>
  <c r="B37" i="6"/>
  <c r="I16" i="8"/>
  <c r="C9" i="8"/>
  <c r="D9" i="8" s="1"/>
  <c r="E9" i="8" s="1"/>
  <c r="I7" i="8" s="1"/>
  <c r="J21" i="9"/>
  <c r="B7" i="8"/>
  <c r="J22" i="9"/>
  <c r="J23" i="9" s="1"/>
  <c r="G37" i="6"/>
  <c r="G36" i="6"/>
  <c r="B36" i="6"/>
  <c r="M16" i="8" l="1"/>
  <c r="C7" i="8"/>
  <c r="D7" i="8" s="1"/>
  <c r="E7" i="8" s="1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79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61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43" i="4"/>
  <c r="E37" i="4"/>
  <c r="E36" i="4"/>
  <c r="H18" i="4" s="1"/>
  <c r="E35" i="4"/>
  <c r="E34" i="4"/>
  <c r="E33" i="4"/>
  <c r="E32" i="4"/>
  <c r="E31" i="4"/>
  <c r="E30" i="4"/>
  <c r="E29" i="4"/>
  <c r="E28" i="4"/>
  <c r="E27" i="4"/>
  <c r="E26" i="4"/>
  <c r="H8" i="4" s="1"/>
  <c r="E25" i="4"/>
  <c r="E24" i="4"/>
  <c r="H6" i="4" s="1"/>
  <c r="E23" i="4"/>
  <c r="H5" i="4" s="1"/>
  <c r="E6" i="4"/>
  <c r="E7" i="4"/>
  <c r="F7" i="4" s="1"/>
  <c r="E8" i="4"/>
  <c r="F8" i="4" s="1"/>
  <c r="E9" i="4"/>
  <c r="F9" i="4" s="1"/>
  <c r="E10" i="4"/>
  <c r="F10" i="4" s="1"/>
  <c r="E11" i="4"/>
  <c r="F11" i="4" s="1"/>
  <c r="E12" i="4"/>
  <c r="F12" i="4" s="1"/>
  <c r="E13" i="4"/>
  <c r="F13" i="4" s="1"/>
  <c r="E14" i="4"/>
  <c r="E15" i="4"/>
  <c r="F15" i="4" s="1"/>
  <c r="E16" i="4"/>
  <c r="F16" i="4" s="1"/>
  <c r="E17" i="4"/>
  <c r="F17" i="4" s="1"/>
  <c r="E18" i="4"/>
  <c r="E19" i="4"/>
  <c r="F19" i="4" s="1"/>
  <c r="E5" i="4"/>
  <c r="G8" i="4" s="1"/>
  <c r="B93" i="4"/>
  <c r="B75" i="4"/>
  <c r="B57" i="4"/>
  <c r="B92" i="4"/>
  <c r="B74" i="4"/>
  <c r="B56" i="4"/>
  <c r="B91" i="4"/>
  <c r="B73" i="4"/>
  <c r="B55" i="4"/>
  <c r="B90" i="4"/>
  <c r="B72" i="4"/>
  <c r="B54" i="4"/>
  <c r="B89" i="4"/>
  <c r="B71" i="4"/>
  <c r="B53" i="4"/>
  <c r="B88" i="4"/>
  <c r="B70" i="4"/>
  <c r="B52" i="4"/>
  <c r="B87" i="4"/>
  <c r="B69" i="4"/>
  <c r="B51" i="4"/>
  <c r="B86" i="4"/>
  <c r="B68" i="4"/>
  <c r="B50" i="4"/>
  <c r="B85" i="4"/>
  <c r="B67" i="4"/>
  <c r="B49" i="4"/>
  <c r="B84" i="4"/>
  <c r="B66" i="4"/>
  <c r="B48" i="4"/>
  <c r="B83" i="4"/>
  <c r="B65" i="4"/>
  <c r="B47" i="4"/>
  <c r="B82" i="4"/>
  <c r="B64" i="4"/>
  <c r="B46" i="4"/>
  <c r="B81" i="4"/>
  <c r="B63" i="4"/>
  <c r="B45" i="4"/>
  <c r="B80" i="4"/>
  <c r="B62" i="4"/>
  <c r="B44" i="4"/>
  <c r="B79" i="4"/>
  <c r="B61" i="4"/>
  <c r="B43" i="4"/>
  <c r="G18" i="4" l="1"/>
  <c r="I18" i="4" s="1"/>
  <c r="G14" i="4"/>
  <c r="G6" i="4"/>
  <c r="I6" i="4" s="1"/>
  <c r="H12" i="4"/>
  <c r="H16" i="4"/>
  <c r="F5" i="4"/>
  <c r="G19" i="4"/>
  <c r="G15" i="4"/>
  <c r="I15" i="4" s="1"/>
  <c r="H10" i="4"/>
  <c r="H13" i="4"/>
  <c r="H14" i="4"/>
  <c r="I14" i="4" s="1"/>
  <c r="G11" i="4"/>
  <c r="N44" i="4"/>
  <c r="N45" i="4" s="1"/>
  <c r="N62" i="4"/>
  <c r="N63" i="4" s="1"/>
  <c r="N79" i="4"/>
  <c r="C27" i="5" s="1"/>
  <c r="F7" i="8"/>
  <c r="M7" i="8" s="1"/>
  <c r="I19" i="4"/>
  <c r="H9" i="4"/>
  <c r="H17" i="4"/>
  <c r="H7" i="4"/>
  <c r="H11" i="4"/>
  <c r="H15" i="4"/>
  <c r="H19" i="4"/>
  <c r="G7" i="4"/>
  <c r="I7" i="4" s="1"/>
  <c r="B7" i="5" s="1"/>
  <c r="I8" i="4"/>
  <c r="N43" i="4"/>
  <c r="G10" i="4"/>
  <c r="I10" i="4" s="1"/>
  <c r="N80" i="4"/>
  <c r="N81" i="4" s="1"/>
  <c r="F18" i="4"/>
  <c r="F14" i="4"/>
  <c r="F6" i="4"/>
  <c r="G17" i="4"/>
  <c r="I17" i="4" s="1"/>
  <c r="G13" i="4"/>
  <c r="I13" i="4" s="1"/>
  <c r="G9" i="4"/>
  <c r="I9" i="4" s="1"/>
  <c r="B8" i="5" s="1"/>
  <c r="N61" i="4"/>
  <c r="G5" i="4"/>
  <c r="G16" i="4"/>
  <c r="I16" i="4" s="1"/>
  <c r="G12" i="4"/>
  <c r="O38" i="3"/>
  <c r="B37" i="3" s="1"/>
  <c r="O39" i="3"/>
  <c r="O40" i="3"/>
  <c r="O41" i="3"/>
  <c r="O42" i="3"/>
  <c r="O43" i="3"/>
  <c r="O44" i="3"/>
  <c r="O45" i="3"/>
  <c r="O46" i="3"/>
  <c r="B39" i="3" s="1"/>
  <c r="O47" i="3"/>
  <c r="O48" i="3"/>
  <c r="O49" i="3"/>
  <c r="O50" i="3"/>
  <c r="O51" i="3"/>
  <c r="O52" i="3"/>
  <c r="O53" i="3"/>
  <c r="O54" i="3"/>
  <c r="O55" i="3"/>
  <c r="O37" i="3"/>
  <c r="O16" i="3"/>
  <c r="O12" i="3"/>
  <c r="O8" i="3"/>
  <c r="O19" i="3"/>
  <c r="O18" i="3"/>
  <c r="O17" i="3"/>
  <c r="O15" i="3"/>
  <c r="O14" i="3"/>
  <c r="B8" i="3" s="1"/>
  <c r="O13" i="3"/>
  <c r="O11" i="3"/>
  <c r="O10" i="3"/>
  <c r="O9" i="3"/>
  <c r="O7" i="3"/>
  <c r="B6" i="3" s="1"/>
  <c r="C6" i="3" s="1"/>
  <c r="O6" i="3"/>
  <c r="AC6" i="2"/>
  <c r="C41" i="3" s="1"/>
  <c r="Y71" i="2"/>
  <c r="Y70" i="2"/>
  <c r="AC8" i="2" s="1"/>
  <c r="C55" i="3" s="1"/>
  <c r="Y49" i="2"/>
  <c r="Y48" i="2"/>
  <c r="AC7" i="2" s="1"/>
  <c r="C48" i="3" s="1"/>
  <c r="Y27" i="2"/>
  <c r="Y26" i="2"/>
  <c r="U19" i="2"/>
  <c r="U20" i="2"/>
  <c r="U21" i="2"/>
  <c r="U22" i="2"/>
  <c r="U23" i="2"/>
  <c r="U18" i="2"/>
  <c r="U17" i="2"/>
  <c r="U16" i="2"/>
  <c r="U15" i="2"/>
  <c r="U14" i="2"/>
  <c r="U13" i="2"/>
  <c r="U12" i="2"/>
  <c r="U11" i="2"/>
  <c r="U10" i="2"/>
  <c r="U9" i="2"/>
  <c r="U8" i="2"/>
  <c r="U7" i="2"/>
  <c r="U6" i="2"/>
  <c r="U5" i="2"/>
  <c r="I60" i="2"/>
  <c r="I59" i="2"/>
  <c r="M8" i="2" s="1"/>
  <c r="I43" i="2"/>
  <c r="I42" i="2"/>
  <c r="M7" i="2" s="1"/>
  <c r="C17" i="3" s="1"/>
  <c r="I26" i="2"/>
  <c r="I25" i="2"/>
  <c r="M6" i="2" s="1"/>
  <c r="C10" i="3" s="1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5" i="2"/>
  <c r="H19" i="2" l="1"/>
  <c r="B38" i="3"/>
  <c r="B59" i="3" s="1"/>
  <c r="C59" i="3" s="1"/>
  <c r="J26" i="4"/>
  <c r="I12" i="4"/>
  <c r="B9" i="5" s="1"/>
  <c r="I16" i="5" s="1"/>
  <c r="H20" i="2"/>
  <c r="Y20" i="2"/>
  <c r="B7" i="3"/>
  <c r="B14" i="3" s="1"/>
  <c r="C14" i="3" s="1"/>
  <c r="D14" i="3" s="1"/>
  <c r="E14" i="3" s="1"/>
  <c r="F14" i="3" s="1"/>
  <c r="G14" i="3" s="1"/>
  <c r="H14" i="3" s="1"/>
  <c r="S6" i="4"/>
  <c r="C3" i="5" s="1"/>
  <c r="I11" i="4"/>
  <c r="B58" i="3"/>
  <c r="C58" i="3" s="1"/>
  <c r="D58" i="3" s="1"/>
  <c r="B44" i="3"/>
  <c r="C44" i="3" s="1"/>
  <c r="D44" i="3" s="1"/>
  <c r="E44" i="3" s="1"/>
  <c r="F44" i="3" s="1"/>
  <c r="B51" i="3"/>
  <c r="C51" i="3" s="1"/>
  <c r="D51" i="3" s="1"/>
  <c r="E51" i="3" s="1"/>
  <c r="F51" i="3" s="1"/>
  <c r="C37" i="3"/>
  <c r="B28" i="3"/>
  <c r="C28" i="3" s="1"/>
  <c r="C3" i="3"/>
  <c r="M9" i="2"/>
  <c r="M10" i="2"/>
  <c r="M11" i="2" s="1"/>
  <c r="C24" i="3"/>
  <c r="B53" i="3"/>
  <c r="C53" i="3" s="1"/>
  <c r="B46" i="3"/>
  <c r="C46" i="3" s="1"/>
  <c r="D46" i="3" s="1"/>
  <c r="E46" i="3" s="1"/>
  <c r="F46" i="3" s="1"/>
  <c r="B60" i="3"/>
  <c r="C60" i="3" s="1"/>
  <c r="D60" i="3"/>
  <c r="E60" i="3" s="1"/>
  <c r="F60" i="3" s="1"/>
  <c r="AC9" i="2"/>
  <c r="C34" i="3"/>
  <c r="Y21" i="2"/>
  <c r="B52" i="3"/>
  <c r="C52" i="3" s="1"/>
  <c r="D52" i="3" s="1"/>
  <c r="B45" i="3"/>
  <c r="C45" i="3" s="1"/>
  <c r="D45" i="3" s="1"/>
  <c r="E45" i="3" s="1"/>
  <c r="F45" i="3" s="1"/>
  <c r="G45" i="3" s="1"/>
  <c r="H45" i="3" s="1"/>
  <c r="C38" i="3"/>
  <c r="C19" i="5"/>
  <c r="J25" i="4"/>
  <c r="S7" i="4"/>
  <c r="S8" i="4" s="1"/>
  <c r="C8" i="3"/>
  <c r="B29" i="3"/>
  <c r="C29" i="3" s="1"/>
  <c r="B22" i="3"/>
  <c r="C22" i="3" s="1"/>
  <c r="B15" i="3"/>
  <c r="C15" i="3" s="1"/>
  <c r="D15" i="3" s="1"/>
  <c r="E15" i="3" s="1"/>
  <c r="F15" i="3" s="1"/>
  <c r="C11" i="5"/>
  <c r="J24" i="4"/>
  <c r="AC10" i="2"/>
  <c r="AC11" i="2" s="1"/>
  <c r="B27" i="3"/>
  <c r="C27" i="3" s="1"/>
  <c r="B20" i="3"/>
  <c r="C20" i="3" s="1"/>
  <c r="B13" i="3"/>
  <c r="C13" i="3" s="1"/>
  <c r="D13" i="3" s="1"/>
  <c r="E13" i="3" s="1"/>
  <c r="F13" i="3" s="1"/>
  <c r="M16" i="5"/>
  <c r="D6" i="3"/>
  <c r="E6" i="3" s="1"/>
  <c r="F6" i="3" s="1"/>
  <c r="C39" i="3"/>
  <c r="B21" i="3" l="1"/>
  <c r="C21" i="3" s="1"/>
  <c r="D21" i="3" s="1"/>
  <c r="D39" i="3"/>
  <c r="J28" i="4"/>
  <c r="J29" i="4" s="1"/>
  <c r="C8" i="5"/>
  <c r="D8" i="5" s="1"/>
  <c r="E8" i="5" s="1"/>
  <c r="C7" i="5"/>
  <c r="D7" i="5" s="1"/>
  <c r="E7" i="5" s="1"/>
  <c r="J27" i="4"/>
  <c r="C7" i="3"/>
  <c r="D37" i="3"/>
  <c r="E37" i="3" s="1"/>
  <c r="F37" i="3" s="1"/>
  <c r="G37" i="3" s="1"/>
  <c r="H37" i="3" s="1"/>
  <c r="G46" i="3"/>
  <c r="H46" i="3" s="1"/>
  <c r="R38" i="3"/>
  <c r="G15" i="3"/>
  <c r="H15" i="3" s="1"/>
  <c r="R7" i="3"/>
  <c r="G6" i="3"/>
  <c r="H6" i="3" s="1"/>
  <c r="V6" i="3"/>
  <c r="G13" i="3"/>
  <c r="H13" i="3" s="1"/>
  <c r="V7" i="3"/>
  <c r="G51" i="3"/>
  <c r="H51" i="3" s="1"/>
  <c r="V39" i="3"/>
  <c r="G44" i="3"/>
  <c r="H44" i="3" s="1"/>
  <c r="V38" i="3"/>
  <c r="D7" i="3"/>
  <c r="E7" i="3" s="1"/>
  <c r="F7" i="3" s="1"/>
  <c r="G7" i="3" s="1"/>
  <c r="H7" i="3" s="1"/>
  <c r="D8" i="3"/>
  <c r="E8" i="3" s="1"/>
  <c r="F8" i="3" s="1"/>
  <c r="D59" i="3"/>
  <c r="E59" i="3" s="1"/>
  <c r="F59" i="3" s="1"/>
  <c r="G59" i="3" s="1"/>
  <c r="H59" i="3" s="1"/>
  <c r="D22" i="3"/>
  <c r="E22" i="3" s="1"/>
  <c r="F22" i="3" s="1"/>
  <c r="D29" i="3"/>
  <c r="D27" i="3"/>
  <c r="E27" i="3" s="1"/>
  <c r="F27" i="3" s="1"/>
  <c r="D28" i="3"/>
  <c r="E21" i="3"/>
  <c r="F21" i="3" s="1"/>
  <c r="G21" i="3" s="1"/>
  <c r="H21" i="3" s="1"/>
  <c r="E52" i="3"/>
  <c r="F52" i="3" s="1"/>
  <c r="G52" i="3" s="1"/>
  <c r="H52" i="3" s="1"/>
  <c r="D20" i="3"/>
  <c r="E20" i="3" s="1"/>
  <c r="F20" i="3" s="1"/>
  <c r="E28" i="3"/>
  <c r="F28" i="3" s="1"/>
  <c r="G28" i="3" s="1"/>
  <c r="H28" i="3" s="1"/>
  <c r="D53" i="3"/>
  <c r="E53" i="3" s="1"/>
  <c r="F53" i="3" s="1"/>
  <c r="E29" i="3"/>
  <c r="F29" i="3" s="1"/>
  <c r="D38" i="3"/>
  <c r="E38" i="3" s="1"/>
  <c r="F38" i="3" s="1"/>
  <c r="G38" i="3" s="1"/>
  <c r="H38" i="3" s="1"/>
  <c r="G60" i="3"/>
  <c r="H60" i="3" s="1"/>
  <c r="R40" i="3"/>
  <c r="C9" i="5"/>
  <c r="D9" i="5" s="1"/>
  <c r="E9" i="5" s="1"/>
  <c r="I7" i="5" s="1"/>
  <c r="E58" i="3"/>
  <c r="F58" i="3" s="1"/>
  <c r="E39" i="3"/>
  <c r="F39" i="3" s="1"/>
  <c r="T49" i="2"/>
  <c r="T71" i="2"/>
  <c r="T28" i="2"/>
  <c r="T50" i="2"/>
  <c r="T72" i="2"/>
  <c r="T29" i="2"/>
  <c r="T51" i="2"/>
  <c r="T73" i="2"/>
  <c r="T30" i="2"/>
  <c r="T52" i="2"/>
  <c r="T74" i="2"/>
  <c r="T31" i="2"/>
  <c r="T53" i="2"/>
  <c r="T75" i="2"/>
  <c r="T32" i="2"/>
  <c r="T54" i="2"/>
  <c r="T76" i="2"/>
  <c r="T33" i="2"/>
  <c r="T55" i="2"/>
  <c r="T77" i="2"/>
  <c r="T34" i="2"/>
  <c r="T56" i="2"/>
  <c r="T78" i="2"/>
  <c r="T35" i="2"/>
  <c r="T57" i="2"/>
  <c r="T79" i="2"/>
  <c r="T36" i="2"/>
  <c r="T58" i="2"/>
  <c r="T80" i="2"/>
  <c r="T37" i="2"/>
  <c r="T59" i="2"/>
  <c r="T81" i="2"/>
  <c r="T38" i="2"/>
  <c r="T60" i="2"/>
  <c r="T82" i="2"/>
  <c r="T39" i="2"/>
  <c r="T61" i="2"/>
  <c r="T83" i="2"/>
  <c r="T40" i="2"/>
  <c r="T62" i="2"/>
  <c r="T84" i="2"/>
  <c r="T41" i="2"/>
  <c r="T63" i="2"/>
  <c r="T85" i="2"/>
  <c r="T42" i="2"/>
  <c r="T64" i="2"/>
  <c r="T86" i="2"/>
  <c r="T43" i="2"/>
  <c r="T65" i="2"/>
  <c r="T87" i="2"/>
  <c r="T44" i="2"/>
  <c r="T66" i="2"/>
  <c r="T88" i="2"/>
  <c r="T45" i="2"/>
  <c r="T67" i="2"/>
  <c r="T89" i="2"/>
  <c r="T27" i="2"/>
  <c r="D43" i="2"/>
  <c r="D60" i="2"/>
  <c r="D27" i="2"/>
  <c r="D44" i="2"/>
  <c r="D61" i="2"/>
  <c r="D28" i="2"/>
  <c r="D45" i="2"/>
  <c r="D62" i="2"/>
  <c r="D29" i="2"/>
  <c r="D46" i="2"/>
  <c r="D63" i="2"/>
  <c r="D30" i="2"/>
  <c r="D47" i="2"/>
  <c r="D64" i="2"/>
  <c r="D31" i="2"/>
  <c r="D48" i="2"/>
  <c r="D65" i="2"/>
  <c r="D32" i="2"/>
  <c r="D49" i="2"/>
  <c r="D66" i="2"/>
  <c r="D33" i="2"/>
  <c r="D50" i="2"/>
  <c r="D67" i="2"/>
  <c r="D34" i="2"/>
  <c r="D51" i="2"/>
  <c r="D68" i="2"/>
  <c r="D35" i="2"/>
  <c r="D52" i="2"/>
  <c r="D69" i="2"/>
  <c r="D36" i="2"/>
  <c r="D53" i="2"/>
  <c r="D70" i="2"/>
  <c r="D37" i="2"/>
  <c r="D54" i="2"/>
  <c r="D71" i="2"/>
  <c r="D38" i="2"/>
  <c r="D55" i="2"/>
  <c r="D72" i="2"/>
  <c r="D39" i="2"/>
  <c r="D56" i="2"/>
  <c r="D73" i="2"/>
  <c r="D26" i="2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19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91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63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35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6" i="1"/>
  <c r="S14" i="1"/>
  <c r="R19" i="1"/>
  <c r="R20" i="1"/>
  <c r="R21" i="1"/>
  <c r="R22" i="1"/>
  <c r="R23" i="1"/>
  <c r="R24" i="1"/>
  <c r="N140" i="1"/>
  <c r="N142" i="1" s="1"/>
  <c r="N112" i="1"/>
  <c r="N114" i="1" s="1"/>
  <c r="N84" i="1"/>
  <c r="N86" i="1" s="1"/>
  <c r="N56" i="1"/>
  <c r="N58" i="1" s="1"/>
  <c r="S27" i="1"/>
  <c r="S29" i="1" s="1"/>
  <c r="R18" i="1"/>
  <c r="S18" i="1" s="1"/>
  <c r="R17" i="1"/>
  <c r="R16" i="1"/>
  <c r="R15" i="1"/>
  <c r="S15" i="1" s="1"/>
  <c r="R14" i="1"/>
  <c r="R13" i="1"/>
  <c r="R12" i="1"/>
  <c r="R11" i="1"/>
  <c r="S11" i="1" s="1"/>
  <c r="R10" i="1"/>
  <c r="R9" i="1"/>
  <c r="R8" i="1"/>
  <c r="R7" i="1"/>
  <c r="S7" i="1" s="1"/>
  <c r="R6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17" i="1"/>
  <c r="D96" i="1"/>
  <c r="D97" i="1"/>
  <c r="D98" i="1"/>
  <c r="D99" i="1"/>
  <c r="D100" i="1"/>
  <c r="D101" i="1"/>
  <c r="D102" i="1"/>
  <c r="D103" i="1"/>
  <c r="D104" i="1"/>
  <c r="D105" i="1"/>
  <c r="D106" i="1"/>
  <c r="D107" i="1"/>
  <c r="D95" i="1"/>
  <c r="D74" i="1"/>
  <c r="D75" i="1"/>
  <c r="D76" i="1"/>
  <c r="D77" i="1"/>
  <c r="D78" i="1"/>
  <c r="D79" i="1"/>
  <c r="D80" i="1"/>
  <c r="D81" i="1"/>
  <c r="D82" i="1"/>
  <c r="D83" i="1"/>
  <c r="D84" i="1"/>
  <c r="D85" i="1"/>
  <c r="D73" i="1"/>
  <c r="D52" i="1"/>
  <c r="D53" i="1"/>
  <c r="D54" i="1"/>
  <c r="D55" i="1"/>
  <c r="D56" i="1"/>
  <c r="D57" i="1"/>
  <c r="D58" i="1"/>
  <c r="D59" i="1"/>
  <c r="D60" i="1"/>
  <c r="D61" i="1"/>
  <c r="D62" i="1"/>
  <c r="D63" i="1"/>
  <c r="D51" i="1"/>
  <c r="C132" i="1"/>
  <c r="C134" i="1" s="1"/>
  <c r="C129" i="1"/>
  <c r="C128" i="1"/>
  <c r="C127" i="1"/>
  <c r="C126" i="1"/>
  <c r="C125" i="1"/>
  <c r="C124" i="1"/>
  <c r="E124" i="1" s="1"/>
  <c r="C123" i="1"/>
  <c r="C122" i="1"/>
  <c r="C121" i="1"/>
  <c r="C120" i="1"/>
  <c r="E120" i="1" s="1"/>
  <c r="C119" i="1"/>
  <c r="C118" i="1"/>
  <c r="C117" i="1"/>
  <c r="C110" i="1"/>
  <c r="C112" i="1" s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88" i="1"/>
  <c r="C90" i="1" s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66" i="1"/>
  <c r="C68" i="1" s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D30" i="1"/>
  <c r="D31" i="1"/>
  <c r="D32" i="1"/>
  <c r="D33" i="1"/>
  <c r="D34" i="1"/>
  <c r="D35" i="1"/>
  <c r="D36" i="1"/>
  <c r="D37" i="1"/>
  <c r="D38" i="1"/>
  <c r="D39" i="1"/>
  <c r="D40" i="1"/>
  <c r="D41" i="1"/>
  <c r="D29" i="1"/>
  <c r="C44" i="1"/>
  <c r="C46" i="1" s="1"/>
  <c r="C30" i="1"/>
  <c r="C31" i="1"/>
  <c r="C32" i="1"/>
  <c r="C33" i="1"/>
  <c r="C34" i="1"/>
  <c r="C35" i="1"/>
  <c r="C36" i="1"/>
  <c r="C37" i="1"/>
  <c r="C38" i="1"/>
  <c r="C39" i="1"/>
  <c r="C40" i="1"/>
  <c r="C41" i="1"/>
  <c r="C29" i="1"/>
  <c r="H21" i="1"/>
  <c r="H22" i="1" s="1"/>
  <c r="V37" i="3" l="1"/>
  <c r="S9" i="1"/>
  <c r="P51" i="1"/>
  <c r="P47" i="1"/>
  <c r="P43" i="1"/>
  <c r="P39" i="1"/>
  <c r="I7" i="3"/>
  <c r="S10" i="1"/>
  <c r="S22" i="1"/>
  <c r="P50" i="1"/>
  <c r="P46" i="1"/>
  <c r="P42" i="1"/>
  <c r="P38" i="1"/>
  <c r="F7" i="5"/>
  <c r="M7" i="5" s="1"/>
  <c r="S13" i="1"/>
  <c r="S17" i="1"/>
  <c r="S23" i="1"/>
  <c r="S19" i="1"/>
  <c r="U19" i="1" s="1"/>
  <c r="U67" i="2"/>
  <c r="V67" i="2" s="1"/>
  <c r="U44" i="2"/>
  <c r="V44" i="2" s="1"/>
  <c r="U86" i="2"/>
  <c r="V86" i="2" s="1"/>
  <c r="U63" i="2"/>
  <c r="V63" i="2" s="1"/>
  <c r="U40" i="2"/>
  <c r="V40" i="2" s="1"/>
  <c r="U82" i="2"/>
  <c r="V82" i="2" s="1"/>
  <c r="U59" i="2"/>
  <c r="V59" i="2" s="1"/>
  <c r="U36" i="2"/>
  <c r="V36" i="2" s="1"/>
  <c r="U78" i="2"/>
  <c r="V78" i="2" s="1"/>
  <c r="U55" i="2"/>
  <c r="V55" i="2" s="1"/>
  <c r="U32" i="2"/>
  <c r="V32" i="2" s="1"/>
  <c r="U74" i="2"/>
  <c r="V74" i="2" s="1"/>
  <c r="U51" i="2"/>
  <c r="V51" i="2" s="1"/>
  <c r="U28" i="2"/>
  <c r="V28" i="2" s="1"/>
  <c r="S8" i="1"/>
  <c r="P52" i="1"/>
  <c r="P48" i="1"/>
  <c r="P44" i="1"/>
  <c r="P40" i="1"/>
  <c r="P36" i="1"/>
  <c r="P78" i="1"/>
  <c r="I38" i="3"/>
  <c r="G53" i="3"/>
  <c r="H53" i="3" s="1"/>
  <c r="R39" i="3"/>
  <c r="R41" i="3" s="1"/>
  <c r="R42" i="3" s="1"/>
  <c r="G22" i="3"/>
  <c r="H22" i="3" s="1"/>
  <c r="R8" i="3"/>
  <c r="G20" i="3"/>
  <c r="H20" i="3" s="1"/>
  <c r="V8" i="3"/>
  <c r="V10" i="3" s="1"/>
  <c r="V11" i="3" s="1"/>
  <c r="G27" i="3"/>
  <c r="H27" i="3" s="1"/>
  <c r="V9" i="3"/>
  <c r="S21" i="1"/>
  <c r="U21" i="1" s="1"/>
  <c r="U64" i="2"/>
  <c r="V64" i="2" s="1"/>
  <c r="U83" i="2"/>
  <c r="V83" i="2" s="1"/>
  <c r="U37" i="2"/>
  <c r="V37" i="2" s="1"/>
  <c r="U33" i="2"/>
  <c r="V33" i="2" s="1"/>
  <c r="U52" i="2"/>
  <c r="V52" i="2" s="1"/>
  <c r="U71" i="2"/>
  <c r="V71" i="2" s="1"/>
  <c r="G58" i="3"/>
  <c r="H58" i="3" s="1"/>
  <c r="V40" i="3"/>
  <c r="G8" i="3"/>
  <c r="H8" i="3" s="1"/>
  <c r="R6" i="3"/>
  <c r="E80" i="1"/>
  <c r="S24" i="1"/>
  <c r="U24" i="1" s="1"/>
  <c r="S20" i="1"/>
  <c r="S16" i="1"/>
  <c r="S12" i="1"/>
  <c r="U23" i="1"/>
  <c r="U27" i="2"/>
  <c r="V27" i="2" s="1"/>
  <c r="U88" i="2"/>
  <c r="V88" i="2" s="1"/>
  <c r="U65" i="2"/>
  <c r="V65" i="2" s="1"/>
  <c r="U42" i="2"/>
  <c r="V42" i="2" s="1"/>
  <c r="U84" i="2"/>
  <c r="V84" i="2" s="1"/>
  <c r="U61" i="2"/>
  <c r="V61" i="2" s="1"/>
  <c r="U38" i="2"/>
  <c r="V38" i="2" s="1"/>
  <c r="U80" i="2"/>
  <c r="V80" i="2" s="1"/>
  <c r="U57" i="2"/>
  <c r="V57" i="2" s="1"/>
  <c r="U34" i="2"/>
  <c r="V34" i="2" s="1"/>
  <c r="U76" i="2"/>
  <c r="V76" i="2" s="1"/>
  <c r="U53" i="2"/>
  <c r="V53" i="2" s="1"/>
  <c r="U30" i="2"/>
  <c r="V30" i="2" s="1"/>
  <c r="U72" i="2"/>
  <c r="V72" i="2" s="1"/>
  <c r="U49" i="2"/>
  <c r="V49" i="2" s="1"/>
  <c r="G29" i="3"/>
  <c r="H29" i="3" s="1"/>
  <c r="R9" i="3"/>
  <c r="V41" i="3"/>
  <c r="V42" i="3" s="1"/>
  <c r="H23" i="1"/>
  <c r="C54" i="9"/>
  <c r="D54" i="9" s="1"/>
  <c r="H54" i="9" s="1"/>
  <c r="C56" i="9"/>
  <c r="D56" i="9" s="1"/>
  <c r="C57" i="9"/>
  <c r="D57" i="9" s="1"/>
  <c r="H57" i="9" s="1"/>
  <c r="I57" i="9" s="1"/>
  <c r="C45" i="9"/>
  <c r="D45" i="9" s="1"/>
  <c r="C49" i="9"/>
  <c r="D49" i="9" s="1"/>
  <c r="C34" i="9"/>
  <c r="D34" i="9" s="1"/>
  <c r="C38" i="9"/>
  <c r="D38" i="9" s="1"/>
  <c r="C62" i="9"/>
  <c r="D62" i="9" s="1"/>
  <c r="C43" i="9"/>
  <c r="D43" i="9" s="1"/>
  <c r="C42" i="9"/>
  <c r="D42" i="9" s="1"/>
  <c r="H42" i="9" s="1"/>
  <c r="C36" i="9"/>
  <c r="D36" i="9" s="1"/>
  <c r="C48" i="9"/>
  <c r="D48" i="9" s="1"/>
  <c r="C33" i="9"/>
  <c r="D33" i="9" s="1"/>
  <c r="C58" i="9"/>
  <c r="D58" i="9" s="1"/>
  <c r="C60" i="9"/>
  <c r="D60" i="9" s="1"/>
  <c r="H60" i="9" s="1"/>
  <c r="I60" i="9" s="1"/>
  <c r="C61" i="9"/>
  <c r="D61" i="9" s="1"/>
  <c r="C46" i="9"/>
  <c r="D46" i="9" s="1"/>
  <c r="C50" i="9"/>
  <c r="D50" i="9" s="1"/>
  <c r="H50" i="9" s="1"/>
  <c r="I50" i="9" s="1"/>
  <c r="C31" i="9"/>
  <c r="D31" i="9" s="1"/>
  <c r="C35" i="9"/>
  <c r="D35" i="9" s="1"/>
  <c r="C30" i="9"/>
  <c r="D30" i="9" s="1"/>
  <c r="H30" i="9" s="1"/>
  <c r="C55" i="9"/>
  <c r="D55" i="9" s="1"/>
  <c r="C47" i="9"/>
  <c r="D47" i="9" s="1"/>
  <c r="H47" i="9" s="1"/>
  <c r="I47" i="9" s="1"/>
  <c r="C32" i="9"/>
  <c r="D32" i="9" s="1"/>
  <c r="C59" i="9"/>
  <c r="D59" i="9" s="1"/>
  <c r="H59" i="9" s="1"/>
  <c r="I59" i="9" s="1"/>
  <c r="C44" i="9"/>
  <c r="D44" i="9" s="1"/>
  <c r="H44" i="9" s="1"/>
  <c r="I44" i="9" s="1"/>
  <c r="C37" i="9"/>
  <c r="D37" i="9" s="1"/>
  <c r="H37" i="9" s="1"/>
  <c r="I37" i="9" s="1"/>
  <c r="S6" i="1"/>
  <c r="U20" i="1"/>
  <c r="U45" i="2"/>
  <c r="V45" i="2" s="1"/>
  <c r="U87" i="2"/>
  <c r="V87" i="2" s="1"/>
  <c r="U41" i="2"/>
  <c r="V41" i="2" s="1"/>
  <c r="U60" i="2"/>
  <c r="V60" i="2" s="1"/>
  <c r="U79" i="2"/>
  <c r="V79" i="2" s="1"/>
  <c r="U56" i="2"/>
  <c r="V56" i="2" s="1"/>
  <c r="U75" i="2"/>
  <c r="V75" i="2" s="1"/>
  <c r="U29" i="2"/>
  <c r="V29" i="2" s="1"/>
  <c r="E56" i="1"/>
  <c r="E76" i="1"/>
  <c r="E84" i="1"/>
  <c r="E117" i="1"/>
  <c r="E104" i="1"/>
  <c r="E123" i="1"/>
  <c r="E119" i="1"/>
  <c r="U22" i="1"/>
  <c r="P53" i="1"/>
  <c r="P49" i="1"/>
  <c r="P45" i="1"/>
  <c r="P41" i="1"/>
  <c r="P37" i="1"/>
  <c r="P79" i="1"/>
  <c r="P109" i="1"/>
  <c r="U89" i="2"/>
  <c r="V89" i="2" s="1"/>
  <c r="U66" i="2"/>
  <c r="V66" i="2" s="1"/>
  <c r="U43" i="2"/>
  <c r="V43" i="2" s="1"/>
  <c r="U85" i="2"/>
  <c r="V85" i="2" s="1"/>
  <c r="U62" i="2"/>
  <c r="U39" i="2"/>
  <c r="V39" i="2" s="1"/>
  <c r="U81" i="2"/>
  <c r="V81" i="2" s="1"/>
  <c r="U58" i="2"/>
  <c r="V58" i="2" s="1"/>
  <c r="U35" i="2"/>
  <c r="U77" i="2"/>
  <c r="U54" i="2"/>
  <c r="V54" i="2" s="1"/>
  <c r="U31" i="2"/>
  <c r="V31" i="2" s="1"/>
  <c r="U73" i="2"/>
  <c r="U50" i="2"/>
  <c r="V50" i="2" s="1"/>
  <c r="G39" i="3"/>
  <c r="H39" i="3" s="1"/>
  <c r="R37" i="3"/>
  <c r="P108" i="1"/>
  <c r="P104" i="1"/>
  <c r="P134" i="1"/>
  <c r="P81" i="1"/>
  <c r="P77" i="1"/>
  <c r="P107" i="1"/>
  <c r="P137" i="1"/>
  <c r="P133" i="1"/>
  <c r="P80" i="1"/>
  <c r="P76" i="1"/>
  <c r="P106" i="1"/>
  <c r="P136" i="1"/>
  <c r="P132" i="1"/>
  <c r="P105" i="1"/>
  <c r="P135" i="1"/>
  <c r="V62" i="2"/>
  <c r="V35" i="2"/>
  <c r="V77" i="2"/>
  <c r="V73" i="2"/>
  <c r="P119" i="1"/>
  <c r="P121" i="1"/>
  <c r="P125" i="1"/>
  <c r="P127" i="1"/>
  <c r="P129" i="1"/>
  <c r="P63" i="1"/>
  <c r="P65" i="1"/>
  <c r="P69" i="1"/>
  <c r="P71" i="1"/>
  <c r="P73" i="1"/>
  <c r="P124" i="1"/>
  <c r="P96" i="1"/>
  <c r="P68" i="1"/>
  <c r="P91" i="1"/>
  <c r="P93" i="1"/>
  <c r="E29" i="1"/>
  <c r="E38" i="1"/>
  <c r="E34" i="1"/>
  <c r="E30" i="1"/>
  <c r="E54" i="1"/>
  <c r="E58" i="1"/>
  <c r="P35" i="1"/>
  <c r="P97" i="1"/>
  <c r="P99" i="1"/>
  <c r="P101" i="1"/>
  <c r="P70" i="1"/>
  <c r="P126" i="1"/>
  <c r="P98" i="1"/>
  <c r="H35" i="1"/>
  <c r="H24" i="1"/>
  <c r="E41" i="1"/>
  <c r="E37" i="1"/>
  <c r="E33" i="1"/>
  <c r="E53" i="1"/>
  <c r="P67" i="1"/>
  <c r="P72" i="1"/>
  <c r="P74" i="1"/>
  <c r="P92" i="1"/>
  <c r="P94" i="1"/>
  <c r="P103" i="1"/>
  <c r="P123" i="1"/>
  <c r="P128" i="1"/>
  <c r="P130" i="1"/>
  <c r="E36" i="1"/>
  <c r="E127" i="1"/>
  <c r="E79" i="1"/>
  <c r="E75" i="1"/>
  <c r="E40" i="1"/>
  <c r="E32" i="1"/>
  <c r="E39" i="1"/>
  <c r="E35" i="1"/>
  <c r="E31" i="1"/>
  <c r="E101" i="1"/>
  <c r="E97" i="1"/>
  <c r="P64" i="1"/>
  <c r="P66" i="1"/>
  <c r="P75" i="1"/>
  <c r="P95" i="1"/>
  <c r="P100" i="1"/>
  <c r="P102" i="1"/>
  <c r="P120" i="1"/>
  <c r="P122" i="1"/>
  <c r="P131" i="1"/>
  <c r="S28" i="1"/>
  <c r="N57" i="1"/>
  <c r="S36" i="1" s="1"/>
  <c r="N85" i="1"/>
  <c r="S37" i="1" s="1"/>
  <c r="N113" i="1"/>
  <c r="S38" i="1" s="1"/>
  <c r="N141" i="1"/>
  <c r="S39" i="1" s="1"/>
  <c r="E128" i="1"/>
  <c r="E98" i="1"/>
  <c r="E95" i="1"/>
  <c r="E99" i="1"/>
  <c r="E107" i="1"/>
  <c r="E102" i="1"/>
  <c r="E106" i="1"/>
  <c r="E83" i="1"/>
  <c r="E62" i="1"/>
  <c r="E60" i="1"/>
  <c r="E55" i="1"/>
  <c r="E57" i="1"/>
  <c r="E61" i="1"/>
  <c r="E51" i="1"/>
  <c r="E52" i="1"/>
  <c r="E121" i="1"/>
  <c r="E125" i="1"/>
  <c r="E129" i="1"/>
  <c r="E105" i="1"/>
  <c r="E103" i="1"/>
  <c r="E77" i="1"/>
  <c r="E81" i="1"/>
  <c r="E85" i="1"/>
  <c r="E73" i="1"/>
  <c r="E63" i="1"/>
  <c r="E59" i="1"/>
  <c r="E118" i="1"/>
  <c r="E122" i="1"/>
  <c r="E126" i="1"/>
  <c r="C133" i="1"/>
  <c r="E100" i="1"/>
  <c r="E96" i="1"/>
  <c r="C111" i="1"/>
  <c r="E74" i="1"/>
  <c r="E78" i="1"/>
  <c r="E82" i="1"/>
  <c r="C89" i="1"/>
  <c r="C67" i="1"/>
  <c r="C45" i="1"/>
  <c r="E42" i="1" l="1"/>
  <c r="H46" i="9"/>
  <c r="I46" i="9" s="1"/>
  <c r="B24" i="8" s="1"/>
  <c r="C24" i="8" s="1"/>
  <c r="D24" i="8" s="1"/>
  <c r="E24" i="8" s="1"/>
  <c r="H48" i="9"/>
  <c r="I48" i="9" s="1"/>
  <c r="H32" i="9"/>
  <c r="I32" i="9" s="1"/>
  <c r="H35" i="9"/>
  <c r="I35" i="9" s="1"/>
  <c r="H61" i="9"/>
  <c r="I61" i="9" s="1"/>
  <c r="B33" i="8" s="1"/>
  <c r="H62" i="9"/>
  <c r="I62" i="9" s="1"/>
  <c r="H45" i="9"/>
  <c r="I45" i="9" s="1"/>
  <c r="B23" i="8" s="1"/>
  <c r="M18" i="8" s="1"/>
  <c r="H31" i="9"/>
  <c r="I31" i="9" s="1"/>
  <c r="H36" i="9"/>
  <c r="I36" i="9" s="1"/>
  <c r="B17" i="8" s="1"/>
  <c r="H38" i="9"/>
  <c r="I38" i="9" s="1"/>
  <c r="R10" i="3"/>
  <c r="R11" i="3" s="1"/>
  <c r="H55" i="9"/>
  <c r="I55" i="9" s="1"/>
  <c r="H58" i="9"/>
  <c r="I58" i="9" s="1"/>
  <c r="B32" i="8" s="1"/>
  <c r="C32" i="8" s="1"/>
  <c r="D32" i="8" s="1"/>
  <c r="E32" i="8" s="1"/>
  <c r="H56" i="9"/>
  <c r="I56" i="9" s="1"/>
  <c r="B31" i="8" s="1"/>
  <c r="H34" i="9"/>
  <c r="I34" i="9" s="1"/>
  <c r="B16" i="8" s="1"/>
  <c r="C16" i="8" s="1"/>
  <c r="D16" i="8" s="1"/>
  <c r="E16" i="8" s="1"/>
  <c r="C33" i="8"/>
  <c r="D33" i="8" s="1"/>
  <c r="E33" i="8" s="1"/>
  <c r="I10" i="8" s="1"/>
  <c r="I19" i="8"/>
  <c r="C23" i="8"/>
  <c r="D23" i="8" s="1"/>
  <c r="E23" i="8" s="1"/>
  <c r="H33" i="9"/>
  <c r="I33" i="9" s="1"/>
  <c r="H43" i="9"/>
  <c r="I43" i="9" s="1"/>
  <c r="H49" i="9"/>
  <c r="I49" i="9" s="1"/>
  <c r="B25" i="8" s="1"/>
  <c r="P82" i="1"/>
  <c r="P138" i="1"/>
  <c r="P54" i="1"/>
  <c r="P110" i="1"/>
  <c r="C69" i="1"/>
  <c r="H31" i="1"/>
  <c r="C135" i="1"/>
  <c r="H34" i="1"/>
  <c r="C91" i="1"/>
  <c r="H32" i="1"/>
  <c r="C113" i="1"/>
  <c r="H33" i="1"/>
  <c r="C47" i="1"/>
  <c r="H30" i="1"/>
  <c r="N59" i="1"/>
  <c r="N143" i="1"/>
  <c r="S40" i="1"/>
  <c r="S30" i="1"/>
  <c r="N115" i="1"/>
  <c r="N87" i="1"/>
  <c r="E130" i="1"/>
  <c r="E108" i="1"/>
  <c r="E86" i="1"/>
  <c r="E64" i="1"/>
  <c r="B15" i="8" l="1"/>
  <c r="C31" i="8"/>
  <c r="D31" i="8" s="1"/>
  <c r="E31" i="8" s="1"/>
  <c r="M19" i="8"/>
  <c r="I17" i="8"/>
  <c r="I20" i="8" s="1"/>
  <c r="I21" i="8" s="1"/>
  <c r="C17" i="8"/>
  <c r="D17" i="8" s="1"/>
  <c r="E17" i="8" s="1"/>
  <c r="I8" i="8" s="1"/>
  <c r="F23" i="8"/>
  <c r="M9" i="8" s="1"/>
  <c r="C25" i="8"/>
  <c r="D25" i="8" s="1"/>
  <c r="E25" i="8" s="1"/>
  <c r="I9" i="8" s="1"/>
  <c r="I18" i="8"/>
  <c r="C15" i="8"/>
  <c r="D15" i="8" s="1"/>
  <c r="E15" i="8" s="1"/>
  <c r="F15" i="8" s="1"/>
  <c r="M17" i="8"/>
  <c r="H36" i="1"/>
  <c r="H37" i="1" s="1"/>
  <c r="S41" i="1"/>
  <c r="S42" i="1" s="1"/>
  <c r="I7" i="1"/>
  <c r="I8" i="1"/>
  <c r="I9" i="1"/>
  <c r="I10" i="1"/>
  <c r="I11" i="1"/>
  <c r="I12" i="1"/>
  <c r="I13" i="1"/>
  <c r="I14" i="1"/>
  <c r="I15" i="1"/>
  <c r="I16" i="1"/>
  <c r="I17" i="1"/>
  <c r="I18" i="1"/>
  <c r="I6" i="1"/>
  <c r="G7" i="1"/>
  <c r="G8" i="1"/>
  <c r="G9" i="1"/>
  <c r="G10" i="1"/>
  <c r="G11" i="1"/>
  <c r="G12" i="1"/>
  <c r="G13" i="1"/>
  <c r="G14" i="1"/>
  <c r="G15" i="1"/>
  <c r="G16" i="1"/>
  <c r="G17" i="1"/>
  <c r="G18" i="1"/>
  <c r="G6" i="1"/>
  <c r="H17" i="1" s="1"/>
  <c r="M20" i="8" l="1"/>
  <c r="M21" i="8" s="1"/>
  <c r="I11" i="8"/>
  <c r="I12" i="8" s="1"/>
  <c r="F31" i="8"/>
  <c r="M10" i="8" s="1"/>
  <c r="H18" i="1"/>
  <c r="J18" i="1" s="1"/>
  <c r="H10" i="1"/>
  <c r="J10" i="1" s="1"/>
  <c r="H13" i="1"/>
  <c r="C68" i="4"/>
  <c r="D68" i="4" s="1"/>
  <c r="C80" i="4"/>
  <c r="D80" i="4" s="1"/>
  <c r="C44" i="4"/>
  <c r="D44" i="4" s="1"/>
  <c r="C48" i="4"/>
  <c r="D48" i="4" s="1"/>
  <c r="C52" i="4"/>
  <c r="D52" i="4" s="1"/>
  <c r="C56" i="4"/>
  <c r="D56" i="4" s="1"/>
  <c r="C72" i="4"/>
  <c r="D72" i="4" s="1"/>
  <c r="C50" i="4"/>
  <c r="D50" i="4" s="1"/>
  <c r="C73" i="4"/>
  <c r="D73" i="4" s="1"/>
  <c r="C47" i="4"/>
  <c r="D47" i="4" s="1"/>
  <c r="C55" i="4"/>
  <c r="D55" i="4" s="1"/>
  <c r="C69" i="4"/>
  <c r="D69" i="4" s="1"/>
  <c r="C84" i="4"/>
  <c r="D84" i="4" s="1"/>
  <c r="C45" i="4"/>
  <c r="D45" i="4" s="1"/>
  <c r="C49" i="4"/>
  <c r="D49" i="4" s="1"/>
  <c r="C53" i="4"/>
  <c r="D53" i="4" s="1"/>
  <c r="C57" i="4"/>
  <c r="D57" i="4" s="1"/>
  <c r="C64" i="4"/>
  <c r="D64" i="4" s="1"/>
  <c r="C88" i="4"/>
  <c r="D88" i="4" s="1"/>
  <c r="C46" i="4"/>
  <c r="D46" i="4" s="1"/>
  <c r="C54" i="4"/>
  <c r="D54" i="4" s="1"/>
  <c r="C43" i="4"/>
  <c r="D43" i="4" s="1"/>
  <c r="C65" i="4"/>
  <c r="D65" i="4" s="1"/>
  <c r="C92" i="4"/>
  <c r="D92" i="4" s="1"/>
  <c r="C51" i="4"/>
  <c r="D51" i="4" s="1"/>
  <c r="C79" i="4"/>
  <c r="D79" i="4" s="1"/>
  <c r="H79" i="4" s="1"/>
  <c r="C89" i="4"/>
  <c r="D89" i="4" s="1"/>
  <c r="C90" i="4"/>
  <c r="D90" i="4" s="1"/>
  <c r="C93" i="4"/>
  <c r="D93" i="4" s="1"/>
  <c r="C62" i="4"/>
  <c r="D62" i="4" s="1"/>
  <c r="C86" i="4"/>
  <c r="D86" i="4" s="1"/>
  <c r="C63" i="4"/>
  <c r="D63" i="4" s="1"/>
  <c r="C70" i="4"/>
  <c r="D70" i="4" s="1"/>
  <c r="C66" i="4"/>
  <c r="D66" i="4" s="1"/>
  <c r="C83" i="4"/>
  <c r="D83" i="4" s="1"/>
  <c r="C67" i="4"/>
  <c r="D67" i="4" s="1"/>
  <c r="C75" i="4"/>
  <c r="D75" i="4" s="1"/>
  <c r="C81" i="4"/>
  <c r="D81" i="4" s="1"/>
  <c r="H81" i="4" s="1"/>
  <c r="I81" i="4" s="1"/>
  <c r="C85" i="4"/>
  <c r="D85" i="4" s="1"/>
  <c r="C87" i="4"/>
  <c r="D87" i="4" s="1"/>
  <c r="C61" i="4"/>
  <c r="D61" i="4" s="1"/>
  <c r="H61" i="4" s="1"/>
  <c r="C91" i="4"/>
  <c r="D91" i="4" s="1"/>
  <c r="H91" i="4" s="1"/>
  <c r="I91" i="4" s="1"/>
  <c r="C71" i="4"/>
  <c r="D71" i="4" s="1"/>
  <c r="C82" i="4"/>
  <c r="D82" i="4" s="1"/>
  <c r="C74" i="4"/>
  <c r="D74" i="4" s="1"/>
  <c r="H74" i="4" s="1"/>
  <c r="I74" i="4" s="1"/>
  <c r="E36" i="2"/>
  <c r="F36" i="2" s="1"/>
  <c r="E73" i="2"/>
  <c r="F73" i="2" s="1"/>
  <c r="E43" i="2"/>
  <c r="F43" i="2" s="1"/>
  <c r="E70" i="2"/>
  <c r="F70" i="2" s="1"/>
  <c r="E48" i="2"/>
  <c r="F48" i="2" s="1"/>
  <c r="E54" i="2"/>
  <c r="F54" i="2" s="1"/>
  <c r="E28" i="2"/>
  <c r="F28" i="2" s="1"/>
  <c r="E65" i="2"/>
  <c r="F65" i="2" s="1"/>
  <c r="E53" i="2"/>
  <c r="F53" i="2" s="1"/>
  <c r="E31" i="2"/>
  <c r="F31" i="2" s="1"/>
  <c r="E62" i="2"/>
  <c r="F62" i="2" s="1"/>
  <c r="E32" i="2"/>
  <c r="F32" i="2" s="1"/>
  <c r="E37" i="2"/>
  <c r="F37" i="2" s="1"/>
  <c r="E61" i="2"/>
  <c r="F61" i="2" s="1"/>
  <c r="E67" i="2"/>
  <c r="F67" i="2" s="1"/>
  <c r="E26" i="2"/>
  <c r="F26" i="2" s="1"/>
  <c r="E38" i="2"/>
  <c r="F38" i="2" s="1"/>
  <c r="E66" i="2"/>
  <c r="F66" i="2" s="1"/>
  <c r="E64" i="2"/>
  <c r="F64" i="2" s="1"/>
  <c r="E51" i="2"/>
  <c r="F51" i="2" s="1"/>
  <c r="E71" i="2"/>
  <c r="F71" i="2" s="1"/>
  <c r="E27" i="2"/>
  <c r="F27" i="2" s="1"/>
  <c r="E50" i="2"/>
  <c r="F50" i="2" s="1"/>
  <c r="E69" i="2"/>
  <c r="F69" i="2" s="1"/>
  <c r="E52" i="2"/>
  <c r="F52" i="2" s="1"/>
  <c r="E30" i="2"/>
  <c r="F30" i="2" s="1"/>
  <c r="E68" i="2"/>
  <c r="F68" i="2" s="1"/>
  <c r="E60" i="2"/>
  <c r="F60" i="2" s="1"/>
  <c r="E55" i="2"/>
  <c r="F55" i="2" s="1"/>
  <c r="E47" i="2"/>
  <c r="F47" i="2" s="1"/>
  <c r="E35" i="2"/>
  <c r="F35" i="2" s="1"/>
  <c r="E63" i="2"/>
  <c r="F63" i="2" s="1"/>
  <c r="E46" i="2"/>
  <c r="F46" i="2" s="1"/>
  <c r="E33" i="2"/>
  <c r="F33" i="2" s="1"/>
  <c r="E56" i="2"/>
  <c r="F56" i="2" s="1"/>
  <c r="E34" i="2"/>
  <c r="F34" i="2" s="1"/>
  <c r="E39" i="2"/>
  <c r="F39" i="2" s="1"/>
  <c r="E45" i="2"/>
  <c r="F45" i="2" s="1"/>
  <c r="E29" i="2"/>
  <c r="F29" i="2" s="1"/>
  <c r="E44" i="2"/>
  <c r="F44" i="2" s="1"/>
  <c r="E72" i="2"/>
  <c r="F72" i="2" s="1"/>
  <c r="E49" i="2"/>
  <c r="F49" i="2" s="1"/>
  <c r="H14" i="1"/>
  <c r="J14" i="1" s="1"/>
  <c r="H9" i="1"/>
  <c r="J9" i="1" s="1"/>
  <c r="H16" i="1"/>
  <c r="J16" i="1" s="1"/>
  <c r="H12" i="1"/>
  <c r="J12" i="1" s="1"/>
  <c r="H8" i="1"/>
  <c r="J8" i="1" s="1"/>
  <c r="M8" i="8"/>
  <c r="F8" i="8"/>
  <c r="H15" i="1"/>
  <c r="J15" i="1" s="1"/>
  <c r="H11" i="1"/>
  <c r="J11" i="1" s="1"/>
  <c r="H7" i="1"/>
  <c r="J7" i="1" s="1"/>
  <c r="J17" i="1"/>
  <c r="J13" i="1"/>
  <c r="U6" i="1"/>
  <c r="U14" i="1"/>
  <c r="U13" i="1"/>
  <c r="U10" i="1"/>
  <c r="U17" i="1"/>
  <c r="U11" i="1"/>
  <c r="U8" i="1"/>
  <c r="U16" i="1"/>
  <c r="U7" i="1"/>
  <c r="U15" i="1"/>
  <c r="U18" i="1"/>
  <c r="U9" i="1"/>
  <c r="U12" i="1"/>
  <c r="H6" i="1"/>
  <c r="J6" i="1" s="1"/>
  <c r="H93" i="4" l="1"/>
  <c r="I93" i="4" s="1"/>
  <c r="H51" i="4"/>
  <c r="I51" i="4" s="1"/>
  <c r="H54" i="4"/>
  <c r="I54" i="4" s="1"/>
  <c r="H82" i="4"/>
  <c r="I82" i="4" s="1"/>
  <c r="H87" i="4"/>
  <c r="I87" i="4" s="1"/>
  <c r="H85" i="4"/>
  <c r="I85" i="4" s="1"/>
  <c r="H83" i="4"/>
  <c r="I83" i="4" s="1"/>
  <c r="B32" i="5" s="1"/>
  <c r="C32" i="5" s="1"/>
  <c r="D32" i="5" s="1"/>
  <c r="E32" i="5" s="1"/>
  <c r="H86" i="4"/>
  <c r="I86" i="4" s="1"/>
  <c r="B33" i="5" s="1"/>
  <c r="H89" i="4"/>
  <c r="I89" i="4" s="1"/>
  <c r="H57" i="4"/>
  <c r="I57" i="4" s="1"/>
  <c r="H84" i="4"/>
  <c r="I84" i="4" s="1"/>
  <c r="H52" i="4"/>
  <c r="I52" i="4" s="1"/>
  <c r="M11" i="8"/>
  <c r="M12" i="8" s="1"/>
  <c r="H90" i="4"/>
  <c r="I90" i="4" s="1"/>
  <c r="H92" i="4"/>
  <c r="I92" i="4" s="1"/>
  <c r="H46" i="4"/>
  <c r="I46" i="4" s="1"/>
  <c r="H53" i="4"/>
  <c r="I53" i="4" s="1"/>
  <c r="H50" i="4"/>
  <c r="I50" i="4" s="1"/>
  <c r="B17" i="5" s="1"/>
  <c r="H48" i="4"/>
  <c r="I48" i="4" s="1"/>
  <c r="J19" i="1"/>
  <c r="H70" i="4"/>
  <c r="I70" i="4" s="1"/>
  <c r="H67" i="4"/>
  <c r="I67" i="4" s="1"/>
  <c r="H69" i="4"/>
  <c r="I69" i="4" s="1"/>
  <c r="H71" i="4"/>
  <c r="I71" i="4" s="1"/>
  <c r="H65" i="4"/>
  <c r="I65" i="4" s="1"/>
  <c r="B24" i="5" s="1"/>
  <c r="C24" i="5" s="1"/>
  <c r="D24" i="5" s="1"/>
  <c r="E24" i="5" s="1"/>
  <c r="H88" i="4"/>
  <c r="I88" i="4" s="1"/>
  <c r="H49" i="4"/>
  <c r="I49" i="4" s="1"/>
  <c r="H72" i="4"/>
  <c r="I72" i="4" s="1"/>
  <c r="H44" i="4"/>
  <c r="I44" i="4" s="1"/>
  <c r="H75" i="4"/>
  <c r="I75" i="4" s="1"/>
  <c r="H73" i="4"/>
  <c r="I73" i="4" s="1"/>
  <c r="H68" i="4"/>
  <c r="I68" i="4" s="1"/>
  <c r="H63" i="4"/>
  <c r="I63" i="4" s="1"/>
  <c r="H66" i="4"/>
  <c r="I66" i="4" s="1"/>
  <c r="H62" i="4"/>
  <c r="I62" i="4" s="1"/>
  <c r="H55" i="4"/>
  <c r="I55" i="4" s="1"/>
  <c r="H43" i="4"/>
  <c r="H64" i="4"/>
  <c r="I64" i="4" s="1"/>
  <c r="H45" i="4"/>
  <c r="I45" i="4" s="1"/>
  <c r="H47" i="4"/>
  <c r="I47" i="4" s="1"/>
  <c r="B16" i="5" s="1"/>
  <c r="C16" i="5" s="1"/>
  <c r="D16" i="5" s="1"/>
  <c r="E16" i="5" s="1"/>
  <c r="H56" i="4"/>
  <c r="I56" i="4" s="1"/>
  <c r="H80" i="4"/>
  <c r="I80" i="4" s="1"/>
  <c r="B31" i="5" s="1"/>
  <c r="U25" i="1"/>
  <c r="C33" i="5" l="1"/>
  <c r="D33" i="5" s="1"/>
  <c r="E33" i="5" s="1"/>
  <c r="I10" i="5" s="1"/>
  <c r="I19" i="5"/>
  <c r="C17" i="5"/>
  <c r="D17" i="5" s="1"/>
  <c r="E17" i="5" s="1"/>
  <c r="I8" i="5" s="1"/>
  <c r="I17" i="5"/>
  <c r="M19" i="5"/>
  <c r="C31" i="5"/>
  <c r="D31" i="5" s="1"/>
  <c r="E31" i="5" s="1"/>
  <c r="F31" i="5" s="1"/>
  <c r="M10" i="5" s="1"/>
  <c r="B25" i="5"/>
  <c r="B15" i="5"/>
  <c r="B23" i="5"/>
  <c r="M18" i="5" l="1"/>
  <c r="C23" i="5"/>
  <c r="D23" i="5" s="1"/>
  <c r="E23" i="5" s="1"/>
  <c r="F23" i="5" s="1"/>
  <c r="M9" i="5" s="1"/>
  <c r="C25" i="5"/>
  <c r="D25" i="5" s="1"/>
  <c r="E25" i="5" s="1"/>
  <c r="I9" i="5" s="1"/>
  <c r="I11" i="5" s="1"/>
  <c r="I12" i="5" s="1"/>
  <c r="I18" i="5"/>
  <c r="I20" i="5" s="1"/>
  <c r="I21" i="5" s="1"/>
  <c r="M17" i="5"/>
  <c r="M20" i="5" s="1"/>
  <c r="M21" i="5" s="1"/>
  <c r="C15" i="5"/>
  <c r="D15" i="5" s="1"/>
  <c r="E15" i="5" s="1"/>
  <c r="F15" i="5" l="1"/>
  <c r="M8" i="5" s="1"/>
  <c r="M11" i="5" s="1"/>
  <c r="M12" i="5" s="1"/>
  <c r="F8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tc={19D8B37B-7C18-4B44-B399-DA7C836C968C}</author>
    <author>tc={4CA057C0-EAAF-4600-B6AA-5F59A2636787}</author>
    <author>tc={C0A9A8EA-9FB7-4C08-8805-F10EF393BE63}</author>
    <author>tc={8B43907A-80FA-41A7-8403-1BD5680496A0}</author>
    <author>tc={FF786588-73A3-43D6-BB85-E897E1C3D1EB}</author>
    <author>tc={1F0D4124-72C7-4A78-830F-08493665AEBA}</author>
    <author>tc={6167AEEB-5AC3-4439-AF01-9AA7FD967BE1}</author>
    <author>tc={A0E6C5BD-E186-42EE-BEA3-604A7149B9B7}</author>
    <author>tc={271807E9-AD5F-418E-A861-1095CE818189}</author>
    <author>tc={D3E6835C-994A-4E97-B169-93C5068F33B0}</author>
    <author>tc={5B48FB06-5218-4D95-8EA5-139500D83E5F}</author>
    <author>tc={59CFB848-B982-4E1F-BEDA-B7403B7F4F8C}</author>
    <author>tc={CD544E18-1BE3-4DF1-B42A-5A55B187E663}</author>
    <author>tc={0FBED690-2D05-4FF0-BD87-6E8C08FD257A}</author>
    <author>tc={E95EE237-FF5F-4041-A956-E94A178979B6}</author>
    <author>tc={7D90CF52-C260-469D-A1FF-4DEDCE596174}</author>
  </authors>
  <commentList>
    <comment ref="G5" authorId="0" shapeId="0" xr:uid="{00000000-0006-0000-02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Phycocyanobilin (PCB): 3 PCB molecules per mole of CPC subunit. This is the PCB pigment in CPC</t>
      </text>
    </comment>
    <comment ref="H5" authorId="1" shapeId="0" xr:uid="{00000000-0006-0000-0200-00000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Corrected Total PCB considering that CPC corresponds to 76.87% of total Phycobiliproteins and PCB is 99.64% of pigment</t>
      </text>
    </comment>
    <comment ref="G12" authorId="2" shapeId="0" xr:uid="{00000000-0006-0000-0200-000003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Phycocyanobilin (PCB): 3 PCB molecules per mole of CPC subunit. This is the PCB pigment in CPC</t>
      </text>
    </comment>
    <comment ref="H12" authorId="3" shapeId="0" xr:uid="{00000000-0006-0000-0200-000004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Corrected Total PCB considering that CPC corresponds to 76.87% of total Phycobiliproteins and PCB is 99.64% of pigment</t>
      </text>
    </comment>
    <comment ref="G19" authorId="4" shapeId="0" xr:uid="{00000000-0006-0000-0200-000005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Phycocyanobilin (PCB): 3 PCB molecules per mole of CPC subunit. This is the PCB pigment in CPC</t>
      </text>
    </comment>
    <comment ref="H19" authorId="5" shapeId="0" xr:uid="{00000000-0006-0000-0200-000006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Corrected Total PCB considering that CPC corresponds to 76.87% of total Phycobiliproteins and PCB is 99.64% of pigment</t>
      </text>
    </comment>
    <comment ref="G26" authorId="6" shapeId="0" xr:uid="{00000000-0006-0000-0200-000007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Phycocyanobilin (PCB): 3 PCB molecules per mole of CPC subunit. This is the PCB pigment in CPC</t>
      </text>
    </comment>
    <comment ref="H26" authorId="7" shapeId="0" xr:uid="{00000000-0006-0000-0200-000008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Corrected Total PCB considering that CPC corresponds to 76.87% of total Phycobiliproteins and PCB is 99.64% of pigment</t>
      </text>
    </comment>
    <comment ref="G36" authorId="8" shapeId="0" xr:uid="{00000000-0006-0000-0200-000009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Phycocyanobilin (PCB): 3 PCB molecules per mole of CPC subunit. This is the PCB pigment in CPC</t>
      </text>
    </comment>
    <comment ref="H36" authorId="9" shapeId="0" xr:uid="{00000000-0006-0000-0200-00000A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Corrected Total PCB considering that CPC corresponds to 73.97% of total Phycobiliproteins and PCB is 96.83% of pigment</t>
      </text>
    </comment>
    <comment ref="G43" authorId="10" shapeId="0" xr:uid="{00000000-0006-0000-0200-00000B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Phycocyanobilin (PCB): 3 PCB molecules per mole of CPC subunit. This is the PCB pigment in CPC</t>
      </text>
    </comment>
    <comment ref="H43" authorId="11" shapeId="0" xr:uid="{00000000-0006-0000-0200-00000C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Corrected Total PCB considering that CPC corresponds to 73.97% of total Phycobiliproteins and PCB is 96.83% of pigment</t>
      </text>
    </comment>
    <comment ref="G50" authorId="12" shapeId="0" xr:uid="{00000000-0006-0000-0200-00000D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Phycocyanobilin (PCB): 3 PCB molecules per mole of CPC subunit. This is the PCB pigment in CPC</t>
      </text>
    </comment>
    <comment ref="H50" authorId="13" shapeId="0" xr:uid="{00000000-0006-0000-0200-00000E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Corrected Total PCB considering that CPC corresponds to 73.97% of total Phycobiliproteins and PCB is 96.83% of pigment</t>
      </text>
    </comment>
    <comment ref="G57" authorId="14" shapeId="0" xr:uid="{00000000-0006-0000-0200-00000F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Phycocyanobilin (PCB): 3 PCB molecules per mole of CPC subunit. This is the PCB pigment in CPC</t>
      </text>
    </comment>
    <comment ref="H57" authorId="15" shapeId="0" xr:uid="{00000000-0006-0000-0200-000010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Corrected Total PCB considering that CPC corresponds to 73.97% of total Phycobiliproteins and PCB is 96.83% of pigment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A32" authorId="0" shapeId="0" xr:uid="{00000000-0006-0000-0A00-000001000000}">
      <text>
        <r>
          <rPr>
            <b/>
            <sz val="9"/>
            <color indexed="81"/>
            <rFont val="Tahoma"/>
            <family val="2"/>
          </rPr>
          <t>N</t>
        </r>
      </text>
    </comment>
    <comment ref="A36" authorId="0" shapeId="0" xr:uid="{00000000-0006-0000-0A00-000002000000}">
      <text>
        <r>
          <rPr>
            <b/>
            <sz val="9"/>
            <color indexed="81"/>
            <rFont val="Tahoma"/>
            <family val="2"/>
          </rPr>
          <t>Also standard error of estimate</t>
        </r>
      </text>
    </comment>
    <comment ref="B36" authorId="0" shapeId="0" xr:uid="{00000000-0006-0000-0A00-000003000000}">
      <text>
        <r>
          <rPr>
            <b/>
            <sz val="9"/>
            <color indexed="81"/>
            <rFont val="Tahoma"/>
            <family val="2"/>
          </rPr>
          <t>Root mean square error in JMP</t>
        </r>
      </text>
    </comment>
    <comment ref="B39" authorId="0" shapeId="0" xr:uid="{00000000-0006-0000-0A00-000004000000}">
      <text>
        <r>
          <rPr>
            <b/>
            <sz val="9"/>
            <color indexed="81"/>
            <rFont val="Tahoma"/>
            <family val="2"/>
          </rPr>
          <t>Sum of squares error in JMP</t>
        </r>
      </text>
    </comment>
    <comment ref="A47" authorId="0" shapeId="0" xr:uid="{00000000-0006-0000-0A00-000005000000}">
      <text>
        <r>
          <rPr>
            <b/>
            <sz val="9"/>
            <color indexed="81"/>
            <rFont val="Tahoma"/>
            <family val="2"/>
          </rPr>
          <t>M</t>
        </r>
      </text>
    </comment>
    <comment ref="B48" authorId="0" shapeId="0" xr:uid="{00000000-0006-0000-0A00-000006000000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Sd for xi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A28" authorId="0" shapeId="0" xr:uid="{00000000-0006-0000-0B00-000001000000}">
      <text>
        <r>
          <rPr>
            <b/>
            <sz val="9"/>
            <color indexed="81"/>
            <rFont val="Tahoma"/>
            <family val="2"/>
          </rPr>
          <t>N</t>
        </r>
      </text>
    </comment>
    <comment ref="A32" authorId="0" shapeId="0" xr:uid="{00000000-0006-0000-0B00-000002000000}">
      <text>
        <r>
          <rPr>
            <b/>
            <sz val="9"/>
            <color indexed="81"/>
            <rFont val="Tahoma"/>
            <family val="2"/>
          </rPr>
          <t>Also standard error of estimate</t>
        </r>
      </text>
    </comment>
    <comment ref="B32" authorId="0" shapeId="0" xr:uid="{00000000-0006-0000-0B00-000003000000}">
      <text>
        <r>
          <rPr>
            <b/>
            <sz val="9"/>
            <color indexed="81"/>
            <rFont val="Tahoma"/>
            <family val="2"/>
          </rPr>
          <t>Root mean square error in JMP</t>
        </r>
      </text>
    </comment>
    <comment ref="B35" authorId="0" shapeId="0" xr:uid="{00000000-0006-0000-0B00-000004000000}">
      <text>
        <r>
          <rPr>
            <b/>
            <sz val="9"/>
            <color indexed="81"/>
            <rFont val="Tahoma"/>
            <family val="2"/>
          </rPr>
          <t>Sum of squares error in JMP</t>
        </r>
      </text>
    </comment>
    <comment ref="A43" authorId="0" shapeId="0" xr:uid="{00000000-0006-0000-0B00-000005000000}">
      <text>
        <r>
          <rPr>
            <b/>
            <sz val="9"/>
            <color indexed="81"/>
            <rFont val="Tahoma"/>
            <family val="2"/>
          </rPr>
          <t>M</t>
        </r>
      </text>
    </comment>
    <comment ref="B44" authorId="0" shapeId="0" xr:uid="{00000000-0006-0000-0B00-000006000000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Sd for xi</t>
        </r>
      </text>
    </comment>
  </commentList>
</comments>
</file>

<file path=xl/sharedStrings.xml><?xml version="1.0" encoding="utf-8"?>
<sst xmlns="http://schemas.openxmlformats.org/spreadsheetml/2006/main" count="1767" uniqueCount="381">
  <si>
    <t>Photoautotrophic growth in BG11 medium</t>
  </si>
  <si>
    <t>R1</t>
  </si>
  <si>
    <t>R2</t>
  </si>
  <si>
    <t>R3</t>
  </si>
  <si>
    <t>R4</t>
  </si>
  <si>
    <t>R5</t>
  </si>
  <si>
    <t>Optical density measurements @ 730 nm</t>
  </si>
  <si>
    <t>Avg</t>
  </si>
  <si>
    <t>ln (N/No)</t>
  </si>
  <si>
    <t>Model</t>
  </si>
  <si>
    <t>Error</t>
  </si>
  <si>
    <r>
      <t>y</t>
    </r>
    <r>
      <rPr>
        <b/>
        <sz val="11"/>
        <color theme="1"/>
        <rFont val="Arial"/>
        <family val="2"/>
      </rPr>
      <t>∞</t>
    </r>
  </si>
  <si>
    <r>
      <rPr>
        <b/>
        <sz val="11"/>
        <color theme="1"/>
        <rFont val="Calibri"/>
        <family val="2"/>
      </rPr>
      <t>μ</t>
    </r>
    <r>
      <rPr>
        <b/>
        <sz val="11"/>
        <color theme="1"/>
        <rFont val="Calibri"/>
        <family val="2"/>
        <scheme val="minor"/>
      </rPr>
      <t>max</t>
    </r>
  </si>
  <si>
    <t>Growth rate</t>
  </si>
  <si>
    <r>
      <t xml:space="preserve">day </t>
    </r>
    <r>
      <rPr>
        <vertAlign val="superscript"/>
        <sz val="11"/>
        <color theme="1"/>
        <rFont val="Calibri"/>
        <family val="2"/>
        <scheme val="minor"/>
      </rPr>
      <t>-1</t>
    </r>
  </si>
  <si>
    <r>
      <t xml:space="preserve">h </t>
    </r>
    <r>
      <rPr>
        <vertAlign val="superscript"/>
        <sz val="11"/>
        <color theme="1"/>
        <rFont val="Calibri"/>
        <family val="2"/>
        <scheme val="minor"/>
      </rPr>
      <t>-1</t>
    </r>
  </si>
  <si>
    <t>Generation time</t>
  </si>
  <si>
    <t>day</t>
  </si>
  <si>
    <t>h</t>
  </si>
  <si>
    <r>
      <rPr>
        <b/>
        <sz val="11"/>
        <color theme="1"/>
        <rFont val="Calibri"/>
        <family val="2"/>
      </rPr>
      <t>Σ (</t>
    </r>
    <r>
      <rPr>
        <b/>
        <sz val="11"/>
        <color theme="1"/>
        <rFont val="Calibri"/>
        <family val="2"/>
        <scheme val="minor"/>
      </rPr>
      <t>Error)</t>
    </r>
  </si>
  <si>
    <t>Growth rates</t>
  </si>
  <si>
    <t>Combined</t>
  </si>
  <si>
    <t>Standard error</t>
  </si>
  <si>
    <t>Photodiazotrophic growth in BG11o medium</t>
  </si>
  <si>
    <t>Standard deviation</t>
  </si>
  <si>
    <t>OD730</t>
  </si>
  <si>
    <t>C-Phycocyanin production in BG11 medium</t>
  </si>
  <si>
    <t>age (days)</t>
  </si>
  <si>
    <t>N-source</t>
  </si>
  <si>
    <r>
      <t>CPC (</t>
    </r>
    <r>
      <rPr>
        <b/>
        <sz val="11"/>
        <color theme="1"/>
        <rFont val="Calibri"/>
        <family val="2"/>
      </rPr>
      <t>μg/ml)</t>
    </r>
  </si>
  <si>
    <r>
      <t>ln(OD/OD</t>
    </r>
    <r>
      <rPr>
        <b/>
        <vertAlign val="subscript"/>
        <sz val="11"/>
        <color theme="1"/>
        <rFont val="Calibri"/>
        <family val="2"/>
        <scheme val="minor"/>
      </rPr>
      <t>o</t>
    </r>
    <r>
      <rPr>
        <b/>
        <sz val="11"/>
        <color theme="1"/>
        <rFont val="Calibri"/>
        <family val="2"/>
        <scheme val="minor"/>
      </rPr>
      <t>)</t>
    </r>
  </si>
  <si>
    <r>
      <t>CDW (</t>
    </r>
    <r>
      <rPr>
        <b/>
        <sz val="11"/>
        <color theme="1"/>
        <rFont val="Calibri"/>
        <family val="2"/>
      </rPr>
      <t>μ</t>
    </r>
    <r>
      <rPr>
        <b/>
        <sz val="11"/>
        <color theme="1"/>
        <rFont val="Calibri"/>
        <family val="2"/>
        <scheme val="minor"/>
      </rPr>
      <t>g/ml)</t>
    </r>
  </si>
  <si>
    <r>
      <t>N</t>
    </r>
    <r>
      <rPr>
        <vertAlign val="subscript"/>
        <sz val="11"/>
        <color theme="1"/>
        <rFont val="Calibri"/>
        <family val="2"/>
        <scheme val="minor"/>
      </rPr>
      <t>2</t>
    </r>
  </si>
  <si>
    <r>
      <t>NaNO</t>
    </r>
    <r>
      <rPr>
        <vertAlign val="subscript"/>
        <sz val="11"/>
        <color theme="1"/>
        <rFont val="Calibri"/>
        <family val="2"/>
        <scheme val="minor"/>
      </rPr>
      <t>3</t>
    </r>
  </si>
  <si>
    <t>C-Phycocyanin production in BG11o medium</t>
  </si>
  <si>
    <t>Replicate 1: R1</t>
  </si>
  <si>
    <t>Replicate 2: R2</t>
  </si>
  <si>
    <t>Replicate 3: R3</t>
  </si>
  <si>
    <t>Replicate 4: R4</t>
  </si>
  <si>
    <t>Replicate 5: R5</t>
  </si>
  <si>
    <r>
      <t>CPC: C-Phycocyanin (</t>
    </r>
    <r>
      <rPr>
        <b/>
        <sz val="11"/>
        <color theme="1"/>
        <rFont val="Calibri"/>
        <family val="2"/>
      </rPr>
      <t>μg/ml)</t>
    </r>
  </si>
  <si>
    <t>Average</t>
  </si>
  <si>
    <t>Zero-order kinetic model</t>
  </si>
  <si>
    <r>
      <t>ug ml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 xml:space="preserve"> day </t>
    </r>
    <r>
      <rPr>
        <vertAlign val="superscript"/>
        <sz val="11"/>
        <color theme="1"/>
        <rFont val="Calibri"/>
        <family val="2"/>
        <scheme val="minor"/>
      </rPr>
      <t>-1</t>
    </r>
  </si>
  <si>
    <r>
      <t>ug ml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 xml:space="preserve"> </t>
    </r>
  </si>
  <si>
    <t>Rate constant: k</t>
  </si>
  <si>
    <t>k</t>
  </si>
  <si>
    <r>
      <t>Starting CPC: CPC</t>
    </r>
    <r>
      <rPr>
        <b/>
        <vertAlign val="subscript"/>
        <sz val="11"/>
        <color theme="1"/>
        <rFont val="Calibri"/>
        <family val="2"/>
        <scheme val="minor"/>
      </rPr>
      <t>o</t>
    </r>
  </si>
  <si>
    <r>
      <t>CPC</t>
    </r>
    <r>
      <rPr>
        <b/>
        <vertAlign val="subscript"/>
        <sz val="11"/>
        <color theme="1"/>
        <rFont val="Calibri"/>
        <family val="2"/>
        <scheme val="minor"/>
      </rPr>
      <t>o</t>
    </r>
  </si>
  <si>
    <t>CPC-Production - Photoautotrophic</t>
  </si>
  <si>
    <t>CPC-Production - Photodiazotrophic</t>
  </si>
  <si>
    <t>Flux (mg/ (gDW day))</t>
  </si>
  <si>
    <t>Flux (mmol/ (gDW day))</t>
  </si>
  <si>
    <t>age (day)</t>
  </si>
  <si>
    <r>
      <t>Biomass (</t>
    </r>
    <r>
      <rPr>
        <b/>
        <sz val="11"/>
        <color theme="1"/>
        <rFont val="Calibri"/>
        <family val="2"/>
      </rPr>
      <t>μ</t>
    </r>
    <r>
      <rPr>
        <b/>
        <sz val="11"/>
        <color theme="1"/>
        <rFont val="Calibri"/>
        <family val="2"/>
        <scheme val="minor"/>
      </rPr>
      <t>gDW/ml)</t>
    </r>
  </si>
  <si>
    <r>
      <t>specific. Vol (ml/</t>
    </r>
    <r>
      <rPr>
        <b/>
        <sz val="11"/>
        <color theme="1"/>
        <rFont val="Calibri"/>
        <family val="2"/>
      </rPr>
      <t>μ</t>
    </r>
    <r>
      <rPr>
        <b/>
        <sz val="11"/>
        <color theme="1"/>
        <rFont val="Calibri"/>
        <family val="2"/>
        <scheme val="minor"/>
      </rPr>
      <t>gDW)</t>
    </r>
  </si>
  <si>
    <r>
      <t>Cell dry weight: CDW production (</t>
    </r>
    <r>
      <rPr>
        <b/>
        <sz val="11"/>
        <color theme="1"/>
        <rFont val="Calibri"/>
        <family val="2"/>
      </rPr>
      <t>μg/ml)</t>
    </r>
    <r>
      <rPr>
        <b/>
        <sz val="11"/>
        <color theme="1"/>
        <rFont val="Calibri"/>
        <family val="2"/>
        <scheme val="minor"/>
      </rPr>
      <t xml:space="preserve"> in BG11</t>
    </r>
  </si>
  <si>
    <r>
      <rPr>
        <sz val="11"/>
        <color theme="1"/>
        <rFont val="Calibri"/>
        <family val="2"/>
      </rPr>
      <t>μ</t>
    </r>
    <r>
      <rPr>
        <sz val="11"/>
        <color theme="1"/>
        <rFont val="Calibri"/>
        <family val="2"/>
        <scheme val="minor"/>
      </rPr>
      <t>g ml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 xml:space="preserve"> day </t>
    </r>
    <r>
      <rPr>
        <vertAlign val="superscript"/>
        <sz val="11"/>
        <color theme="1"/>
        <rFont val="Calibri"/>
        <family val="2"/>
        <scheme val="minor"/>
      </rPr>
      <t>-1</t>
    </r>
  </si>
  <si>
    <t>Da</t>
  </si>
  <si>
    <t>CPC Molecular weight</t>
  </si>
  <si>
    <t>PCB Flux (mmol/ (gDW h))</t>
  </si>
  <si>
    <t>C-Phycocyanin metabolic flux in BG11 medium (Photoautotrophic)</t>
  </si>
  <si>
    <t>C-Phycocyanin metabolic flux in BG11o medium (Photodiazotrophic)</t>
  </si>
  <si>
    <r>
      <t>Cell dry weight: CDW production (</t>
    </r>
    <r>
      <rPr>
        <b/>
        <sz val="11"/>
        <color theme="1"/>
        <rFont val="Calibri"/>
        <family val="2"/>
      </rPr>
      <t>μg/ml)</t>
    </r>
    <r>
      <rPr>
        <b/>
        <sz val="11"/>
        <color theme="1"/>
        <rFont val="Calibri"/>
        <family val="2"/>
        <scheme val="minor"/>
      </rPr>
      <t xml:space="preserve"> in BG11o</t>
    </r>
  </si>
  <si>
    <t>CPC Flux (mmol/ (gDW h))</t>
  </si>
  <si>
    <t>Age (days)</t>
  </si>
  <si>
    <t>OD</t>
  </si>
  <si>
    <t>DW (ug/ml)</t>
  </si>
  <si>
    <t>Nitrate consumption in BG11 medium</t>
  </si>
  <si>
    <t>[Dry Weight] (μg/ml)</t>
  </si>
  <si>
    <t>First-order kinetic model</t>
  </si>
  <si>
    <t>Biomass produced</t>
  </si>
  <si>
    <t>Nitrate uptake flux in BG11 medium (Photoautotrophic)</t>
  </si>
  <si>
    <t>mg/mmol</t>
  </si>
  <si>
    <r>
      <t>[NaNO</t>
    </r>
    <r>
      <rPr>
        <b/>
        <vertAlign val="subscript"/>
        <sz val="11"/>
        <color theme="1"/>
        <rFont val="Calibri"/>
        <family val="2"/>
        <scheme val="minor"/>
      </rPr>
      <t>3</t>
    </r>
    <r>
      <rPr>
        <b/>
        <sz val="11"/>
        <color theme="1"/>
        <rFont val="Calibri"/>
        <family val="2"/>
        <scheme val="minor"/>
      </rPr>
      <t>] (μg/ml)</t>
    </r>
  </si>
  <si>
    <t>ln [NaNO3]</t>
  </si>
  <si>
    <r>
      <t>[NaNO</t>
    </r>
    <r>
      <rPr>
        <b/>
        <vertAlign val="subscript"/>
        <sz val="11"/>
        <color theme="1"/>
        <rFont val="Calibri"/>
        <family val="2"/>
        <scheme val="minor"/>
      </rPr>
      <t>3</t>
    </r>
    <r>
      <rPr>
        <b/>
        <sz val="11"/>
        <color theme="1"/>
        <rFont val="Calibri"/>
        <family val="2"/>
        <scheme val="minor"/>
      </rPr>
      <t>] consumed</t>
    </r>
  </si>
  <si>
    <r>
      <t>[NaNO3] consumed/Biomass (</t>
    </r>
    <r>
      <rPr>
        <b/>
        <sz val="11"/>
        <color theme="1"/>
        <rFont val="Calibri"/>
        <family val="2"/>
      </rPr>
      <t>μ</t>
    </r>
    <r>
      <rPr>
        <b/>
        <sz val="11"/>
        <color theme="1"/>
        <rFont val="Calibri"/>
        <family val="2"/>
        <scheme val="minor"/>
      </rPr>
      <t>g/mg</t>
    </r>
    <r>
      <rPr>
        <b/>
        <vertAlign val="subscript"/>
        <sz val="11"/>
        <color theme="1"/>
        <rFont val="Calibri"/>
        <family val="2"/>
        <scheme val="minor"/>
      </rPr>
      <t>DW</t>
    </r>
    <r>
      <rPr>
        <b/>
        <sz val="11"/>
        <color theme="1"/>
        <rFont val="Calibri"/>
        <family val="2"/>
        <scheme val="minor"/>
      </rPr>
      <t>)</t>
    </r>
  </si>
  <si>
    <r>
      <t>[NaNO3] (</t>
    </r>
    <r>
      <rPr>
        <b/>
        <sz val="11"/>
        <color theme="1"/>
        <rFont val="Calibri"/>
        <family val="2"/>
      </rPr>
      <t>μ</t>
    </r>
    <r>
      <rPr>
        <b/>
        <sz val="11"/>
        <color theme="1"/>
        <rFont val="Calibri"/>
        <family val="2"/>
        <scheme val="minor"/>
      </rPr>
      <t>g/ml)</t>
    </r>
  </si>
  <si>
    <r>
      <t>Starting NO</t>
    </r>
    <r>
      <rPr>
        <b/>
        <vertAlign val="subscript"/>
        <sz val="11"/>
        <color theme="1"/>
        <rFont val="Calibri"/>
        <family val="2"/>
        <scheme val="minor"/>
      </rPr>
      <t>3</t>
    </r>
    <r>
      <rPr>
        <b/>
        <sz val="11"/>
        <color theme="1"/>
        <rFont val="Calibri"/>
        <family val="2"/>
        <scheme val="minor"/>
      </rPr>
      <t>: ln[NaNO3]</t>
    </r>
    <r>
      <rPr>
        <b/>
        <vertAlign val="subscript"/>
        <sz val="11"/>
        <color theme="1"/>
        <rFont val="Calibri"/>
        <family val="2"/>
        <scheme val="minor"/>
      </rPr>
      <t>o</t>
    </r>
  </si>
  <si>
    <r>
      <t>[NaNO3]</t>
    </r>
    <r>
      <rPr>
        <b/>
        <vertAlign val="subscript"/>
        <sz val="11"/>
        <color theme="1"/>
        <rFont val="Calibri"/>
        <family val="2"/>
        <scheme val="minor"/>
      </rPr>
      <t>o</t>
    </r>
  </si>
  <si>
    <r>
      <t>[NaNO3] flux into cell (</t>
    </r>
    <r>
      <rPr>
        <b/>
        <sz val="11"/>
        <color theme="1"/>
        <rFont val="Calibri"/>
        <family val="2"/>
      </rPr>
      <t>μ</t>
    </r>
    <r>
      <rPr>
        <b/>
        <sz val="11"/>
        <color theme="1"/>
        <rFont val="Calibri"/>
        <family val="2"/>
        <scheme val="minor"/>
      </rPr>
      <t>g/mg</t>
    </r>
    <r>
      <rPr>
        <b/>
        <vertAlign val="subscript"/>
        <sz val="11"/>
        <color theme="1"/>
        <rFont val="Calibri"/>
        <family val="2"/>
        <scheme val="minor"/>
      </rPr>
      <t>DW</t>
    </r>
    <r>
      <rPr>
        <b/>
        <sz val="11"/>
        <color theme="1"/>
        <rFont val="Calibri"/>
        <family val="2"/>
        <scheme val="minor"/>
      </rPr>
      <t>/day)</t>
    </r>
  </si>
  <si>
    <r>
      <t>[NaNO3] flux into cell (</t>
    </r>
    <r>
      <rPr>
        <b/>
        <sz val="11"/>
        <color theme="1"/>
        <rFont val="Calibri"/>
        <family val="2"/>
      </rPr>
      <t>μ</t>
    </r>
    <r>
      <rPr>
        <b/>
        <sz val="11"/>
        <color theme="1"/>
        <rFont val="Calibri"/>
        <family val="2"/>
        <scheme val="minor"/>
      </rPr>
      <t>g/mg</t>
    </r>
    <r>
      <rPr>
        <b/>
        <vertAlign val="subscript"/>
        <sz val="11"/>
        <color theme="1"/>
        <rFont val="Calibri"/>
        <family val="2"/>
        <scheme val="minor"/>
      </rPr>
      <t>DW</t>
    </r>
    <r>
      <rPr>
        <b/>
        <sz val="11"/>
        <color theme="1"/>
        <rFont val="Calibri"/>
        <family val="2"/>
        <scheme val="minor"/>
      </rPr>
      <t>/h)</t>
    </r>
  </si>
  <si>
    <r>
      <t>[NaNO3] flux into cell (</t>
    </r>
    <r>
      <rPr>
        <b/>
        <sz val="11"/>
        <color theme="1"/>
        <rFont val="Calibri"/>
        <family val="2"/>
      </rPr>
      <t>mmol</t>
    </r>
    <r>
      <rPr>
        <b/>
        <sz val="11"/>
        <color theme="1"/>
        <rFont val="Calibri"/>
        <family val="2"/>
        <scheme val="minor"/>
      </rPr>
      <t>/g</t>
    </r>
    <r>
      <rPr>
        <b/>
        <vertAlign val="subscript"/>
        <sz val="11"/>
        <color theme="1"/>
        <rFont val="Calibri"/>
        <family val="2"/>
        <scheme val="minor"/>
      </rPr>
      <t>DW</t>
    </r>
    <r>
      <rPr>
        <b/>
        <sz val="11"/>
        <color theme="1"/>
        <rFont val="Calibri"/>
        <family val="2"/>
        <scheme val="minor"/>
      </rPr>
      <t>/h)</t>
    </r>
  </si>
  <si>
    <t>CPC production rate in BG11 - Avg</t>
  </si>
  <si>
    <t>CPC production rate in BG11-R1</t>
  </si>
  <si>
    <t>CPC production rate in BG11-R2</t>
  </si>
  <si>
    <t>CPC production rate in BG11-R3</t>
  </si>
  <si>
    <t>CPC production rate in BG11o - R1</t>
  </si>
  <si>
    <t>CPC production rate in BG11o -Avg</t>
  </si>
  <si>
    <t>CPC production rate in BG11o - R2</t>
  </si>
  <si>
    <t>CPC production rate in BG11o - R3</t>
  </si>
  <si>
    <t>Min CPC Flux in BG11 ((mmol/ (gDW h))</t>
  </si>
  <si>
    <t>Max CPC Flux in BG11 (mmol/ (gDW h))</t>
  </si>
  <si>
    <t>Min CPC Flux in BG11o ((mmol/ (gDW h))</t>
  </si>
  <si>
    <t>Max CPC Flux in BG11o (mmol/ (gDW h))</t>
  </si>
  <si>
    <t>NaNO3 Molecular Weight</t>
  </si>
  <si>
    <t>Nitrate consumption rate - Avg</t>
  </si>
  <si>
    <t>Nitrate consumption rate - R1</t>
  </si>
  <si>
    <t>Nitrate consumption rate - R2</t>
  </si>
  <si>
    <t>Nitrate consumption rate - R3</t>
  </si>
  <si>
    <t>Min NO3 Flux in BG11 ((mmol/ (gDW h))</t>
  </si>
  <si>
    <t>Max NO3 Flux in BG11 ((mmol/ (gDW h))</t>
  </si>
  <si>
    <t>ln(OD/ODo)</t>
  </si>
  <si>
    <r>
      <t>ln [N</t>
    </r>
    <r>
      <rPr>
        <b/>
        <vertAlign val="subscript"/>
        <sz val="11"/>
        <color theme="1"/>
        <rFont val="Calibri"/>
        <family val="2"/>
        <scheme val="minor"/>
      </rPr>
      <t>T</t>
    </r>
    <r>
      <rPr>
        <b/>
        <sz val="11"/>
        <color theme="1"/>
        <rFont val="Calibri"/>
        <family val="2"/>
        <scheme val="minor"/>
      </rPr>
      <t>]</t>
    </r>
  </si>
  <si>
    <r>
      <t>[N</t>
    </r>
    <r>
      <rPr>
        <b/>
        <vertAlign val="subscript"/>
        <sz val="11"/>
        <color theme="1"/>
        <rFont val="Calibri"/>
        <family val="2"/>
        <scheme val="minor"/>
      </rPr>
      <t>T</t>
    </r>
    <r>
      <rPr>
        <b/>
        <sz val="11"/>
        <color theme="1"/>
        <rFont val="Calibri"/>
        <family val="2"/>
        <scheme val="minor"/>
      </rPr>
      <t>] (μg/ml)</t>
    </r>
  </si>
  <si>
    <r>
      <t>[N</t>
    </r>
    <r>
      <rPr>
        <b/>
        <vertAlign val="subscript"/>
        <sz val="11"/>
        <color theme="1"/>
        <rFont val="Calibri"/>
        <family val="2"/>
        <scheme val="minor"/>
      </rPr>
      <t>T</t>
    </r>
    <r>
      <rPr>
        <b/>
        <sz val="11"/>
        <color theme="1"/>
        <rFont val="Calibri"/>
        <family val="2"/>
        <scheme val="minor"/>
      </rPr>
      <t>] fixed</t>
    </r>
  </si>
  <si>
    <r>
      <t>[N</t>
    </r>
    <r>
      <rPr>
        <b/>
        <vertAlign val="subscript"/>
        <sz val="11"/>
        <color theme="1"/>
        <rFont val="Calibri"/>
        <family val="2"/>
        <scheme val="minor"/>
      </rPr>
      <t>T</t>
    </r>
    <r>
      <rPr>
        <b/>
        <sz val="11"/>
        <color theme="1"/>
        <rFont val="Calibri"/>
        <family val="2"/>
        <scheme val="minor"/>
      </rPr>
      <t>] fixed/Biomass (</t>
    </r>
    <r>
      <rPr>
        <b/>
        <sz val="11"/>
        <color theme="1"/>
        <rFont val="Calibri"/>
        <family val="2"/>
      </rPr>
      <t>μ</t>
    </r>
    <r>
      <rPr>
        <b/>
        <sz val="11"/>
        <color theme="1"/>
        <rFont val="Calibri"/>
        <family val="2"/>
        <scheme val="minor"/>
      </rPr>
      <t>g/mg</t>
    </r>
    <r>
      <rPr>
        <b/>
        <vertAlign val="subscript"/>
        <sz val="11"/>
        <color theme="1"/>
        <rFont val="Calibri"/>
        <family val="2"/>
        <scheme val="minor"/>
      </rPr>
      <t>DW</t>
    </r>
    <r>
      <rPr>
        <b/>
        <sz val="11"/>
        <color theme="1"/>
        <rFont val="Calibri"/>
        <family val="2"/>
        <scheme val="minor"/>
      </rPr>
      <t>)</t>
    </r>
  </si>
  <si>
    <r>
      <t>N</t>
    </r>
    <r>
      <rPr>
        <b/>
        <vertAlign val="subscript"/>
        <sz val="16"/>
        <color theme="1"/>
        <rFont val="Calibri"/>
        <family val="2"/>
        <scheme val="minor"/>
      </rPr>
      <t>2</t>
    </r>
    <r>
      <rPr>
        <b/>
        <sz val="16"/>
        <color theme="1"/>
        <rFont val="Calibri"/>
        <family val="2"/>
        <scheme val="minor"/>
      </rPr>
      <t xml:space="preserve"> fixation in BG11o medium</t>
    </r>
  </si>
  <si>
    <t>NaNO3 consumption - Photoautotrophic</t>
  </si>
  <si>
    <r>
      <t>[N</t>
    </r>
    <r>
      <rPr>
        <b/>
        <vertAlign val="subscript"/>
        <sz val="11"/>
        <color theme="1"/>
        <rFont val="Calibri"/>
        <family val="2"/>
        <scheme val="minor"/>
      </rPr>
      <t>T]</t>
    </r>
    <r>
      <rPr>
        <b/>
        <sz val="11"/>
        <color theme="1"/>
        <rFont val="Calibri"/>
        <family val="2"/>
        <scheme val="minor"/>
      </rPr>
      <t xml:space="preserve"> (</t>
    </r>
    <r>
      <rPr>
        <b/>
        <sz val="11"/>
        <color theme="1"/>
        <rFont val="Calibri"/>
        <family val="2"/>
      </rPr>
      <t>μ</t>
    </r>
    <r>
      <rPr>
        <b/>
        <sz val="11"/>
        <color theme="1"/>
        <rFont val="Calibri"/>
        <family val="2"/>
        <scheme val="minor"/>
      </rPr>
      <t>g/ml)</t>
    </r>
  </si>
  <si>
    <r>
      <t>Starting N</t>
    </r>
    <r>
      <rPr>
        <b/>
        <vertAlign val="subscript"/>
        <sz val="11"/>
        <color theme="1"/>
        <rFont val="Calibri"/>
        <family val="2"/>
        <scheme val="minor"/>
      </rPr>
      <t>T</t>
    </r>
    <r>
      <rPr>
        <b/>
        <sz val="11"/>
        <color theme="1"/>
        <rFont val="Calibri"/>
        <family val="2"/>
        <scheme val="minor"/>
      </rPr>
      <t>: ln[N</t>
    </r>
    <r>
      <rPr>
        <b/>
        <vertAlign val="subscript"/>
        <sz val="11"/>
        <color theme="1"/>
        <rFont val="Calibri"/>
        <family val="2"/>
        <scheme val="minor"/>
      </rPr>
      <t>T</t>
    </r>
    <r>
      <rPr>
        <b/>
        <sz val="11"/>
        <color theme="1"/>
        <rFont val="Calibri"/>
        <family val="2"/>
        <scheme val="minor"/>
      </rPr>
      <t>]</t>
    </r>
    <r>
      <rPr>
        <b/>
        <vertAlign val="subscript"/>
        <sz val="11"/>
        <color theme="1"/>
        <rFont val="Calibri"/>
        <family val="2"/>
        <scheme val="minor"/>
      </rPr>
      <t>o</t>
    </r>
  </si>
  <si>
    <r>
      <t>[N</t>
    </r>
    <r>
      <rPr>
        <b/>
        <vertAlign val="subscript"/>
        <sz val="11"/>
        <color theme="1"/>
        <rFont val="Calibri"/>
        <family val="2"/>
        <scheme val="minor"/>
      </rPr>
      <t>T</t>
    </r>
    <r>
      <rPr>
        <b/>
        <sz val="11"/>
        <color theme="1"/>
        <rFont val="Calibri"/>
        <family val="2"/>
        <scheme val="minor"/>
      </rPr>
      <t>]</t>
    </r>
    <r>
      <rPr>
        <b/>
        <vertAlign val="subscript"/>
        <sz val="11"/>
        <color theme="1"/>
        <rFont val="Calibri"/>
        <family val="2"/>
        <scheme val="minor"/>
      </rPr>
      <t>o</t>
    </r>
  </si>
  <si>
    <t>N2 fixation - Photodiazotrophic</t>
  </si>
  <si>
    <r>
      <t>N</t>
    </r>
    <r>
      <rPr>
        <b/>
        <vertAlign val="subscript"/>
        <sz val="16"/>
        <color theme="1"/>
        <rFont val="Calibri"/>
        <family val="2"/>
        <scheme val="minor"/>
      </rPr>
      <t>2</t>
    </r>
    <r>
      <rPr>
        <b/>
        <sz val="16"/>
        <color theme="1"/>
        <rFont val="Calibri"/>
        <family val="2"/>
        <scheme val="minor"/>
      </rPr>
      <t xml:space="preserve"> fixation flux in BG11o medium (Photodiazotrophic)</t>
    </r>
  </si>
  <si>
    <r>
      <t>N</t>
    </r>
    <r>
      <rPr>
        <b/>
        <vertAlign val="subscript"/>
        <sz val="11"/>
        <color theme="1"/>
        <rFont val="Calibri"/>
        <family val="2"/>
        <scheme val="minor"/>
      </rPr>
      <t>T</t>
    </r>
    <r>
      <rPr>
        <b/>
        <sz val="11"/>
        <color theme="1"/>
        <rFont val="Calibri"/>
        <family val="2"/>
        <scheme val="minor"/>
      </rPr>
      <t xml:space="preserve"> fixation rate - Avg</t>
    </r>
  </si>
  <si>
    <r>
      <t>N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 xml:space="preserve"> Molecular Weight</t>
    </r>
  </si>
  <si>
    <r>
      <t>[N</t>
    </r>
    <r>
      <rPr>
        <b/>
        <vertAlign val="subscript"/>
        <sz val="11"/>
        <color theme="1"/>
        <rFont val="Calibri"/>
        <family val="2"/>
        <scheme val="minor"/>
      </rPr>
      <t>T</t>
    </r>
    <r>
      <rPr>
        <b/>
        <sz val="11"/>
        <color theme="1"/>
        <rFont val="Calibri"/>
        <family val="2"/>
        <scheme val="minor"/>
      </rPr>
      <t>] consumed/Biomass (</t>
    </r>
    <r>
      <rPr>
        <b/>
        <sz val="11"/>
        <color theme="1"/>
        <rFont val="Calibri"/>
        <family val="2"/>
      </rPr>
      <t>μ</t>
    </r>
    <r>
      <rPr>
        <b/>
        <sz val="11"/>
        <color theme="1"/>
        <rFont val="Calibri"/>
        <family val="2"/>
        <scheme val="minor"/>
      </rPr>
      <t>g/mg</t>
    </r>
    <r>
      <rPr>
        <b/>
        <vertAlign val="subscript"/>
        <sz val="11"/>
        <color theme="1"/>
        <rFont val="Calibri"/>
        <family val="2"/>
        <scheme val="minor"/>
      </rPr>
      <t>DW</t>
    </r>
    <r>
      <rPr>
        <b/>
        <sz val="11"/>
        <color theme="1"/>
        <rFont val="Calibri"/>
        <family val="2"/>
        <scheme val="minor"/>
      </rPr>
      <t>)</t>
    </r>
  </si>
  <si>
    <r>
      <t>[N</t>
    </r>
    <r>
      <rPr>
        <b/>
        <vertAlign val="subscript"/>
        <sz val="11"/>
        <color theme="1"/>
        <rFont val="Calibri"/>
        <family val="2"/>
        <scheme val="minor"/>
      </rPr>
      <t>T</t>
    </r>
    <r>
      <rPr>
        <b/>
        <sz val="11"/>
        <color theme="1"/>
        <rFont val="Calibri"/>
        <family val="2"/>
        <scheme val="minor"/>
      </rPr>
      <t>] flux into cell (</t>
    </r>
    <r>
      <rPr>
        <b/>
        <sz val="11"/>
        <color theme="1"/>
        <rFont val="Calibri"/>
        <family val="2"/>
      </rPr>
      <t>μ</t>
    </r>
    <r>
      <rPr>
        <b/>
        <sz val="11"/>
        <color theme="1"/>
        <rFont val="Calibri"/>
        <family val="2"/>
        <scheme val="minor"/>
      </rPr>
      <t>g/mg</t>
    </r>
    <r>
      <rPr>
        <b/>
        <vertAlign val="subscript"/>
        <sz val="11"/>
        <color theme="1"/>
        <rFont val="Calibri"/>
        <family val="2"/>
        <scheme val="minor"/>
      </rPr>
      <t>DW</t>
    </r>
    <r>
      <rPr>
        <b/>
        <sz val="11"/>
        <color theme="1"/>
        <rFont val="Calibri"/>
        <family val="2"/>
        <scheme val="minor"/>
      </rPr>
      <t>/day)</t>
    </r>
  </si>
  <si>
    <r>
      <t>[N</t>
    </r>
    <r>
      <rPr>
        <b/>
        <vertAlign val="subscript"/>
        <sz val="11"/>
        <color theme="1"/>
        <rFont val="Calibri"/>
        <family val="2"/>
        <scheme val="minor"/>
      </rPr>
      <t>T</t>
    </r>
    <r>
      <rPr>
        <b/>
        <sz val="11"/>
        <color theme="1"/>
        <rFont val="Calibri"/>
        <family val="2"/>
        <scheme val="minor"/>
      </rPr>
      <t>] flux into cell (</t>
    </r>
    <r>
      <rPr>
        <b/>
        <sz val="11"/>
        <color theme="1"/>
        <rFont val="Calibri"/>
        <family val="2"/>
      </rPr>
      <t>μ</t>
    </r>
    <r>
      <rPr>
        <b/>
        <sz val="11"/>
        <color theme="1"/>
        <rFont val="Calibri"/>
        <family val="2"/>
        <scheme val="minor"/>
      </rPr>
      <t>g/mg</t>
    </r>
    <r>
      <rPr>
        <b/>
        <vertAlign val="subscript"/>
        <sz val="11"/>
        <color theme="1"/>
        <rFont val="Calibri"/>
        <family val="2"/>
        <scheme val="minor"/>
      </rPr>
      <t>DW</t>
    </r>
    <r>
      <rPr>
        <b/>
        <sz val="11"/>
        <color theme="1"/>
        <rFont val="Calibri"/>
        <family val="2"/>
        <scheme val="minor"/>
      </rPr>
      <t>/h)</t>
    </r>
  </si>
  <si>
    <r>
      <t>[N</t>
    </r>
    <r>
      <rPr>
        <b/>
        <vertAlign val="subscript"/>
        <sz val="11"/>
        <color theme="1"/>
        <rFont val="Calibri"/>
        <family val="2"/>
        <scheme val="minor"/>
      </rPr>
      <t>T</t>
    </r>
    <r>
      <rPr>
        <b/>
        <sz val="11"/>
        <color theme="1"/>
        <rFont val="Calibri"/>
        <family val="2"/>
        <scheme val="minor"/>
      </rPr>
      <t>] flux into cell (</t>
    </r>
    <r>
      <rPr>
        <b/>
        <sz val="11"/>
        <color theme="1"/>
        <rFont val="Calibri"/>
        <family val="2"/>
      </rPr>
      <t>mmol</t>
    </r>
    <r>
      <rPr>
        <b/>
        <sz val="11"/>
        <color theme="1"/>
        <rFont val="Calibri"/>
        <family val="2"/>
        <scheme val="minor"/>
      </rPr>
      <t>/g</t>
    </r>
    <r>
      <rPr>
        <b/>
        <vertAlign val="subscript"/>
        <sz val="11"/>
        <color theme="1"/>
        <rFont val="Calibri"/>
        <family val="2"/>
        <scheme val="minor"/>
      </rPr>
      <t>DW</t>
    </r>
    <r>
      <rPr>
        <b/>
        <sz val="11"/>
        <color theme="1"/>
        <rFont val="Calibri"/>
        <family val="2"/>
        <scheme val="minor"/>
      </rPr>
      <t>/h)</t>
    </r>
  </si>
  <si>
    <r>
      <t>N</t>
    </r>
    <r>
      <rPr>
        <b/>
        <vertAlign val="subscript"/>
        <sz val="11"/>
        <color theme="1"/>
        <rFont val="Calibri"/>
        <family val="2"/>
        <scheme val="minor"/>
      </rPr>
      <t>T</t>
    </r>
    <r>
      <rPr>
        <b/>
        <sz val="11"/>
        <color theme="1"/>
        <rFont val="Calibri"/>
        <family val="2"/>
        <scheme val="minor"/>
      </rPr>
      <t xml:space="preserve"> fixation rate - R1</t>
    </r>
  </si>
  <si>
    <r>
      <t>N</t>
    </r>
    <r>
      <rPr>
        <b/>
        <vertAlign val="subscript"/>
        <sz val="11"/>
        <color theme="1"/>
        <rFont val="Calibri"/>
        <family val="2"/>
        <scheme val="minor"/>
      </rPr>
      <t>T</t>
    </r>
    <r>
      <rPr>
        <b/>
        <sz val="11"/>
        <color theme="1"/>
        <rFont val="Calibri"/>
        <family val="2"/>
        <scheme val="minor"/>
      </rPr>
      <t xml:space="preserve"> fixation rate - R2</t>
    </r>
  </si>
  <si>
    <r>
      <t>N</t>
    </r>
    <r>
      <rPr>
        <b/>
        <vertAlign val="subscript"/>
        <sz val="11"/>
        <color theme="1"/>
        <rFont val="Calibri"/>
        <family val="2"/>
        <scheme val="minor"/>
      </rPr>
      <t>T</t>
    </r>
    <r>
      <rPr>
        <b/>
        <sz val="11"/>
        <color theme="1"/>
        <rFont val="Calibri"/>
        <family val="2"/>
        <scheme val="minor"/>
      </rPr>
      <t xml:space="preserve"> fixation rate - R3</t>
    </r>
  </si>
  <si>
    <r>
      <t>Min [NaNO3] consumed/Biomass (</t>
    </r>
    <r>
      <rPr>
        <b/>
        <sz val="11"/>
        <color theme="1"/>
        <rFont val="Calibri"/>
        <family val="2"/>
      </rPr>
      <t>μ</t>
    </r>
    <r>
      <rPr>
        <b/>
        <sz val="11"/>
        <color theme="1"/>
        <rFont val="Calibri"/>
        <family val="2"/>
        <scheme val="minor"/>
      </rPr>
      <t>g/mg</t>
    </r>
    <r>
      <rPr>
        <b/>
        <vertAlign val="subscript"/>
        <sz val="11"/>
        <color theme="1"/>
        <rFont val="Calibri"/>
        <family val="2"/>
        <scheme val="minor"/>
      </rPr>
      <t>DW</t>
    </r>
    <r>
      <rPr>
        <b/>
        <sz val="11"/>
        <color theme="1"/>
        <rFont val="Calibri"/>
        <family val="2"/>
        <scheme val="minor"/>
      </rPr>
      <t>)</t>
    </r>
  </si>
  <si>
    <r>
      <t>Max [NaNO3] consumed/Biomass (</t>
    </r>
    <r>
      <rPr>
        <b/>
        <sz val="11"/>
        <color theme="1"/>
        <rFont val="Calibri"/>
        <family val="2"/>
      </rPr>
      <t>μ</t>
    </r>
    <r>
      <rPr>
        <b/>
        <sz val="11"/>
        <color theme="1"/>
        <rFont val="Calibri"/>
        <family val="2"/>
        <scheme val="minor"/>
      </rPr>
      <t>g/mg</t>
    </r>
    <r>
      <rPr>
        <b/>
        <vertAlign val="subscript"/>
        <sz val="11"/>
        <color theme="1"/>
        <rFont val="Calibri"/>
        <family val="2"/>
        <scheme val="minor"/>
      </rPr>
      <t>DW</t>
    </r>
    <r>
      <rPr>
        <b/>
        <sz val="11"/>
        <color theme="1"/>
        <rFont val="Calibri"/>
        <family val="2"/>
        <scheme val="minor"/>
      </rPr>
      <t>)</t>
    </r>
  </si>
  <si>
    <r>
      <t>Min [N</t>
    </r>
    <r>
      <rPr>
        <b/>
        <vertAlign val="subscript"/>
        <sz val="11"/>
        <color theme="1"/>
        <rFont val="Calibri"/>
        <family val="2"/>
        <scheme val="minor"/>
      </rPr>
      <t>T</t>
    </r>
    <r>
      <rPr>
        <b/>
        <sz val="11"/>
        <color theme="1"/>
        <rFont val="Calibri"/>
        <family val="2"/>
        <scheme val="minor"/>
      </rPr>
      <t>] consumed/Biomass (</t>
    </r>
    <r>
      <rPr>
        <b/>
        <sz val="11"/>
        <color theme="1"/>
        <rFont val="Calibri"/>
        <family val="2"/>
      </rPr>
      <t>μ</t>
    </r>
    <r>
      <rPr>
        <b/>
        <sz val="11"/>
        <color theme="1"/>
        <rFont val="Calibri"/>
        <family val="2"/>
        <scheme val="minor"/>
      </rPr>
      <t>g/mg</t>
    </r>
    <r>
      <rPr>
        <b/>
        <vertAlign val="subscript"/>
        <sz val="11"/>
        <color theme="1"/>
        <rFont val="Calibri"/>
        <family val="2"/>
        <scheme val="minor"/>
      </rPr>
      <t>DW</t>
    </r>
    <r>
      <rPr>
        <b/>
        <sz val="11"/>
        <color theme="1"/>
        <rFont val="Calibri"/>
        <family val="2"/>
        <scheme val="minor"/>
      </rPr>
      <t>)</t>
    </r>
  </si>
  <si>
    <r>
      <t>Max [N</t>
    </r>
    <r>
      <rPr>
        <b/>
        <vertAlign val="subscript"/>
        <sz val="11"/>
        <color theme="1"/>
        <rFont val="Calibri"/>
        <family val="2"/>
        <scheme val="minor"/>
      </rPr>
      <t>T</t>
    </r>
    <r>
      <rPr>
        <b/>
        <sz val="11"/>
        <color theme="1"/>
        <rFont val="Calibri"/>
        <family val="2"/>
        <scheme val="minor"/>
      </rPr>
      <t>] consumed/Biomass (</t>
    </r>
    <r>
      <rPr>
        <b/>
        <sz val="11"/>
        <color theme="1"/>
        <rFont val="Calibri"/>
        <family val="2"/>
      </rPr>
      <t>μ</t>
    </r>
    <r>
      <rPr>
        <b/>
        <sz val="11"/>
        <color theme="1"/>
        <rFont val="Calibri"/>
        <family val="2"/>
        <scheme val="minor"/>
      </rPr>
      <t>g/mg</t>
    </r>
    <r>
      <rPr>
        <b/>
        <vertAlign val="subscript"/>
        <sz val="11"/>
        <color theme="1"/>
        <rFont val="Calibri"/>
        <family val="2"/>
        <scheme val="minor"/>
      </rPr>
      <t>DW</t>
    </r>
    <r>
      <rPr>
        <b/>
        <sz val="11"/>
        <color theme="1"/>
        <rFont val="Calibri"/>
        <family val="2"/>
        <scheme val="minor"/>
      </rPr>
      <t>)</t>
    </r>
  </si>
  <si>
    <t>Photon flux into cells</t>
  </si>
  <si>
    <t>vegetative</t>
  </si>
  <si>
    <t>heterocyst</t>
  </si>
  <si>
    <t>Time (s)</t>
  </si>
  <si>
    <t>Illuminance (lux)</t>
  </si>
  <si>
    <t>lux</t>
  </si>
  <si>
    <t>PPFD</t>
  </si>
  <si>
    <t>Cell type</t>
  </si>
  <si>
    <t>Diameter (um)</t>
  </si>
  <si>
    <t>SD</t>
  </si>
  <si>
    <t>BG11</t>
  </si>
  <si>
    <t>BG11o</t>
  </si>
  <si>
    <t>Day</t>
  </si>
  <si>
    <t>Cell diameter</t>
  </si>
  <si>
    <t>m</t>
  </si>
  <si>
    <t>Cell radius</t>
  </si>
  <si>
    <t>Area per cell</t>
  </si>
  <si>
    <t>m2/cell</t>
  </si>
  <si>
    <t>Cells</t>
  </si>
  <si>
    <t>cell/ml</t>
  </si>
  <si>
    <t>Mass</t>
  </si>
  <si>
    <t>ug/ml</t>
  </si>
  <si>
    <t>Mass/cell</t>
  </si>
  <si>
    <t>ug/cell</t>
  </si>
  <si>
    <t>g/cell</t>
  </si>
  <si>
    <t>Area/gDW</t>
  </si>
  <si>
    <t>m2/gDW</t>
  </si>
  <si>
    <t>m2/g</t>
  </si>
  <si>
    <t>umol/m2.s</t>
  </si>
  <si>
    <t>mmol/m2.s</t>
  </si>
  <si>
    <t>mmol/m2.h</t>
  </si>
  <si>
    <t>mmol/gDW.h</t>
  </si>
  <si>
    <t>Avg. Photon flux</t>
  </si>
  <si>
    <t>Max. Photon flux</t>
  </si>
  <si>
    <t>Min. Photon flux</t>
  </si>
  <si>
    <t>Heterocyst count</t>
  </si>
  <si>
    <t>Heterocysts</t>
  </si>
  <si>
    <t>Total Cells</t>
  </si>
  <si>
    <t>Het fraction</t>
  </si>
  <si>
    <t>CPC</t>
  </si>
  <si>
    <t>APC</t>
  </si>
  <si>
    <t>PEC</t>
  </si>
  <si>
    <t>ChlA</t>
  </si>
  <si>
    <t>PCB</t>
  </si>
  <si>
    <t>PVB</t>
  </si>
  <si>
    <t>PCB to ChlA ratio in BG11 medium (Photoautotrophic)</t>
  </si>
  <si>
    <t>PCB to ChlA ratio in BG11o medium (Photodiazotrophic)</t>
  </si>
  <si>
    <t>R6</t>
  </si>
  <si>
    <t>Mass Ratio</t>
  </si>
  <si>
    <t>Molar Ratio</t>
  </si>
  <si>
    <t>R7</t>
  </si>
  <si>
    <t>R8</t>
  </si>
  <si>
    <t>R9</t>
  </si>
  <si>
    <t>R10</t>
  </si>
  <si>
    <r>
      <t>Fraction (g/g</t>
    </r>
    <r>
      <rPr>
        <b/>
        <vertAlign val="subscript"/>
        <sz val="11"/>
        <color theme="1"/>
        <rFont val="Calibri"/>
        <family val="2"/>
        <scheme val="minor"/>
      </rPr>
      <t>DW</t>
    </r>
    <r>
      <rPr>
        <b/>
        <sz val="11"/>
        <color theme="1"/>
        <rFont val="Calibri"/>
        <family val="2"/>
        <scheme val="minor"/>
      </rPr>
      <t>)</t>
    </r>
  </si>
  <si>
    <r>
      <t>Fraction (mole/g</t>
    </r>
    <r>
      <rPr>
        <b/>
        <vertAlign val="subscript"/>
        <sz val="11"/>
        <color theme="1"/>
        <rFont val="Calibri"/>
        <family val="2"/>
        <scheme val="minor"/>
      </rPr>
      <t>DW</t>
    </r>
    <r>
      <rPr>
        <b/>
        <sz val="11"/>
        <color theme="1"/>
        <rFont val="Calibri"/>
        <family val="2"/>
        <scheme val="minor"/>
      </rPr>
      <t>)</t>
    </r>
  </si>
  <si>
    <r>
      <t>Min N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 xml:space="preserve"> Flux in BG11o ((mmol/ (gDW h))</t>
    </r>
  </si>
  <si>
    <r>
      <t>Max N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 xml:space="preserve"> Flux in BG11o ((mmol/ (gDW h))</t>
    </r>
  </si>
  <si>
    <t>Intrinsic Growth rates</t>
  </si>
  <si>
    <r>
      <t>y</t>
    </r>
    <r>
      <rPr>
        <b/>
        <sz val="11"/>
        <color theme="1"/>
        <rFont val="Calibri"/>
        <family val="2"/>
      </rPr>
      <t>∞ parameter</t>
    </r>
  </si>
  <si>
    <t>Absorbance, A</t>
  </si>
  <si>
    <t>Sxx</t>
  </si>
  <si>
    <t>Syy</t>
  </si>
  <si>
    <t>Sxy</t>
  </si>
  <si>
    <t>xi^2</t>
  </si>
  <si>
    <t>Y predicted</t>
  </si>
  <si>
    <t>Residual</t>
  </si>
  <si>
    <t>Regression equation</t>
  </si>
  <si>
    <t>Slope</t>
  </si>
  <si>
    <t>Intercept</t>
  </si>
  <si>
    <t>Standard deviation about regression, sr</t>
  </si>
  <si>
    <t>Standard deviation of slope, sm</t>
  </si>
  <si>
    <t>Standard deviation of intercept, sb</t>
  </si>
  <si>
    <t>SSR</t>
  </si>
  <si>
    <t>sr</t>
  </si>
  <si>
    <t>standard deviation of prediction, sc</t>
  </si>
  <si>
    <t>Biomass prediction vs optical density</t>
  </si>
  <si>
    <t>Optical density @ 730 nm, OD</t>
  </si>
  <si>
    <t>Biomass (mg/L)</t>
  </si>
  <si>
    <t>Biomass</t>
  </si>
  <si>
    <t>ln(OD)</t>
  </si>
  <si>
    <t>ln(Biomass)</t>
  </si>
  <si>
    <t>Predicted Biomass (mg/L)</t>
  </si>
  <si>
    <t>Prediction</t>
  </si>
  <si>
    <t>Min</t>
  </si>
  <si>
    <t>Max</t>
  </si>
  <si>
    <t>Cell count</t>
  </si>
  <si>
    <t>Cell count prediction vs optical density</t>
  </si>
  <si>
    <t>Cell density (cells/ml)</t>
  </si>
  <si>
    <t>Predicted cell density(cells/ml)</t>
  </si>
  <si>
    <t>ln(Cell density)</t>
  </si>
  <si>
    <t>Efficiency</t>
  </si>
  <si>
    <t>ppm</t>
  </si>
  <si>
    <t>mg/L</t>
  </si>
  <si>
    <r>
      <t>CO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concentration in atmosphere</t>
    </r>
  </si>
  <si>
    <r>
      <t>Henry's constant of CO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in water</t>
    </r>
  </si>
  <si>
    <r>
      <t>mol L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 xml:space="preserve"> bar </t>
    </r>
    <r>
      <rPr>
        <vertAlign val="superscript"/>
        <sz val="11"/>
        <color theme="1"/>
        <rFont val="Calibri"/>
        <family val="2"/>
        <scheme val="minor"/>
      </rPr>
      <t>-1</t>
    </r>
  </si>
  <si>
    <t>https://webbook.nist.gov/cgi/inchi?ID=C124389&amp;Mask=10</t>
  </si>
  <si>
    <t>bar</t>
  </si>
  <si>
    <r>
      <t>CO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concentration in aqueous medium</t>
    </r>
  </si>
  <si>
    <t xml:space="preserve">Temperature </t>
  </si>
  <si>
    <t>˚C</t>
  </si>
  <si>
    <t>Temperature</t>
  </si>
  <si>
    <t xml:space="preserve"> K</t>
  </si>
  <si>
    <r>
      <t>mol L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 xml:space="preserve"> </t>
    </r>
  </si>
  <si>
    <r>
      <t>Partial pressure of CO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</t>
    </r>
  </si>
  <si>
    <r>
      <t>Equilibrium reaction of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CO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production</t>
    </r>
  </si>
  <si>
    <t>Reference</t>
  </si>
  <si>
    <t>Forward reaction</t>
  </si>
  <si>
    <r>
      <t>Arrhenius constants of CO</t>
    </r>
    <r>
      <rPr>
        <b/>
        <i/>
        <vertAlign val="subscript"/>
        <sz val="11"/>
        <color theme="1"/>
        <rFont val="Calibri"/>
        <family val="2"/>
        <scheme val="minor"/>
      </rPr>
      <t>2</t>
    </r>
    <r>
      <rPr>
        <b/>
        <i/>
        <sz val="11"/>
        <color theme="1"/>
        <rFont val="Calibri"/>
        <family val="2"/>
        <scheme val="minor"/>
      </rPr>
      <t xml:space="preserve"> hydration</t>
    </r>
  </si>
  <si>
    <t>Reverse reaction</t>
  </si>
  <si>
    <r>
      <t>A (s</t>
    </r>
    <r>
      <rPr>
        <b/>
        <vertAlign val="superscript"/>
        <sz val="11"/>
        <color theme="1"/>
        <rFont val="Calibri"/>
        <family val="2"/>
        <scheme val="minor"/>
      </rPr>
      <t>-1</t>
    </r>
    <r>
      <rPr>
        <b/>
        <sz val="11"/>
        <color theme="1"/>
        <rFont val="Calibri"/>
        <family val="2"/>
        <scheme val="minor"/>
      </rPr>
      <t>)</t>
    </r>
  </si>
  <si>
    <r>
      <t>Ea (J mol</t>
    </r>
    <r>
      <rPr>
        <b/>
        <vertAlign val="superscript"/>
        <sz val="11"/>
        <color theme="1"/>
        <rFont val="Calibri"/>
        <family val="2"/>
        <scheme val="minor"/>
      </rPr>
      <t>-1</t>
    </r>
    <r>
      <rPr>
        <b/>
        <sz val="11"/>
        <color theme="1"/>
        <rFont val="Calibri"/>
        <family val="2"/>
        <scheme val="minor"/>
      </rPr>
      <t>)</t>
    </r>
  </si>
  <si>
    <r>
      <t>R (J mol</t>
    </r>
    <r>
      <rPr>
        <b/>
        <vertAlign val="superscript"/>
        <sz val="11"/>
        <color theme="1"/>
        <rFont val="Calibri"/>
        <family val="2"/>
        <scheme val="minor"/>
      </rPr>
      <t>-1</t>
    </r>
    <r>
      <rPr>
        <b/>
        <sz val="11"/>
        <color theme="1"/>
        <rFont val="Calibri"/>
        <family val="2"/>
        <scheme val="minor"/>
      </rPr>
      <t xml:space="preserve"> K</t>
    </r>
    <r>
      <rPr>
        <b/>
        <vertAlign val="superscript"/>
        <sz val="11"/>
        <color theme="1"/>
        <rFont val="Calibri"/>
        <family val="2"/>
        <scheme val="minor"/>
      </rPr>
      <t>-1</t>
    </r>
    <r>
      <rPr>
        <b/>
        <sz val="11"/>
        <color theme="1"/>
        <rFont val="Calibri"/>
        <family val="2"/>
        <scheme val="minor"/>
      </rPr>
      <t>)</t>
    </r>
  </si>
  <si>
    <r>
      <t>k  (s</t>
    </r>
    <r>
      <rPr>
        <b/>
        <vertAlign val="superscript"/>
        <sz val="11"/>
        <color theme="1"/>
        <rFont val="Calibri"/>
        <family val="2"/>
        <scheme val="minor"/>
      </rPr>
      <t>-1</t>
    </r>
    <r>
      <rPr>
        <b/>
        <sz val="11"/>
        <color theme="1"/>
        <rFont val="Calibri"/>
        <family val="2"/>
        <scheme val="minor"/>
      </rPr>
      <t>)</t>
    </r>
  </si>
  <si>
    <t>https://pubs.acs.org/doi/10.1021/jp909019u</t>
  </si>
  <si>
    <t>https://www.pearson.com/us/higher-education/product/Brown-Chemistry-The-Central-Science-13th-Edition/9780321910417.html</t>
  </si>
  <si>
    <t>pH of medium</t>
  </si>
  <si>
    <t>[H+]</t>
  </si>
  <si>
    <r>
      <t>[CO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(aq)]</t>
    </r>
  </si>
  <si>
    <r>
      <t>[H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CO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(aq)]</t>
    </r>
  </si>
  <si>
    <t>Kh</t>
  </si>
  <si>
    <t>x</t>
  </si>
  <si>
    <t>Equilibrium concentrations in medium</t>
  </si>
  <si>
    <r>
      <t>[HCO</t>
    </r>
    <r>
      <rPr>
        <vertAlign val="subscript"/>
        <sz val="11"/>
        <color theme="1"/>
        <rFont val="Calibri"/>
        <family val="2"/>
        <scheme val="minor"/>
      </rPr>
      <t>3</t>
    </r>
    <r>
      <rPr>
        <vertAlign val="superscript"/>
        <sz val="11"/>
        <color theme="1"/>
        <rFont val="Calibri"/>
        <family val="2"/>
        <scheme val="minor"/>
      </rPr>
      <t>-</t>
    </r>
    <r>
      <rPr>
        <sz val="11"/>
        <color theme="1"/>
        <rFont val="Calibri"/>
        <family val="2"/>
        <scheme val="minor"/>
      </rPr>
      <t>]</t>
    </r>
  </si>
  <si>
    <r>
      <t>Ratio CO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/HCO</t>
    </r>
    <r>
      <rPr>
        <vertAlign val="subscript"/>
        <sz val="11"/>
        <color theme="1"/>
        <rFont val="Calibri"/>
        <family val="2"/>
        <scheme val="minor"/>
      </rPr>
      <t>3</t>
    </r>
  </si>
  <si>
    <t>Bicarbonate from BG11 or BG11o medium</t>
  </si>
  <si>
    <r>
      <t>[Na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CO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]</t>
    </r>
  </si>
  <si>
    <r>
      <t>[CO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]</t>
    </r>
  </si>
  <si>
    <t>Kw</t>
  </si>
  <si>
    <t>y: Carbonate in the form of bicarbonate</t>
  </si>
  <si>
    <t>d: carbonate concentration from BG11 medium</t>
  </si>
  <si>
    <t>y</t>
  </si>
  <si>
    <t>[HCO3] from medium</t>
  </si>
  <si>
    <r>
      <t>Kb1 CO</t>
    </r>
    <r>
      <rPr>
        <vertAlign val="subscript"/>
        <sz val="11"/>
        <color theme="1"/>
        <rFont val="Calibri"/>
        <family val="2"/>
        <scheme val="minor"/>
      </rPr>
      <t>3</t>
    </r>
  </si>
  <si>
    <t>Kb1</t>
  </si>
  <si>
    <t>Ka1</t>
  </si>
  <si>
    <r>
      <t>Ka2 H2CO</t>
    </r>
    <r>
      <rPr>
        <vertAlign val="subscript"/>
        <sz val="11"/>
        <color theme="1"/>
        <rFont val="Calibri"/>
        <family val="2"/>
        <scheme val="minor"/>
      </rPr>
      <t>3</t>
    </r>
  </si>
  <si>
    <r>
      <t>Ka1 H2CO</t>
    </r>
    <r>
      <rPr>
        <vertAlign val="subscript"/>
        <sz val="11"/>
        <color theme="1"/>
        <rFont val="Calibri"/>
        <family val="2"/>
        <scheme val="minor"/>
      </rPr>
      <t>3</t>
    </r>
  </si>
  <si>
    <r>
      <t>Kb2 CO</t>
    </r>
    <r>
      <rPr>
        <vertAlign val="subscript"/>
        <sz val="11"/>
        <color theme="1"/>
        <rFont val="Calibri"/>
        <family val="2"/>
        <scheme val="minor"/>
      </rPr>
      <t>3</t>
    </r>
  </si>
  <si>
    <t>z: bicarbonate in the form of carbonic acid</t>
  </si>
  <si>
    <t>e: bicarbonate concentration from BG11 medium</t>
  </si>
  <si>
    <t>z</t>
  </si>
  <si>
    <t>Kb2</t>
  </si>
  <si>
    <t>[H2CO3] from medium</t>
  </si>
  <si>
    <t>Carbonic acid dissociation constant</t>
  </si>
  <si>
    <t>x: amount of dissociated carbonic acid as bicarbonate</t>
  </si>
  <si>
    <t>a: medium concentration of H+</t>
  </si>
  <si>
    <t>b: initial concentration of H2CO3 from CO2[aq]</t>
  </si>
  <si>
    <t>[HCO3] from CO2(aq)</t>
  </si>
  <si>
    <t>pOH of medium</t>
  </si>
  <si>
    <t>[OH-]</t>
  </si>
  <si>
    <t>c: Initial concentration of OH- in medium</t>
  </si>
  <si>
    <r>
      <t>Ratio HCO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/CO</t>
    </r>
    <r>
      <rPr>
        <vertAlign val="subscript"/>
        <sz val="11"/>
        <color theme="1"/>
        <rFont val="Calibri"/>
        <family val="2"/>
        <scheme val="minor"/>
      </rPr>
      <t>2</t>
    </r>
  </si>
  <si>
    <r>
      <t>K</t>
    </r>
    <r>
      <rPr>
        <vertAlign val="superscript"/>
        <sz val="11"/>
        <color theme="1"/>
        <rFont val="Calibri"/>
        <family val="2"/>
        <scheme val="minor"/>
      </rPr>
      <t>o</t>
    </r>
    <r>
      <rPr>
        <sz val="11"/>
        <color theme="1"/>
        <rFont val="Calibri"/>
        <family val="2"/>
        <scheme val="minor"/>
      </rPr>
      <t>H (298.15 K)</t>
    </r>
  </si>
  <si>
    <t>KH (301.15)</t>
  </si>
  <si>
    <r>
      <t>Conclusion: The concentration of HCO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in medium is around 8 times the concentration of CO</t>
    </r>
    <r>
      <rPr>
        <vertAlign val="subscript"/>
        <sz val="11"/>
        <color theme="1"/>
        <rFont val="Calibri"/>
        <family val="2"/>
        <scheme val="minor"/>
      </rPr>
      <t xml:space="preserve">2 </t>
    </r>
    <r>
      <rPr>
        <sz val="11"/>
        <color theme="1"/>
        <rFont val="Calibri"/>
        <family val="2"/>
        <scheme val="minor"/>
      </rPr>
      <t>at the beginning of growth</t>
    </r>
  </si>
  <si>
    <r>
      <t>Concentration ration between CO</t>
    </r>
    <r>
      <rPr>
        <b/>
        <vertAlign val="subscript"/>
        <sz val="16"/>
        <color theme="1"/>
        <rFont val="Calibri"/>
        <family val="2"/>
        <scheme val="minor"/>
      </rPr>
      <t>2</t>
    </r>
    <r>
      <rPr>
        <b/>
        <sz val="16"/>
        <color theme="1"/>
        <rFont val="Calibri"/>
        <family val="2"/>
        <scheme val="minor"/>
      </rPr>
      <t xml:space="preserve"> and bicarbonate ion (Initial)</t>
    </r>
  </si>
  <si>
    <t>CO2 concentration in atmosphere</t>
  </si>
  <si>
    <t>Henry's constant of CO2 in water</t>
  </si>
  <si>
    <t>KoH (298.15 K)</t>
  </si>
  <si>
    <t xml:space="preserve">Partial pressure of CO2 </t>
  </si>
  <si>
    <t>CO2 concentration in aqueous medium</t>
  </si>
  <si>
    <t xml:space="preserve">mol L-1 </t>
  </si>
  <si>
    <t>Equilibrium reaction of H2CO3 production</t>
  </si>
  <si>
    <t>Arrhenius constants of CO2 hydration</t>
  </si>
  <si>
    <t>A (s-1)</t>
  </si>
  <si>
    <t>Ea (J mol-1)</t>
  </si>
  <si>
    <t>R (J mol-1 K-1)</t>
  </si>
  <si>
    <t>k  (s-1)</t>
  </si>
  <si>
    <t>[CO2(aq)]</t>
  </si>
  <si>
    <t>[H2CO3(aq)]</t>
  </si>
  <si>
    <t>Ka1 H2CO3</t>
  </si>
  <si>
    <t>[Na2CO3]</t>
  </si>
  <si>
    <t>[CO3]</t>
  </si>
  <si>
    <t>Ka2 H2CO3</t>
  </si>
  <si>
    <t>Kb1 CO3</t>
  </si>
  <si>
    <t>Kb2 CO3</t>
  </si>
  <si>
    <t>Ratio CO2/HCO3</t>
  </si>
  <si>
    <t>Ratio HCO3/CO2</t>
  </si>
  <si>
    <t>[HCO3-]</t>
  </si>
  <si>
    <t>Initial</t>
  </si>
  <si>
    <r>
      <t>mol L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 xml:space="preserve"> bar -1</t>
    </r>
  </si>
  <si>
    <t>Conclusion: The concentration of HCO3 in medium is around the same as the concentration of CO2 at the end of growth</t>
  </si>
  <si>
    <t>Final</t>
  </si>
  <si>
    <t>%[CO2]</t>
  </si>
  <si>
    <t>%[HCO3]</t>
  </si>
  <si>
    <t>Concentration ration between CO2 and bicarbonate ion (Final only 12% of sodium carbonate left)</t>
  </si>
  <si>
    <t>Reaction</t>
  </si>
  <si>
    <t>Lower bound</t>
  </si>
  <si>
    <t>Upper bound</t>
  </si>
  <si>
    <t>Justification</t>
  </si>
  <si>
    <t>Condition</t>
  </si>
  <si>
    <t>EX_photon_e</t>
  </si>
  <si>
    <t>EX_cit_e</t>
  </si>
  <si>
    <t>EX_pyr_e</t>
  </si>
  <si>
    <t>EX_met__L_e</t>
  </si>
  <si>
    <t>EX_gln__L_e</t>
  </si>
  <si>
    <t>EX_glu__L_e</t>
  </si>
  <si>
    <t>EX_arg__L_e</t>
  </si>
  <si>
    <t>EX_lys__L_e</t>
  </si>
  <si>
    <t>EX_his__L_e</t>
  </si>
  <si>
    <t>EX_urea_e</t>
  </si>
  <si>
    <t>EX_ptrc_e</t>
  </si>
  <si>
    <t>EX_spmd_e</t>
  </si>
  <si>
    <t>EX_cynt_e</t>
  </si>
  <si>
    <t>EX_nh4_e</t>
  </si>
  <si>
    <t>EX_n2_e</t>
  </si>
  <si>
    <t>EX_no3_e</t>
  </si>
  <si>
    <t>CPCPBPS</t>
  </si>
  <si>
    <t>EX_adocbl_e</t>
  </si>
  <si>
    <t>EX_ribflv_e</t>
  </si>
  <si>
    <t>EX_glyc_e</t>
  </si>
  <si>
    <t>EX_co2_e</t>
  </si>
  <si>
    <t>EX_hco3_e</t>
  </si>
  <si>
    <t>SCHIZt</t>
  </si>
  <si>
    <t>EX_fe2_e</t>
  </si>
  <si>
    <t>Photoautotrophic</t>
  </si>
  <si>
    <t>Photon flux based on experimental PPFD</t>
  </si>
  <si>
    <t>Photoautotrophic and Photodiazotrophic</t>
  </si>
  <si>
    <t>Citrate from growth medium</t>
  </si>
  <si>
    <t>No pyruvate taken from growth medium</t>
  </si>
  <si>
    <t>No amino-acids taken from the growth medium</t>
  </si>
  <si>
    <t>Urea flux from medium blocked, but excretion allowed</t>
  </si>
  <si>
    <t>Putrescine flux from medium blocked, but excretion allowed</t>
  </si>
  <si>
    <t>Spermidine flux from medium blocked, but excretion allowed</t>
  </si>
  <si>
    <t>Cyanate not used as Nitrogen source</t>
  </si>
  <si>
    <t>Ammonium not used as Nitrogen source</t>
  </si>
  <si>
    <t>Photoautotrophic cultures do not fix N2</t>
  </si>
  <si>
    <t>Nitrate is supplied in BG11 medium</t>
  </si>
  <si>
    <t>Photodiazotrophic</t>
  </si>
  <si>
    <t>No nitrate supplied in BG11o medium</t>
  </si>
  <si>
    <t>CPC produced in BG11 medium</t>
  </si>
  <si>
    <t>Vitamin B12 not supplied in growth media</t>
  </si>
  <si>
    <t>Riboflavin not supplied in growth media</t>
  </si>
  <si>
    <t>Glycerol not supplied in growth media</t>
  </si>
  <si>
    <t>Photodiazotrophic cultures fix N2</t>
  </si>
  <si>
    <t>CPC produced in BG11o medium</t>
  </si>
  <si>
    <t>Secretion of siderophore equals Fe 3+ requirement</t>
  </si>
  <si>
    <t>Fe2+ not avilable in medium (Only Fe3+ in medium)</t>
  </si>
  <si>
    <t>30% of Ci flux enters as CO2, no respiration</t>
  </si>
  <si>
    <t>70% of Ci flux enters as HCO3, no respiration</t>
  </si>
  <si>
    <t>Specific FBA constraints</t>
  </si>
  <si>
    <t>Vegetative cell_min</t>
  </si>
  <si>
    <t>Vegetative_cell_max</t>
  </si>
  <si>
    <t>Heterocyst_min</t>
  </si>
  <si>
    <t>Heterocyst_max</t>
  </si>
  <si>
    <t>Veg_cell</t>
  </si>
  <si>
    <t>Cell diameter (m)</t>
  </si>
  <si>
    <t>Radius (m)</t>
  </si>
  <si>
    <t>Area (m2)</t>
  </si>
  <si>
    <t>Abundance</t>
  </si>
  <si>
    <t>Fraction of 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</si>
</sst>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0.0000"/>
    <numFmt numFmtId="166" formatCode="0.0"/>
    <numFmt numFmtId="167" formatCode="0.0%"/>
    <numFmt numFmtId="168" formatCode="0.000E+00"/>
  </numFmts>
  <fonts count="2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1"/>
      <color theme="1"/>
      <name val="Calibri"/>
      <family val="2"/>
    </font>
    <font>
      <vertAlign val="superscript"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4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theme="1"/>
      <name val="Calibri"/>
      <family val="2"/>
      <scheme val="minor"/>
    </font>
    <font>
      <b/>
      <vertAlign val="subscript"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theme="9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vertAlign val="subscript"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2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57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indent="1"/>
    </xf>
    <xf numFmtId="164" fontId="0" fillId="0" borderId="0" xfId="0" applyNumberFormat="1"/>
    <xf numFmtId="2" fontId="0" fillId="0" borderId="0" xfId="0" applyNumberFormat="1"/>
    <xf numFmtId="164" fontId="0" fillId="0" borderId="0" xfId="0" applyNumberForma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  <xf numFmtId="165" fontId="0" fillId="0" borderId="0" xfId="0" applyNumberFormat="1" applyAlignment="1">
      <alignment horizontal="center"/>
    </xf>
    <xf numFmtId="11" fontId="0" fillId="0" borderId="0" xfId="0" applyNumberFormat="1"/>
    <xf numFmtId="11" fontId="10" fillId="0" borderId="0" xfId="0" applyNumberFormat="1" applyFont="1"/>
    <xf numFmtId="11" fontId="11" fillId="0" borderId="0" xfId="0" applyNumberFormat="1" applyFont="1"/>
    <xf numFmtId="11" fontId="1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65" fontId="10" fillId="0" borderId="0" xfId="0" applyNumberFormat="1" applyFont="1" applyAlignment="1">
      <alignment horizontal="center"/>
    </xf>
    <xf numFmtId="165" fontId="10" fillId="0" borderId="0" xfId="0" applyNumberFormat="1" applyFont="1"/>
    <xf numFmtId="2" fontId="10" fillId="0" borderId="0" xfId="0" applyNumberFormat="1" applyFont="1"/>
    <xf numFmtId="166" fontId="0" fillId="0" borderId="0" xfId="0" applyNumberFormat="1"/>
    <xf numFmtId="0" fontId="0" fillId="0" borderId="0" xfId="0" applyAlignment="1">
      <alignment vertical="center"/>
    </xf>
    <xf numFmtId="167" fontId="0" fillId="0" borderId="0" xfId="0" applyNumberFormat="1"/>
    <xf numFmtId="167" fontId="0" fillId="0" borderId="0" xfId="1" applyNumberFormat="1" applyFont="1"/>
    <xf numFmtId="166" fontId="0" fillId="0" borderId="0" xfId="0" applyNumberFormat="1" applyAlignment="1">
      <alignment horizontal="center"/>
    </xf>
    <xf numFmtId="167" fontId="0" fillId="0" borderId="0" xfId="1" applyNumberFormat="1" applyFont="1" applyAlignment="1">
      <alignment horizontal="center"/>
    </xf>
    <xf numFmtId="11" fontId="0" fillId="0" borderId="0" xfId="0" applyNumberFormat="1" applyAlignment="1">
      <alignment horizontal="center"/>
    </xf>
    <xf numFmtId="2" fontId="0" fillId="0" borderId="0" xfId="0" applyNumberFormat="1" applyBorder="1"/>
    <xf numFmtId="164" fontId="0" fillId="0" borderId="0" xfId="0" applyNumberFormat="1" applyBorder="1"/>
    <xf numFmtId="2" fontId="0" fillId="0" borderId="0" xfId="0" applyNumberFormat="1" applyAlignment="1">
      <alignment horizontal="right"/>
    </xf>
    <xf numFmtId="166" fontId="14" fillId="0" borderId="0" xfId="0" applyNumberFormat="1" applyFont="1" applyAlignment="1">
      <alignment horizontal="center"/>
    </xf>
    <xf numFmtId="0" fontId="14" fillId="0" borderId="0" xfId="0" applyFont="1"/>
    <xf numFmtId="166" fontId="15" fillId="0" borderId="0" xfId="0" applyNumberFormat="1" applyFont="1" applyAlignment="1">
      <alignment horizontal="center"/>
    </xf>
    <xf numFmtId="0" fontId="16" fillId="0" borderId="0" xfId="0" applyFont="1" applyAlignment="1">
      <alignment horizontal="center"/>
    </xf>
    <xf numFmtId="2" fontId="14" fillId="0" borderId="0" xfId="0" applyNumberFormat="1" applyFont="1"/>
    <xf numFmtId="2" fontId="14" fillId="0" borderId="0" xfId="0" applyNumberFormat="1" applyFont="1" applyAlignment="1">
      <alignment horizontal="center"/>
    </xf>
    <xf numFmtId="10" fontId="0" fillId="0" borderId="0" xfId="0" applyNumberFormat="1"/>
    <xf numFmtId="0" fontId="1" fillId="0" borderId="0" xfId="0" applyFont="1" applyAlignment="1">
      <alignment horizontal="center"/>
    </xf>
    <xf numFmtId="0" fontId="19" fillId="0" borderId="0" xfId="2"/>
    <xf numFmtId="0" fontId="20" fillId="0" borderId="0" xfId="0" applyFont="1"/>
    <xf numFmtId="168" fontId="0" fillId="0" borderId="0" xfId="0" applyNumberFormat="1"/>
    <xf numFmtId="168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11" fontId="0" fillId="0" borderId="0" xfId="0" applyNumberFormat="1" applyBorder="1" applyAlignment="1">
      <alignment horizontal="center"/>
    </xf>
    <xf numFmtId="0" fontId="0" fillId="0" borderId="0" xfId="0" applyFont="1"/>
    <xf numFmtId="9" fontId="0" fillId="0" borderId="0" xfId="1" applyFont="1" applyAlignment="1">
      <alignment horizontal="center"/>
    </xf>
    <xf numFmtId="9" fontId="0" fillId="0" borderId="0" xfId="0" applyNumberFormat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Relationship Id="rId22" Type="http://schemas.openxmlformats.org/officeDocument/2006/relationships/customXml" Target="../customXml/item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'C-Phycocyanin production'!$A$5:$A$18</c:f>
              <c:numCache>
                <c:formatCode>0.00</c:formatCode>
                <c:ptCount val="14"/>
                <c:pt idx="0">
                  <c:v>0</c:v>
                </c:pt>
                <c:pt idx="1">
                  <c:v>1</c:v>
                </c:pt>
                <c:pt idx="2">
                  <c:v>2.1583333329999999</c:v>
                </c:pt>
                <c:pt idx="3">
                  <c:v>3.0916666670000001</c:v>
                </c:pt>
                <c:pt idx="4">
                  <c:v>5.05</c:v>
                </c:pt>
                <c:pt idx="5">
                  <c:v>7.170833333</c:v>
                </c:pt>
                <c:pt idx="6">
                  <c:v>7.8368055559999998</c:v>
                </c:pt>
                <c:pt idx="7">
                  <c:v>11.12916667</c:v>
                </c:pt>
                <c:pt idx="8">
                  <c:v>12.1625</c:v>
                </c:pt>
                <c:pt idx="9">
                  <c:v>14.04722222</c:v>
                </c:pt>
                <c:pt idx="10">
                  <c:v>16.08888889</c:v>
                </c:pt>
                <c:pt idx="11">
                  <c:v>18.08472222</c:v>
                </c:pt>
                <c:pt idx="12">
                  <c:v>22.497260000000001</c:v>
                </c:pt>
                <c:pt idx="13">
                  <c:v>26.190972219999999</c:v>
                </c:pt>
              </c:numCache>
            </c:numRef>
          </c:xVal>
          <c:yVal>
            <c:numRef>
              <c:f>'C-Phycocyanin production'!$E$5:$E$18</c:f>
              <c:numCache>
                <c:formatCode>0.00</c:formatCode>
                <c:ptCount val="14"/>
                <c:pt idx="0">
                  <c:v>1.7557066666666667</c:v>
                </c:pt>
                <c:pt idx="1">
                  <c:v>8.4322678846666665</c:v>
                </c:pt>
                <c:pt idx="2">
                  <c:v>15.433789953333331</c:v>
                </c:pt>
                <c:pt idx="3">
                  <c:v>25.059620333333331</c:v>
                </c:pt>
                <c:pt idx="4">
                  <c:v>34.916286149999998</c:v>
                </c:pt>
                <c:pt idx="5">
                  <c:v>45.449010653333325</c:v>
                </c:pt>
                <c:pt idx="6">
                  <c:v>58.339605333333338</c:v>
                </c:pt>
                <c:pt idx="7">
                  <c:v>73.363774733333344</c:v>
                </c:pt>
                <c:pt idx="8">
                  <c:v>81.284485200000006</c:v>
                </c:pt>
                <c:pt idx="9">
                  <c:v>91.293759503333334</c:v>
                </c:pt>
                <c:pt idx="10">
                  <c:v>88.614916286666656</c:v>
                </c:pt>
                <c:pt idx="11">
                  <c:v>99.08675800666667</c:v>
                </c:pt>
                <c:pt idx="12">
                  <c:v>139.16810266666667</c:v>
                </c:pt>
                <c:pt idx="13">
                  <c:v>158.18873666666664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E87-42AC-9B41-CF2D0C2382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3839344"/>
        <c:axId val="523838688"/>
      </c:scatterChart>
      <c:valAx>
        <c:axId val="523839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(days)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838688"/>
        <c:crosses val="autoZero"/>
        <c:crossBetween val="midCat"/>
      </c:valAx>
      <c:valAx>
        <c:axId val="5238386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C-PC (ug/ml)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839344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'C-Phycocyanin production'!$Q$5:$Q$23</c:f>
              <c:numCache>
                <c:formatCode>0.00</c:formatCode>
                <c:ptCount val="19"/>
                <c:pt idx="0">
                  <c:v>0</c:v>
                </c:pt>
                <c:pt idx="1">
                  <c:v>1.7152777779999999</c:v>
                </c:pt>
                <c:pt idx="2">
                  <c:v>2.59375</c:v>
                </c:pt>
                <c:pt idx="3">
                  <c:v>3.611111111</c:v>
                </c:pt>
                <c:pt idx="4">
                  <c:v>4.3333333329999997</c:v>
                </c:pt>
                <c:pt idx="5">
                  <c:v>5.8125</c:v>
                </c:pt>
                <c:pt idx="6">
                  <c:v>6.875</c:v>
                </c:pt>
                <c:pt idx="7">
                  <c:v>9.875</c:v>
                </c:pt>
                <c:pt idx="8">
                  <c:v>10.83333333</c:v>
                </c:pt>
                <c:pt idx="9">
                  <c:v>11.875</c:v>
                </c:pt>
                <c:pt idx="10">
                  <c:v>14.72916667</c:v>
                </c:pt>
                <c:pt idx="11">
                  <c:v>16.875</c:v>
                </c:pt>
                <c:pt idx="12">
                  <c:v>17.833333329999999</c:v>
                </c:pt>
                <c:pt idx="13">
                  <c:v>18.875</c:v>
                </c:pt>
                <c:pt idx="14">
                  <c:v>19.8125</c:v>
                </c:pt>
                <c:pt idx="15">
                  <c:v>23.958333329999999</c:v>
                </c:pt>
                <c:pt idx="16">
                  <c:v>24.8125</c:v>
                </c:pt>
                <c:pt idx="17">
                  <c:v>25.864583329999999</c:v>
                </c:pt>
                <c:pt idx="18">
                  <c:v>27</c:v>
                </c:pt>
              </c:numCache>
            </c:numRef>
          </c:xVal>
          <c:yVal>
            <c:numRef>
              <c:f>'C-Phycocyanin production'!$U$5:$U$23</c:f>
              <c:numCache>
                <c:formatCode>0.00</c:formatCode>
                <c:ptCount val="19"/>
                <c:pt idx="0">
                  <c:v>1.1461866666666667</c:v>
                </c:pt>
                <c:pt idx="1">
                  <c:v>6.7868560000000002</c:v>
                </c:pt>
                <c:pt idx="2">
                  <c:v>9.73048</c:v>
                </c:pt>
                <c:pt idx="3">
                  <c:v>11.311008000000001</c:v>
                </c:pt>
                <c:pt idx="4">
                  <c:v>14.469378336666665</c:v>
                </c:pt>
                <c:pt idx="5">
                  <c:v>19.776590063333334</c:v>
                </c:pt>
                <c:pt idx="6">
                  <c:v>22.029890856666668</c:v>
                </c:pt>
                <c:pt idx="7">
                  <c:v>29.868468786666668</c:v>
                </c:pt>
                <c:pt idx="8">
                  <c:v>28.953280200000002</c:v>
                </c:pt>
                <c:pt idx="9">
                  <c:v>34.659670203333327</c:v>
                </c:pt>
                <c:pt idx="10">
                  <c:v>45.980992906666671</c:v>
                </c:pt>
                <c:pt idx="11">
                  <c:v>44.382012773333336</c:v>
                </c:pt>
                <c:pt idx="12">
                  <c:v>52.695084199999997</c:v>
                </c:pt>
                <c:pt idx="13">
                  <c:v>52.56025219</c:v>
                </c:pt>
                <c:pt idx="14">
                  <c:v>59.585014803333337</c:v>
                </c:pt>
                <c:pt idx="15">
                  <c:v>68.518092833333341</c:v>
                </c:pt>
                <c:pt idx="16">
                  <c:v>81.977223036666658</c:v>
                </c:pt>
                <c:pt idx="17">
                  <c:v>83.445021686666678</c:v>
                </c:pt>
                <c:pt idx="18">
                  <c:v>86.619490073333324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2AD-4688-AB04-47973ED54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3839344"/>
        <c:axId val="523838688"/>
      </c:scatterChart>
      <c:valAx>
        <c:axId val="523839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(days)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838688"/>
        <c:crosses val="autoZero"/>
        <c:crossBetween val="midCat"/>
      </c:valAx>
      <c:valAx>
        <c:axId val="52383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C-PC (ug/ml)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839344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626617464896096"/>
                  <c:y val="0.2424143336249635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'Nitrate consumption BG11'!$A$5:$A$19</c:f>
              <c:numCache>
                <c:formatCode>0.00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2.1583333333328483</c:v>
                </c:pt>
                <c:pt idx="3">
                  <c:v>3.0916666666671517</c:v>
                </c:pt>
                <c:pt idx="4">
                  <c:v>5.0499999999956344</c:v>
                </c:pt>
                <c:pt idx="5">
                  <c:v>7.1708333333299379</c:v>
                </c:pt>
                <c:pt idx="6">
                  <c:v>7.8368055555547471</c:v>
                </c:pt>
                <c:pt idx="7">
                  <c:v>11.129166666665697</c:v>
                </c:pt>
                <c:pt idx="8">
                  <c:v>12.162499999998545</c:v>
                </c:pt>
                <c:pt idx="9">
                  <c:v>14.047222222223354</c:v>
                </c:pt>
                <c:pt idx="10">
                  <c:v>16.088888888887595</c:v>
                </c:pt>
                <c:pt idx="11">
                  <c:v>18.084722222221899</c:v>
                </c:pt>
                <c:pt idx="12">
                  <c:v>26.190972222218988</c:v>
                </c:pt>
                <c:pt idx="13">
                  <c:v>28.178472222221899</c:v>
                </c:pt>
                <c:pt idx="14">
                  <c:v>32.662499999998545</c:v>
                </c:pt>
              </c:numCache>
            </c:numRef>
          </c:xVal>
          <c:yVal>
            <c:numRef>
              <c:f>'Nitrate consumption BG11'!$F$5:$F$19</c:f>
              <c:numCache>
                <c:formatCode>0.000</c:formatCode>
                <c:ptCount val="15"/>
                <c:pt idx="0">
                  <c:v>7.0218590209979341</c:v>
                </c:pt>
                <c:pt idx="1">
                  <c:v>6.940792243306162</c:v>
                </c:pt>
                <c:pt idx="2">
                  <c:v>6.8079084608446552</c:v>
                </c:pt>
                <c:pt idx="3">
                  <c:v>6.785130415572949</c:v>
                </c:pt>
                <c:pt idx="4">
                  <c:v>6.7396947880620415</c:v>
                </c:pt>
                <c:pt idx="5">
                  <c:v>6.5862144125612412</c:v>
                </c:pt>
                <c:pt idx="6">
                  <c:v>6.5591672775581804</c:v>
                </c:pt>
                <c:pt idx="7">
                  <c:v>6.3383992221567649</c:v>
                </c:pt>
                <c:pt idx="8">
                  <c:v>6.3238862700347234</c:v>
                </c:pt>
                <c:pt idx="9">
                  <c:v>6.2672847954668738</c:v>
                </c:pt>
                <c:pt idx="10">
                  <c:v>6.4499091131565205</c:v>
                </c:pt>
                <c:pt idx="11">
                  <c:v>5.997408540967581</c:v>
                </c:pt>
                <c:pt idx="12">
                  <c:v>5.6505001078585</c:v>
                </c:pt>
                <c:pt idx="13">
                  <c:v>5.6512010995868129</c:v>
                </c:pt>
                <c:pt idx="14">
                  <c:v>5.2089986023139865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1F-4012-BF04-0684DD1266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4243656"/>
        <c:axId val="584239392"/>
      </c:scatterChart>
      <c:valAx>
        <c:axId val="584243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(days)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239392"/>
        <c:crosses val="autoZero"/>
        <c:crossBetween val="midCat"/>
      </c:valAx>
      <c:valAx>
        <c:axId val="5842393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ln [NaNO3] (ug/ml)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243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9322312670994283"/>
                  <c:y val="0.3869174137584997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'N2 Fixation'!$A$6:$A$11</c:f>
              <c:numCache>
                <c:formatCode>0.00</c:formatCode>
                <c:ptCount val="6"/>
                <c:pt idx="0">
                  <c:v>2.1701388888832298</c:v>
                </c:pt>
                <c:pt idx="1">
                  <c:v>3.2118055555547471</c:v>
                </c:pt>
                <c:pt idx="2">
                  <c:v>4.3784722222189885</c:v>
                </c:pt>
                <c:pt idx="3">
                  <c:v>6.7465277777810115</c:v>
                </c:pt>
                <c:pt idx="4">
                  <c:v>7.7465277777810115</c:v>
                </c:pt>
                <c:pt idx="5">
                  <c:v>9.9166666666642413</c:v>
                </c:pt>
              </c:numCache>
            </c:numRef>
          </c:xVal>
          <c:yVal>
            <c:numRef>
              <c:f>'N2 Fixation'!$F$6:$F$11</c:f>
              <c:numCache>
                <c:formatCode>0.00</c:formatCode>
                <c:ptCount val="6"/>
                <c:pt idx="0">
                  <c:v>1.2529969778311612</c:v>
                </c:pt>
                <c:pt idx="1">
                  <c:v>1.5822709692962182</c:v>
                </c:pt>
                <c:pt idx="2">
                  <c:v>2.0730581555343459</c:v>
                </c:pt>
                <c:pt idx="3">
                  <c:v>2.6482546095399173</c:v>
                </c:pt>
                <c:pt idx="4">
                  <c:v>2.7309614355429255</c:v>
                </c:pt>
                <c:pt idx="5">
                  <c:v>2.9886639376789477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87-4DC2-873F-28E7EC26B7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4243656"/>
        <c:axId val="584239392"/>
      </c:scatterChart>
      <c:valAx>
        <c:axId val="584243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(days)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239392"/>
        <c:crosses val="autoZero"/>
        <c:crossBetween val="midCat"/>
      </c:valAx>
      <c:valAx>
        <c:axId val="5842393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ln [NT] (ug/ml)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243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371475</xdr:colOff>
      <xdr:row>4</xdr:row>
      <xdr:rowOff>34925</xdr:rowOff>
    </xdr:from>
    <xdr:to>
      <xdr:col>9</xdr:col>
      <xdr:colOff>558800</xdr:colOff>
      <xdr:row>16</xdr:row>
      <xdr:rowOff>187325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408DCD-8DF3-40F2-8850-05CEF08C49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558800</xdr:colOff>
      <xdr:row>4</xdr:row>
      <xdr:rowOff>139700</xdr:rowOff>
    </xdr:from>
    <xdr:to>
      <xdr:col>26</xdr:col>
      <xdr:colOff>136525</xdr:colOff>
      <xdr:row>17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F73693D-7944-4186-A0A7-B5210DC746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3175</xdr:colOff>
      <xdr:row>4</xdr:row>
      <xdr:rowOff>168274</xdr:rowOff>
    </xdr:from>
    <xdr:to>
      <xdr:col>14</xdr:col>
      <xdr:colOff>584200</xdr:colOff>
      <xdr:row>18</xdr:row>
      <xdr:rowOff>165099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97B703-CE0B-4286-917D-5F422DB839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586554</xdr:colOff>
      <xdr:row>3</xdr:row>
      <xdr:rowOff>75489</xdr:rowOff>
    </xdr:from>
    <xdr:to>
      <xdr:col>14</xdr:col>
      <xdr:colOff>146095</xdr:colOff>
      <xdr:row>13</xdr:row>
      <xdr:rowOff>38278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831CC9-5523-4D60-B5A5-94AFC693E4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25</xdr:col>
      <xdr:colOff>0</xdr:colOff>
      <xdr:row>1</xdr:row>
      <xdr:rowOff>0</xdr:rowOff>
    </xdr:from>
    <xdr:to>
      <xdr:col>29</xdr:col>
      <xdr:colOff>24788</xdr:colOff>
      <xdr:row>14</xdr:row>
      <xdr:rowOff>155245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16B1ECD-E780-4484-9AB0-A3B1C095A6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50395"/>
        <a:stretch/>
      </xdr:blipFill>
      <xdr:spPr>
        <a:xfrm>
          <a:off x="16065500" y="266700"/>
          <a:ext cx="2463188" cy="2549195"/>
        </a:xfrm>
        <a:prstGeom prst="rect">
          <a:avLst/>
        </a:prstGeom>
      </xdr:spPr>
    </xdr:pic>
    <xdr:clientData/>
  </xdr:twoCellAnchor>
  <xdr:twoCellAnchor editAs="oneCell">
    <xdr:from>
      <xdr:col>25</xdr:col>
      <xdr:colOff>6350</xdr:colOff>
      <xdr:row>15</xdr:row>
      <xdr:rowOff>44450</xdr:rowOff>
    </xdr:from>
    <xdr:to>
      <xdr:col>28</xdr:col>
      <xdr:colOff>605815</xdr:colOff>
      <xdr:row>29</xdr:row>
      <xdr:rowOff>34593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E40889C-A89A-4DDA-8AC3-F4C0BAA198B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50202"/>
        <a:stretch/>
      </xdr:blipFill>
      <xdr:spPr>
        <a:xfrm>
          <a:off x="16071850" y="2889250"/>
          <a:ext cx="2428265" cy="2568243"/>
        </a:xfrm>
        <a:prstGeom prst="rect">
          <a:avLst/>
        </a:prstGeom>
      </xdr:spPr>
    </xdr:pic>
    <xdr:clientData/>
  </xdr:twoCellAnchor>
  <xdr:twoCellAnchor editAs="oneCell">
    <xdr:from>
      <xdr:col>24</xdr:col>
      <xdr:colOff>606426</xdr:colOff>
      <xdr:row>29</xdr:row>
      <xdr:rowOff>95250</xdr:rowOff>
    </xdr:from>
    <xdr:to>
      <xdr:col>29</xdr:col>
      <xdr:colOff>15569</xdr:colOff>
      <xdr:row>43</xdr:row>
      <xdr:rowOff>66345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0F197C8-4183-4AC2-9EE8-E4C3CCABC9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062326" y="5518150"/>
          <a:ext cx="2457143" cy="2549195"/>
        </a:xfrm>
        <a:prstGeom prst="rect">
          <a:avLst/>
        </a:prstGeom>
      </xdr:spPr>
    </xdr:pic>
    <xdr:clientData/>
  </xdr:twoCellAnchor>
  <xdr:twoCellAnchor editAs="oneCell">
    <xdr:from>
      <xdr:col>24</xdr:col>
      <xdr:colOff>596901</xdr:colOff>
      <xdr:row>43</xdr:row>
      <xdr:rowOff>130175</xdr:rowOff>
    </xdr:from>
    <xdr:to>
      <xdr:col>28</xdr:col>
      <xdr:colOff>587072</xdr:colOff>
      <xdr:row>57</xdr:row>
      <xdr:rowOff>101270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4E71AD7-576B-45B2-830F-63E9A54766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6052801" y="8131175"/>
          <a:ext cx="2428571" cy="2549195"/>
        </a:xfrm>
        <a:prstGeom prst="rect">
          <a:avLst/>
        </a:prstGeom>
      </xdr:spPr>
    </xdr:pic>
    <xdr:clientData/>
  </xdr:twoCellAnchor>
  <xdr:twoCellAnchor editAs="oneCell">
    <xdr:from>
      <xdr:col>24</xdr:col>
      <xdr:colOff>603251</xdr:colOff>
      <xdr:row>57</xdr:row>
      <xdr:rowOff>152400</xdr:rowOff>
    </xdr:from>
    <xdr:to>
      <xdr:col>28</xdr:col>
      <xdr:colOff>593422</xdr:colOff>
      <xdr:row>71</xdr:row>
      <xdr:rowOff>120321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4D0ED0-CC29-416D-A49C-54F6A363D3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6059151" y="10731500"/>
          <a:ext cx="2428571" cy="2546021"/>
        </a:xfrm>
        <a:prstGeom prst="rect">
          <a:avLst/>
        </a:prstGeom>
      </xdr:spPr>
    </xdr:pic>
    <xdr:clientData/>
  </xdr:twoCellAnchor>
  <xdr:twoCellAnchor editAs="oneCell">
    <xdr:from>
      <xdr:col>24</xdr:col>
      <xdr:colOff>596900</xdr:colOff>
      <xdr:row>71</xdr:row>
      <xdr:rowOff>130175</xdr:rowOff>
    </xdr:from>
    <xdr:to>
      <xdr:col>28</xdr:col>
      <xdr:colOff>596595</xdr:colOff>
      <xdr:row>85</xdr:row>
      <xdr:rowOff>117144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98A566DC-DA5D-40FB-88D3-D255B2CA29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6052800" y="13287375"/>
          <a:ext cx="2438095" cy="2565069"/>
        </a:xfrm>
        <a:prstGeom prst="rect">
          <a:avLst/>
        </a:prstGeom>
      </xdr:spPr>
    </xdr:pic>
    <xdr:clientData/>
  </xdr:twoCellAnchor>
  <xdr:twoCellAnchor editAs="oneCell">
    <xdr:from>
      <xdr:col>24</xdr:col>
      <xdr:colOff>600075</xdr:colOff>
      <xdr:row>85</xdr:row>
      <xdr:rowOff>127000</xdr:rowOff>
    </xdr:from>
    <xdr:to>
      <xdr:col>28</xdr:col>
      <xdr:colOff>590246</xdr:colOff>
      <xdr:row>99</xdr:row>
      <xdr:rowOff>117143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B8F5102-44B9-43D8-900C-BA59E3B7FF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6055975" y="15862300"/>
          <a:ext cx="2428571" cy="2568243"/>
        </a:xfrm>
        <a:prstGeom prst="rect">
          <a:avLst/>
        </a:prstGeom>
      </xdr:spPr>
    </xdr:pic>
    <xdr:clientData/>
  </xdr:twoCellAnchor>
  <xdr:twoCellAnchor editAs="oneCell">
    <xdr:from>
      <xdr:col>25</xdr:col>
      <xdr:colOff>22225</xdr:colOff>
      <xdr:row>99</xdr:row>
      <xdr:rowOff>117475</xdr:rowOff>
    </xdr:from>
    <xdr:to>
      <xdr:col>29</xdr:col>
      <xdr:colOff>21920</xdr:colOff>
      <xdr:row>113</xdr:row>
      <xdr:rowOff>56825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CE4E36FC-950B-4994-BDC8-F432AF6993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6087725" y="18430875"/>
          <a:ext cx="2438095" cy="251745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152400</xdr:colOff>
      <xdr:row>14</xdr:row>
      <xdr:rowOff>61912</xdr:rowOff>
    </xdr:from>
    <xdr:ext cx="2749471" cy="34022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0000000-0008-0000-0800-000002000000}"/>
                </a:ext>
              </a:extLst>
            </xdr:cNvPr>
            <xdr:cNvSpPr txBox="1"/>
          </xdr:nvSpPr>
          <xdr:spPr>
            <a:xfrm>
              <a:off x="3048000" y="2824162"/>
              <a:ext cx="2749471" cy="3402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8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sSub>
                          <m:sSubPr>
                            <m:ctrlPr>
                              <a:rPr lang="en-US" sz="18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800" b="0" i="1">
                                <a:latin typeface="Cambria Math" panose="02040503050406030204" pitchFamily="18" charset="0"/>
                              </a:rPr>
                              <m:t>𝐶𝑂</m:t>
                            </m:r>
                          </m:e>
                          <m:sub>
                            <m:r>
                              <a:rPr lang="en-US" sz="18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</m:e>
                      <m:sub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𝑎𝑞</m:t>
                        </m:r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)</m:t>
                        </m:r>
                      </m:sub>
                    </m:sSub>
                    <m:r>
                      <a:rPr lang="en-US" sz="1800" b="0" i="1">
                        <a:latin typeface="Cambria Math" panose="02040503050406030204" pitchFamily="18" charset="0"/>
                      </a:rPr>
                      <m:t>+ </m:t>
                    </m:r>
                    <m:sSub>
                      <m:sSubPr>
                        <m:ctrlPr>
                          <a:rPr lang="en-US" sz="18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n-US" sz="1800" b="0" i="1">
                        <a:latin typeface="Cambria Math" panose="02040503050406030204" pitchFamily="18" charset="0"/>
                      </a:rPr>
                      <m:t>𝑂</m:t>
                    </m:r>
                    <m:r>
                      <a:rPr lang="en-US" sz="1800" b="0" i="1">
                        <a:latin typeface="Cambria Math" panose="02040503050406030204" pitchFamily="18" charset="0"/>
                      </a:rPr>
                      <m:t>  ↔  </m:t>
                    </m:r>
                    <m:sSub>
                      <m:sSubPr>
                        <m:ctrlPr>
                          <a:rPr lang="en-US" sz="1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sub>
                    </m:sSub>
                    <m:sSub>
                      <m:sSubPr>
                        <m:ctrlPr>
                          <a:rPr lang="en-US" sz="1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𝐶𝑂</m:t>
                        </m:r>
                      </m:e>
                      <m:sub>
                        <m:r>
                          <a:rPr lang="en-US" sz="1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en-US" sz="18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3048000" y="2824162"/>
              <a:ext cx="2749471" cy="3402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800" i="0">
                  <a:latin typeface="Cambria Math" panose="02040503050406030204" pitchFamily="18" charset="0"/>
                </a:rPr>
                <a:t>〖〖</a:t>
              </a:r>
              <a:r>
                <a:rPr lang="en-US" sz="1800" b="0" i="0">
                  <a:latin typeface="Cambria Math" panose="02040503050406030204" pitchFamily="18" charset="0"/>
                </a:rPr>
                <a:t>𝐶𝑂〗_2〗_((𝑎𝑞))+ 𝐻_2 𝑂  </a:t>
              </a:r>
              <a:r>
                <a:rPr lang="en-US" sz="1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↔  𝐻_2 〖𝐶𝑂〗_3</a:t>
              </a:r>
              <a:endParaRPr lang="en-US" sz="1800"/>
            </a:p>
          </xdr:txBody>
        </xdr:sp>
      </mc:Fallback>
    </mc:AlternateContent>
    <xdr:clientData/>
  </xdr:oneCellAnchor>
  <xdr:oneCellAnchor>
    <xdr:from>
      <xdr:col>3</xdr:col>
      <xdr:colOff>228600</xdr:colOff>
      <xdr:row>22</xdr:row>
      <xdr:rowOff>28575</xdr:rowOff>
    </xdr:from>
    <xdr:ext cx="1276350" cy="46323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00000000-0008-0000-0800-000004000000}"/>
                </a:ext>
              </a:extLst>
            </xdr:cNvPr>
            <xdr:cNvSpPr txBox="1"/>
          </xdr:nvSpPr>
          <xdr:spPr>
            <a:xfrm>
              <a:off x="3124200" y="4419600"/>
              <a:ext cx="1276350" cy="46323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4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𝐾</m:t>
                        </m:r>
                      </m:e>
                      <m:sub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h</m:t>
                        </m:r>
                      </m:sub>
                    </m:sSub>
                    <m:r>
                      <a:rPr lang="en-US" sz="14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d>
                          <m:dPr>
                            <m:begChr m:val="["/>
                            <m:endChr m:val="]"/>
                            <m:ctrlPr>
                              <a:rPr lang="en-US" sz="14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sz="14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400" b="0" i="1">
                                    <a:latin typeface="Cambria Math" panose="02040503050406030204" pitchFamily="18" charset="0"/>
                                  </a:rPr>
                                  <m:t>𝐻</m:t>
                                </m:r>
                              </m:e>
                              <m:sub>
                                <m:r>
                                  <a:rPr lang="en-US" sz="14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b>
                            </m:sSub>
                            <m:sSub>
                              <m:sSubPr>
                                <m:ctrlPr>
                                  <a:rPr lang="en-US" sz="14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400" b="0" i="1">
                                    <a:latin typeface="Cambria Math" panose="02040503050406030204" pitchFamily="18" charset="0"/>
                                  </a:rPr>
                                  <m:t>𝐶𝑂</m:t>
                                </m:r>
                              </m:e>
                              <m:sub>
                                <m:r>
                                  <a:rPr lang="en-US" sz="1400" b="0" i="1">
                                    <a:latin typeface="Cambria Math" panose="02040503050406030204" pitchFamily="18" charset="0"/>
                                  </a:rPr>
                                  <m:t>3</m:t>
                                </m:r>
                              </m:sub>
                            </m:sSub>
                          </m:e>
                        </m:d>
                      </m:num>
                      <m:den>
                        <m:d>
                          <m:dPr>
                            <m:begChr m:val="["/>
                            <m:endChr m:val="]"/>
                            <m:ctrlPr>
                              <a:rPr lang="en-US" sz="14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sz="14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400" b="0" i="1">
                                    <a:latin typeface="Cambria Math" panose="02040503050406030204" pitchFamily="18" charset="0"/>
                                  </a:rPr>
                                  <m:t>𝐶𝑂</m:t>
                                </m:r>
                              </m:e>
                              <m:sub>
                                <m:r>
                                  <a:rPr lang="en-US" sz="14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b>
                            </m:sSub>
                          </m:e>
                        </m:d>
                      </m:den>
                    </m:f>
                  </m:oMath>
                </m:oMathPara>
              </a14:m>
              <a:endParaRPr lang="en-US" sz="14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3124200" y="4419600"/>
              <a:ext cx="1276350" cy="46323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400" b="0" i="0">
                  <a:latin typeface="Cambria Math" panose="02040503050406030204" pitchFamily="18" charset="0"/>
                </a:rPr>
                <a:t>𝐾_ℎ=[𝐻_2 〖𝐶𝑂〗_3 ]/[〖𝐶𝑂〗_2 ] </a:t>
              </a:r>
              <a:endParaRPr lang="en-US" sz="1400"/>
            </a:p>
          </xdr:txBody>
        </xdr:sp>
      </mc:Fallback>
    </mc:AlternateContent>
    <xdr:clientData/>
  </xdr:oneCellAnchor>
  <xdr:oneCellAnchor>
    <xdr:from>
      <xdr:col>3</xdr:col>
      <xdr:colOff>123825</xdr:colOff>
      <xdr:row>45</xdr:row>
      <xdr:rowOff>76200</xdr:rowOff>
    </xdr:from>
    <xdr:ext cx="3650871" cy="30617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00000000-0008-0000-0800-000008000000}"/>
                </a:ext>
              </a:extLst>
            </xdr:cNvPr>
            <xdr:cNvSpPr txBox="1"/>
          </xdr:nvSpPr>
          <xdr:spPr>
            <a:xfrm>
              <a:off x="3305175" y="5705475"/>
              <a:ext cx="3650871" cy="3061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8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𝑁𝑎</m:t>
                        </m:r>
                      </m:e>
                      <m:sub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sSub>
                      <m:sSubPr>
                        <m:ctrlPr>
                          <a:rPr lang="en-US" sz="18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𝐶𝑂</m:t>
                        </m:r>
                      </m:e>
                      <m:sub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r>
                      <a:rPr lang="en-US" sz="1800" b="0" i="1">
                        <a:latin typeface="Cambria Math" panose="02040503050406030204" pitchFamily="18" charset="0"/>
                      </a:rPr>
                      <m:t>+ </m:t>
                    </m:r>
                    <m:sSub>
                      <m:sSubPr>
                        <m:ctrlPr>
                          <a:rPr lang="en-US" sz="18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n-US" sz="1800" b="0" i="1">
                        <a:latin typeface="Cambria Math" panose="02040503050406030204" pitchFamily="18" charset="0"/>
                      </a:rPr>
                      <m:t>𝑂</m:t>
                    </m:r>
                    <m:r>
                      <a:rPr lang="en-US" sz="1800" b="0" i="1">
                        <a:latin typeface="Cambria Math" panose="02040503050406030204" pitchFamily="18" charset="0"/>
                      </a:rPr>
                      <m:t>  ↔  </m:t>
                    </m:r>
                    <m:sSup>
                      <m:sSupPr>
                        <m:ctrlPr>
                          <a:rPr lang="en-US" sz="18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2 </m:t>
                        </m:r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𝑁𝑎</m:t>
                        </m:r>
                      </m:e>
                      <m:sup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+</m:t>
                        </m:r>
                      </m:sup>
                    </m:sSup>
                    <m:r>
                      <a:rPr lang="en-US" sz="1800" b="0" i="1">
                        <a:latin typeface="Cambria Math" panose="02040503050406030204" pitchFamily="18" charset="0"/>
                      </a:rPr>
                      <m:t>+</m:t>
                    </m:r>
                    <m:sSup>
                      <m:sSupPr>
                        <m:ctrlPr>
                          <a:rPr lang="en-US" sz="18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sSub>
                          <m:sSubPr>
                            <m:ctrlPr>
                              <a:rPr lang="en-US" sz="18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800" b="0" i="1">
                                <a:latin typeface="Cambria Math" panose="02040503050406030204" pitchFamily="18" charset="0"/>
                              </a:rPr>
                              <m:t>𝐶𝑂</m:t>
                            </m:r>
                          </m:e>
                          <m:sub>
                            <m:r>
                              <a:rPr lang="en-US" sz="18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sub>
                        </m:sSub>
                      </m:e>
                      <m:sup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2−</m:t>
                        </m:r>
                      </m:sup>
                    </m:sSup>
                  </m:oMath>
                </m:oMathPara>
              </a14:m>
              <a:endParaRPr lang="en-US" sz="1800"/>
            </a:p>
          </xdr:txBody>
        </xdr:sp>
      </mc:Choice>
      <mc:Fallback xmlns="">
        <xdr:sp macro="" textlink="">
          <xdr:nvSpPr>
            <xdr:cNvPr id="8" name="TextBox 7"/>
            <xdr:cNvSpPr txBox="1"/>
          </xdr:nvSpPr>
          <xdr:spPr>
            <a:xfrm>
              <a:off x="3305175" y="5705475"/>
              <a:ext cx="3650871" cy="3061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800" b="0" i="0">
                  <a:latin typeface="Cambria Math" panose="02040503050406030204" pitchFamily="18" charset="0"/>
                </a:rPr>
                <a:t>〖𝑁𝑎〗_2 〖𝐶𝑂〗_3+ 𝐻_2 𝑂  ↔  〖2 𝑁𝑎〗^++〖〖𝐶𝑂〗_3〗^(2−)</a:t>
              </a:r>
              <a:endParaRPr lang="en-US" sz="1800"/>
            </a:p>
          </xdr:txBody>
        </xdr:sp>
      </mc:Fallback>
    </mc:AlternateContent>
    <xdr:clientData/>
  </xdr:oneCellAnchor>
  <xdr:oneCellAnchor>
    <xdr:from>
      <xdr:col>2</xdr:col>
      <xdr:colOff>1143000</xdr:colOff>
      <xdr:row>46</xdr:row>
      <xdr:rowOff>200025</xdr:rowOff>
    </xdr:from>
    <xdr:ext cx="3466846" cy="29123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00000000-0008-0000-0800-000009000000}"/>
                </a:ext>
              </a:extLst>
            </xdr:cNvPr>
            <xdr:cNvSpPr txBox="1"/>
          </xdr:nvSpPr>
          <xdr:spPr>
            <a:xfrm>
              <a:off x="3124200" y="6019800"/>
              <a:ext cx="3466846" cy="2912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800" b="0" i="1">
                        <a:latin typeface="Cambria Math" panose="02040503050406030204" pitchFamily="18" charset="0"/>
                      </a:rPr>
                      <m:t>   </m:t>
                    </m:r>
                    <m:sSubSup>
                      <m:sSubSupPr>
                        <m:ctrlPr>
                          <a:rPr lang="en-US" sz="1800" b="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𝐶𝑂</m:t>
                        </m:r>
                      </m:e>
                      <m:sub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  <m:sup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2−</m:t>
                        </m:r>
                      </m:sup>
                    </m:sSubSup>
                    <m:r>
                      <a:rPr lang="en-US" sz="1800" b="0" i="1">
                        <a:latin typeface="Cambria Math" panose="02040503050406030204" pitchFamily="18" charset="0"/>
                      </a:rPr>
                      <m:t>+ </m:t>
                    </m:r>
                    <m:sSub>
                      <m:sSubPr>
                        <m:ctrlPr>
                          <a:rPr lang="en-US" sz="18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n-US" sz="1800" b="0" i="1">
                        <a:latin typeface="Cambria Math" panose="02040503050406030204" pitchFamily="18" charset="0"/>
                      </a:rPr>
                      <m:t>𝑂</m:t>
                    </m:r>
                    <m:r>
                      <a:rPr lang="en-US" sz="1800" b="0" i="1">
                        <a:latin typeface="Cambria Math" panose="02040503050406030204" pitchFamily="18" charset="0"/>
                      </a:rPr>
                      <m:t>  ↔  </m:t>
                    </m:r>
                    <m:sSubSup>
                      <m:sSubSupPr>
                        <m:ctrlPr>
                          <a:rPr lang="en-US" sz="1800" b="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𝐻𝐶𝑂</m:t>
                        </m:r>
                      </m:e>
                      <m:sub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  <m:sup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−</m:t>
                        </m:r>
                      </m:sup>
                    </m:sSubSup>
                    <m:r>
                      <a:rPr lang="en-US" sz="1800" b="0" i="1">
                        <a:latin typeface="Cambria Math" panose="02040503050406030204" pitchFamily="18" charset="0"/>
                      </a:rPr>
                      <m:t>+  </m:t>
                    </m:r>
                    <m:sSup>
                      <m:sSupPr>
                        <m:ctrlPr>
                          <a:rPr lang="en-US" sz="18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𝑂𝐻</m:t>
                        </m:r>
                      </m:e>
                      <m:sup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−</m:t>
                        </m:r>
                      </m:sup>
                    </m:sSup>
                  </m:oMath>
                </m:oMathPara>
              </a14:m>
              <a:endParaRPr lang="en-US" sz="1800"/>
            </a:p>
          </xdr:txBody>
        </xdr:sp>
      </mc:Choice>
      <mc:Fallback xmlns="">
        <xdr:sp macro="" textlink="">
          <xdr:nvSpPr>
            <xdr:cNvPr id="9" name="TextBox 8"/>
            <xdr:cNvSpPr txBox="1"/>
          </xdr:nvSpPr>
          <xdr:spPr>
            <a:xfrm>
              <a:off x="3124200" y="6019800"/>
              <a:ext cx="3466846" cy="2912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800" b="0" i="0">
                  <a:latin typeface="Cambria Math" panose="02040503050406030204" pitchFamily="18" charset="0"/>
                </a:rPr>
                <a:t>   〖𝐶𝑂〗_3^(2−)+ 𝐻_2 𝑂  ↔  〖𝐻𝐶𝑂〗_3^−+  〖𝑂𝐻〗^−</a:t>
              </a:r>
              <a:endParaRPr lang="en-US" sz="1800"/>
            </a:p>
          </xdr:txBody>
        </xdr:sp>
      </mc:Fallback>
    </mc:AlternateContent>
    <xdr:clientData/>
  </xdr:oneCellAnchor>
  <xdr:oneCellAnchor>
    <xdr:from>
      <xdr:col>2</xdr:col>
      <xdr:colOff>904875</xdr:colOff>
      <xdr:row>49</xdr:row>
      <xdr:rowOff>57151</xdr:rowOff>
    </xdr:from>
    <xdr:ext cx="3133725" cy="5524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00000000-0008-0000-0800-00000A000000}"/>
                </a:ext>
              </a:extLst>
            </xdr:cNvPr>
            <xdr:cNvSpPr txBox="1"/>
          </xdr:nvSpPr>
          <xdr:spPr>
            <a:xfrm>
              <a:off x="2886075" y="6543676"/>
              <a:ext cx="3133725" cy="5524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4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𝐾</m:t>
                        </m:r>
                      </m:e>
                      <m:sub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𝑏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US" sz="14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d>
                          <m:dPr>
                            <m:begChr m:val="["/>
                            <m:endChr m:val="]"/>
                            <m:ctrlPr>
                              <a:rPr lang="en-US" sz="14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𝐻</m:t>
                            </m:r>
                            <m:sSubSup>
                              <m:sSubSupPr>
                                <m:ctrlPr>
                                  <a:rPr lang="en-US" sz="1400" b="0" i="1">
                                    <a:latin typeface="Cambria Math" panose="02040503050406030204" pitchFamily="18" charset="0"/>
                                  </a:rPr>
                                </m:ctrlPr>
                              </m:sSubSupPr>
                              <m:e>
                                <m:r>
                                  <a:rPr lang="en-US" sz="1400" b="0" i="1">
                                    <a:latin typeface="Cambria Math" panose="02040503050406030204" pitchFamily="18" charset="0"/>
                                  </a:rPr>
                                  <m:t>𝐶𝑂</m:t>
                                </m:r>
                              </m:e>
                              <m:sub>
                                <m:r>
                                  <a:rPr lang="en-US" sz="1400" b="0" i="1">
                                    <a:latin typeface="Cambria Math" panose="02040503050406030204" pitchFamily="18" charset="0"/>
                                  </a:rPr>
                                  <m:t>3</m:t>
                                </m:r>
                              </m:sub>
                              <m:sup>
                                <m:r>
                                  <a:rPr lang="en-US" sz="1400" b="0" i="1">
                                    <a:latin typeface="Cambria Math" panose="02040503050406030204" pitchFamily="18" charset="0"/>
                                  </a:rPr>
                                  <m:t>−</m:t>
                                </m:r>
                              </m:sup>
                            </m:sSubSup>
                          </m:e>
                        </m:d>
                        <m:d>
                          <m:dPr>
                            <m:begChr m:val="["/>
                            <m:endChr m:val="]"/>
                            <m:ctrlPr>
                              <a:rPr lang="en-US" sz="14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p>
                              <m:sSupPr>
                                <m:ctrlPr>
                                  <a:rPr lang="en-US" sz="14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sz="1400" b="0" i="1">
                                    <a:latin typeface="Cambria Math" panose="02040503050406030204" pitchFamily="18" charset="0"/>
                                  </a:rPr>
                                  <m:t>𝑂𝐻</m:t>
                                </m:r>
                              </m:e>
                              <m:sup>
                                <m:r>
                                  <a:rPr lang="en-US" sz="1400" b="0" i="1">
                                    <a:latin typeface="Cambria Math" panose="02040503050406030204" pitchFamily="18" charset="0"/>
                                  </a:rPr>
                                  <m:t>−</m:t>
                                </m:r>
                              </m:sup>
                            </m:sSup>
                          </m:e>
                        </m:d>
                      </m:num>
                      <m:den>
                        <m:d>
                          <m:dPr>
                            <m:begChr m:val="["/>
                            <m:endChr m:val="]"/>
                            <m:ctrlPr>
                              <a:rPr lang="en-US" sz="14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sz="14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400" b="0" i="1">
                                    <a:latin typeface="Cambria Math" panose="02040503050406030204" pitchFamily="18" charset="0"/>
                                  </a:rPr>
                                  <m:t>𝐶𝑂</m:t>
                                </m:r>
                              </m:e>
                              <m:sub>
                                <m:r>
                                  <a:rPr lang="en-US" sz="1400" b="0" i="1">
                                    <a:latin typeface="Cambria Math" panose="02040503050406030204" pitchFamily="18" charset="0"/>
                                  </a:rPr>
                                  <m:t>3</m:t>
                                </m:r>
                              </m:sub>
                            </m:sSub>
                          </m:e>
                        </m:d>
                      </m:den>
                    </m:f>
                    <m:r>
                      <a:rPr lang="en-US" sz="14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[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𝑦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]</m:t>
                        </m:r>
                        <m:d>
                          <m:dPr>
                            <m:begChr m:val="["/>
                            <m:endChr m:val="]"/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𝑦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𝑐</m:t>
                            </m:r>
                          </m:e>
                        </m:d>
                      </m:num>
                      <m:den>
                        <m:d>
                          <m:dPr>
                            <m:begChr m:val="["/>
                            <m:endChr m:val="]"/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𝑑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𝑦</m:t>
                            </m:r>
                          </m:e>
                        </m:d>
                      </m:den>
                    </m:f>
                  </m:oMath>
                </m:oMathPara>
              </a14:m>
              <a:endParaRPr lang="en-US" sz="1400">
                <a:effectLst/>
              </a:endParaRPr>
            </a:p>
            <a:p>
              <a:endParaRPr lang="en-US" sz="1400"/>
            </a:p>
          </xdr:txBody>
        </xdr:sp>
      </mc:Choice>
      <mc:Fallback xmlns="">
        <xdr:sp macro="" textlink="">
          <xdr:nvSpPr>
            <xdr:cNvPr id="10" name="TextBox 9"/>
            <xdr:cNvSpPr txBox="1"/>
          </xdr:nvSpPr>
          <xdr:spPr>
            <a:xfrm>
              <a:off x="2886075" y="6543676"/>
              <a:ext cx="3133725" cy="5524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400" b="0" i="0">
                  <a:latin typeface="Cambria Math" panose="02040503050406030204" pitchFamily="18" charset="0"/>
                </a:rPr>
                <a:t>𝐾_𝑏1=[𝐻〖𝐶𝑂〗_3^− ][〖𝑂𝐻〗^− ]/[〖𝐶𝑂〗_3 ] =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([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𝑦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][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𝑦+𝑐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])/[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𝑦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] </a:t>
              </a:r>
              <a:endParaRPr lang="en-US" sz="1400">
                <a:effectLst/>
              </a:endParaRPr>
            </a:p>
            <a:p>
              <a:pPr/>
              <a:endParaRPr lang="en-US" sz="1400"/>
            </a:p>
          </xdr:txBody>
        </xdr:sp>
      </mc:Fallback>
    </mc:AlternateContent>
    <xdr:clientData/>
  </xdr:oneCellAnchor>
  <xdr:oneCellAnchor>
    <xdr:from>
      <xdr:col>3</xdr:col>
      <xdr:colOff>9525</xdr:colOff>
      <xdr:row>60</xdr:row>
      <xdr:rowOff>85725</xdr:rowOff>
    </xdr:from>
    <xdr:ext cx="3657540" cy="28180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00000000-0008-0000-0800-00000C000000}"/>
                </a:ext>
              </a:extLst>
            </xdr:cNvPr>
            <xdr:cNvSpPr txBox="1"/>
          </xdr:nvSpPr>
          <xdr:spPr>
            <a:xfrm>
              <a:off x="3333750" y="8639175"/>
              <a:ext cx="3657540" cy="2818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800" b="0" i="1">
                        <a:latin typeface="Cambria Math" panose="02040503050406030204" pitchFamily="18" charset="0"/>
                      </a:rPr>
                      <m:t>   </m:t>
                    </m:r>
                    <m:sSubSup>
                      <m:sSubSupPr>
                        <m:ctrlPr>
                          <a:rPr lang="en-US" sz="1800" b="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𝐻𝐶𝑂</m:t>
                        </m:r>
                      </m:e>
                      <m:sub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  <m:sup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−</m:t>
                        </m:r>
                      </m:sup>
                    </m:sSubSup>
                    <m:r>
                      <a:rPr lang="en-US" sz="1800" b="0" i="1">
                        <a:latin typeface="Cambria Math" panose="02040503050406030204" pitchFamily="18" charset="0"/>
                      </a:rPr>
                      <m:t>+ </m:t>
                    </m:r>
                    <m:sSub>
                      <m:sSubPr>
                        <m:ctrlPr>
                          <a:rPr lang="en-US" sz="18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n-US" sz="1800" b="0" i="1">
                        <a:latin typeface="Cambria Math" panose="02040503050406030204" pitchFamily="18" charset="0"/>
                      </a:rPr>
                      <m:t>𝑂</m:t>
                    </m:r>
                    <m:r>
                      <a:rPr lang="en-US" sz="1800" b="0" i="1">
                        <a:latin typeface="Cambria Math" panose="02040503050406030204" pitchFamily="18" charset="0"/>
                      </a:rPr>
                      <m:t>  ↔  </m:t>
                    </m:r>
                    <m:sSub>
                      <m:sSubPr>
                        <m:ctrlPr>
                          <a:rPr lang="en-US" sz="18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sSub>
                      <m:sSubPr>
                        <m:ctrlPr>
                          <a:rPr lang="en-US" sz="18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𝐶𝑂</m:t>
                        </m:r>
                      </m:e>
                      <m:sub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r>
                      <a:rPr lang="en-US" sz="1800" b="0" i="1">
                        <a:latin typeface="Cambria Math" panose="02040503050406030204" pitchFamily="18" charset="0"/>
                      </a:rPr>
                      <m:t>+  </m:t>
                    </m:r>
                    <m:sSup>
                      <m:sSupPr>
                        <m:ctrlPr>
                          <a:rPr lang="en-US" sz="18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𝑂𝐻</m:t>
                        </m:r>
                      </m:e>
                      <m:sup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−</m:t>
                        </m:r>
                      </m:sup>
                    </m:sSup>
                  </m:oMath>
                </m:oMathPara>
              </a14:m>
              <a:endParaRPr lang="en-US" sz="1800"/>
            </a:p>
          </xdr:txBody>
        </xdr:sp>
      </mc:Choice>
      <mc:Fallback xmlns="">
        <xdr:sp macro="" textlink="">
          <xdr:nvSpPr>
            <xdr:cNvPr id="12" name="TextBox 11"/>
            <xdr:cNvSpPr txBox="1"/>
          </xdr:nvSpPr>
          <xdr:spPr>
            <a:xfrm>
              <a:off x="3333750" y="8639175"/>
              <a:ext cx="3657540" cy="2818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800" b="0" i="0">
                  <a:latin typeface="Cambria Math" panose="02040503050406030204" pitchFamily="18" charset="0"/>
                </a:rPr>
                <a:t>   〖𝐻𝐶𝑂〗_3^−+ 𝐻_2 𝑂  ↔  𝐻_2 〖𝐶𝑂〗_3+  〖𝑂𝐻〗^−</a:t>
              </a:r>
              <a:endParaRPr lang="en-US" sz="1800"/>
            </a:p>
          </xdr:txBody>
        </xdr:sp>
      </mc:Fallback>
    </mc:AlternateContent>
    <xdr:clientData/>
  </xdr:oneCellAnchor>
  <xdr:oneCellAnchor>
    <xdr:from>
      <xdr:col>2</xdr:col>
      <xdr:colOff>1047750</xdr:colOff>
      <xdr:row>63</xdr:row>
      <xdr:rowOff>28575</xdr:rowOff>
    </xdr:from>
    <xdr:ext cx="3133725" cy="5524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00000000-0008-0000-0800-00000D000000}"/>
                </a:ext>
              </a:extLst>
            </xdr:cNvPr>
            <xdr:cNvSpPr txBox="1"/>
          </xdr:nvSpPr>
          <xdr:spPr>
            <a:xfrm>
              <a:off x="3171825" y="9229725"/>
              <a:ext cx="3133725" cy="5524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4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𝐾</m:t>
                        </m:r>
                      </m:e>
                      <m:sub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𝑏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n-US" sz="14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d>
                          <m:dPr>
                            <m:begChr m:val="["/>
                            <m:endChr m:val="]"/>
                            <m:ctrlPr>
                              <a:rPr lang="en-US" sz="14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sz="14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400" b="0" i="1">
                                    <a:latin typeface="Cambria Math" panose="02040503050406030204" pitchFamily="18" charset="0"/>
                                  </a:rPr>
                                  <m:t>𝐻</m:t>
                                </m:r>
                              </m:e>
                              <m:sub>
                                <m:r>
                                  <a:rPr lang="en-US" sz="14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b>
                            </m:sSub>
                            <m:sSub>
                              <m:sSubPr>
                                <m:ctrlPr>
                                  <a:rPr lang="en-US" sz="14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400" b="0" i="1">
                                    <a:latin typeface="Cambria Math" panose="02040503050406030204" pitchFamily="18" charset="0"/>
                                  </a:rPr>
                                  <m:t>𝐶𝑂</m:t>
                                </m:r>
                              </m:e>
                              <m:sub>
                                <m:r>
                                  <a:rPr lang="en-US" sz="1400" b="0" i="1">
                                    <a:latin typeface="Cambria Math" panose="02040503050406030204" pitchFamily="18" charset="0"/>
                                  </a:rPr>
                                  <m:t>3</m:t>
                                </m:r>
                              </m:sub>
                            </m:sSub>
                          </m:e>
                        </m:d>
                        <m:d>
                          <m:dPr>
                            <m:begChr m:val="["/>
                            <m:endChr m:val="]"/>
                            <m:ctrlPr>
                              <a:rPr lang="en-US" sz="14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p>
                              <m:sSupPr>
                                <m:ctrlPr>
                                  <a:rPr lang="en-US" sz="14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sz="1400" b="0" i="1">
                                    <a:latin typeface="Cambria Math" panose="02040503050406030204" pitchFamily="18" charset="0"/>
                                  </a:rPr>
                                  <m:t>𝑂𝐻</m:t>
                                </m:r>
                              </m:e>
                              <m:sup>
                                <m:r>
                                  <a:rPr lang="en-US" sz="1400" b="0" i="1">
                                    <a:latin typeface="Cambria Math" panose="02040503050406030204" pitchFamily="18" charset="0"/>
                                  </a:rPr>
                                  <m:t>−</m:t>
                                </m:r>
                              </m:sup>
                            </m:sSup>
                          </m:e>
                        </m:d>
                      </m:num>
                      <m:den>
                        <m:d>
                          <m:dPr>
                            <m:begChr m:val="["/>
                            <m:endChr m:val="]"/>
                            <m:ctrlPr>
                              <a:rPr lang="en-US" sz="14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Sup>
                              <m:sSubSupPr>
                                <m:ctrlPr>
                                  <a:rPr lang="en-US" sz="1400" b="0" i="1">
                                    <a:latin typeface="Cambria Math" panose="02040503050406030204" pitchFamily="18" charset="0"/>
                                  </a:rPr>
                                </m:ctrlPr>
                              </m:sSubSupPr>
                              <m:e>
                                <m:r>
                                  <a:rPr lang="en-US" sz="1400" b="0" i="1">
                                    <a:latin typeface="Cambria Math" panose="02040503050406030204" pitchFamily="18" charset="0"/>
                                  </a:rPr>
                                  <m:t>𝐻𝐶𝑂</m:t>
                                </m:r>
                              </m:e>
                              <m:sub>
                                <m:r>
                                  <a:rPr lang="en-US" sz="1400" b="0" i="1">
                                    <a:latin typeface="Cambria Math" panose="02040503050406030204" pitchFamily="18" charset="0"/>
                                  </a:rPr>
                                  <m:t>3</m:t>
                                </m:r>
                              </m:sub>
                              <m:sup>
                                <m:r>
                                  <a:rPr lang="en-US" sz="1400" b="0" i="1">
                                    <a:latin typeface="Cambria Math" panose="02040503050406030204" pitchFamily="18" charset="0"/>
                                  </a:rPr>
                                  <m:t>−</m:t>
                                </m:r>
                              </m:sup>
                            </m:sSubSup>
                          </m:e>
                        </m:d>
                      </m:den>
                    </m:f>
                    <m:r>
                      <a:rPr lang="en-US" sz="14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[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𝑧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]</m:t>
                        </m:r>
                        <m:d>
                          <m:dPr>
                            <m:begChr m:val="["/>
                            <m:endChr m:val="]"/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𝑧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𝑐</m:t>
                            </m:r>
                          </m:e>
                        </m:d>
                      </m:num>
                      <m:den>
                        <m:d>
                          <m:dPr>
                            <m:begChr m:val="["/>
                            <m:endChr m:val="]"/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𝑒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𝑧</m:t>
                            </m:r>
                          </m:e>
                        </m:d>
                      </m:den>
                    </m:f>
                  </m:oMath>
                </m:oMathPara>
              </a14:m>
              <a:endParaRPr lang="en-US" sz="1400">
                <a:effectLst/>
              </a:endParaRPr>
            </a:p>
            <a:p>
              <a:endParaRPr lang="en-US" sz="1400"/>
            </a:p>
          </xdr:txBody>
        </xdr:sp>
      </mc:Choice>
      <mc:Fallback xmlns="">
        <xdr:sp macro="" textlink="">
          <xdr:nvSpPr>
            <xdr:cNvPr id="13" name="TextBox 12"/>
            <xdr:cNvSpPr txBox="1"/>
          </xdr:nvSpPr>
          <xdr:spPr>
            <a:xfrm>
              <a:off x="3171825" y="9229725"/>
              <a:ext cx="3133725" cy="5524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400" b="0" i="0">
                  <a:latin typeface="Cambria Math" panose="02040503050406030204" pitchFamily="18" charset="0"/>
                </a:rPr>
                <a:t>𝐾_𝑏2=[𝐻_2 〖𝐶𝑂〗_3 ][〖𝑂𝐻〗^− ]/[〖𝐻𝐶𝑂〗_3^− ] =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([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𝑧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][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𝑧+𝑐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])/[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𝑒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𝑧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] </a:t>
              </a:r>
              <a:endParaRPr lang="en-US" sz="1400">
                <a:effectLst/>
              </a:endParaRPr>
            </a:p>
            <a:p>
              <a:pPr/>
              <a:endParaRPr lang="en-US" sz="1400"/>
            </a:p>
          </xdr:txBody>
        </xdr:sp>
      </mc:Fallback>
    </mc:AlternateContent>
    <xdr:clientData/>
  </xdr:oneCellAnchor>
  <xdr:oneCellAnchor>
    <xdr:from>
      <xdr:col>3</xdr:col>
      <xdr:colOff>314325</xdr:colOff>
      <xdr:row>25</xdr:row>
      <xdr:rowOff>66675</xdr:rowOff>
    </xdr:from>
    <xdr:ext cx="2379626" cy="28180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00000000-0008-0000-0800-00000E000000}"/>
                </a:ext>
              </a:extLst>
            </xdr:cNvPr>
            <xdr:cNvSpPr txBox="1"/>
          </xdr:nvSpPr>
          <xdr:spPr>
            <a:xfrm>
              <a:off x="3829050" y="5314950"/>
              <a:ext cx="2379626" cy="2818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sub>
                    </m:sSub>
                    <m:sSub>
                      <m:sSubPr>
                        <m:ctrlPr>
                          <a:rPr lang="en-US" sz="1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𝐶𝑂</m:t>
                        </m:r>
                      </m:e>
                      <m:sub>
                        <m:r>
                          <a:rPr lang="en-US" sz="1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3</m:t>
                        </m:r>
                      </m:sub>
                    </m:sSub>
                    <m:r>
                      <a:rPr lang="en-US" sz="18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↔ </m:t>
                    </m:r>
                    <m:sSubSup>
                      <m:sSubSupPr>
                        <m:ctrlPr>
                          <a:rPr lang="en-US" sz="1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𝐻𝐶𝑂</m:t>
                        </m:r>
                      </m:e>
                      <m:sub>
                        <m:r>
                          <a:rPr lang="en-US" sz="1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3</m:t>
                        </m:r>
                      </m:sub>
                      <m:sup>
                        <m:r>
                          <a:rPr lang="en-US" sz="1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</m:t>
                        </m:r>
                      </m:sup>
                    </m:sSubSup>
                    <m:r>
                      <a:rPr lang="en-US" sz="18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+ </m:t>
                    </m:r>
                    <m:sSup>
                      <m:sSupPr>
                        <m:ctrlPr>
                          <a:rPr lang="en-US" sz="1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𝐻</m:t>
                        </m:r>
                      </m:e>
                      <m:sup>
                        <m:r>
                          <a:rPr lang="en-US" sz="1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+</m:t>
                        </m:r>
                      </m:sup>
                    </m:sSup>
                  </m:oMath>
                </m:oMathPara>
              </a14:m>
              <a:endParaRPr lang="en-US" sz="1800"/>
            </a:p>
          </xdr:txBody>
        </xdr:sp>
      </mc:Choice>
      <mc:Fallback xmlns="">
        <xdr:sp macro="" textlink="">
          <xdr:nvSpPr>
            <xdr:cNvPr id="14" name="TextBox 13"/>
            <xdr:cNvSpPr txBox="1"/>
          </xdr:nvSpPr>
          <xdr:spPr>
            <a:xfrm>
              <a:off x="3829050" y="5314950"/>
              <a:ext cx="2379626" cy="2818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𝐻_2 〖𝐶𝑂〗_3  ↔ 〖𝐻𝐶𝑂〗_3^−+ 𝐻^+</a:t>
              </a:r>
              <a:endParaRPr lang="en-US" sz="1800"/>
            </a:p>
          </xdr:txBody>
        </xdr:sp>
      </mc:Fallback>
    </mc:AlternateContent>
    <xdr:clientData/>
  </xdr:oneCellAnchor>
  <xdr:oneCellAnchor>
    <xdr:from>
      <xdr:col>2</xdr:col>
      <xdr:colOff>1066800</xdr:colOff>
      <xdr:row>28</xdr:row>
      <xdr:rowOff>85725</xdr:rowOff>
    </xdr:from>
    <xdr:ext cx="3133725" cy="5524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00000000-0008-0000-0800-00000F000000}"/>
                </a:ext>
              </a:extLst>
            </xdr:cNvPr>
            <xdr:cNvSpPr txBox="1"/>
          </xdr:nvSpPr>
          <xdr:spPr>
            <a:xfrm>
              <a:off x="3381375" y="5943600"/>
              <a:ext cx="3133725" cy="5524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4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𝐾</m:t>
                        </m:r>
                      </m:e>
                      <m:sub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𝑎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US" sz="14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d>
                          <m:dPr>
                            <m:begChr m:val="["/>
                            <m:endChr m:val="]"/>
                            <m:ctrlPr>
                              <a:rPr lang="en-US" sz="14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𝐻</m:t>
                            </m:r>
                            <m:sSubSup>
                              <m:sSubSupPr>
                                <m:ctrlPr>
                                  <a:rPr lang="en-US" sz="1400" b="0" i="1">
                                    <a:latin typeface="Cambria Math" panose="02040503050406030204" pitchFamily="18" charset="0"/>
                                  </a:rPr>
                                </m:ctrlPr>
                              </m:sSubSupPr>
                              <m:e>
                                <m:r>
                                  <a:rPr lang="en-US" sz="1400" b="0" i="1">
                                    <a:latin typeface="Cambria Math" panose="02040503050406030204" pitchFamily="18" charset="0"/>
                                  </a:rPr>
                                  <m:t>𝐶𝑂</m:t>
                                </m:r>
                              </m:e>
                              <m:sub>
                                <m:r>
                                  <a:rPr lang="en-US" sz="1400" b="0" i="1">
                                    <a:latin typeface="Cambria Math" panose="02040503050406030204" pitchFamily="18" charset="0"/>
                                  </a:rPr>
                                  <m:t>3</m:t>
                                </m:r>
                              </m:sub>
                              <m:sup>
                                <m:r>
                                  <a:rPr lang="en-US" sz="1400" b="0" i="1">
                                    <a:latin typeface="Cambria Math" panose="02040503050406030204" pitchFamily="18" charset="0"/>
                                  </a:rPr>
                                  <m:t>−</m:t>
                                </m:r>
                              </m:sup>
                            </m:sSubSup>
                          </m:e>
                        </m:d>
                        <m:d>
                          <m:dPr>
                            <m:begChr m:val="["/>
                            <m:endChr m:val="]"/>
                            <m:ctrlPr>
                              <a:rPr lang="en-US" sz="14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p>
                              <m:sSupPr>
                                <m:ctrlPr>
                                  <a:rPr lang="en-US" sz="14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sz="1400" b="0" i="1">
                                    <a:latin typeface="Cambria Math" panose="02040503050406030204" pitchFamily="18" charset="0"/>
                                  </a:rPr>
                                  <m:t>𝐻</m:t>
                                </m:r>
                              </m:e>
                              <m:sup>
                                <m:r>
                                  <a:rPr lang="en-US" sz="1400" b="0" i="1">
                                    <a:latin typeface="Cambria Math" panose="02040503050406030204" pitchFamily="18" charset="0"/>
                                  </a:rPr>
                                  <m:t>+</m:t>
                                </m:r>
                              </m:sup>
                            </m:sSup>
                          </m:e>
                        </m:d>
                      </m:num>
                      <m:den>
                        <m:d>
                          <m:dPr>
                            <m:begChr m:val="["/>
                            <m:endChr m:val="]"/>
                            <m:ctrlPr>
                              <a:rPr lang="en-US" sz="14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sz="14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400" b="0" i="1">
                                    <a:latin typeface="Cambria Math" panose="02040503050406030204" pitchFamily="18" charset="0"/>
                                  </a:rPr>
                                  <m:t>𝐻</m:t>
                                </m:r>
                              </m:e>
                              <m:sub>
                                <m:r>
                                  <a:rPr lang="en-US" sz="14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b>
                            </m:sSub>
                            <m:sSub>
                              <m:sSubPr>
                                <m:ctrlPr>
                                  <a:rPr lang="en-US" sz="14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400" b="0" i="1">
                                    <a:latin typeface="Cambria Math" panose="02040503050406030204" pitchFamily="18" charset="0"/>
                                  </a:rPr>
                                  <m:t>𝐶𝑂</m:t>
                                </m:r>
                              </m:e>
                              <m:sub>
                                <m:r>
                                  <a:rPr lang="en-US" sz="1400" b="0" i="1">
                                    <a:latin typeface="Cambria Math" panose="02040503050406030204" pitchFamily="18" charset="0"/>
                                  </a:rPr>
                                  <m:t>3</m:t>
                                </m:r>
                              </m:sub>
                            </m:sSub>
                          </m:e>
                        </m:d>
                      </m:den>
                    </m:f>
                    <m:r>
                      <a:rPr lang="en-US" sz="14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[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]</m:t>
                        </m:r>
                        <m:d>
                          <m:dPr>
                            <m:begChr m:val="["/>
                            <m:endChr m:val="]"/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</m:d>
                      </m:num>
                      <m:den>
                        <m:d>
                          <m:dPr>
                            <m:begChr m:val="["/>
                            <m:endChr m:val="]"/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𝑏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</m:d>
                      </m:den>
                    </m:f>
                  </m:oMath>
                </m:oMathPara>
              </a14:m>
              <a:endParaRPr lang="en-US" sz="1400">
                <a:effectLst/>
              </a:endParaRPr>
            </a:p>
            <a:p>
              <a:endParaRPr lang="en-US" sz="1400"/>
            </a:p>
          </xdr:txBody>
        </xdr:sp>
      </mc:Choice>
      <mc:Fallback xmlns="">
        <xdr:sp macro="" textlink="">
          <xdr:nvSpPr>
            <xdr:cNvPr id="15" name="TextBox 14"/>
            <xdr:cNvSpPr txBox="1"/>
          </xdr:nvSpPr>
          <xdr:spPr>
            <a:xfrm>
              <a:off x="3381375" y="5943600"/>
              <a:ext cx="3133725" cy="5524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400" b="0" i="0">
                  <a:latin typeface="Cambria Math" panose="02040503050406030204" pitchFamily="18" charset="0"/>
                </a:rPr>
                <a:t>𝐾_𝑎1=[𝐻〖𝐶𝑂〗_3^− ][𝐻^+ ]/[𝐻_2 〖𝐶𝑂〗_3 ] =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([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][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𝑎+𝑥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])/[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𝑏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] </a:t>
              </a:r>
              <a:endParaRPr lang="en-US" sz="1400">
                <a:effectLst/>
              </a:endParaRPr>
            </a:p>
            <a:p>
              <a:pPr/>
              <a:endParaRPr lang="en-US" sz="1400"/>
            </a:p>
          </xdr:txBody>
        </xdr:sp>
      </mc:Fallback>
    </mc:AlternateContent>
    <xdr:clientData/>
  </xdr:oneCellAnchor>
  <xdr:oneCellAnchor>
    <xdr:from>
      <xdr:col>3</xdr:col>
      <xdr:colOff>428625</xdr:colOff>
      <xdr:row>94</xdr:row>
      <xdr:rowOff>95250</xdr:rowOff>
    </xdr:from>
    <xdr:ext cx="2749471" cy="34022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00000000-0008-0000-0800-000010000000}"/>
                </a:ext>
              </a:extLst>
            </xdr:cNvPr>
            <xdr:cNvSpPr txBox="1"/>
          </xdr:nvSpPr>
          <xdr:spPr>
            <a:xfrm>
              <a:off x="3943350" y="19307175"/>
              <a:ext cx="2749471" cy="3402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8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sSub>
                          <m:sSubPr>
                            <m:ctrlPr>
                              <a:rPr lang="en-US" sz="18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800" b="0" i="1">
                                <a:latin typeface="Cambria Math" panose="02040503050406030204" pitchFamily="18" charset="0"/>
                              </a:rPr>
                              <m:t>𝐶𝑂</m:t>
                            </m:r>
                          </m:e>
                          <m:sub>
                            <m:r>
                              <a:rPr lang="en-US" sz="18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</m:e>
                      <m:sub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𝑎𝑞</m:t>
                        </m:r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)</m:t>
                        </m:r>
                      </m:sub>
                    </m:sSub>
                    <m:r>
                      <a:rPr lang="en-US" sz="1800" b="0" i="1">
                        <a:latin typeface="Cambria Math" panose="02040503050406030204" pitchFamily="18" charset="0"/>
                      </a:rPr>
                      <m:t>+ </m:t>
                    </m:r>
                    <m:sSub>
                      <m:sSubPr>
                        <m:ctrlPr>
                          <a:rPr lang="en-US" sz="18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n-US" sz="1800" b="0" i="1">
                        <a:latin typeface="Cambria Math" panose="02040503050406030204" pitchFamily="18" charset="0"/>
                      </a:rPr>
                      <m:t>𝑂</m:t>
                    </m:r>
                    <m:r>
                      <a:rPr lang="en-US" sz="1800" b="0" i="1">
                        <a:latin typeface="Cambria Math" panose="02040503050406030204" pitchFamily="18" charset="0"/>
                      </a:rPr>
                      <m:t>  ↔  </m:t>
                    </m:r>
                    <m:sSub>
                      <m:sSubPr>
                        <m:ctrlPr>
                          <a:rPr lang="en-US" sz="1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sub>
                    </m:sSub>
                    <m:sSub>
                      <m:sSubPr>
                        <m:ctrlPr>
                          <a:rPr lang="en-US" sz="1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𝐶𝑂</m:t>
                        </m:r>
                      </m:e>
                      <m:sub>
                        <m:r>
                          <a:rPr lang="en-US" sz="1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en-US" sz="1800"/>
            </a:p>
          </xdr:txBody>
        </xdr:sp>
      </mc:Choice>
      <mc:Fallback xmlns="">
        <xdr:sp macro="" textlink="">
          <xdr:nvSpPr>
            <xdr:cNvPr id="16" name="TextBox 15"/>
            <xdr:cNvSpPr txBox="1"/>
          </xdr:nvSpPr>
          <xdr:spPr>
            <a:xfrm>
              <a:off x="3943350" y="19307175"/>
              <a:ext cx="2749471" cy="3402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800" i="0">
                  <a:latin typeface="Cambria Math" panose="02040503050406030204" pitchFamily="18" charset="0"/>
                </a:rPr>
                <a:t>〖〖</a:t>
              </a:r>
              <a:r>
                <a:rPr lang="en-US" sz="1800" b="0" i="0">
                  <a:latin typeface="Cambria Math" panose="02040503050406030204" pitchFamily="18" charset="0"/>
                </a:rPr>
                <a:t>𝐶𝑂〗_2〗_((𝑎𝑞))+ 𝐻_2 𝑂  ↔  </a:t>
              </a:r>
              <a:r>
                <a:rPr lang="en-US" sz="1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𝐻_2 〖𝐶𝑂〗_3</a:t>
              </a:r>
              <a:endParaRPr lang="en-US" sz="1800"/>
            </a:p>
          </xdr:txBody>
        </xdr:sp>
      </mc:Fallback>
    </mc:AlternateContent>
    <xdr:clientData/>
  </xdr:oneCellAnchor>
  <xdr:oneCellAnchor>
    <xdr:from>
      <xdr:col>4</xdr:col>
      <xdr:colOff>38100</xdr:colOff>
      <xdr:row>102</xdr:row>
      <xdr:rowOff>171450</xdr:rowOff>
    </xdr:from>
    <xdr:ext cx="1276350" cy="46323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00000000-0008-0000-0800-000011000000}"/>
                </a:ext>
              </a:extLst>
            </xdr:cNvPr>
            <xdr:cNvSpPr txBox="1"/>
          </xdr:nvSpPr>
          <xdr:spPr>
            <a:xfrm>
              <a:off x="4495800" y="20907375"/>
              <a:ext cx="1276350" cy="46323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4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𝐾</m:t>
                        </m:r>
                      </m:e>
                      <m:sub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h</m:t>
                        </m:r>
                      </m:sub>
                    </m:sSub>
                    <m:r>
                      <a:rPr lang="en-US" sz="14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d>
                          <m:dPr>
                            <m:begChr m:val="["/>
                            <m:endChr m:val="]"/>
                            <m:ctrlPr>
                              <a:rPr lang="en-US" sz="14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sz="14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400" b="0" i="1">
                                    <a:latin typeface="Cambria Math" panose="02040503050406030204" pitchFamily="18" charset="0"/>
                                  </a:rPr>
                                  <m:t>𝐻</m:t>
                                </m:r>
                              </m:e>
                              <m:sub>
                                <m:r>
                                  <a:rPr lang="en-US" sz="14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b>
                            </m:sSub>
                            <m:sSub>
                              <m:sSubPr>
                                <m:ctrlPr>
                                  <a:rPr lang="en-US" sz="14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400" b="0" i="1">
                                    <a:latin typeface="Cambria Math" panose="02040503050406030204" pitchFamily="18" charset="0"/>
                                  </a:rPr>
                                  <m:t>𝐶𝑂</m:t>
                                </m:r>
                              </m:e>
                              <m:sub>
                                <m:r>
                                  <a:rPr lang="en-US" sz="1400" b="0" i="1">
                                    <a:latin typeface="Cambria Math" panose="02040503050406030204" pitchFamily="18" charset="0"/>
                                  </a:rPr>
                                  <m:t>3</m:t>
                                </m:r>
                              </m:sub>
                            </m:sSub>
                          </m:e>
                        </m:d>
                      </m:num>
                      <m:den>
                        <m:d>
                          <m:dPr>
                            <m:begChr m:val="["/>
                            <m:endChr m:val="]"/>
                            <m:ctrlPr>
                              <a:rPr lang="en-US" sz="14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sz="14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400" b="0" i="1">
                                    <a:latin typeface="Cambria Math" panose="02040503050406030204" pitchFamily="18" charset="0"/>
                                  </a:rPr>
                                  <m:t>𝐶𝑂</m:t>
                                </m:r>
                              </m:e>
                              <m:sub>
                                <m:r>
                                  <a:rPr lang="en-US" sz="14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b>
                            </m:sSub>
                          </m:e>
                        </m:d>
                      </m:den>
                    </m:f>
                  </m:oMath>
                </m:oMathPara>
              </a14:m>
              <a:endParaRPr lang="en-US" sz="1400"/>
            </a:p>
          </xdr:txBody>
        </xdr:sp>
      </mc:Choice>
      <mc:Fallback xmlns="">
        <xdr:sp macro="" textlink="">
          <xdr:nvSpPr>
            <xdr:cNvPr id="17" name="TextBox 16"/>
            <xdr:cNvSpPr txBox="1"/>
          </xdr:nvSpPr>
          <xdr:spPr>
            <a:xfrm>
              <a:off x="4495800" y="20907375"/>
              <a:ext cx="1276350" cy="46323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400" b="0" i="0">
                  <a:latin typeface="Cambria Math" panose="02040503050406030204" pitchFamily="18" charset="0"/>
                </a:rPr>
                <a:t>𝐾_ℎ=[𝐻_2 〖𝐶𝑂〗_3 ]/[〖𝐶𝑂〗_2 ] </a:t>
              </a:r>
              <a:endParaRPr lang="en-US" sz="1400"/>
            </a:p>
          </xdr:txBody>
        </xdr:sp>
      </mc:Fallback>
    </mc:AlternateContent>
    <xdr:clientData/>
  </xdr:oneCellAnchor>
  <xdr:oneCellAnchor>
    <xdr:from>
      <xdr:col>4</xdr:col>
      <xdr:colOff>123825</xdr:colOff>
      <xdr:row>106</xdr:row>
      <xdr:rowOff>114300</xdr:rowOff>
    </xdr:from>
    <xdr:ext cx="2379626" cy="28180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TextBox 17">
              <a:extLst>
                <a:ext uri="{FF2B5EF4-FFF2-40B4-BE49-F238E27FC236}">
                  <a16:creationId xmlns:a16="http://schemas.microsoft.com/office/drawing/2014/main" id="{00000000-0008-0000-0800-000012000000}"/>
                </a:ext>
              </a:extLst>
            </xdr:cNvPr>
            <xdr:cNvSpPr txBox="1"/>
          </xdr:nvSpPr>
          <xdr:spPr>
            <a:xfrm>
              <a:off x="4581525" y="21612225"/>
              <a:ext cx="2379626" cy="2818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sub>
                    </m:sSub>
                    <m:sSub>
                      <m:sSubPr>
                        <m:ctrlPr>
                          <a:rPr lang="en-US" sz="1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𝐶𝑂</m:t>
                        </m:r>
                      </m:e>
                      <m:sub>
                        <m:r>
                          <a:rPr lang="en-US" sz="1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3</m:t>
                        </m:r>
                      </m:sub>
                    </m:sSub>
                    <m:r>
                      <a:rPr lang="en-US" sz="18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↔ </m:t>
                    </m:r>
                    <m:sSubSup>
                      <m:sSubSupPr>
                        <m:ctrlPr>
                          <a:rPr lang="en-US" sz="1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𝐻𝐶𝑂</m:t>
                        </m:r>
                      </m:e>
                      <m:sub>
                        <m:r>
                          <a:rPr lang="en-US" sz="1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3</m:t>
                        </m:r>
                      </m:sub>
                      <m:sup>
                        <m:r>
                          <a:rPr lang="en-US" sz="1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</m:t>
                        </m:r>
                      </m:sup>
                    </m:sSubSup>
                    <m:r>
                      <a:rPr lang="en-US" sz="18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+ </m:t>
                    </m:r>
                    <m:sSup>
                      <m:sSupPr>
                        <m:ctrlPr>
                          <a:rPr lang="en-US" sz="1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𝐻</m:t>
                        </m:r>
                      </m:e>
                      <m:sup>
                        <m:r>
                          <a:rPr lang="en-US" sz="1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+</m:t>
                        </m:r>
                      </m:sup>
                    </m:sSup>
                  </m:oMath>
                </m:oMathPara>
              </a14:m>
              <a:endParaRPr lang="en-US" sz="1800"/>
            </a:p>
          </xdr:txBody>
        </xdr:sp>
      </mc:Choice>
      <mc:Fallback xmlns="">
        <xdr:sp macro="" textlink="">
          <xdr:nvSpPr>
            <xdr:cNvPr id="18" name="TextBox 17"/>
            <xdr:cNvSpPr txBox="1"/>
          </xdr:nvSpPr>
          <xdr:spPr>
            <a:xfrm>
              <a:off x="4581525" y="21612225"/>
              <a:ext cx="2379626" cy="2818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𝐻_2 〖𝐶𝑂〗_3  ↔ 〖𝐻𝐶𝑂〗_3^−+ 𝐻^+</a:t>
              </a:r>
              <a:endParaRPr lang="en-US" sz="1800"/>
            </a:p>
          </xdr:txBody>
        </xdr:sp>
      </mc:Fallback>
    </mc:AlternateContent>
    <xdr:clientData/>
  </xdr:oneCellAnchor>
  <xdr:oneCellAnchor>
    <xdr:from>
      <xdr:col>3</xdr:col>
      <xdr:colOff>619125</xdr:colOff>
      <xdr:row>109</xdr:row>
      <xdr:rowOff>171450</xdr:rowOff>
    </xdr:from>
    <xdr:ext cx="3133725" cy="5524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TextBox 18">
              <a:extLst>
                <a:ext uri="{FF2B5EF4-FFF2-40B4-BE49-F238E27FC236}">
                  <a16:creationId xmlns:a16="http://schemas.microsoft.com/office/drawing/2014/main" id="{00000000-0008-0000-0800-000013000000}"/>
                </a:ext>
              </a:extLst>
            </xdr:cNvPr>
            <xdr:cNvSpPr txBox="1"/>
          </xdr:nvSpPr>
          <xdr:spPr>
            <a:xfrm>
              <a:off x="4133850" y="22240875"/>
              <a:ext cx="3133725" cy="5524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4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𝐾</m:t>
                        </m:r>
                      </m:e>
                      <m:sub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𝑎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US" sz="14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d>
                          <m:dPr>
                            <m:begChr m:val="["/>
                            <m:endChr m:val="]"/>
                            <m:ctrlPr>
                              <a:rPr lang="en-US" sz="14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𝐻</m:t>
                            </m:r>
                            <m:sSubSup>
                              <m:sSubSupPr>
                                <m:ctrlPr>
                                  <a:rPr lang="en-US" sz="1400" b="0" i="1">
                                    <a:latin typeface="Cambria Math" panose="02040503050406030204" pitchFamily="18" charset="0"/>
                                  </a:rPr>
                                </m:ctrlPr>
                              </m:sSubSupPr>
                              <m:e>
                                <m:r>
                                  <a:rPr lang="en-US" sz="1400" b="0" i="1">
                                    <a:latin typeface="Cambria Math" panose="02040503050406030204" pitchFamily="18" charset="0"/>
                                  </a:rPr>
                                  <m:t>𝐶𝑂</m:t>
                                </m:r>
                              </m:e>
                              <m:sub>
                                <m:r>
                                  <a:rPr lang="en-US" sz="1400" b="0" i="1">
                                    <a:latin typeface="Cambria Math" panose="02040503050406030204" pitchFamily="18" charset="0"/>
                                  </a:rPr>
                                  <m:t>3</m:t>
                                </m:r>
                              </m:sub>
                              <m:sup>
                                <m:r>
                                  <a:rPr lang="en-US" sz="1400" b="0" i="1">
                                    <a:latin typeface="Cambria Math" panose="02040503050406030204" pitchFamily="18" charset="0"/>
                                  </a:rPr>
                                  <m:t>−</m:t>
                                </m:r>
                              </m:sup>
                            </m:sSubSup>
                          </m:e>
                        </m:d>
                        <m:d>
                          <m:dPr>
                            <m:begChr m:val="["/>
                            <m:endChr m:val="]"/>
                            <m:ctrlPr>
                              <a:rPr lang="en-US" sz="14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p>
                              <m:sSupPr>
                                <m:ctrlPr>
                                  <a:rPr lang="en-US" sz="14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sz="1400" b="0" i="1">
                                    <a:latin typeface="Cambria Math" panose="02040503050406030204" pitchFamily="18" charset="0"/>
                                  </a:rPr>
                                  <m:t>𝐻</m:t>
                                </m:r>
                              </m:e>
                              <m:sup>
                                <m:r>
                                  <a:rPr lang="en-US" sz="1400" b="0" i="1">
                                    <a:latin typeface="Cambria Math" panose="02040503050406030204" pitchFamily="18" charset="0"/>
                                  </a:rPr>
                                  <m:t>+</m:t>
                                </m:r>
                              </m:sup>
                            </m:sSup>
                          </m:e>
                        </m:d>
                      </m:num>
                      <m:den>
                        <m:d>
                          <m:dPr>
                            <m:begChr m:val="["/>
                            <m:endChr m:val="]"/>
                            <m:ctrlPr>
                              <a:rPr lang="en-US" sz="14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sz="14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400" b="0" i="1">
                                    <a:latin typeface="Cambria Math" panose="02040503050406030204" pitchFamily="18" charset="0"/>
                                  </a:rPr>
                                  <m:t>𝐻</m:t>
                                </m:r>
                              </m:e>
                              <m:sub>
                                <m:r>
                                  <a:rPr lang="en-US" sz="14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b>
                            </m:sSub>
                            <m:sSub>
                              <m:sSubPr>
                                <m:ctrlPr>
                                  <a:rPr lang="en-US" sz="14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400" b="0" i="1">
                                    <a:latin typeface="Cambria Math" panose="02040503050406030204" pitchFamily="18" charset="0"/>
                                  </a:rPr>
                                  <m:t>𝐶𝑂</m:t>
                                </m:r>
                              </m:e>
                              <m:sub>
                                <m:r>
                                  <a:rPr lang="en-US" sz="1400" b="0" i="1">
                                    <a:latin typeface="Cambria Math" panose="02040503050406030204" pitchFamily="18" charset="0"/>
                                  </a:rPr>
                                  <m:t>3</m:t>
                                </m:r>
                              </m:sub>
                            </m:sSub>
                          </m:e>
                        </m:d>
                      </m:den>
                    </m:f>
                    <m:r>
                      <a:rPr lang="en-US" sz="14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[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]</m:t>
                        </m:r>
                        <m:d>
                          <m:dPr>
                            <m:begChr m:val="["/>
                            <m:endChr m:val="]"/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</m:d>
                      </m:num>
                      <m:den>
                        <m:d>
                          <m:dPr>
                            <m:begChr m:val="["/>
                            <m:endChr m:val="]"/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𝑏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</m:d>
                      </m:den>
                    </m:f>
                  </m:oMath>
                </m:oMathPara>
              </a14:m>
              <a:endParaRPr lang="en-US" sz="1400">
                <a:effectLst/>
              </a:endParaRPr>
            </a:p>
            <a:p>
              <a:endParaRPr lang="en-US" sz="1400"/>
            </a:p>
          </xdr:txBody>
        </xdr:sp>
      </mc:Choice>
      <mc:Fallback xmlns="">
        <xdr:sp macro="" textlink="">
          <xdr:nvSpPr>
            <xdr:cNvPr id="19" name="TextBox 18"/>
            <xdr:cNvSpPr txBox="1"/>
          </xdr:nvSpPr>
          <xdr:spPr>
            <a:xfrm>
              <a:off x="4133850" y="22240875"/>
              <a:ext cx="3133725" cy="5524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400" b="0" i="0">
                  <a:latin typeface="Cambria Math" panose="02040503050406030204" pitchFamily="18" charset="0"/>
                </a:rPr>
                <a:t>𝐾_𝑎1=[𝐻〖𝐶𝑂〗_3^− ][𝐻^+ ]/[𝐻_2 〖𝐶𝑂〗_3 ] =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([𝑥][𝑎+𝑥])/[𝑏−𝑥] </a:t>
              </a:r>
              <a:endParaRPr lang="en-US" sz="1400">
                <a:effectLst/>
              </a:endParaRPr>
            </a:p>
            <a:p>
              <a:endParaRPr lang="en-US" sz="1400"/>
            </a:p>
          </xdr:txBody>
        </xdr:sp>
      </mc:Fallback>
    </mc:AlternateContent>
    <xdr:clientData/>
  </xdr:oneCellAnchor>
  <xdr:oneCellAnchor>
    <xdr:from>
      <xdr:col>2</xdr:col>
      <xdr:colOff>1133475</xdr:colOff>
      <xdr:row>126</xdr:row>
      <xdr:rowOff>180975</xdr:rowOff>
    </xdr:from>
    <xdr:ext cx="3650871" cy="30617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" name="TextBox 19">
              <a:extLst>
                <a:ext uri="{FF2B5EF4-FFF2-40B4-BE49-F238E27FC236}">
                  <a16:creationId xmlns:a16="http://schemas.microsoft.com/office/drawing/2014/main" id="{00000000-0008-0000-0800-000014000000}"/>
                </a:ext>
              </a:extLst>
            </xdr:cNvPr>
            <xdr:cNvSpPr txBox="1"/>
          </xdr:nvSpPr>
          <xdr:spPr>
            <a:xfrm>
              <a:off x="3448050" y="25488900"/>
              <a:ext cx="3650871" cy="3061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8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𝑁𝑎</m:t>
                        </m:r>
                      </m:e>
                      <m:sub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sSub>
                      <m:sSubPr>
                        <m:ctrlPr>
                          <a:rPr lang="en-US" sz="18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𝐶𝑂</m:t>
                        </m:r>
                      </m:e>
                      <m:sub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r>
                      <a:rPr lang="en-US" sz="1800" b="0" i="1">
                        <a:latin typeface="Cambria Math" panose="02040503050406030204" pitchFamily="18" charset="0"/>
                      </a:rPr>
                      <m:t>+ </m:t>
                    </m:r>
                    <m:sSub>
                      <m:sSubPr>
                        <m:ctrlPr>
                          <a:rPr lang="en-US" sz="18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n-US" sz="1800" b="0" i="1">
                        <a:latin typeface="Cambria Math" panose="02040503050406030204" pitchFamily="18" charset="0"/>
                      </a:rPr>
                      <m:t>𝑂</m:t>
                    </m:r>
                    <m:r>
                      <a:rPr lang="en-US" sz="1800" b="0" i="1">
                        <a:latin typeface="Cambria Math" panose="02040503050406030204" pitchFamily="18" charset="0"/>
                      </a:rPr>
                      <m:t>  ↔  </m:t>
                    </m:r>
                    <m:sSup>
                      <m:sSupPr>
                        <m:ctrlPr>
                          <a:rPr lang="en-US" sz="18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2 </m:t>
                        </m:r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𝑁𝑎</m:t>
                        </m:r>
                      </m:e>
                      <m:sup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+</m:t>
                        </m:r>
                      </m:sup>
                    </m:sSup>
                    <m:r>
                      <a:rPr lang="en-US" sz="1800" b="0" i="1">
                        <a:latin typeface="Cambria Math" panose="02040503050406030204" pitchFamily="18" charset="0"/>
                      </a:rPr>
                      <m:t>+</m:t>
                    </m:r>
                    <m:sSup>
                      <m:sSupPr>
                        <m:ctrlPr>
                          <a:rPr lang="en-US" sz="18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sSub>
                          <m:sSubPr>
                            <m:ctrlPr>
                              <a:rPr lang="en-US" sz="18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800" b="0" i="1">
                                <a:latin typeface="Cambria Math" panose="02040503050406030204" pitchFamily="18" charset="0"/>
                              </a:rPr>
                              <m:t>𝐶𝑂</m:t>
                            </m:r>
                          </m:e>
                          <m:sub>
                            <m:r>
                              <a:rPr lang="en-US" sz="18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sub>
                        </m:sSub>
                      </m:e>
                      <m:sup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2−</m:t>
                        </m:r>
                      </m:sup>
                    </m:sSup>
                  </m:oMath>
                </m:oMathPara>
              </a14:m>
              <a:endParaRPr lang="en-US" sz="1800"/>
            </a:p>
          </xdr:txBody>
        </xdr:sp>
      </mc:Choice>
      <mc:Fallback xmlns="">
        <xdr:sp macro="" textlink="">
          <xdr:nvSpPr>
            <xdr:cNvPr id="20" name="TextBox 19"/>
            <xdr:cNvSpPr txBox="1"/>
          </xdr:nvSpPr>
          <xdr:spPr>
            <a:xfrm>
              <a:off x="3448050" y="25488900"/>
              <a:ext cx="3650871" cy="3061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800" b="0" i="0">
                  <a:latin typeface="Cambria Math" panose="02040503050406030204" pitchFamily="18" charset="0"/>
                </a:rPr>
                <a:t>〖𝑁𝑎〗_2 〖𝐶𝑂〗_3+ 𝐻_2 𝑂  ↔  〖2 𝑁𝑎〗^++〖〖𝐶𝑂〗_3〗^(2−)</a:t>
              </a:r>
              <a:endParaRPr lang="en-US" sz="1800"/>
            </a:p>
          </xdr:txBody>
        </xdr:sp>
      </mc:Fallback>
    </mc:AlternateContent>
    <xdr:clientData/>
  </xdr:oneCellAnchor>
  <xdr:oneCellAnchor>
    <xdr:from>
      <xdr:col>2</xdr:col>
      <xdr:colOff>952500</xdr:colOff>
      <xdr:row>128</xdr:row>
      <xdr:rowOff>114300</xdr:rowOff>
    </xdr:from>
    <xdr:ext cx="3466846" cy="29123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" name="TextBox 20">
              <a:extLst>
                <a:ext uri="{FF2B5EF4-FFF2-40B4-BE49-F238E27FC236}">
                  <a16:creationId xmlns:a16="http://schemas.microsoft.com/office/drawing/2014/main" id="{00000000-0008-0000-0800-000015000000}"/>
                </a:ext>
              </a:extLst>
            </xdr:cNvPr>
            <xdr:cNvSpPr txBox="1"/>
          </xdr:nvSpPr>
          <xdr:spPr>
            <a:xfrm>
              <a:off x="3267075" y="25803225"/>
              <a:ext cx="3466846" cy="2912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800" b="0" i="1">
                        <a:latin typeface="Cambria Math" panose="02040503050406030204" pitchFamily="18" charset="0"/>
                      </a:rPr>
                      <m:t>   </m:t>
                    </m:r>
                    <m:sSubSup>
                      <m:sSubSupPr>
                        <m:ctrlPr>
                          <a:rPr lang="en-US" sz="1800" b="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𝐶𝑂</m:t>
                        </m:r>
                      </m:e>
                      <m:sub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  <m:sup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2−</m:t>
                        </m:r>
                      </m:sup>
                    </m:sSubSup>
                    <m:r>
                      <a:rPr lang="en-US" sz="1800" b="0" i="1">
                        <a:latin typeface="Cambria Math" panose="02040503050406030204" pitchFamily="18" charset="0"/>
                      </a:rPr>
                      <m:t>+ </m:t>
                    </m:r>
                    <m:sSub>
                      <m:sSubPr>
                        <m:ctrlPr>
                          <a:rPr lang="en-US" sz="18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n-US" sz="1800" b="0" i="1">
                        <a:latin typeface="Cambria Math" panose="02040503050406030204" pitchFamily="18" charset="0"/>
                      </a:rPr>
                      <m:t>𝑂</m:t>
                    </m:r>
                    <m:r>
                      <a:rPr lang="en-US" sz="1800" b="0" i="1">
                        <a:latin typeface="Cambria Math" panose="02040503050406030204" pitchFamily="18" charset="0"/>
                      </a:rPr>
                      <m:t>  ↔  </m:t>
                    </m:r>
                    <m:sSubSup>
                      <m:sSubSupPr>
                        <m:ctrlPr>
                          <a:rPr lang="en-US" sz="1800" b="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𝐻𝐶𝑂</m:t>
                        </m:r>
                      </m:e>
                      <m:sub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  <m:sup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−</m:t>
                        </m:r>
                      </m:sup>
                    </m:sSubSup>
                    <m:r>
                      <a:rPr lang="en-US" sz="1800" b="0" i="1">
                        <a:latin typeface="Cambria Math" panose="02040503050406030204" pitchFamily="18" charset="0"/>
                      </a:rPr>
                      <m:t>+  </m:t>
                    </m:r>
                    <m:sSup>
                      <m:sSupPr>
                        <m:ctrlPr>
                          <a:rPr lang="en-US" sz="18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𝑂𝐻</m:t>
                        </m:r>
                      </m:e>
                      <m:sup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−</m:t>
                        </m:r>
                      </m:sup>
                    </m:sSup>
                  </m:oMath>
                </m:oMathPara>
              </a14:m>
              <a:endParaRPr lang="en-US" sz="1800"/>
            </a:p>
          </xdr:txBody>
        </xdr:sp>
      </mc:Choice>
      <mc:Fallback xmlns="">
        <xdr:sp macro="" textlink="">
          <xdr:nvSpPr>
            <xdr:cNvPr id="21" name="TextBox 20"/>
            <xdr:cNvSpPr txBox="1"/>
          </xdr:nvSpPr>
          <xdr:spPr>
            <a:xfrm>
              <a:off x="3267075" y="25803225"/>
              <a:ext cx="3466846" cy="2912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800" b="0" i="0">
                  <a:latin typeface="Cambria Math" panose="02040503050406030204" pitchFamily="18" charset="0"/>
                </a:rPr>
                <a:t>   〖𝐶𝑂〗_3^(2−)+ 𝐻_2 𝑂  ↔  〖𝐻𝐶𝑂〗_3^−+  〖𝑂𝐻〗^−</a:t>
              </a:r>
              <a:endParaRPr lang="en-US" sz="1800"/>
            </a:p>
          </xdr:txBody>
        </xdr:sp>
      </mc:Fallback>
    </mc:AlternateContent>
    <xdr:clientData/>
  </xdr:oneCellAnchor>
  <xdr:oneCellAnchor>
    <xdr:from>
      <xdr:col>2</xdr:col>
      <xdr:colOff>714375</xdr:colOff>
      <xdr:row>131</xdr:row>
      <xdr:rowOff>66676</xdr:rowOff>
    </xdr:from>
    <xdr:ext cx="3133725" cy="5524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" name="TextBox 21">
              <a:extLst>
                <a:ext uri="{FF2B5EF4-FFF2-40B4-BE49-F238E27FC236}">
                  <a16:creationId xmlns:a16="http://schemas.microsoft.com/office/drawing/2014/main" id="{00000000-0008-0000-0800-000016000000}"/>
                </a:ext>
              </a:extLst>
            </xdr:cNvPr>
            <xdr:cNvSpPr txBox="1"/>
          </xdr:nvSpPr>
          <xdr:spPr>
            <a:xfrm>
              <a:off x="3028950" y="26327101"/>
              <a:ext cx="3133725" cy="5524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4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𝐾</m:t>
                        </m:r>
                      </m:e>
                      <m:sub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𝑏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US" sz="14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d>
                          <m:dPr>
                            <m:begChr m:val="["/>
                            <m:endChr m:val="]"/>
                            <m:ctrlPr>
                              <a:rPr lang="en-US" sz="14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𝐻</m:t>
                            </m:r>
                            <m:sSubSup>
                              <m:sSubSupPr>
                                <m:ctrlPr>
                                  <a:rPr lang="en-US" sz="1400" b="0" i="1">
                                    <a:latin typeface="Cambria Math" panose="02040503050406030204" pitchFamily="18" charset="0"/>
                                  </a:rPr>
                                </m:ctrlPr>
                              </m:sSubSupPr>
                              <m:e>
                                <m:r>
                                  <a:rPr lang="en-US" sz="1400" b="0" i="1">
                                    <a:latin typeface="Cambria Math" panose="02040503050406030204" pitchFamily="18" charset="0"/>
                                  </a:rPr>
                                  <m:t>𝐶𝑂</m:t>
                                </m:r>
                              </m:e>
                              <m:sub>
                                <m:r>
                                  <a:rPr lang="en-US" sz="1400" b="0" i="1">
                                    <a:latin typeface="Cambria Math" panose="02040503050406030204" pitchFamily="18" charset="0"/>
                                  </a:rPr>
                                  <m:t>3</m:t>
                                </m:r>
                              </m:sub>
                              <m:sup>
                                <m:r>
                                  <a:rPr lang="en-US" sz="1400" b="0" i="1">
                                    <a:latin typeface="Cambria Math" panose="02040503050406030204" pitchFamily="18" charset="0"/>
                                  </a:rPr>
                                  <m:t>−</m:t>
                                </m:r>
                              </m:sup>
                            </m:sSubSup>
                          </m:e>
                        </m:d>
                        <m:d>
                          <m:dPr>
                            <m:begChr m:val="["/>
                            <m:endChr m:val="]"/>
                            <m:ctrlPr>
                              <a:rPr lang="en-US" sz="14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p>
                              <m:sSupPr>
                                <m:ctrlPr>
                                  <a:rPr lang="en-US" sz="14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sz="1400" b="0" i="1">
                                    <a:latin typeface="Cambria Math" panose="02040503050406030204" pitchFamily="18" charset="0"/>
                                  </a:rPr>
                                  <m:t>𝑂𝐻</m:t>
                                </m:r>
                              </m:e>
                              <m:sup>
                                <m:r>
                                  <a:rPr lang="en-US" sz="1400" b="0" i="1">
                                    <a:latin typeface="Cambria Math" panose="02040503050406030204" pitchFamily="18" charset="0"/>
                                  </a:rPr>
                                  <m:t>−</m:t>
                                </m:r>
                              </m:sup>
                            </m:sSup>
                          </m:e>
                        </m:d>
                      </m:num>
                      <m:den>
                        <m:d>
                          <m:dPr>
                            <m:begChr m:val="["/>
                            <m:endChr m:val="]"/>
                            <m:ctrlPr>
                              <a:rPr lang="en-US" sz="14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sz="14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400" b="0" i="1">
                                    <a:latin typeface="Cambria Math" panose="02040503050406030204" pitchFamily="18" charset="0"/>
                                  </a:rPr>
                                  <m:t>𝐶𝑂</m:t>
                                </m:r>
                              </m:e>
                              <m:sub>
                                <m:r>
                                  <a:rPr lang="en-US" sz="1400" b="0" i="1">
                                    <a:latin typeface="Cambria Math" panose="02040503050406030204" pitchFamily="18" charset="0"/>
                                  </a:rPr>
                                  <m:t>3</m:t>
                                </m:r>
                              </m:sub>
                            </m:sSub>
                          </m:e>
                        </m:d>
                      </m:den>
                    </m:f>
                    <m:r>
                      <a:rPr lang="en-US" sz="14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[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𝑦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]</m:t>
                        </m:r>
                        <m:d>
                          <m:dPr>
                            <m:begChr m:val="["/>
                            <m:endChr m:val="]"/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𝑦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𝑐</m:t>
                            </m:r>
                          </m:e>
                        </m:d>
                      </m:num>
                      <m:den>
                        <m:d>
                          <m:dPr>
                            <m:begChr m:val="["/>
                            <m:endChr m:val="]"/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𝑑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𝑦</m:t>
                            </m:r>
                          </m:e>
                        </m:d>
                      </m:den>
                    </m:f>
                  </m:oMath>
                </m:oMathPara>
              </a14:m>
              <a:endParaRPr lang="en-US" sz="1400">
                <a:effectLst/>
              </a:endParaRPr>
            </a:p>
            <a:p>
              <a:endParaRPr lang="en-US" sz="1400"/>
            </a:p>
          </xdr:txBody>
        </xdr:sp>
      </mc:Choice>
      <mc:Fallback xmlns="">
        <xdr:sp macro="" textlink="">
          <xdr:nvSpPr>
            <xdr:cNvPr id="22" name="TextBox 21"/>
            <xdr:cNvSpPr txBox="1"/>
          </xdr:nvSpPr>
          <xdr:spPr>
            <a:xfrm>
              <a:off x="3028950" y="26327101"/>
              <a:ext cx="3133725" cy="5524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400" b="0" i="0">
                  <a:latin typeface="Cambria Math" panose="02040503050406030204" pitchFamily="18" charset="0"/>
                </a:rPr>
                <a:t>𝐾_𝑏1=[𝐻〖𝐶𝑂〗_3^− ][〖𝑂𝐻〗^− ]/[〖𝐶𝑂〗_3 ] =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([𝑦][𝑦+𝑐])/[𝑑−𝑦] </a:t>
              </a:r>
              <a:endParaRPr lang="en-US" sz="1400">
                <a:effectLst/>
              </a:endParaRPr>
            </a:p>
            <a:p>
              <a:endParaRPr lang="en-US" sz="1400"/>
            </a:p>
          </xdr:txBody>
        </xdr:sp>
      </mc:Fallback>
    </mc:AlternateContent>
    <xdr:clientData/>
  </xdr:oneCellAnchor>
  <xdr:oneCellAnchor>
    <xdr:from>
      <xdr:col>3</xdr:col>
      <xdr:colOff>47625</xdr:colOff>
      <xdr:row>140</xdr:row>
      <xdr:rowOff>76200</xdr:rowOff>
    </xdr:from>
    <xdr:ext cx="3657540" cy="28180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" name="TextBox 22">
              <a:extLst>
                <a:ext uri="{FF2B5EF4-FFF2-40B4-BE49-F238E27FC236}">
                  <a16:creationId xmlns:a16="http://schemas.microsoft.com/office/drawing/2014/main" id="{00000000-0008-0000-0800-000017000000}"/>
                </a:ext>
              </a:extLst>
            </xdr:cNvPr>
            <xdr:cNvSpPr txBox="1"/>
          </xdr:nvSpPr>
          <xdr:spPr>
            <a:xfrm>
              <a:off x="3562350" y="28051125"/>
              <a:ext cx="3657540" cy="2818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800" b="0" i="1">
                        <a:latin typeface="Cambria Math" panose="02040503050406030204" pitchFamily="18" charset="0"/>
                      </a:rPr>
                      <m:t>   </m:t>
                    </m:r>
                    <m:sSubSup>
                      <m:sSubSupPr>
                        <m:ctrlPr>
                          <a:rPr lang="en-US" sz="1800" b="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𝐻𝐶𝑂</m:t>
                        </m:r>
                      </m:e>
                      <m:sub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  <m:sup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−</m:t>
                        </m:r>
                      </m:sup>
                    </m:sSubSup>
                    <m:r>
                      <a:rPr lang="en-US" sz="1800" b="0" i="1">
                        <a:latin typeface="Cambria Math" panose="02040503050406030204" pitchFamily="18" charset="0"/>
                      </a:rPr>
                      <m:t>+ </m:t>
                    </m:r>
                    <m:sSub>
                      <m:sSubPr>
                        <m:ctrlPr>
                          <a:rPr lang="en-US" sz="18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n-US" sz="1800" b="0" i="1">
                        <a:latin typeface="Cambria Math" panose="02040503050406030204" pitchFamily="18" charset="0"/>
                      </a:rPr>
                      <m:t>𝑂</m:t>
                    </m:r>
                    <m:r>
                      <a:rPr lang="en-US" sz="1800" b="0" i="1">
                        <a:latin typeface="Cambria Math" panose="02040503050406030204" pitchFamily="18" charset="0"/>
                      </a:rPr>
                      <m:t>  ↔  </m:t>
                    </m:r>
                    <m:sSub>
                      <m:sSubPr>
                        <m:ctrlPr>
                          <a:rPr lang="en-US" sz="18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sSub>
                      <m:sSubPr>
                        <m:ctrlPr>
                          <a:rPr lang="en-US" sz="18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𝐶𝑂</m:t>
                        </m:r>
                      </m:e>
                      <m:sub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r>
                      <a:rPr lang="en-US" sz="1800" b="0" i="1">
                        <a:latin typeface="Cambria Math" panose="02040503050406030204" pitchFamily="18" charset="0"/>
                      </a:rPr>
                      <m:t>+  </m:t>
                    </m:r>
                    <m:sSup>
                      <m:sSupPr>
                        <m:ctrlPr>
                          <a:rPr lang="en-US" sz="18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𝑂𝐻</m:t>
                        </m:r>
                      </m:e>
                      <m:sup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−</m:t>
                        </m:r>
                      </m:sup>
                    </m:sSup>
                  </m:oMath>
                </m:oMathPara>
              </a14:m>
              <a:endParaRPr lang="en-US" sz="1800"/>
            </a:p>
          </xdr:txBody>
        </xdr:sp>
      </mc:Choice>
      <mc:Fallback xmlns="">
        <xdr:sp macro="" textlink="">
          <xdr:nvSpPr>
            <xdr:cNvPr id="23" name="TextBox 22"/>
            <xdr:cNvSpPr txBox="1"/>
          </xdr:nvSpPr>
          <xdr:spPr>
            <a:xfrm>
              <a:off x="3562350" y="28051125"/>
              <a:ext cx="3657540" cy="2818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800" b="0" i="0">
                  <a:latin typeface="Cambria Math" panose="02040503050406030204" pitchFamily="18" charset="0"/>
                </a:rPr>
                <a:t>   〖𝐻𝐶𝑂〗_3^−+ 𝐻_2 𝑂  ↔  𝐻_2 〖𝐶𝑂〗_3+  〖𝑂𝐻〗^−</a:t>
              </a:r>
              <a:endParaRPr lang="en-US" sz="1800"/>
            </a:p>
          </xdr:txBody>
        </xdr:sp>
      </mc:Fallback>
    </mc:AlternateContent>
    <xdr:clientData/>
  </xdr:oneCellAnchor>
  <xdr:oneCellAnchor>
    <xdr:from>
      <xdr:col>2</xdr:col>
      <xdr:colOff>1085850</xdr:colOff>
      <xdr:row>143</xdr:row>
      <xdr:rowOff>95250</xdr:rowOff>
    </xdr:from>
    <xdr:ext cx="3133725" cy="5524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4" name="TextBox 23">
              <a:extLst>
                <a:ext uri="{FF2B5EF4-FFF2-40B4-BE49-F238E27FC236}">
                  <a16:creationId xmlns:a16="http://schemas.microsoft.com/office/drawing/2014/main" id="{00000000-0008-0000-0800-000018000000}"/>
                </a:ext>
              </a:extLst>
            </xdr:cNvPr>
            <xdr:cNvSpPr txBox="1"/>
          </xdr:nvSpPr>
          <xdr:spPr>
            <a:xfrm>
              <a:off x="3400425" y="28641675"/>
              <a:ext cx="3133725" cy="5524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4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𝐾</m:t>
                        </m:r>
                      </m:e>
                      <m:sub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𝑏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n-US" sz="14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d>
                          <m:dPr>
                            <m:begChr m:val="["/>
                            <m:endChr m:val="]"/>
                            <m:ctrlPr>
                              <a:rPr lang="en-US" sz="14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sz="14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400" b="0" i="1">
                                    <a:latin typeface="Cambria Math" panose="02040503050406030204" pitchFamily="18" charset="0"/>
                                  </a:rPr>
                                  <m:t>𝐻</m:t>
                                </m:r>
                              </m:e>
                              <m:sub>
                                <m:r>
                                  <a:rPr lang="en-US" sz="14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b>
                            </m:sSub>
                            <m:sSub>
                              <m:sSubPr>
                                <m:ctrlPr>
                                  <a:rPr lang="en-US" sz="14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400" b="0" i="1">
                                    <a:latin typeface="Cambria Math" panose="02040503050406030204" pitchFamily="18" charset="0"/>
                                  </a:rPr>
                                  <m:t>𝐶𝑂</m:t>
                                </m:r>
                              </m:e>
                              <m:sub>
                                <m:r>
                                  <a:rPr lang="en-US" sz="1400" b="0" i="1">
                                    <a:latin typeface="Cambria Math" panose="02040503050406030204" pitchFamily="18" charset="0"/>
                                  </a:rPr>
                                  <m:t>3</m:t>
                                </m:r>
                              </m:sub>
                            </m:sSub>
                          </m:e>
                        </m:d>
                        <m:d>
                          <m:dPr>
                            <m:begChr m:val="["/>
                            <m:endChr m:val="]"/>
                            <m:ctrlPr>
                              <a:rPr lang="en-US" sz="14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p>
                              <m:sSupPr>
                                <m:ctrlPr>
                                  <a:rPr lang="en-US" sz="14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sz="1400" b="0" i="1">
                                    <a:latin typeface="Cambria Math" panose="02040503050406030204" pitchFamily="18" charset="0"/>
                                  </a:rPr>
                                  <m:t>𝑂𝐻</m:t>
                                </m:r>
                              </m:e>
                              <m:sup>
                                <m:r>
                                  <a:rPr lang="en-US" sz="1400" b="0" i="1">
                                    <a:latin typeface="Cambria Math" panose="02040503050406030204" pitchFamily="18" charset="0"/>
                                  </a:rPr>
                                  <m:t>−</m:t>
                                </m:r>
                              </m:sup>
                            </m:sSup>
                          </m:e>
                        </m:d>
                      </m:num>
                      <m:den>
                        <m:d>
                          <m:dPr>
                            <m:begChr m:val="["/>
                            <m:endChr m:val="]"/>
                            <m:ctrlPr>
                              <a:rPr lang="en-US" sz="14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Sup>
                              <m:sSubSupPr>
                                <m:ctrlPr>
                                  <a:rPr lang="en-US" sz="1400" b="0" i="1">
                                    <a:latin typeface="Cambria Math" panose="02040503050406030204" pitchFamily="18" charset="0"/>
                                  </a:rPr>
                                </m:ctrlPr>
                              </m:sSubSupPr>
                              <m:e>
                                <m:r>
                                  <a:rPr lang="en-US" sz="1400" b="0" i="1">
                                    <a:latin typeface="Cambria Math" panose="02040503050406030204" pitchFamily="18" charset="0"/>
                                  </a:rPr>
                                  <m:t>𝐻𝐶𝑂</m:t>
                                </m:r>
                              </m:e>
                              <m:sub>
                                <m:r>
                                  <a:rPr lang="en-US" sz="1400" b="0" i="1">
                                    <a:latin typeface="Cambria Math" panose="02040503050406030204" pitchFamily="18" charset="0"/>
                                  </a:rPr>
                                  <m:t>3</m:t>
                                </m:r>
                              </m:sub>
                              <m:sup>
                                <m:r>
                                  <a:rPr lang="en-US" sz="1400" b="0" i="1">
                                    <a:latin typeface="Cambria Math" panose="02040503050406030204" pitchFamily="18" charset="0"/>
                                  </a:rPr>
                                  <m:t>−</m:t>
                                </m:r>
                              </m:sup>
                            </m:sSubSup>
                          </m:e>
                        </m:d>
                      </m:den>
                    </m:f>
                    <m:r>
                      <a:rPr lang="en-US" sz="14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[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𝑧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]</m:t>
                        </m:r>
                        <m:d>
                          <m:dPr>
                            <m:begChr m:val="["/>
                            <m:endChr m:val="]"/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𝑧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𝑐</m:t>
                            </m:r>
                          </m:e>
                        </m:d>
                      </m:num>
                      <m:den>
                        <m:d>
                          <m:dPr>
                            <m:begChr m:val="["/>
                            <m:endChr m:val="]"/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𝑒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𝑧</m:t>
                            </m:r>
                          </m:e>
                        </m:d>
                      </m:den>
                    </m:f>
                  </m:oMath>
                </m:oMathPara>
              </a14:m>
              <a:endParaRPr lang="en-US" sz="1400">
                <a:effectLst/>
              </a:endParaRPr>
            </a:p>
            <a:p>
              <a:endParaRPr lang="en-US" sz="1400"/>
            </a:p>
          </xdr:txBody>
        </xdr:sp>
      </mc:Choice>
      <mc:Fallback xmlns="">
        <xdr:sp macro="" textlink="">
          <xdr:nvSpPr>
            <xdr:cNvPr id="24" name="TextBox 23"/>
            <xdr:cNvSpPr txBox="1"/>
          </xdr:nvSpPr>
          <xdr:spPr>
            <a:xfrm>
              <a:off x="3400425" y="28641675"/>
              <a:ext cx="3133725" cy="5524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400" b="0" i="0">
                  <a:latin typeface="Cambria Math" panose="02040503050406030204" pitchFamily="18" charset="0"/>
                </a:rPr>
                <a:t>𝐾_𝑏2=[𝐻_2 〖𝐶𝑂〗_3 ][〖𝑂𝐻〗^− ]/[〖𝐻𝐶𝑂〗_3^− ] =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([𝑧][𝑧+𝑐])/[𝑒−𝑧] </a:t>
              </a:r>
              <a:endParaRPr lang="en-US" sz="1400">
                <a:effectLst/>
              </a:endParaRPr>
            </a:p>
            <a:p>
              <a:endParaRPr lang="en-US" sz="1400"/>
            </a:p>
          </xdr:txBody>
        </xdr:sp>
      </mc:Fallback>
    </mc:AlternateContent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dnoren1_lsu_edu/Documents/PhD%20Research/9000-10%20Research%20Experiments%20-%20Summer%202019/Paper%20Reconstruction/Datasets/Dataset_7%20Calculation%20of%20growth%20rates%20and%20constrai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. Data"/>
      <sheetName val="Growth rates"/>
      <sheetName val="C-PC rates"/>
      <sheetName val="C-PC"/>
      <sheetName val="Nitrate consumption"/>
      <sheetName val="Nitrogen fixation"/>
      <sheetName val="Light flux"/>
      <sheetName val="NaNO3 measurements"/>
    </sheetNames>
    <sheetDataSet>
      <sheetData sheetId="0"/>
      <sheetData sheetId="1">
        <row r="4">
          <cell r="G4">
            <v>0.14940000000000003</v>
          </cell>
        </row>
        <row r="45">
          <cell r="B45">
            <v>0.10350000000000001</v>
          </cell>
        </row>
      </sheetData>
      <sheetData sheetId="2"/>
      <sheetData sheetId="3"/>
      <sheetData sheetId="4"/>
      <sheetData sheetId="5"/>
      <sheetData sheetId="6"/>
      <sheetData sheetId="7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Daniel A Norena Caro" id="{23289B9D-D6E4-4725-946D-91F591C74206}" userId="Daniel A Norena Caro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5" dT="2019-08-20T20:41:04.60" personId="{23289B9D-D6E4-4725-946D-91F591C74206}" id="{19D8B37B-7C18-4B44-B399-DA7C836C968C}">
    <text>Phycocyanobilin (PCB): 3 PCB molecules per mole of CPC subunit. This is the PCB pigment in CPC</text>
  </threadedComment>
  <threadedComment ref="H5" dT="2019-08-20T20:59:10.18" personId="{23289B9D-D6E4-4725-946D-91F591C74206}" id="{4CA057C0-EAAF-4600-B6AA-5F59A2636787}">
    <text>Corrected Total PCB considering that CPC corresponds to 76.87% of total Phycobiliproteins and PCB is 99.64% of pigment</text>
  </threadedComment>
  <threadedComment ref="G12" dT="2019-08-20T20:41:04.60" personId="{23289B9D-D6E4-4725-946D-91F591C74206}" id="{C0A9A8EA-9FB7-4C08-8805-F10EF393BE63}">
    <text>Phycocyanobilin (PCB): 3 PCB molecules per mole of CPC subunit. This is the PCB pigment in CPC</text>
  </threadedComment>
  <threadedComment ref="H12" dT="2019-08-20T20:59:10.18" personId="{23289B9D-D6E4-4725-946D-91F591C74206}" id="{8B43907A-80FA-41A7-8403-1BD5680496A0}">
    <text>Corrected Total PCB considering that CPC corresponds to 76.87% of total Phycobiliproteins and PCB is 99.64% of pigment</text>
  </threadedComment>
  <threadedComment ref="G19" dT="2019-08-20T20:41:04.60" personId="{23289B9D-D6E4-4725-946D-91F591C74206}" id="{FF786588-73A3-43D6-BB85-E897E1C3D1EB}">
    <text>Phycocyanobilin (PCB): 3 PCB molecules per mole of CPC subunit. This is the PCB pigment in CPC</text>
  </threadedComment>
  <threadedComment ref="H19" dT="2019-08-20T20:59:10.18" personId="{23289B9D-D6E4-4725-946D-91F591C74206}" id="{1F0D4124-72C7-4A78-830F-08493665AEBA}">
    <text>Corrected Total PCB considering that CPC corresponds to 76.87% of total Phycobiliproteins and PCB is 99.64% of pigment</text>
  </threadedComment>
  <threadedComment ref="G26" dT="2019-08-20T20:41:04.60" personId="{23289B9D-D6E4-4725-946D-91F591C74206}" id="{6167AEEB-5AC3-4439-AF01-9AA7FD967BE1}">
    <text>Phycocyanobilin (PCB): 3 PCB molecules per mole of CPC subunit. This is the PCB pigment in CPC</text>
  </threadedComment>
  <threadedComment ref="H26" dT="2019-08-20T20:59:10.18" personId="{23289B9D-D6E4-4725-946D-91F591C74206}" id="{A0E6C5BD-E186-42EE-BEA3-604A7149B9B7}">
    <text>Corrected Total PCB considering that CPC corresponds to 76.87% of total Phycobiliproteins and PCB is 99.64% of pigment</text>
  </threadedComment>
  <threadedComment ref="G36" dT="2019-08-20T20:41:04.60" personId="{23289B9D-D6E4-4725-946D-91F591C74206}" id="{271807E9-AD5F-418E-A861-1095CE818189}">
    <text>Phycocyanobilin (PCB): 3 PCB molecules per mole of CPC subunit. This is the PCB pigment in CPC</text>
  </threadedComment>
  <threadedComment ref="H36" dT="2019-08-20T20:59:10.18" personId="{23289B9D-D6E4-4725-946D-91F591C74206}" id="{D3E6835C-994A-4E97-B169-93C5068F33B0}">
    <text>Corrected Total PCB considering that CPC corresponds to 73.97% of total Phycobiliproteins and PCB is 96.83% of pigment</text>
  </threadedComment>
  <threadedComment ref="G43" dT="2019-08-20T20:41:04.60" personId="{23289B9D-D6E4-4725-946D-91F591C74206}" id="{5B48FB06-5218-4D95-8EA5-139500D83E5F}">
    <text>Phycocyanobilin (PCB): 3 PCB molecules per mole of CPC subunit. This is the PCB pigment in CPC</text>
  </threadedComment>
  <threadedComment ref="H43" dT="2019-08-20T20:59:10.18" personId="{23289B9D-D6E4-4725-946D-91F591C74206}" id="{59CFB848-B982-4E1F-BEDA-B7403B7F4F8C}">
    <text>Corrected Total PCB considering that CPC corresponds to 73.97% of total Phycobiliproteins and PCB is 96.83% of pigment</text>
  </threadedComment>
  <threadedComment ref="G50" dT="2019-08-20T20:41:04.60" personId="{23289B9D-D6E4-4725-946D-91F591C74206}" id="{CD544E18-1BE3-4DF1-B42A-5A55B187E663}">
    <text>Phycocyanobilin (PCB): 3 PCB molecules per mole of CPC subunit. This is the PCB pigment in CPC</text>
  </threadedComment>
  <threadedComment ref="H50" dT="2019-08-20T20:59:10.18" personId="{23289B9D-D6E4-4725-946D-91F591C74206}" id="{0FBED690-2D05-4FF0-BD87-6E8C08FD257A}">
    <text>Corrected Total PCB considering that CPC corresponds to 73.97% of total Phycobiliproteins and PCB is 96.83% of pigment</text>
  </threadedComment>
  <threadedComment ref="G57" dT="2019-08-20T20:41:04.60" personId="{23289B9D-D6E4-4725-946D-91F591C74206}" id="{E95EE237-FF5F-4041-A956-E94A178979B6}">
    <text>Phycocyanobilin (PCB): 3 PCB molecules per mole of CPC subunit. This is the PCB pigment in CPC</text>
  </threadedComment>
  <threadedComment ref="H57" dT="2019-08-20T20:59:10.18" personId="{23289B9D-D6E4-4725-946D-91F591C74206}" id="{7D90CF52-C260-469D-A1FF-4DEDCE596174}">
    <text>Corrected Total PCB considering that CPC corresponds to 73.97% of total Phycobiliproteins and PCB is 96.83% of pigment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5.xml"/><Relationship Id="rId3" Type="http://schemas.openxmlformats.org/officeDocument/2006/relationships/hyperlink" Target="https://www.pearson.com/us/higher-education/product/Brown-Chemistry-The-Central-Science-13th-Edition/9780321910417.html" TargetMode="External"/><Relationship Id="rId7" Type="http://schemas.openxmlformats.org/officeDocument/2006/relationships/printerSettings" Target="../printerSettings/printerSettings4.bin"/><Relationship Id="rId2" Type="http://schemas.openxmlformats.org/officeDocument/2006/relationships/hyperlink" Target="https://pubs.acs.org/doi/10.1021/jp909019u" TargetMode="External"/><Relationship Id="rId1" Type="http://schemas.openxmlformats.org/officeDocument/2006/relationships/hyperlink" Target="https://webbook.nist.gov/cgi/inchi?ID=C124389&amp;Mask=10" TargetMode="External"/><Relationship Id="rId6" Type="http://schemas.openxmlformats.org/officeDocument/2006/relationships/hyperlink" Target="https://www.pearson.com/us/higher-education/product/Brown-Chemistry-The-Central-Science-13th-Edition/9780321910417.html" TargetMode="External"/><Relationship Id="rId5" Type="http://schemas.openxmlformats.org/officeDocument/2006/relationships/hyperlink" Target="https://pubs.acs.org/doi/10.1021/jp909019u" TargetMode="External"/><Relationship Id="rId4" Type="http://schemas.openxmlformats.org/officeDocument/2006/relationships/hyperlink" Target="https://webbook.nist.gov/cgi/inchi?ID=C124389&amp;Mask=10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9E332-FA66-4C55-811F-FE7F3EADA2A8}">
  <dimension ref="A1:E34"/>
  <sheetViews>
    <sheetView workbookViewId="0">
      <selection activeCell="G10" sqref="G10"/>
    </sheetView>
  </sheetViews>
  <sheetFormatPr defaultRowHeight="14.5" x14ac:dyDescent="0.35"/>
  <cols>
    <col min="1" max="1" width="13.26953125" customWidth="1"/>
    <col min="2" max="2" width="14.54296875" customWidth="1"/>
    <col min="3" max="3" width="14.36328125" customWidth="1"/>
    <col min="4" max="4" width="35.26953125" customWidth="1"/>
    <col min="5" max="5" width="52.36328125" customWidth="1"/>
  </cols>
  <sheetData>
    <row r="1" spans="1:5" ht="21" x14ac:dyDescent="0.5">
      <c r="A1" s="2" t="s">
        <v>370</v>
      </c>
    </row>
    <row r="3" spans="1:5" x14ac:dyDescent="0.35">
      <c r="A3" s="1" t="s">
        <v>316</v>
      </c>
      <c r="B3" s="1" t="s">
        <v>317</v>
      </c>
      <c r="C3" s="1" t="s">
        <v>318</v>
      </c>
      <c r="D3" s="1" t="s">
        <v>320</v>
      </c>
      <c r="E3" s="1" t="s">
        <v>319</v>
      </c>
    </row>
    <row r="4" spans="1:5" x14ac:dyDescent="0.35">
      <c r="A4" t="s">
        <v>321</v>
      </c>
      <c r="B4">
        <v>-87.09</v>
      </c>
      <c r="C4">
        <v>0</v>
      </c>
      <c r="D4" t="s">
        <v>345</v>
      </c>
      <c r="E4" t="s">
        <v>346</v>
      </c>
    </row>
    <row r="5" spans="1:5" x14ac:dyDescent="0.35">
      <c r="A5" t="s">
        <v>321</v>
      </c>
      <c r="B5">
        <v>-102.53</v>
      </c>
      <c r="C5">
        <v>0</v>
      </c>
      <c r="D5" t="s">
        <v>358</v>
      </c>
      <c r="E5" t="s">
        <v>346</v>
      </c>
    </row>
    <row r="6" spans="1:5" x14ac:dyDescent="0.35">
      <c r="A6" t="s">
        <v>322</v>
      </c>
      <c r="B6">
        <v>-0.01</v>
      </c>
      <c r="C6">
        <v>0</v>
      </c>
      <c r="D6" t="s">
        <v>347</v>
      </c>
      <c r="E6" t="s">
        <v>348</v>
      </c>
    </row>
    <row r="7" spans="1:5" x14ac:dyDescent="0.35">
      <c r="A7" t="s">
        <v>323</v>
      </c>
      <c r="B7">
        <v>0</v>
      </c>
      <c r="C7">
        <v>0</v>
      </c>
      <c r="D7" t="s">
        <v>347</v>
      </c>
      <c r="E7" t="s">
        <v>349</v>
      </c>
    </row>
    <row r="8" spans="1:5" x14ac:dyDescent="0.35">
      <c r="A8" t="s">
        <v>324</v>
      </c>
      <c r="B8">
        <v>0</v>
      </c>
      <c r="C8">
        <v>0</v>
      </c>
      <c r="D8" t="s">
        <v>347</v>
      </c>
      <c r="E8" t="s">
        <v>350</v>
      </c>
    </row>
    <row r="9" spans="1:5" x14ac:dyDescent="0.35">
      <c r="A9" t="s">
        <v>325</v>
      </c>
      <c r="B9">
        <v>0</v>
      </c>
      <c r="C9">
        <v>0</v>
      </c>
      <c r="D9" t="s">
        <v>347</v>
      </c>
      <c r="E9" t="s">
        <v>350</v>
      </c>
    </row>
    <row r="10" spans="1:5" x14ac:dyDescent="0.35">
      <c r="A10" t="s">
        <v>326</v>
      </c>
      <c r="B10">
        <v>0</v>
      </c>
      <c r="C10">
        <v>0</v>
      </c>
      <c r="D10" t="s">
        <v>347</v>
      </c>
      <c r="E10" t="s">
        <v>350</v>
      </c>
    </row>
    <row r="11" spans="1:5" x14ac:dyDescent="0.35">
      <c r="A11" t="s">
        <v>327</v>
      </c>
      <c r="B11">
        <v>0</v>
      </c>
      <c r="C11">
        <v>0</v>
      </c>
      <c r="D11" t="s">
        <v>347</v>
      </c>
      <c r="E11" t="s">
        <v>350</v>
      </c>
    </row>
    <row r="12" spans="1:5" x14ac:dyDescent="0.35">
      <c r="A12" t="s">
        <v>328</v>
      </c>
      <c r="B12">
        <v>0</v>
      </c>
      <c r="C12">
        <v>0</v>
      </c>
      <c r="D12" t="s">
        <v>347</v>
      </c>
      <c r="E12" t="s">
        <v>350</v>
      </c>
    </row>
    <row r="13" spans="1:5" x14ac:dyDescent="0.35">
      <c r="A13" t="s">
        <v>329</v>
      </c>
      <c r="B13">
        <v>0</v>
      </c>
      <c r="C13">
        <v>0</v>
      </c>
      <c r="D13" t="s">
        <v>347</v>
      </c>
      <c r="E13" t="s">
        <v>350</v>
      </c>
    </row>
    <row r="14" spans="1:5" x14ac:dyDescent="0.35">
      <c r="A14" t="s">
        <v>330</v>
      </c>
      <c r="B14">
        <v>0</v>
      </c>
      <c r="C14">
        <v>1000</v>
      </c>
      <c r="D14" t="s">
        <v>347</v>
      </c>
      <c r="E14" t="s">
        <v>351</v>
      </c>
    </row>
    <row r="15" spans="1:5" x14ac:dyDescent="0.35">
      <c r="A15" t="s">
        <v>331</v>
      </c>
      <c r="B15">
        <v>0</v>
      </c>
      <c r="C15">
        <v>1000</v>
      </c>
      <c r="D15" t="s">
        <v>347</v>
      </c>
      <c r="E15" t="s">
        <v>352</v>
      </c>
    </row>
    <row r="16" spans="1:5" x14ac:dyDescent="0.35">
      <c r="A16" t="s">
        <v>332</v>
      </c>
      <c r="B16">
        <v>0</v>
      </c>
      <c r="C16">
        <v>1000</v>
      </c>
      <c r="D16" t="s">
        <v>347</v>
      </c>
      <c r="E16" t="s">
        <v>353</v>
      </c>
    </row>
    <row r="17" spans="1:5" x14ac:dyDescent="0.35">
      <c r="A17" t="s">
        <v>333</v>
      </c>
      <c r="B17">
        <v>0</v>
      </c>
      <c r="C17">
        <v>0</v>
      </c>
      <c r="D17" t="s">
        <v>347</v>
      </c>
      <c r="E17" t="s">
        <v>354</v>
      </c>
    </row>
    <row r="18" spans="1:5" x14ac:dyDescent="0.35">
      <c r="A18" t="s">
        <v>334</v>
      </c>
      <c r="B18">
        <v>0</v>
      </c>
      <c r="C18">
        <v>0</v>
      </c>
      <c r="D18" t="s">
        <v>347</v>
      </c>
      <c r="E18" t="s">
        <v>355</v>
      </c>
    </row>
    <row r="19" spans="1:5" x14ac:dyDescent="0.35">
      <c r="A19" t="s">
        <v>335</v>
      </c>
      <c r="B19">
        <v>0</v>
      </c>
      <c r="C19">
        <v>0</v>
      </c>
      <c r="D19" t="s">
        <v>345</v>
      </c>
      <c r="E19" t="s">
        <v>356</v>
      </c>
    </row>
    <row r="20" spans="1:5" x14ac:dyDescent="0.35">
      <c r="A20" t="s">
        <v>335</v>
      </c>
      <c r="B20">
        <v>-0.1255</v>
      </c>
      <c r="C20">
        <v>-1.04E-2</v>
      </c>
      <c r="D20" t="s">
        <v>358</v>
      </c>
      <c r="E20" t="s">
        <v>364</v>
      </c>
    </row>
    <row r="21" spans="1:5" x14ac:dyDescent="0.35">
      <c r="A21" t="s">
        <v>336</v>
      </c>
      <c r="B21">
        <v>-0.24379999999999999</v>
      </c>
      <c r="C21">
        <v>-1.29E-2</v>
      </c>
      <c r="D21" t="s">
        <v>345</v>
      </c>
      <c r="E21" t="s">
        <v>357</v>
      </c>
    </row>
    <row r="22" spans="1:5" x14ac:dyDescent="0.35">
      <c r="A22" t="s">
        <v>336</v>
      </c>
      <c r="B22">
        <v>0</v>
      </c>
      <c r="C22">
        <v>0</v>
      </c>
      <c r="D22" t="s">
        <v>358</v>
      </c>
      <c r="E22" t="s">
        <v>359</v>
      </c>
    </row>
    <row r="23" spans="1:5" x14ac:dyDescent="0.35">
      <c r="A23" t="s">
        <v>337</v>
      </c>
      <c r="B23" s="13">
        <v>5.84E-6</v>
      </c>
      <c r="C23" s="13">
        <v>1.47E-4</v>
      </c>
      <c r="D23" t="s">
        <v>345</v>
      </c>
      <c r="E23" t="s">
        <v>360</v>
      </c>
    </row>
    <row r="24" spans="1:5" x14ac:dyDescent="0.35">
      <c r="A24" t="s">
        <v>337</v>
      </c>
      <c r="B24" s="13">
        <v>5.1100000000000002E-6</v>
      </c>
      <c r="C24" s="13">
        <v>1.03E-4</v>
      </c>
      <c r="D24" t="s">
        <v>358</v>
      </c>
      <c r="E24" t="s">
        <v>365</v>
      </c>
    </row>
    <row r="25" spans="1:5" x14ac:dyDescent="0.35">
      <c r="A25" t="s">
        <v>338</v>
      </c>
      <c r="B25">
        <v>0</v>
      </c>
      <c r="C25">
        <v>0</v>
      </c>
      <c r="D25" t="s">
        <v>347</v>
      </c>
      <c r="E25" t="s">
        <v>361</v>
      </c>
    </row>
    <row r="26" spans="1:5" x14ac:dyDescent="0.35">
      <c r="A26" t="s">
        <v>339</v>
      </c>
      <c r="B26">
        <v>0</v>
      </c>
      <c r="C26">
        <v>0</v>
      </c>
      <c r="D26" t="s">
        <v>347</v>
      </c>
      <c r="E26" t="s">
        <v>362</v>
      </c>
    </row>
    <row r="27" spans="1:5" x14ac:dyDescent="0.35">
      <c r="A27" t="s">
        <v>340</v>
      </c>
      <c r="B27">
        <v>0</v>
      </c>
      <c r="C27">
        <v>0</v>
      </c>
      <c r="D27" t="s">
        <v>347</v>
      </c>
      <c r="E27" t="s">
        <v>363</v>
      </c>
    </row>
    <row r="28" spans="1:5" x14ac:dyDescent="0.35">
      <c r="A28" t="s">
        <v>341</v>
      </c>
      <c r="B28">
        <v>-0.35610000000000003</v>
      </c>
      <c r="C28">
        <v>-0.35610000000000003</v>
      </c>
      <c r="D28" t="s">
        <v>345</v>
      </c>
      <c r="E28" t="s">
        <v>368</v>
      </c>
    </row>
    <row r="29" spans="1:5" x14ac:dyDescent="0.35">
      <c r="A29" t="s">
        <v>341</v>
      </c>
      <c r="B29">
        <v>-0.32490000000000002</v>
      </c>
      <c r="C29">
        <v>-0.32490000000000002</v>
      </c>
      <c r="D29" t="s">
        <v>358</v>
      </c>
      <c r="E29" t="s">
        <v>368</v>
      </c>
    </row>
    <row r="30" spans="1:5" x14ac:dyDescent="0.35">
      <c r="A30" t="s">
        <v>342</v>
      </c>
      <c r="B30">
        <v>-0.83089999999999997</v>
      </c>
      <c r="C30">
        <v>-0.83089999999999997</v>
      </c>
      <c r="D30" t="s">
        <v>345</v>
      </c>
      <c r="E30" t="s">
        <v>369</v>
      </c>
    </row>
    <row r="31" spans="1:5" x14ac:dyDescent="0.35">
      <c r="A31" t="s">
        <v>342</v>
      </c>
      <c r="B31">
        <v>-0.7581</v>
      </c>
      <c r="C31">
        <v>-0.7581</v>
      </c>
      <c r="D31" t="s">
        <v>358</v>
      </c>
      <c r="E31" t="s">
        <v>369</v>
      </c>
    </row>
    <row r="32" spans="1:5" x14ac:dyDescent="0.35">
      <c r="A32" t="s">
        <v>343</v>
      </c>
      <c r="B32">
        <v>4.9100000000000001E-4</v>
      </c>
      <c r="C32">
        <v>1000</v>
      </c>
      <c r="D32" t="s">
        <v>345</v>
      </c>
      <c r="E32" t="s">
        <v>366</v>
      </c>
    </row>
    <row r="33" spans="1:5" x14ac:dyDescent="0.35">
      <c r="A33" t="s">
        <v>343</v>
      </c>
      <c r="B33">
        <v>4.37E-4</v>
      </c>
      <c r="C33">
        <v>1000</v>
      </c>
      <c r="D33" t="s">
        <v>358</v>
      </c>
      <c r="E33" t="s">
        <v>366</v>
      </c>
    </row>
    <row r="34" spans="1:5" x14ac:dyDescent="0.35">
      <c r="A34" t="s">
        <v>344</v>
      </c>
      <c r="B34">
        <v>0</v>
      </c>
      <c r="C34">
        <v>0</v>
      </c>
      <c r="E34" t="s">
        <v>367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165"/>
  <sheetViews>
    <sheetView tabSelected="1" zoomScaleNormal="100" workbookViewId="0">
      <selection activeCell="D3" sqref="D3"/>
    </sheetView>
  </sheetViews>
  <sheetFormatPr defaultRowHeight="14.5" x14ac:dyDescent="0.35"/>
  <cols>
    <col min="1" max="1" width="22.81640625" customWidth="1"/>
    <col min="2" max="2" width="11.81640625" customWidth="1"/>
    <col min="3" max="3" width="18" customWidth="1"/>
    <col min="4" max="4" width="14.1796875" customWidth="1"/>
    <col min="5" max="5" width="22.26953125" customWidth="1"/>
    <col min="6" max="6" width="10.81640625" customWidth="1"/>
  </cols>
  <sheetData>
    <row r="1" spans="1:8" ht="24" x14ac:dyDescent="0.65">
      <c r="A1" s="2" t="s">
        <v>285</v>
      </c>
    </row>
    <row r="3" spans="1:8" ht="16.5" x14ac:dyDescent="0.45">
      <c r="A3" t="s">
        <v>222</v>
      </c>
      <c r="D3">
        <v>410</v>
      </c>
      <c r="E3" t="s">
        <v>220</v>
      </c>
    </row>
    <row r="4" spans="1:8" x14ac:dyDescent="0.35">
      <c r="D4">
        <v>410</v>
      </c>
      <c r="E4" t="s">
        <v>221</v>
      </c>
    </row>
    <row r="5" spans="1:8" x14ac:dyDescent="0.35">
      <c r="H5" s="1" t="s">
        <v>235</v>
      </c>
    </row>
    <row r="6" spans="1:8" ht="17.5" x14ac:dyDescent="0.45">
      <c r="A6" t="s">
        <v>223</v>
      </c>
      <c r="C6" t="s">
        <v>282</v>
      </c>
      <c r="D6">
        <v>3.5000000000000003E-2</v>
      </c>
      <c r="E6" t="s">
        <v>224</v>
      </c>
      <c r="H6" s="46" t="s">
        <v>225</v>
      </c>
    </row>
    <row r="7" spans="1:8" x14ac:dyDescent="0.35">
      <c r="C7" s="11" t="s">
        <v>228</v>
      </c>
      <c r="D7">
        <v>28</v>
      </c>
      <c r="E7" t="s">
        <v>229</v>
      </c>
    </row>
    <row r="8" spans="1:8" x14ac:dyDescent="0.35">
      <c r="C8" s="11" t="s">
        <v>230</v>
      </c>
      <c r="D8">
        <f>D7+273.15</f>
        <v>301.14999999999998</v>
      </c>
      <c r="E8" t="s">
        <v>231</v>
      </c>
    </row>
    <row r="9" spans="1:8" ht="16.5" x14ac:dyDescent="0.35">
      <c r="C9" t="s">
        <v>283</v>
      </c>
      <c r="D9" s="6">
        <f>D6*EXP(2600*(1/D8-1/298.15))</f>
        <v>3.2087823928194578E-2</v>
      </c>
      <c r="E9" t="s">
        <v>224</v>
      </c>
    </row>
    <row r="10" spans="1:8" ht="16.5" x14ac:dyDescent="0.45">
      <c r="A10" t="s">
        <v>233</v>
      </c>
      <c r="D10" s="13">
        <f>1.01325*D3/1000000</f>
        <v>4.1543249999999998E-4</v>
      </c>
      <c r="E10" t="s">
        <v>226</v>
      </c>
    </row>
    <row r="12" spans="1:8" ht="17.5" x14ac:dyDescent="0.45">
      <c r="A12" t="s">
        <v>227</v>
      </c>
      <c r="D12" s="13">
        <f>D9*D10</f>
        <v>1.3330324914049693E-5</v>
      </c>
      <c r="E12" t="s">
        <v>232</v>
      </c>
    </row>
    <row r="13" spans="1:8" x14ac:dyDescent="0.35">
      <c r="D13" s="13"/>
    </row>
    <row r="14" spans="1:8" x14ac:dyDescent="0.35">
      <c r="D14" s="13"/>
    </row>
    <row r="15" spans="1:8" ht="16.5" x14ac:dyDescent="0.45">
      <c r="A15" t="s">
        <v>234</v>
      </c>
    </row>
    <row r="17" spans="1:8" ht="16.5" x14ac:dyDescent="0.45">
      <c r="A17" s="47" t="s">
        <v>237</v>
      </c>
    </row>
    <row r="19" spans="1:8" ht="16.5" x14ac:dyDescent="0.35">
      <c r="B19" s="45" t="s">
        <v>239</v>
      </c>
      <c r="C19" s="45" t="s">
        <v>240</v>
      </c>
      <c r="D19" s="45" t="s">
        <v>241</v>
      </c>
      <c r="E19" s="45" t="s">
        <v>242</v>
      </c>
      <c r="F19" s="45" t="s">
        <v>249</v>
      </c>
      <c r="G19" s="45"/>
      <c r="H19" s="45" t="s">
        <v>235</v>
      </c>
    </row>
    <row r="20" spans="1:8" x14ac:dyDescent="0.35">
      <c r="A20" t="s">
        <v>236</v>
      </c>
      <c r="B20" s="34">
        <v>124000000000</v>
      </c>
      <c r="C20" s="23">
        <v>80.5</v>
      </c>
      <c r="D20" s="12">
        <v>8.3144626181532395</v>
      </c>
      <c r="E20" s="49">
        <f>B20*EXP(-C20/(D20*D8))</f>
        <v>120076822413.04436</v>
      </c>
      <c r="F20" s="48">
        <f>E20/E21</f>
        <v>1.4538796520327446E-3</v>
      </c>
      <c r="G20" s="48"/>
      <c r="H20" s="46" t="s">
        <v>243</v>
      </c>
    </row>
    <row r="21" spans="1:8" x14ac:dyDescent="0.35">
      <c r="A21" t="s">
        <v>238</v>
      </c>
      <c r="B21" s="23">
        <v>85000000000000</v>
      </c>
      <c r="C21" s="23">
        <v>72</v>
      </c>
      <c r="D21" s="12">
        <v>8.3144626181532395</v>
      </c>
      <c r="E21" s="49">
        <f>B21*EXP(-C21/(D21*D8))</f>
        <v>82590620375736.547</v>
      </c>
    </row>
    <row r="22" spans="1:8" x14ac:dyDescent="0.35">
      <c r="B22" s="23"/>
      <c r="C22" s="23"/>
      <c r="D22" s="12"/>
      <c r="E22" s="49"/>
    </row>
    <row r="23" spans="1:8" ht="17.5" x14ac:dyDescent="0.45">
      <c r="A23" t="s">
        <v>247</v>
      </c>
      <c r="B23" s="49">
        <f>D12</f>
        <v>1.3330324914049693E-5</v>
      </c>
      <c r="C23" t="s">
        <v>232</v>
      </c>
      <c r="D23" s="12"/>
      <c r="E23" s="49"/>
    </row>
    <row r="24" spans="1:8" ht="17.5" x14ac:dyDescent="0.45">
      <c r="A24" t="s">
        <v>248</v>
      </c>
      <c r="B24" s="49">
        <f>F20*D12</f>
        <v>1.9380688147521994E-8</v>
      </c>
      <c r="C24" t="s">
        <v>232</v>
      </c>
    </row>
    <row r="25" spans="1:8" x14ac:dyDescent="0.35">
      <c r="B25" s="48"/>
    </row>
    <row r="26" spans="1:8" x14ac:dyDescent="0.35">
      <c r="B26" s="48"/>
    </row>
    <row r="27" spans="1:8" x14ac:dyDescent="0.35">
      <c r="A27" t="s">
        <v>273</v>
      </c>
      <c r="B27" s="48"/>
    </row>
    <row r="28" spans="1:8" ht="16.5" x14ac:dyDescent="0.45">
      <c r="A28" t="s">
        <v>266</v>
      </c>
      <c r="B28" s="48">
        <v>4.3000000000000001E-7</v>
      </c>
    </row>
    <row r="29" spans="1:8" x14ac:dyDescent="0.35">
      <c r="B29" s="48"/>
    </row>
    <row r="30" spans="1:8" x14ac:dyDescent="0.35">
      <c r="A30" s="1" t="s">
        <v>245</v>
      </c>
      <c r="B30">
        <v>8</v>
      </c>
    </row>
    <row r="31" spans="1:8" x14ac:dyDescent="0.35">
      <c r="A31" t="s">
        <v>246</v>
      </c>
      <c r="B31" s="13">
        <f>10^-B30</f>
        <v>1E-8</v>
      </c>
    </row>
    <row r="32" spans="1:8" x14ac:dyDescent="0.35">
      <c r="B32" s="48"/>
    </row>
    <row r="33" spans="1:8" x14ac:dyDescent="0.35">
      <c r="A33" t="s">
        <v>274</v>
      </c>
      <c r="B33" s="48"/>
    </row>
    <row r="34" spans="1:8" x14ac:dyDescent="0.35">
      <c r="A34" t="s">
        <v>275</v>
      </c>
      <c r="B34" s="48"/>
    </row>
    <row r="35" spans="1:8" x14ac:dyDescent="0.35">
      <c r="A35" t="s">
        <v>276</v>
      </c>
      <c r="B35" s="48"/>
    </row>
    <row r="36" spans="1:8" x14ac:dyDescent="0.35">
      <c r="B36" s="48"/>
    </row>
    <row r="37" spans="1:8" ht="16.5" x14ac:dyDescent="0.35">
      <c r="A37" t="s">
        <v>250</v>
      </c>
      <c r="B37" s="48">
        <v>1.8188458246253013E-8</v>
      </c>
      <c r="C37" t="s">
        <v>232</v>
      </c>
    </row>
    <row r="38" spans="1:8" x14ac:dyDescent="0.35">
      <c r="A38" t="s">
        <v>264</v>
      </c>
      <c r="B38" s="48">
        <f>B37*(B31+B37)/(B24-B37)</f>
        <v>4.300383636515982E-7</v>
      </c>
    </row>
    <row r="39" spans="1:8" ht="16.5" x14ac:dyDescent="0.35">
      <c r="A39" s="1" t="s">
        <v>277</v>
      </c>
      <c r="B39" s="48">
        <f>B37</f>
        <v>1.8188458246253013E-8</v>
      </c>
      <c r="C39" t="s">
        <v>232</v>
      </c>
    </row>
    <row r="40" spans="1:8" x14ac:dyDescent="0.35">
      <c r="B40" s="48"/>
    </row>
    <row r="41" spans="1:8" x14ac:dyDescent="0.35">
      <c r="B41" s="48"/>
    </row>
    <row r="42" spans="1:8" x14ac:dyDescent="0.35">
      <c r="A42" s="47" t="s">
        <v>254</v>
      </c>
      <c r="B42" s="48"/>
    </row>
    <row r="43" spans="1:8" x14ac:dyDescent="0.35">
      <c r="A43" s="47"/>
      <c r="B43" s="48"/>
    </row>
    <row r="44" spans="1:8" x14ac:dyDescent="0.35">
      <c r="A44" s="1" t="s">
        <v>278</v>
      </c>
      <c r="B44">
        <f>14-B30</f>
        <v>6</v>
      </c>
    </row>
    <row r="45" spans="1:8" x14ac:dyDescent="0.35">
      <c r="A45" t="s">
        <v>279</v>
      </c>
      <c r="B45" s="13">
        <f>10^-B44</f>
        <v>9.9999999999999995E-7</v>
      </c>
    </row>
    <row r="46" spans="1:8" x14ac:dyDescent="0.35">
      <c r="B46" s="48"/>
      <c r="H46" s="50" t="s">
        <v>235</v>
      </c>
    </row>
    <row r="47" spans="1:8" ht="17.5" x14ac:dyDescent="0.45">
      <c r="A47" t="s">
        <v>255</v>
      </c>
      <c r="B47" s="51">
        <v>1.8799999999999999E-4</v>
      </c>
      <c r="C47" t="s">
        <v>232</v>
      </c>
      <c r="H47" s="46" t="s">
        <v>244</v>
      </c>
    </row>
    <row r="48" spans="1:8" ht="17.5" x14ac:dyDescent="0.45">
      <c r="A48" t="s">
        <v>256</v>
      </c>
      <c r="B48" s="51">
        <f>B47</f>
        <v>1.8799999999999999E-4</v>
      </c>
      <c r="C48" t="s">
        <v>232</v>
      </c>
    </row>
    <row r="49" spans="1:9" x14ac:dyDescent="0.35">
      <c r="B49" s="48"/>
    </row>
    <row r="50" spans="1:9" ht="16.5" x14ac:dyDescent="0.45">
      <c r="A50" t="s">
        <v>265</v>
      </c>
      <c r="B50" s="48">
        <v>5.8E-11</v>
      </c>
    </row>
    <row r="51" spans="1:9" ht="16.5" x14ac:dyDescent="0.45">
      <c r="A51" t="s">
        <v>262</v>
      </c>
      <c r="B51" s="48">
        <f>B52/B50</f>
        <v>1.7241379310344826E-4</v>
      </c>
    </row>
    <row r="52" spans="1:9" x14ac:dyDescent="0.35">
      <c r="A52" t="s">
        <v>257</v>
      </c>
      <c r="B52" s="48">
        <v>1E-14</v>
      </c>
    </row>
    <row r="53" spans="1:9" x14ac:dyDescent="0.35">
      <c r="B53" s="48"/>
    </row>
    <row r="54" spans="1:9" x14ac:dyDescent="0.35">
      <c r="A54" t="s">
        <v>258</v>
      </c>
      <c r="B54" s="48"/>
      <c r="I54" s="13"/>
    </row>
    <row r="55" spans="1:9" x14ac:dyDescent="0.35">
      <c r="A55" t="s">
        <v>280</v>
      </c>
      <c r="B55" s="48"/>
    </row>
    <row r="56" spans="1:9" x14ac:dyDescent="0.35">
      <c r="A56" t="s">
        <v>259</v>
      </c>
      <c r="B56" s="48"/>
    </row>
    <row r="57" spans="1:9" x14ac:dyDescent="0.35">
      <c r="B57" s="48"/>
    </row>
    <row r="58" spans="1:9" ht="16.5" x14ac:dyDescent="0.35">
      <c r="A58" s="1" t="s">
        <v>260</v>
      </c>
      <c r="B58" s="48">
        <v>1.1313290591722837E-4</v>
      </c>
      <c r="C58" t="s">
        <v>232</v>
      </c>
    </row>
    <row r="59" spans="1:9" x14ac:dyDescent="0.35">
      <c r="A59" s="1" t="s">
        <v>263</v>
      </c>
      <c r="B59" s="48">
        <f>(B58)*(B58+B45)/(B48-B58)</f>
        <v>1.7246812455306746E-4</v>
      </c>
    </row>
    <row r="60" spans="1:9" ht="16.5" x14ac:dyDescent="0.35">
      <c r="A60" s="1" t="s">
        <v>261</v>
      </c>
      <c r="B60" s="48">
        <f>B58</f>
        <v>1.1313290591722837E-4</v>
      </c>
      <c r="C60" t="s">
        <v>232</v>
      </c>
    </row>
    <row r="61" spans="1:9" x14ac:dyDescent="0.35">
      <c r="A61" s="1"/>
      <c r="B61" s="48"/>
    </row>
    <row r="62" spans="1:9" ht="16.5" x14ac:dyDescent="0.45">
      <c r="A62" t="s">
        <v>266</v>
      </c>
      <c r="B62" s="48">
        <v>4.3000000000000001E-7</v>
      </c>
    </row>
    <row r="63" spans="1:9" ht="16.5" x14ac:dyDescent="0.45">
      <c r="A63" t="s">
        <v>267</v>
      </c>
      <c r="B63" s="48">
        <f>B64/B62</f>
        <v>2.3255813953488372E-8</v>
      </c>
    </row>
    <row r="64" spans="1:9" x14ac:dyDescent="0.35">
      <c r="A64" t="s">
        <v>257</v>
      </c>
      <c r="B64" s="48">
        <v>1E-14</v>
      </c>
    </row>
    <row r="65" spans="1:8" x14ac:dyDescent="0.35">
      <c r="A65" s="1"/>
      <c r="B65" s="48"/>
    </row>
    <row r="66" spans="1:8" x14ac:dyDescent="0.35">
      <c r="A66" s="52" t="s">
        <v>268</v>
      </c>
      <c r="B66" s="48"/>
    </row>
    <row r="67" spans="1:8" x14ac:dyDescent="0.35">
      <c r="A67" s="52" t="s">
        <v>269</v>
      </c>
      <c r="B67" s="48"/>
    </row>
    <row r="68" spans="1:8" x14ac:dyDescent="0.35">
      <c r="A68" s="1"/>
      <c r="B68" s="48"/>
    </row>
    <row r="69" spans="1:8" ht="16.5" x14ac:dyDescent="0.35">
      <c r="A69" s="1" t="s">
        <v>270</v>
      </c>
      <c r="B69" s="48">
        <v>1.1892618484278303E-6</v>
      </c>
      <c r="C69" t="s">
        <v>232</v>
      </c>
    </row>
    <row r="70" spans="1:8" x14ac:dyDescent="0.35">
      <c r="A70" s="1" t="s">
        <v>271</v>
      </c>
      <c r="B70" s="48">
        <f>B69*(B69+B45)/(B60-B69)</f>
        <v>2.325818150920328E-8</v>
      </c>
    </row>
    <row r="71" spans="1:8" ht="16.5" x14ac:dyDescent="0.35">
      <c r="A71" s="1" t="s">
        <v>272</v>
      </c>
      <c r="B71" s="48">
        <f>B69</f>
        <v>1.1892618484278303E-6</v>
      </c>
      <c r="C71" t="s">
        <v>232</v>
      </c>
    </row>
    <row r="72" spans="1:8" x14ac:dyDescent="0.35">
      <c r="A72" s="1"/>
      <c r="B72" s="48"/>
    </row>
    <row r="73" spans="1:8" x14ac:dyDescent="0.35">
      <c r="G73" s="6"/>
    </row>
    <row r="74" spans="1:8" x14ac:dyDescent="0.35">
      <c r="A74" t="s">
        <v>251</v>
      </c>
    </row>
    <row r="75" spans="1:8" ht="17.5" x14ac:dyDescent="0.45">
      <c r="A75" t="s">
        <v>247</v>
      </c>
      <c r="B75">
        <f>D12</f>
        <v>1.3330324914049693E-5</v>
      </c>
      <c r="C75" t="s">
        <v>232</v>
      </c>
      <c r="E75" t="s">
        <v>253</v>
      </c>
      <c r="F75" s="6">
        <f>B75/B77</f>
        <v>0.11780995126582731</v>
      </c>
      <c r="H75" t="s">
        <v>309</v>
      </c>
    </row>
    <row r="76" spans="1:8" ht="17.5" x14ac:dyDescent="0.45">
      <c r="A76" t="s">
        <v>248</v>
      </c>
      <c r="B76" s="48">
        <f>B24-B39+B71</f>
        <v>1.1904540783290993E-6</v>
      </c>
      <c r="C76" t="s">
        <v>232</v>
      </c>
      <c r="E76" t="s">
        <v>281</v>
      </c>
      <c r="F76" s="6">
        <f>B77/B75</f>
        <v>8.4882472936737923</v>
      </c>
      <c r="H76" t="s">
        <v>309</v>
      </c>
    </row>
    <row r="77" spans="1:8" ht="17.5" x14ac:dyDescent="0.45">
      <c r="A77" t="s">
        <v>252</v>
      </c>
      <c r="B77" s="13">
        <f>B39+B60</f>
        <v>1.1315109437547463E-4</v>
      </c>
      <c r="C77" t="s">
        <v>232</v>
      </c>
    </row>
    <row r="78" spans="1:8" x14ac:dyDescent="0.35">
      <c r="B78" s="13"/>
    </row>
    <row r="79" spans="1:8" ht="16.5" x14ac:dyDescent="0.45">
      <c r="A79" t="s">
        <v>284</v>
      </c>
      <c r="B79" s="13"/>
    </row>
    <row r="82" spans="1:8" ht="21" x14ac:dyDescent="0.5">
      <c r="A82" s="2" t="s">
        <v>315</v>
      </c>
    </row>
    <row r="84" spans="1:8" x14ac:dyDescent="0.35">
      <c r="A84" t="s">
        <v>286</v>
      </c>
      <c r="D84">
        <v>410</v>
      </c>
      <c r="E84" t="s">
        <v>220</v>
      </c>
    </row>
    <row r="85" spans="1:8" x14ac:dyDescent="0.35">
      <c r="D85">
        <v>410</v>
      </c>
      <c r="E85" t="s">
        <v>221</v>
      </c>
    </row>
    <row r="86" spans="1:8" x14ac:dyDescent="0.35">
      <c r="H86" t="s">
        <v>235</v>
      </c>
    </row>
    <row r="87" spans="1:8" ht="16.5" x14ac:dyDescent="0.35">
      <c r="A87" t="s">
        <v>287</v>
      </c>
      <c r="C87" t="s">
        <v>288</v>
      </c>
      <c r="D87">
        <v>3.5000000000000003E-2</v>
      </c>
      <c r="E87" t="s">
        <v>310</v>
      </c>
      <c r="H87" s="46" t="s">
        <v>225</v>
      </c>
    </row>
    <row r="88" spans="1:8" x14ac:dyDescent="0.35">
      <c r="C88" t="s">
        <v>228</v>
      </c>
      <c r="D88">
        <v>28</v>
      </c>
      <c r="E88" t="s">
        <v>229</v>
      </c>
    </row>
    <row r="89" spans="1:8" x14ac:dyDescent="0.35">
      <c r="C89" t="s">
        <v>230</v>
      </c>
      <c r="D89">
        <f>D88+273.15</f>
        <v>301.14999999999998</v>
      </c>
      <c r="E89" t="s">
        <v>231</v>
      </c>
    </row>
    <row r="90" spans="1:8" ht="16.5" x14ac:dyDescent="0.35">
      <c r="C90" t="s">
        <v>283</v>
      </c>
      <c r="D90">
        <f>D87*EXP(2600*(1/D89-1/298.15))</f>
        <v>3.2087823928194578E-2</v>
      </c>
      <c r="E90" t="s">
        <v>310</v>
      </c>
    </row>
    <row r="91" spans="1:8" x14ac:dyDescent="0.35">
      <c r="A91" t="s">
        <v>289</v>
      </c>
      <c r="D91">
        <f>1.01325*D84/1000000</f>
        <v>4.1543249999999998E-4</v>
      </c>
      <c r="E91" t="s">
        <v>226</v>
      </c>
    </row>
    <row r="93" spans="1:8" ht="16.5" x14ac:dyDescent="0.35">
      <c r="A93" t="s">
        <v>290</v>
      </c>
      <c r="D93">
        <f>D90*D91</f>
        <v>1.3330324914049693E-5</v>
      </c>
      <c r="E93" t="s">
        <v>232</v>
      </c>
    </row>
    <row r="96" spans="1:8" x14ac:dyDescent="0.35">
      <c r="A96" t="s">
        <v>292</v>
      </c>
    </row>
    <row r="98" spans="1:8" x14ac:dyDescent="0.35">
      <c r="A98" s="47" t="s">
        <v>293</v>
      </c>
    </row>
    <row r="100" spans="1:8" x14ac:dyDescent="0.35">
      <c r="B100" t="s">
        <v>294</v>
      </c>
      <c r="C100" t="s">
        <v>295</v>
      </c>
      <c r="D100" t="s">
        <v>296</v>
      </c>
      <c r="E100" t="s">
        <v>297</v>
      </c>
      <c r="F100" t="s">
        <v>249</v>
      </c>
      <c r="H100" t="s">
        <v>235</v>
      </c>
    </row>
    <row r="101" spans="1:8" x14ac:dyDescent="0.35">
      <c r="A101" t="s">
        <v>236</v>
      </c>
      <c r="B101">
        <v>124000000000</v>
      </c>
      <c r="C101">
        <v>80.5</v>
      </c>
      <c r="D101">
        <v>8.3144626181532395</v>
      </c>
      <c r="E101">
        <f>B101*EXP(-C101/(D101*D89))</f>
        <v>120076822413.04436</v>
      </c>
      <c r="F101">
        <f>E101/E102</f>
        <v>1.4538796520327446E-3</v>
      </c>
      <c r="H101" s="46" t="s">
        <v>243</v>
      </c>
    </row>
    <row r="102" spans="1:8" x14ac:dyDescent="0.35">
      <c r="A102" t="s">
        <v>238</v>
      </c>
      <c r="B102">
        <v>85000000000000</v>
      </c>
      <c r="C102">
        <v>72</v>
      </c>
      <c r="D102">
        <v>8.3144626181532395</v>
      </c>
      <c r="E102">
        <f>B102*EXP(-C102/(D102*D89))</f>
        <v>82590620375736.547</v>
      </c>
    </row>
    <row r="104" spans="1:8" x14ac:dyDescent="0.35">
      <c r="A104" t="s">
        <v>298</v>
      </c>
      <c r="B104" s="13">
        <f>D93</f>
        <v>1.3330324914049693E-5</v>
      </c>
      <c r="C104" t="s">
        <v>291</v>
      </c>
    </row>
    <row r="105" spans="1:8" x14ac:dyDescent="0.35">
      <c r="A105" t="s">
        <v>299</v>
      </c>
      <c r="B105" s="13">
        <f>F101*D93</f>
        <v>1.9380688147521994E-8</v>
      </c>
      <c r="C105" t="s">
        <v>291</v>
      </c>
    </row>
    <row r="108" spans="1:8" x14ac:dyDescent="0.35">
      <c r="A108" t="s">
        <v>273</v>
      </c>
    </row>
    <row r="109" spans="1:8" x14ac:dyDescent="0.35">
      <c r="A109" t="s">
        <v>300</v>
      </c>
      <c r="B109" s="48">
        <v>4.3000000000000001E-7</v>
      </c>
    </row>
    <row r="111" spans="1:8" x14ac:dyDescent="0.35">
      <c r="A111" s="1" t="s">
        <v>245</v>
      </c>
      <c r="B111">
        <v>10</v>
      </c>
    </row>
    <row r="112" spans="1:8" x14ac:dyDescent="0.35">
      <c r="A112" t="s">
        <v>246</v>
      </c>
      <c r="B112" s="13">
        <f>10^-B111</f>
        <v>1E-10</v>
      </c>
    </row>
    <row r="113" spans="1:8" x14ac:dyDescent="0.35">
      <c r="B113" s="13"/>
    </row>
    <row r="114" spans="1:8" x14ac:dyDescent="0.35">
      <c r="A114" t="s">
        <v>274</v>
      </c>
    </row>
    <row r="115" spans="1:8" x14ac:dyDescent="0.35">
      <c r="A115" t="s">
        <v>275</v>
      </c>
    </row>
    <row r="116" spans="1:8" x14ac:dyDescent="0.35">
      <c r="A116" t="s">
        <v>276</v>
      </c>
    </row>
    <row r="118" spans="1:8" x14ac:dyDescent="0.35">
      <c r="A118" t="s">
        <v>250</v>
      </c>
      <c r="B118">
        <v>1.8565507233689456E-8</v>
      </c>
      <c r="C118" t="s">
        <v>291</v>
      </c>
    </row>
    <row r="119" spans="1:8" x14ac:dyDescent="0.35">
      <c r="A119" t="s">
        <v>264</v>
      </c>
      <c r="B119" s="13">
        <f>B118*(B112+B118)/(B105-B118)</f>
        <v>4.2510147586543301E-7</v>
      </c>
    </row>
    <row r="120" spans="1:8" x14ac:dyDescent="0.35">
      <c r="A120" s="1" t="s">
        <v>277</v>
      </c>
      <c r="B120">
        <f>B118</f>
        <v>1.8565507233689456E-8</v>
      </c>
      <c r="C120" t="s">
        <v>291</v>
      </c>
    </row>
    <row r="123" spans="1:8" x14ac:dyDescent="0.35">
      <c r="A123" s="47" t="s">
        <v>254</v>
      </c>
    </row>
    <row r="125" spans="1:8" x14ac:dyDescent="0.35">
      <c r="A125" s="1" t="s">
        <v>278</v>
      </c>
      <c r="B125">
        <f>14-B111</f>
        <v>4</v>
      </c>
    </row>
    <row r="126" spans="1:8" x14ac:dyDescent="0.35">
      <c r="A126" t="s">
        <v>279</v>
      </c>
      <c r="B126">
        <f>10^-B125</f>
        <v>1E-4</v>
      </c>
    </row>
    <row r="127" spans="1:8" x14ac:dyDescent="0.35">
      <c r="H127" t="s">
        <v>235</v>
      </c>
    </row>
    <row r="128" spans="1:8" x14ac:dyDescent="0.35">
      <c r="A128" t="s">
        <v>301</v>
      </c>
      <c r="B128" s="13">
        <f>0.000188*0.12</f>
        <v>2.2559999999999997E-5</v>
      </c>
      <c r="C128" t="s">
        <v>291</v>
      </c>
      <c r="H128" s="46" t="s">
        <v>244</v>
      </c>
    </row>
    <row r="129" spans="1:3" x14ac:dyDescent="0.35">
      <c r="A129" t="s">
        <v>302</v>
      </c>
      <c r="B129">
        <f>B128</f>
        <v>2.2559999999999997E-5</v>
      </c>
      <c r="C129" t="s">
        <v>291</v>
      </c>
    </row>
    <row r="131" spans="1:3" x14ac:dyDescent="0.35">
      <c r="A131" t="s">
        <v>303</v>
      </c>
      <c r="B131" s="13">
        <v>5.8E-11</v>
      </c>
    </row>
    <row r="132" spans="1:3" x14ac:dyDescent="0.35">
      <c r="A132" t="s">
        <v>304</v>
      </c>
      <c r="B132" s="13">
        <f>B133/B131</f>
        <v>1.7241379310344826E-4</v>
      </c>
    </row>
    <row r="133" spans="1:3" x14ac:dyDescent="0.35">
      <c r="A133" t="s">
        <v>257</v>
      </c>
      <c r="B133" s="13">
        <v>1E-14</v>
      </c>
    </row>
    <row r="135" spans="1:3" x14ac:dyDescent="0.35">
      <c r="A135" t="s">
        <v>258</v>
      </c>
    </row>
    <row r="136" spans="1:3" x14ac:dyDescent="0.35">
      <c r="A136" t="s">
        <v>280</v>
      </c>
    </row>
    <row r="137" spans="1:3" x14ac:dyDescent="0.35">
      <c r="A137" t="s">
        <v>259</v>
      </c>
    </row>
    <row r="139" spans="1:3" x14ac:dyDescent="0.35">
      <c r="A139" s="1" t="s">
        <v>260</v>
      </c>
      <c r="B139" s="13">
        <v>1.3586980072417972E-5</v>
      </c>
      <c r="C139" t="s">
        <v>291</v>
      </c>
    </row>
    <row r="140" spans="1:3" x14ac:dyDescent="0.35">
      <c r="A140" s="1" t="s">
        <v>263</v>
      </c>
      <c r="B140" s="13">
        <f>(B139)*(B139+B126)/(B129-B139)*10000</f>
        <v>1.7199382673676475</v>
      </c>
    </row>
    <row r="141" spans="1:3" x14ac:dyDescent="0.35">
      <c r="A141" s="1" t="s">
        <v>261</v>
      </c>
      <c r="B141" s="13">
        <f>B139</f>
        <v>1.3586980072417972E-5</v>
      </c>
      <c r="C141" t="s">
        <v>291</v>
      </c>
    </row>
    <row r="143" spans="1:3" x14ac:dyDescent="0.35">
      <c r="A143" t="s">
        <v>300</v>
      </c>
      <c r="B143" s="13">
        <v>4.3000000000000001E-7</v>
      </c>
    </row>
    <row r="144" spans="1:3" x14ac:dyDescent="0.35">
      <c r="A144" t="s">
        <v>305</v>
      </c>
      <c r="B144" s="13">
        <f>B145/B143</f>
        <v>2.3255813953488372E-8</v>
      </c>
    </row>
    <row r="145" spans="1:6" x14ac:dyDescent="0.35">
      <c r="A145" t="s">
        <v>257</v>
      </c>
      <c r="B145" s="13">
        <v>1E-14</v>
      </c>
    </row>
    <row r="147" spans="1:6" x14ac:dyDescent="0.35">
      <c r="A147" t="s">
        <v>268</v>
      </c>
    </row>
    <row r="148" spans="1:6" x14ac:dyDescent="0.35">
      <c r="A148" t="s">
        <v>269</v>
      </c>
    </row>
    <row r="150" spans="1:6" x14ac:dyDescent="0.35">
      <c r="A150" s="1" t="s">
        <v>270</v>
      </c>
      <c r="B150">
        <v>3.1649334967883617E-9</v>
      </c>
      <c r="C150" t="s">
        <v>291</v>
      </c>
    </row>
    <row r="151" spans="1:6" x14ac:dyDescent="0.35">
      <c r="A151" s="1" t="s">
        <v>271</v>
      </c>
      <c r="B151" s="13">
        <f>B150*(B150+B126)/(B141-B150)*100000000</f>
        <v>2.3300034875769939</v>
      </c>
    </row>
    <row r="152" spans="1:6" x14ac:dyDescent="0.35">
      <c r="A152" s="1" t="s">
        <v>272</v>
      </c>
      <c r="B152">
        <f>B150</f>
        <v>3.1649334967883617E-9</v>
      </c>
      <c r="C152" t="s">
        <v>291</v>
      </c>
    </row>
    <row r="155" spans="1:6" x14ac:dyDescent="0.35">
      <c r="A155" t="s">
        <v>251</v>
      </c>
    </row>
    <row r="156" spans="1:6" x14ac:dyDescent="0.35">
      <c r="A156" t="s">
        <v>298</v>
      </c>
      <c r="B156">
        <f>D93</f>
        <v>1.3330324914049693E-5</v>
      </c>
      <c r="C156" t="s">
        <v>291</v>
      </c>
      <c r="E156" t="s">
        <v>306</v>
      </c>
      <c r="F156">
        <f>B156/B158</f>
        <v>0.97977143481746254</v>
      </c>
    </row>
    <row r="157" spans="1:6" x14ac:dyDescent="0.35">
      <c r="A157" t="s">
        <v>299</v>
      </c>
      <c r="B157">
        <f>B105-B120+B152</f>
        <v>3.9801144106208998E-9</v>
      </c>
      <c r="C157" t="s">
        <v>291</v>
      </c>
      <c r="E157" t="s">
        <v>307</v>
      </c>
      <c r="F157">
        <f>B158/B156</f>
        <v>1.0206462083539987</v>
      </c>
    </row>
    <row r="158" spans="1:6" x14ac:dyDescent="0.35">
      <c r="A158" t="s">
        <v>308</v>
      </c>
      <c r="B158">
        <f>B120+B141</f>
        <v>1.3605545579651661E-5</v>
      </c>
      <c r="C158" t="s">
        <v>291</v>
      </c>
    </row>
    <row r="160" spans="1:6" x14ac:dyDescent="0.35">
      <c r="A160" t="s">
        <v>311</v>
      </c>
    </row>
    <row r="163" spans="1:4" x14ac:dyDescent="0.35">
      <c r="B163" s="23" t="s">
        <v>309</v>
      </c>
      <c r="C163" s="23" t="s">
        <v>312</v>
      </c>
      <c r="D163" s="23" t="s">
        <v>41</v>
      </c>
    </row>
    <row r="164" spans="1:4" x14ac:dyDescent="0.35">
      <c r="A164" t="s">
        <v>313</v>
      </c>
      <c r="B164" s="53">
        <f>F75/(1+F75)</f>
        <v>0.10539354309059183</v>
      </c>
      <c r="C164" s="53">
        <f>F156/(1+F156)</f>
        <v>0.49489118672317783</v>
      </c>
      <c r="D164" s="53">
        <f>AVERAGE(B164:C164)</f>
        <v>0.30014236490688484</v>
      </c>
    </row>
    <row r="165" spans="1:4" x14ac:dyDescent="0.35">
      <c r="A165" t="s">
        <v>314</v>
      </c>
      <c r="B165" s="53">
        <f>1-B164</f>
        <v>0.89460645690940821</v>
      </c>
      <c r="C165" s="53">
        <f>1-C164</f>
        <v>0.50510881327682222</v>
      </c>
      <c r="D165" s="53">
        <f>AVERAGE(B165:C165)</f>
        <v>0.69985763509311516</v>
      </c>
    </row>
  </sheetData>
  <hyperlinks>
    <hyperlink ref="H6" r:id="rId1" xr:uid="{00000000-0004-0000-0800-000000000000}"/>
    <hyperlink ref="H20" r:id="rId2" xr:uid="{00000000-0004-0000-0800-000001000000}"/>
    <hyperlink ref="H47" r:id="rId3" xr:uid="{00000000-0004-0000-0800-000002000000}"/>
    <hyperlink ref="H87" r:id="rId4" xr:uid="{00000000-0004-0000-0800-000003000000}"/>
    <hyperlink ref="H101" r:id="rId5" xr:uid="{00000000-0004-0000-0800-000004000000}"/>
    <hyperlink ref="H128" r:id="rId6" xr:uid="{00000000-0004-0000-0800-000005000000}"/>
  </hyperlinks>
  <pageMargins left="0.7" right="0.7" top="0.75" bottom="0.75" header="0.3" footer="0.3"/>
  <pageSetup orientation="portrait" r:id="rId7"/>
  <drawing r:id="rId8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X31"/>
  <sheetViews>
    <sheetView workbookViewId="0">
      <selection activeCell="L24" sqref="L24"/>
    </sheetView>
  </sheetViews>
  <sheetFormatPr defaultRowHeight="14.5" x14ac:dyDescent="0.35"/>
  <cols>
    <col min="1" max="1" width="11.1796875" customWidth="1"/>
    <col min="12" max="12" width="10.7265625" customWidth="1"/>
    <col min="13" max="13" width="13" customWidth="1"/>
  </cols>
  <sheetData>
    <row r="1" spans="1:19" ht="21" x14ac:dyDescent="0.5">
      <c r="A1" s="2" t="s">
        <v>173</v>
      </c>
    </row>
    <row r="3" spans="1:19" ht="16.5" x14ac:dyDescent="0.45">
      <c r="B3" s="55" t="s">
        <v>182</v>
      </c>
      <c r="C3" s="55"/>
      <c r="D3" s="55"/>
      <c r="E3" s="55"/>
      <c r="F3" s="55"/>
      <c r="G3" s="55"/>
      <c r="M3" s="55" t="s">
        <v>183</v>
      </c>
      <c r="N3" s="55"/>
      <c r="O3" s="55"/>
      <c r="P3" s="55"/>
      <c r="Q3" s="55"/>
      <c r="R3" s="55"/>
    </row>
    <row r="4" spans="1:19" x14ac:dyDescent="0.35">
      <c r="B4" s="11" t="s">
        <v>1</v>
      </c>
      <c r="C4" s="11" t="s">
        <v>2</v>
      </c>
      <c r="D4" s="11" t="s">
        <v>3</v>
      </c>
      <c r="E4" s="11" t="s">
        <v>4</v>
      </c>
      <c r="F4" s="11" t="s">
        <v>5</v>
      </c>
      <c r="G4" s="11" t="s">
        <v>175</v>
      </c>
      <c r="M4" s="11" t="s">
        <v>1</v>
      </c>
      <c r="N4" s="11" t="s">
        <v>2</v>
      </c>
      <c r="O4" s="11" t="s">
        <v>3</v>
      </c>
      <c r="P4" s="11" t="s">
        <v>4</v>
      </c>
      <c r="Q4" s="11" t="s">
        <v>5</v>
      </c>
      <c r="R4" s="11" t="s">
        <v>175</v>
      </c>
    </row>
    <row r="5" spans="1:19" x14ac:dyDescent="0.35">
      <c r="A5" t="s">
        <v>169</v>
      </c>
      <c r="B5" s="35">
        <v>0.85756613756613653</v>
      </c>
      <c r="C5" s="7">
        <v>0.41065897065897711</v>
      </c>
      <c r="D5" s="7">
        <v>0.49869999999999998</v>
      </c>
      <c r="E5" s="7">
        <v>0.41236</v>
      </c>
      <c r="F5" s="7">
        <v>2.0169999999999999</v>
      </c>
      <c r="G5" s="7">
        <v>0.39200000000000002</v>
      </c>
      <c r="L5" t="s">
        <v>169</v>
      </c>
      <c r="M5" s="35">
        <v>0.85756613756613653</v>
      </c>
      <c r="N5" s="7">
        <v>0.41065897065897711</v>
      </c>
      <c r="O5" s="7">
        <v>0.49869999999999998</v>
      </c>
      <c r="P5" s="7">
        <v>0.41236</v>
      </c>
      <c r="Q5" s="7">
        <v>2.0169999999999999</v>
      </c>
      <c r="R5" s="7">
        <v>0.39200000000000002</v>
      </c>
    </row>
    <row r="6" spans="1:19" x14ac:dyDescent="0.35">
      <c r="A6" t="s">
        <v>167</v>
      </c>
      <c r="B6" s="35">
        <v>46.59914483149938</v>
      </c>
      <c r="C6" s="7">
        <v>53.59280199404219</v>
      </c>
      <c r="D6" s="7">
        <v>37.384999999999998</v>
      </c>
      <c r="E6" s="7">
        <v>33.2014</v>
      </c>
      <c r="F6" s="7">
        <v>159.32499999999999</v>
      </c>
      <c r="G6" s="7">
        <v>31.1678</v>
      </c>
      <c r="L6" t="s">
        <v>167</v>
      </c>
      <c r="M6" s="35">
        <v>46.59914483149938</v>
      </c>
      <c r="N6" s="7">
        <v>53.59280199404219</v>
      </c>
      <c r="O6" s="7">
        <v>37.384999999999998</v>
      </c>
      <c r="P6" s="7">
        <v>33.2014</v>
      </c>
      <c r="Q6" s="7">
        <v>159.32499999999999</v>
      </c>
      <c r="R6" s="7">
        <v>31.1678</v>
      </c>
    </row>
    <row r="7" spans="1:19" x14ac:dyDescent="0.35">
      <c r="A7" t="s">
        <v>168</v>
      </c>
      <c r="B7" s="35">
        <v>11.172290260768142</v>
      </c>
      <c r="C7" s="7">
        <v>17.540531533783199</v>
      </c>
      <c r="D7" s="7">
        <v>9.4700000000000006</v>
      </c>
      <c r="E7" s="7">
        <v>8.9620999999999995</v>
      </c>
      <c r="F7" s="7">
        <v>45.3215</v>
      </c>
      <c r="G7" s="7">
        <v>8.5680999999999994</v>
      </c>
      <c r="L7" t="s">
        <v>168</v>
      </c>
      <c r="M7" s="35">
        <v>11.172290260768142</v>
      </c>
      <c r="N7" s="7">
        <v>17.540531533783199</v>
      </c>
      <c r="O7" s="7">
        <v>9.4700000000000006</v>
      </c>
      <c r="P7" s="7">
        <v>8.9620999999999995</v>
      </c>
      <c r="Q7" s="7">
        <v>45.3215</v>
      </c>
      <c r="R7" s="7">
        <v>8.5680999999999994</v>
      </c>
    </row>
    <row r="8" spans="1:19" x14ac:dyDescent="0.35">
      <c r="B8" s="35"/>
    </row>
    <row r="9" spans="1:19" x14ac:dyDescent="0.35">
      <c r="A9" t="s">
        <v>171</v>
      </c>
      <c r="B9" s="35">
        <f>(B5*0.0312+B6*0.0466+B7*0.0326)</f>
        <v>2.5624928751409759</v>
      </c>
      <c r="C9" s="35">
        <f t="shared" ref="C9:G9" si="0">(C5*0.0312+C6*0.0466+C7*0.0326)</f>
        <v>3.0820584608082582</v>
      </c>
      <c r="D9" s="35">
        <f t="shared" si="0"/>
        <v>2.0664224400000002</v>
      </c>
      <c r="E9" s="35">
        <f t="shared" si="0"/>
        <v>1.8522153320000001</v>
      </c>
      <c r="F9" s="35">
        <f t="shared" si="0"/>
        <v>8.9649563000000008</v>
      </c>
      <c r="G9" s="35">
        <f t="shared" si="0"/>
        <v>1.7439699399999999</v>
      </c>
      <c r="L9" t="s">
        <v>171</v>
      </c>
      <c r="M9" s="36">
        <f>B9/584.67</f>
        <v>4.3828020509705922E-3</v>
      </c>
      <c r="N9" s="36">
        <f t="shared" ref="N9:R10" si="1">C9/584.67</f>
        <v>5.2714496396398967E-3</v>
      </c>
      <c r="O9" s="36">
        <f t="shared" si="1"/>
        <v>3.5343397814151579E-3</v>
      </c>
      <c r="P9" s="36">
        <f t="shared" si="1"/>
        <v>3.1679671130723317E-3</v>
      </c>
      <c r="Q9" s="36">
        <f>F9/584.67</f>
        <v>1.53333612123078E-2</v>
      </c>
      <c r="R9" s="36">
        <f>G9/584.67</f>
        <v>2.982827817401269E-3</v>
      </c>
    </row>
    <row r="10" spans="1:19" x14ac:dyDescent="0.35">
      <c r="A10" t="s">
        <v>172</v>
      </c>
      <c r="B10" s="35">
        <f>(B5*0.0156)</f>
        <v>1.337803174603173E-2</v>
      </c>
      <c r="C10" s="35">
        <f t="shared" ref="C10:G10" si="2">(C5*0.0156)</f>
        <v>6.4062799422800422E-3</v>
      </c>
      <c r="D10" s="35">
        <f t="shared" si="2"/>
        <v>7.7797199999999995E-3</v>
      </c>
      <c r="E10" s="35">
        <f t="shared" si="2"/>
        <v>6.4328160000000001E-3</v>
      </c>
      <c r="F10" s="35">
        <f t="shared" si="2"/>
        <v>3.1465199999999999E-2</v>
      </c>
      <c r="G10" s="35">
        <f t="shared" si="2"/>
        <v>6.1152000000000003E-3</v>
      </c>
      <c r="L10" t="s">
        <v>172</v>
      </c>
      <c r="M10" s="36">
        <f>B10/584.67</f>
        <v>2.2881337756395453E-5</v>
      </c>
      <c r="N10" s="36">
        <f t="shared" si="1"/>
        <v>1.0957086805001184E-5</v>
      </c>
      <c r="O10" s="36">
        <f t="shared" si="1"/>
        <v>1.3306172712812355E-5</v>
      </c>
      <c r="P10" s="36">
        <f t="shared" si="1"/>
        <v>1.1002473190004619E-5</v>
      </c>
      <c r="Q10" s="36">
        <f t="shared" si="1"/>
        <v>5.3817024988455027E-5</v>
      </c>
      <c r="R10" s="36">
        <f t="shared" si="1"/>
        <v>1.0459233413720561E-5</v>
      </c>
    </row>
    <row r="11" spans="1:19" x14ac:dyDescent="0.35">
      <c r="M11" s="6"/>
      <c r="N11" s="6"/>
      <c r="O11" s="6"/>
      <c r="P11" s="6"/>
      <c r="Q11" s="6"/>
      <c r="R11" s="6"/>
    </row>
    <row r="12" spans="1:19" x14ac:dyDescent="0.35">
      <c r="A12" t="s">
        <v>170</v>
      </c>
      <c r="B12" s="7">
        <v>0.75452644386145007</v>
      </c>
      <c r="C12" s="7">
        <v>0.64047754838219073</v>
      </c>
      <c r="D12" s="7">
        <v>0.42</v>
      </c>
      <c r="E12" s="7">
        <v>0.39</v>
      </c>
      <c r="F12" s="7">
        <v>2.09</v>
      </c>
      <c r="G12" s="7">
        <v>0.40899999999999997</v>
      </c>
      <c r="L12" t="s">
        <v>170</v>
      </c>
      <c r="M12" s="6">
        <f>B12/893.51</f>
        <v>8.4445215371003134E-4</v>
      </c>
      <c r="N12" s="6">
        <f t="shared" ref="N12:R12" si="3">C12/893.51</f>
        <v>7.1681072218798977E-4</v>
      </c>
      <c r="O12" s="6">
        <f t="shared" si="3"/>
        <v>4.7005629483721503E-4</v>
      </c>
      <c r="P12" s="6">
        <f t="shared" si="3"/>
        <v>4.3648084520598538E-4</v>
      </c>
      <c r="Q12" s="6">
        <f t="shared" si="3"/>
        <v>2.3390896576423316E-3</v>
      </c>
      <c r="R12" s="6">
        <f t="shared" si="3"/>
        <v>4.5774529663909747E-4</v>
      </c>
    </row>
    <row r="13" spans="1:19" x14ac:dyDescent="0.35">
      <c r="M13" s="6"/>
      <c r="N13" s="6"/>
      <c r="O13" s="6"/>
      <c r="P13" s="6"/>
      <c r="Q13" s="6"/>
      <c r="R13" s="6"/>
    </row>
    <row r="14" spans="1:19" x14ac:dyDescent="0.35">
      <c r="A14" t="s">
        <v>176</v>
      </c>
      <c r="B14" s="7">
        <f>B9/B12</f>
        <v>3.3961604606286189</v>
      </c>
      <c r="C14" s="7">
        <f t="shared" ref="C14:G14" si="4">C9/C12</f>
        <v>4.8121256843325106</v>
      </c>
      <c r="D14" s="7">
        <f t="shared" si="4"/>
        <v>4.9200534285714292</v>
      </c>
      <c r="E14" s="7">
        <f t="shared" si="4"/>
        <v>4.7492700820512823</v>
      </c>
      <c r="F14" s="7">
        <f t="shared" si="4"/>
        <v>4.2894527751196181</v>
      </c>
      <c r="G14" s="7">
        <f t="shared" si="4"/>
        <v>4.2639851833740829</v>
      </c>
      <c r="L14" t="s">
        <v>177</v>
      </c>
      <c r="M14" s="7">
        <f>M9/M12</f>
        <v>5.190112940934676</v>
      </c>
      <c r="N14" s="7">
        <f t="shared" ref="N14:R14" si="5">N9/N12</f>
        <v>7.3540329078077233</v>
      </c>
      <c r="O14" s="7">
        <f t="shared" si="5"/>
        <v>7.5189712811720426</v>
      </c>
      <c r="P14" s="7">
        <f t="shared" si="5"/>
        <v>7.2579751159006642</v>
      </c>
      <c r="Q14" s="7">
        <f t="shared" si="5"/>
        <v>6.5552686970378682</v>
      </c>
      <c r="R14" s="7">
        <f t="shared" si="5"/>
        <v>6.5163483695017312</v>
      </c>
      <c r="S14" s="7">
        <f>AVERAGE(M14:R14)</f>
        <v>6.7321182187257849</v>
      </c>
    </row>
    <row r="15" spans="1:19" x14ac:dyDescent="0.35">
      <c r="S15" s="7">
        <f>_xlfn.STDEV.S(M14:R14)</f>
        <v>0.86464487005641166</v>
      </c>
    </row>
    <row r="17" spans="1:24" ht="21" x14ac:dyDescent="0.5">
      <c r="A17" s="2" t="s">
        <v>174</v>
      </c>
    </row>
    <row r="19" spans="1:24" ht="16.5" x14ac:dyDescent="0.45">
      <c r="B19" s="55" t="s">
        <v>182</v>
      </c>
      <c r="C19" s="55"/>
      <c r="D19" s="55"/>
      <c r="E19" s="55"/>
      <c r="F19" s="55"/>
      <c r="G19" s="55"/>
      <c r="H19" s="55"/>
      <c r="I19" s="55"/>
      <c r="J19" s="55"/>
      <c r="K19" s="55"/>
      <c r="N19" s="55" t="s">
        <v>183</v>
      </c>
      <c r="O19" s="55"/>
      <c r="P19" s="55"/>
      <c r="Q19" s="55"/>
      <c r="R19" s="55"/>
      <c r="S19" s="55"/>
      <c r="T19" s="55"/>
      <c r="U19" s="55"/>
      <c r="V19" s="55"/>
      <c r="W19" s="55"/>
    </row>
    <row r="20" spans="1:24" x14ac:dyDescent="0.35">
      <c r="B20" s="11" t="s">
        <v>1</v>
      </c>
      <c r="C20" s="11" t="s">
        <v>2</v>
      </c>
      <c r="D20" s="11" t="s">
        <v>3</v>
      </c>
      <c r="E20" s="11" t="s">
        <v>4</v>
      </c>
      <c r="F20" s="11" t="s">
        <v>5</v>
      </c>
      <c r="G20" s="11" t="s">
        <v>175</v>
      </c>
      <c r="H20" s="11" t="s">
        <v>178</v>
      </c>
      <c r="I20" s="11" t="s">
        <v>179</v>
      </c>
      <c r="J20" s="11" t="s">
        <v>180</v>
      </c>
      <c r="K20" s="11" t="s">
        <v>181</v>
      </c>
      <c r="N20" s="11" t="s">
        <v>1</v>
      </c>
      <c r="O20" s="11" t="s">
        <v>2</v>
      </c>
      <c r="P20" s="11" t="s">
        <v>3</v>
      </c>
      <c r="Q20" s="11" t="s">
        <v>4</v>
      </c>
      <c r="R20" s="11" t="s">
        <v>5</v>
      </c>
      <c r="S20" s="11" t="s">
        <v>175</v>
      </c>
      <c r="T20" s="11" t="s">
        <v>178</v>
      </c>
      <c r="U20" s="11" t="s">
        <v>179</v>
      </c>
      <c r="V20" s="11" t="s">
        <v>180</v>
      </c>
      <c r="W20" s="11" t="s">
        <v>181</v>
      </c>
    </row>
    <row r="21" spans="1:24" x14ac:dyDescent="0.35">
      <c r="A21" t="s">
        <v>169</v>
      </c>
      <c r="B21" s="7">
        <v>0.48700336700336705</v>
      </c>
      <c r="C21" s="7">
        <v>0.39353535353535357</v>
      </c>
      <c r="D21" s="7">
        <v>7.0739393939393942</v>
      </c>
      <c r="E21" s="7">
        <v>1.2817316017316016</v>
      </c>
      <c r="F21" s="7">
        <v>9.5194805194805188</v>
      </c>
      <c r="G21" s="7">
        <v>1.3214999999999999</v>
      </c>
      <c r="H21" s="7">
        <v>1.2949999999999999</v>
      </c>
      <c r="I21" s="7">
        <v>0.94099999999999995</v>
      </c>
      <c r="J21" s="7">
        <v>1.6579999999999999</v>
      </c>
      <c r="K21" s="7">
        <v>2.5621</v>
      </c>
      <c r="M21" t="s">
        <v>169</v>
      </c>
      <c r="N21" s="7">
        <v>0.48700336700336705</v>
      </c>
      <c r="O21" s="7">
        <v>0.39353535353535357</v>
      </c>
      <c r="P21" s="7">
        <v>7.0739393939393942</v>
      </c>
      <c r="Q21" s="7">
        <v>1.2817316017316016</v>
      </c>
      <c r="R21" s="7">
        <v>9.5194805194805188</v>
      </c>
      <c r="S21" s="7">
        <v>1.3214999999999999</v>
      </c>
      <c r="T21" s="7">
        <v>1.2949999999999999</v>
      </c>
      <c r="U21" s="7">
        <v>0.94099999999999995</v>
      </c>
      <c r="V21" s="7">
        <v>1.6579999999999999</v>
      </c>
      <c r="W21" s="7">
        <v>2.5621</v>
      </c>
    </row>
    <row r="22" spans="1:24" x14ac:dyDescent="0.35">
      <c r="A22" t="s">
        <v>167</v>
      </c>
      <c r="B22" s="7">
        <v>9.1345370539242499</v>
      </c>
      <c r="C22" s="7">
        <v>4.5466188420775335</v>
      </c>
      <c r="D22" s="7">
        <v>39.079883275579064</v>
      </c>
      <c r="E22" s="7">
        <v>27.010213386832028</v>
      </c>
      <c r="F22" s="7">
        <v>53.576691592194052</v>
      </c>
      <c r="G22" s="7">
        <v>12.3125</v>
      </c>
      <c r="H22" s="7">
        <v>10.39</v>
      </c>
      <c r="I22" s="7">
        <v>10.987</v>
      </c>
      <c r="J22" s="7">
        <v>10.353999999999999</v>
      </c>
      <c r="K22" s="7">
        <v>15.763</v>
      </c>
      <c r="M22" t="s">
        <v>167</v>
      </c>
      <c r="N22" s="7">
        <v>9.1345370539242499</v>
      </c>
      <c r="O22" s="7">
        <v>4.5466188420775335</v>
      </c>
      <c r="P22" s="7">
        <v>39.079883275579064</v>
      </c>
      <c r="Q22" s="7">
        <v>27.010213386832028</v>
      </c>
      <c r="R22" s="7">
        <v>53.576691592194052</v>
      </c>
      <c r="S22" s="7">
        <v>12.3125</v>
      </c>
      <c r="T22" s="7">
        <v>10.39</v>
      </c>
      <c r="U22" s="7">
        <v>10.987</v>
      </c>
      <c r="V22" s="7">
        <v>10.353999999999999</v>
      </c>
      <c r="W22" s="7">
        <v>15.763</v>
      </c>
    </row>
    <row r="23" spans="1:24" x14ac:dyDescent="0.35">
      <c r="A23" t="s">
        <v>168</v>
      </c>
      <c r="B23" s="7">
        <v>3.0106640006665004</v>
      </c>
      <c r="C23" s="7">
        <v>1.3284178955261183</v>
      </c>
      <c r="D23" s="7">
        <v>6.417145713571613</v>
      </c>
      <c r="E23" s="7">
        <v>4.3131717070732298</v>
      </c>
      <c r="F23" s="7">
        <v>12.095976005998502</v>
      </c>
      <c r="G23" s="7">
        <v>2.847</v>
      </c>
      <c r="H23" s="7">
        <v>2.5979999999999999</v>
      </c>
      <c r="I23" s="7">
        <v>2.3010000000000002</v>
      </c>
      <c r="J23" s="7">
        <v>2.34</v>
      </c>
      <c r="K23" s="7">
        <v>4.0598000000000001</v>
      </c>
      <c r="M23" t="s">
        <v>168</v>
      </c>
      <c r="N23" s="7">
        <v>3.0106640006665004</v>
      </c>
      <c r="O23" s="7">
        <v>1.3284178955261183</v>
      </c>
      <c r="P23" s="7">
        <v>6.417145713571613</v>
      </c>
      <c r="Q23" s="7">
        <v>4.3131717070732298</v>
      </c>
      <c r="R23" s="7">
        <v>12.095976005998502</v>
      </c>
      <c r="S23" s="7">
        <v>2.847</v>
      </c>
      <c r="T23" s="7">
        <v>2.5979999999999999</v>
      </c>
      <c r="U23" s="7">
        <v>2.3010000000000002</v>
      </c>
      <c r="V23" s="7">
        <v>2.34</v>
      </c>
      <c r="W23" s="7">
        <v>4.0598000000000001</v>
      </c>
    </row>
    <row r="25" spans="1:24" x14ac:dyDescent="0.35">
      <c r="A25" t="s">
        <v>171</v>
      </c>
      <c r="B25" s="35">
        <f>(B21*0.0312+B22*0.0466+B23*0.0326)</f>
        <v>0.53901157818510304</v>
      </c>
      <c r="C25" s="35">
        <f t="shared" ref="C25:K25" si="6">(C21*0.0312+C22*0.0466+C23*0.0326)</f>
        <v>0.26745716446526757</v>
      </c>
      <c r="D25" s="35">
        <f t="shared" si="6"/>
        <v>2.2510284199953285</v>
      </c>
      <c r="E25" s="35">
        <f t="shared" si="6"/>
        <v>1.4392753674509859</v>
      </c>
      <c r="F25" s="35">
        <f t="shared" si="6"/>
        <v>3.1880104381995862</v>
      </c>
      <c r="G25" s="35">
        <f t="shared" si="6"/>
        <v>0.70780550000000009</v>
      </c>
      <c r="H25" s="35">
        <f t="shared" si="6"/>
        <v>0.60927279999999995</v>
      </c>
      <c r="I25" s="35">
        <f t="shared" si="6"/>
        <v>0.61636600000000008</v>
      </c>
      <c r="J25" s="35">
        <f t="shared" si="6"/>
        <v>0.61051</v>
      </c>
      <c r="K25" s="35">
        <f t="shared" si="6"/>
        <v>0.94684279999999998</v>
      </c>
      <c r="M25" t="s">
        <v>171</v>
      </c>
      <c r="N25" s="36">
        <f t="shared" ref="N25:W26" si="7">B25/584.67</f>
        <v>9.2190736344451246E-4</v>
      </c>
      <c r="O25" s="36">
        <f t="shared" si="7"/>
        <v>4.5744978272404532E-4</v>
      </c>
      <c r="P25" s="36">
        <f t="shared" si="7"/>
        <v>3.8500836711227336E-3</v>
      </c>
      <c r="Q25" s="36">
        <f t="shared" si="7"/>
        <v>2.4616884181691999E-3</v>
      </c>
      <c r="R25" s="36">
        <f t="shared" si="7"/>
        <v>5.452666355721324E-3</v>
      </c>
      <c r="S25" s="36">
        <f t="shared" si="7"/>
        <v>1.2106068380453934E-3</v>
      </c>
      <c r="T25" s="36">
        <f t="shared" si="7"/>
        <v>1.042079805702362E-3</v>
      </c>
      <c r="U25" s="36">
        <f t="shared" si="7"/>
        <v>1.0542117775839365E-3</v>
      </c>
      <c r="V25" s="36">
        <f t="shared" si="7"/>
        <v>1.0441958711751929E-3</v>
      </c>
      <c r="W25" s="36">
        <f t="shared" si="7"/>
        <v>1.6194482357569228E-3</v>
      </c>
    </row>
    <row r="26" spans="1:24" x14ac:dyDescent="0.35">
      <c r="A26" t="s">
        <v>172</v>
      </c>
      <c r="B26" s="35">
        <f>(B21*0.0156)</f>
        <v>7.597252525252526E-3</v>
      </c>
      <c r="C26" s="35">
        <f t="shared" ref="C26:K26" si="8">(C21*0.0156)</f>
        <v>6.139151515151515E-3</v>
      </c>
      <c r="D26" s="35">
        <f t="shared" si="8"/>
        <v>0.11035345454545455</v>
      </c>
      <c r="E26" s="35">
        <f t="shared" si="8"/>
        <v>1.9995012987012985E-2</v>
      </c>
      <c r="F26" s="35">
        <f t="shared" si="8"/>
        <v>0.14850389610389608</v>
      </c>
      <c r="G26" s="35">
        <f t="shared" si="8"/>
        <v>2.0615399999999999E-2</v>
      </c>
      <c r="H26" s="35">
        <f t="shared" si="8"/>
        <v>2.0201999999999998E-2</v>
      </c>
      <c r="I26" s="35">
        <f t="shared" si="8"/>
        <v>1.4679599999999999E-2</v>
      </c>
      <c r="J26" s="35">
        <f t="shared" si="8"/>
        <v>2.5864799999999997E-2</v>
      </c>
      <c r="K26" s="35">
        <f t="shared" si="8"/>
        <v>3.9968759999999999E-2</v>
      </c>
      <c r="M26" t="s">
        <v>172</v>
      </c>
      <c r="N26" s="36">
        <f t="shared" si="7"/>
        <v>1.299408645090825E-5</v>
      </c>
      <c r="O26" s="36">
        <f t="shared" si="7"/>
        <v>1.0500199283615571E-5</v>
      </c>
      <c r="P26" s="36">
        <f t="shared" si="7"/>
        <v>1.8874485529521705E-4</v>
      </c>
      <c r="Q26" s="36">
        <f t="shared" si="7"/>
        <v>3.419880101084883E-5</v>
      </c>
      <c r="R26" s="36">
        <f t="shared" si="7"/>
        <v>2.5399609370054232E-4</v>
      </c>
      <c r="S26" s="36">
        <f t="shared" si="7"/>
        <v>3.5259890194468679E-5</v>
      </c>
      <c r="T26" s="36">
        <f t="shared" si="7"/>
        <v>3.4552824670326849E-5</v>
      </c>
      <c r="U26" s="36">
        <f t="shared" si="7"/>
        <v>2.5107496536507774E-5</v>
      </c>
      <c r="V26" s="36">
        <f t="shared" si="7"/>
        <v>4.4238288265175225E-5</v>
      </c>
      <c r="W26" s="36">
        <f t="shared" si="7"/>
        <v>6.8361229411462881E-5</v>
      </c>
    </row>
    <row r="27" spans="1:24" x14ac:dyDescent="0.35">
      <c r="N27" s="6"/>
      <c r="O27" s="6"/>
      <c r="P27" s="6"/>
      <c r="Q27" s="6"/>
      <c r="R27" s="6"/>
      <c r="S27" s="6"/>
      <c r="T27" s="6"/>
      <c r="U27" s="6"/>
      <c r="V27" s="6"/>
      <c r="W27" s="6"/>
    </row>
    <row r="28" spans="1:24" x14ac:dyDescent="0.35">
      <c r="A28" t="s">
        <v>170</v>
      </c>
      <c r="B28" s="7">
        <v>4.2513554617695144</v>
      </c>
      <c r="C28" s="7">
        <v>2.9171172198775714</v>
      </c>
      <c r="D28" s="7">
        <v>7.0418044941257003</v>
      </c>
      <c r="E28" s="7">
        <v>2.8795711189688604</v>
      </c>
      <c r="F28" s="7">
        <v>13.208623246264398</v>
      </c>
      <c r="G28" s="7">
        <v>2.5674000000000001</v>
      </c>
      <c r="H28" s="7">
        <v>2.37</v>
      </c>
      <c r="I28" s="7">
        <v>2.41</v>
      </c>
      <c r="J28" s="7">
        <v>2.67</v>
      </c>
      <c r="K28" s="7">
        <v>5.19</v>
      </c>
      <c r="M28" t="s">
        <v>170</v>
      </c>
      <c r="N28" s="6">
        <f t="shared" ref="N28:W28" si="9">B28/893.51</f>
        <v>4.7580390390365131E-3</v>
      </c>
      <c r="O28" s="6">
        <f t="shared" si="9"/>
        <v>3.2647840761464019E-3</v>
      </c>
      <c r="P28" s="6">
        <f t="shared" si="9"/>
        <v>7.8810584035161335E-3</v>
      </c>
      <c r="Q28" s="6">
        <f t="shared" si="9"/>
        <v>3.2227631688160853E-3</v>
      </c>
      <c r="R28" s="6">
        <f t="shared" si="9"/>
        <v>1.4782848816761311E-2</v>
      </c>
      <c r="S28" s="6">
        <f t="shared" si="9"/>
        <v>2.8733869794406331E-3</v>
      </c>
      <c r="T28" s="6">
        <f t="shared" si="9"/>
        <v>2.6524605208671421E-3</v>
      </c>
      <c r="U28" s="6">
        <f t="shared" si="9"/>
        <v>2.697227787042115E-3</v>
      </c>
      <c r="V28" s="6">
        <f t="shared" si="9"/>
        <v>2.9882150171794382E-3</v>
      </c>
      <c r="W28" s="6">
        <f t="shared" si="9"/>
        <v>5.8085527862027295E-3</v>
      </c>
    </row>
    <row r="29" spans="1:24" x14ac:dyDescent="0.35">
      <c r="N29" s="6"/>
      <c r="O29" s="6"/>
      <c r="P29" s="6"/>
      <c r="Q29" s="6"/>
      <c r="R29" s="6"/>
      <c r="S29" s="6"/>
      <c r="T29" s="6"/>
      <c r="U29" s="6"/>
      <c r="V29" s="6"/>
      <c r="W29" s="6"/>
    </row>
    <row r="30" spans="1:24" x14ac:dyDescent="0.35">
      <c r="A30" t="s">
        <v>176</v>
      </c>
      <c r="B30" s="37">
        <f>B25/B28</f>
        <v>0.12678581761327332</v>
      </c>
      <c r="C30" s="37">
        <f t="shared" ref="C30:K30" si="10">C25/C28</f>
        <v>9.1685436102047518E-2</v>
      </c>
      <c r="D30" s="37">
        <f t="shared" si="10"/>
        <v>0.31966641815647467</v>
      </c>
      <c r="E30" s="37">
        <f t="shared" si="10"/>
        <v>0.49982282360380564</v>
      </c>
      <c r="F30" s="37">
        <f t="shared" si="10"/>
        <v>0.24135826866749374</v>
      </c>
      <c r="G30" s="37">
        <f t="shared" si="10"/>
        <v>0.27568960816390126</v>
      </c>
      <c r="H30" s="37">
        <f t="shared" si="10"/>
        <v>0.2570771308016877</v>
      </c>
      <c r="I30" s="37">
        <f t="shared" si="10"/>
        <v>0.25575352697095438</v>
      </c>
      <c r="J30" s="37">
        <f t="shared" si="10"/>
        <v>0.22865543071161049</v>
      </c>
      <c r="K30" s="37">
        <f t="shared" si="10"/>
        <v>0.18243599229287089</v>
      </c>
      <c r="M30" t="s">
        <v>177</v>
      </c>
      <c r="N30" s="7">
        <f>N25/N28</f>
        <v>0.1937578392864964</v>
      </c>
      <c r="O30" s="7">
        <f t="shared" ref="O30:W30" si="11">O25/O28</f>
        <v>0.14011639730367639</v>
      </c>
      <c r="P30" s="7">
        <f t="shared" si="11"/>
        <v>0.48852368222585674</v>
      </c>
      <c r="Q30" s="7">
        <f t="shared" si="11"/>
        <v>0.76384403358858233</v>
      </c>
      <c r="R30" s="7">
        <f t="shared" si="11"/>
        <v>0.36885085028664438</v>
      </c>
      <c r="S30" s="7">
        <f t="shared" si="11"/>
        <v>0.42131701949908057</v>
      </c>
      <c r="T30" s="7">
        <f t="shared" si="11"/>
        <v>0.39287288067220144</v>
      </c>
      <c r="U30" s="7">
        <f t="shared" si="11"/>
        <v>0.39085011011992654</v>
      </c>
      <c r="V30" s="7">
        <f t="shared" si="11"/>
        <v>0.34943799732350062</v>
      </c>
      <c r="W30" s="7">
        <f t="shared" si="11"/>
        <v>0.27880408345494562</v>
      </c>
      <c r="X30" s="7">
        <f>AVERAGE(N30:W30)</f>
        <v>0.37883748937609113</v>
      </c>
    </row>
    <row r="31" spans="1:24" x14ac:dyDescent="0.35">
      <c r="X31" s="7">
        <f>_xlfn.STDEV.S(N30:W30)</f>
        <v>0.17147072565333504</v>
      </c>
    </row>
  </sheetData>
  <mergeCells count="4">
    <mergeCell ref="B3:G3"/>
    <mergeCell ref="M3:R3"/>
    <mergeCell ref="B19:K19"/>
    <mergeCell ref="N19:W19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A52"/>
  <sheetViews>
    <sheetView workbookViewId="0">
      <selection activeCell="C51" sqref="C51:C52"/>
    </sheetView>
  </sheetViews>
  <sheetFormatPr defaultRowHeight="14.5" x14ac:dyDescent="0.35"/>
  <cols>
    <col min="1" max="1" width="32.1796875" customWidth="1"/>
    <col min="2" max="2" width="16.54296875" customWidth="1"/>
    <col min="3" max="3" width="10" customWidth="1"/>
    <col min="4" max="4" width="9.54296875" customWidth="1"/>
    <col min="5" max="5" width="9.81640625" customWidth="1"/>
    <col min="6" max="6" width="10.81640625" customWidth="1"/>
    <col min="8" max="8" width="12.453125" customWidth="1"/>
    <col min="9" max="9" width="11" customWidth="1"/>
    <col min="17" max="17" width="10.1796875" customWidth="1"/>
    <col min="18" max="18" width="12.26953125" customWidth="1"/>
  </cols>
  <sheetData>
    <row r="1" spans="1:27" ht="21" x14ac:dyDescent="0.5">
      <c r="A1" s="2" t="s">
        <v>204</v>
      </c>
    </row>
    <row r="4" spans="1:27" x14ac:dyDescent="0.35">
      <c r="A4" t="s">
        <v>205</v>
      </c>
      <c r="B4" t="s">
        <v>206</v>
      </c>
      <c r="C4" s="11" t="s">
        <v>189</v>
      </c>
      <c r="D4" s="11" t="s">
        <v>190</v>
      </c>
      <c r="E4" s="11" t="s">
        <v>191</v>
      </c>
      <c r="F4" s="11" t="s">
        <v>192</v>
      </c>
      <c r="G4" s="11"/>
      <c r="H4" s="11" t="s">
        <v>193</v>
      </c>
      <c r="I4" s="11" t="s">
        <v>194</v>
      </c>
      <c r="O4" s="23" t="s">
        <v>66</v>
      </c>
      <c r="P4" s="23" t="s">
        <v>207</v>
      </c>
      <c r="Q4" s="23" t="s">
        <v>208</v>
      </c>
      <c r="R4" s="23" t="s">
        <v>209</v>
      </c>
    </row>
    <row r="5" spans="1:27" x14ac:dyDescent="0.35">
      <c r="A5" s="24">
        <v>-2.4304184645039308</v>
      </c>
      <c r="B5" s="12">
        <v>2.0024805004887076</v>
      </c>
      <c r="C5" s="7">
        <f>(A5-$A$30)^2</f>
        <v>3.980894235473087</v>
      </c>
      <c r="D5" s="7">
        <f>(B5-$B$30)^2</f>
        <v>14.628670940671132</v>
      </c>
      <c r="E5" s="7">
        <f>(A5-$A$30)*(B5-$B$30)</f>
        <v>7.6311985834697271</v>
      </c>
      <c r="F5" s="7">
        <f>A5^2</f>
        <v>5.9069339126016454</v>
      </c>
      <c r="G5" s="7"/>
      <c r="H5" s="7">
        <f>$B$34*A5+$B$35</f>
        <v>2.0228989239712227</v>
      </c>
      <c r="I5" s="7">
        <f>(B5-H5)^2</f>
        <v>4.1691201751132417E-4</v>
      </c>
      <c r="O5" s="8">
        <v>8.7999999999999995E-2</v>
      </c>
      <c r="P5" s="8">
        <v>7.407407407</v>
      </c>
      <c r="Q5" s="18">
        <f>LN(O5)</f>
        <v>-2.4304184645039308</v>
      </c>
      <c r="R5" s="18">
        <f>LN(P5)</f>
        <v>2.0024805004887076</v>
      </c>
      <c r="Z5">
        <v>0.111</v>
      </c>
      <c r="AA5">
        <v>7.407407407</v>
      </c>
    </row>
    <row r="6" spans="1:27" x14ac:dyDescent="0.35">
      <c r="A6" s="24">
        <v>-2.0874737133771002</v>
      </c>
      <c r="B6" s="12">
        <v>2.6682564839735026</v>
      </c>
      <c r="C6" s="7">
        <f t="shared" ref="C6:C29" si="0">(A6-$A$30)^2</f>
        <v>2.7300063655300169</v>
      </c>
      <c r="D6" s="7">
        <f t="shared" ref="D6:D29" si="1">(B6-$B$30)^2</f>
        <v>9.9790824603252979</v>
      </c>
      <c r="E6" s="7">
        <f t="shared" ref="E6:E29" si="2">(A6-$A$30)*(B6-$B$30)</f>
        <v>5.2194787708004915</v>
      </c>
      <c r="F6" s="7">
        <f t="shared" ref="F6:F29" si="3">A6^2</f>
        <v>4.3575465040403802</v>
      </c>
      <c r="G6" s="7"/>
      <c r="H6" s="7">
        <f t="shared" ref="H6:H29" si="4">$B$34*A6+$B$35</f>
        <v>2.6767992913901812</v>
      </c>
      <c r="I6" s="7">
        <f t="shared" ref="I6:I29" si="5">(B6-H6)^2</f>
        <v>7.297955855846022E-5</v>
      </c>
      <c r="O6" s="8">
        <v>0.124</v>
      </c>
      <c r="P6" s="8">
        <v>14.414814809999999</v>
      </c>
      <c r="Q6" s="18">
        <f t="shared" ref="Q6:Q29" si="6">LN(O6)</f>
        <v>-2.0874737133771002</v>
      </c>
      <c r="R6" s="18">
        <f t="shared" ref="R6:R29" si="7">LN(P6)</f>
        <v>2.6682564839735026</v>
      </c>
      <c r="Z6">
        <v>0.124</v>
      </c>
      <c r="AA6">
        <v>14.81481481</v>
      </c>
    </row>
    <row r="7" spans="1:27" x14ac:dyDescent="0.35">
      <c r="A7" s="24">
        <v>-1.7660917224794772</v>
      </c>
      <c r="B7" s="12">
        <v>3.2666072276046449</v>
      </c>
      <c r="C7" s="7">
        <f t="shared" si="0"/>
        <v>1.7712711189521693</v>
      </c>
      <c r="D7" s="7">
        <f t="shared" si="1"/>
        <v>6.556763680340703</v>
      </c>
      <c r="E7" s="7">
        <f t="shared" si="2"/>
        <v>3.4079034817292024</v>
      </c>
      <c r="F7" s="7">
        <f t="shared" si="3"/>
        <v>3.1190799722105269</v>
      </c>
      <c r="G7" s="7"/>
      <c r="H7" s="7">
        <f t="shared" si="4"/>
        <v>3.289585465370934</v>
      </c>
      <c r="I7" s="7">
        <f t="shared" si="5"/>
        <v>5.2799941084411212E-4</v>
      </c>
      <c r="O7" s="8">
        <v>0.17100000000000001</v>
      </c>
      <c r="P7" s="8">
        <v>26.222222219999999</v>
      </c>
      <c r="Q7" s="18">
        <f t="shared" si="6"/>
        <v>-1.7660917224794772</v>
      </c>
      <c r="R7" s="18">
        <f t="shared" si="7"/>
        <v>3.2666072276046449</v>
      </c>
      <c r="Z7">
        <v>0.17100000000000001</v>
      </c>
      <c r="AA7">
        <v>22.222222219999999</v>
      </c>
    </row>
    <row r="8" spans="1:27" x14ac:dyDescent="0.35">
      <c r="A8" s="24">
        <v>-1.2517634681622845</v>
      </c>
      <c r="B8" s="12">
        <v>4.4536605420034086</v>
      </c>
      <c r="C8" s="7">
        <f t="shared" si="0"/>
        <v>0.66677488027038367</v>
      </c>
      <c r="D8" s="7">
        <f t="shared" si="1"/>
        <v>1.8866794833610046</v>
      </c>
      <c r="E8" s="7">
        <f t="shared" si="2"/>
        <v>1.1216017504562941</v>
      </c>
      <c r="F8" s="7">
        <f t="shared" si="3"/>
        <v>1.5669117802256705</v>
      </c>
      <c r="G8" s="7"/>
      <c r="H8" s="7">
        <f t="shared" si="4"/>
        <v>4.2702665615734636</v>
      </c>
      <c r="I8" s="7">
        <f t="shared" si="5"/>
        <v>3.363335205793902E-2</v>
      </c>
      <c r="O8" s="8">
        <v>0.28599999999999998</v>
      </c>
      <c r="P8" s="8">
        <v>85.940959410000005</v>
      </c>
      <c r="Q8" s="18">
        <f t="shared" si="6"/>
        <v>-1.2517634681622845</v>
      </c>
      <c r="R8" s="18">
        <f t="shared" si="7"/>
        <v>4.4536605420034086</v>
      </c>
      <c r="Z8">
        <v>0.28599999999999998</v>
      </c>
      <c r="AA8">
        <v>95.940959410000005</v>
      </c>
    </row>
    <row r="9" spans="1:27" x14ac:dyDescent="0.35">
      <c r="A9" s="24">
        <v>-1.0966142860054366</v>
      </c>
      <c r="B9" s="12">
        <v>4.6331872994671217</v>
      </c>
      <c r="C9" s="7">
        <f t="shared" si="0"/>
        <v>0.43746803374866444</v>
      </c>
      <c r="D9" s="7">
        <f t="shared" si="1"/>
        <v>1.4257261720673526</v>
      </c>
      <c r="E9" s="7">
        <f t="shared" si="2"/>
        <v>0.78975288866728099</v>
      </c>
      <c r="F9" s="7">
        <f t="shared" si="3"/>
        <v>1.2025628922712135</v>
      </c>
      <c r="G9" s="7"/>
      <c r="H9" s="7">
        <f t="shared" si="4"/>
        <v>4.5660929501791134</v>
      </c>
      <c r="I9" s="7">
        <f t="shared" si="5"/>
        <v>4.501651706381257E-3</v>
      </c>
      <c r="O9" s="8">
        <v>0.33400000000000002</v>
      </c>
      <c r="P9" s="8">
        <v>102.84132839999999</v>
      </c>
      <c r="Q9" s="18">
        <f t="shared" si="6"/>
        <v>-1.0966142860054366</v>
      </c>
      <c r="R9" s="18">
        <f t="shared" si="7"/>
        <v>4.6331872994671217</v>
      </c>
      <c r="Z9">
        <v>0.33400000000000002</v>
      </c>
      <c r="AA9">
        <v>132.84132840000001</v>
      </c>
    </row>
    <row r="10" spans="1:27" x14ac:dyDescent="0.35">
      <c r="A10" s="24">
        <v>-0.89894209353954213</v>
      </c>
      <c r="B10" s="12">
        <v>4.8928522581898726</v>
      </c>
      <c r="C10" s="7">
        <f t="shared" si="0"/>
        <v>0.21505615159521094</v>
      </c>
      <c r="D10" s="7">
        <f t="shared" si="1"/>
        <v>0.87305253158008733</v>
      </c>
      <c r="E10" s="7">
        <f t="shared" si="2"/>
        <v>0.43330741694791003</v>
      </c>
      <c r="F10" s="7">
        <f t="shared" si="3"/>
        <v>0.80809688753725495</v>
      </c>
      <c r="G10" s="7"/>
      <c r="H10" s="7">
        <f t="shared" si="4"/>
        <v>4.9429989061887927</v>
      </c>
      <c r="I10" s="7">
        <f t="shared" si="5"/>
        <v>2.5146863055275975E-3</v>
      </c>
      <c r="O10" s="8">
        <v>0.40699999999999997</v>
      </c>
      <c r="P10" s="8">
        <v>133.33333329999999</v>
      </c>
      <c r="Q10" s="18">
        <f t="shared" si="6"/>
        <v>-0.89894209353954213</v>
      </c>
      <c r="R10" s="18">
        <f t="shared" si="7"/>
        <v>4.8928522581898726</v>
      </c>
      <c r="Z10">
        <v>0.40699999999999997</v>
      </c>
      <c r="AA10">
        <v>133.33333329999999</v>
      </c>
    </row>
    <row r="11" spans="1:27" x14ac:dyDescent="0.35">
      <c r="A11" s="24">
        <v>-0.81193071654991233</v>
      </c>
      <c r="B11" s="12">
        <v>5.0898260919206972</v>
      </c>
      <c r="C11" s="7">
        <f t="shared" si="0"/>
        <v>0.14192556346495322</v>
      </c>
      <c r="D11" s="7">
        <f t="shared" si="1"/>
        <v>0.54375723719126456</v>
      </c>
      <c r="E11" s="7">
        <f t="shared" si="2"/>
        <v>0.2778003820669015</v>
      </c>
      <c r="F11" s="7">
        <f t="shared" si="3"/>
        <v>0.6592314884772541</v>
      </c>
      <c r="G11" s="7"/>
      <c r="H11" s="7">
        <f t="shared" si="4"/>
        <v>5.1089054296045902</v>
      </c>
      <c r="I11" s="7">
        <f t="shared" si="5"/>
        <v>3.640211264560163E-4</v>
      </c>
      <c r="O11" s="8">
        <v>0.44400000000000001</v>
      </c>
      <c r="P11" s="8">
        <v>162.3616236</v>
      </c>
      <c r="Q11" s="18">
        <f t="shared" si="6"/>
        <v>-0.81193071654991233</v>
      </c>
      <c r="R11" s="18">
        <f t="shared" si="7"/>
        <v>5.0898260919206972</v>
      </c>
      <c r="Z11">
        <v>0.42399999999999999</v>
      </c>
      <c r="AA11">
        <v>162.3616236</v>
      </c>
    </row>
    <row r="12" spans="1:27" x14ac:dyDescent="0.35">
      <c r="A12" s="24">
        <v>-0.74865989049020409</v>
      </c>
      <c r="B12" s="12">
        <v>5.1805343310166529</v>
      </c>
      <c r="C12" s="7">
        <f t="shared" si="0"/>
        <v>9.8256712441083971E-2</v>
      </c>
      <c r="D12" s="7">
        <f t="shared" si="1"/>
        <v>0.41820889813464535</v>
      </c>
      <c r="E12" s="7">
        <f t="shared" si="2"/>
        <v>0.20271120206914672</v>
      </c>
      <c r="F12" s="7">
        <f t="shared" si="3"/>
        <v>0.56049163162880433</v>
      </c>
      <c r="G12" s="7"/>
      <c r="H12" s="7">
        <f t="shared" si="4"/>
        <v>5.2295453177247708</v>
      </c>
      <c r="I12" s="7">
        <f t="shared" si="5"/>
        <v>2.4020768181033073E-3</v>
      </c>
      <c r="O12" s="8">
        <v>0.47299999999999998</v>
      </c>
      <c r="P12" s="8">
        <v>177.7777778</v>
      </c>
      <c r="Q12" s="18">
        <f t="shared" si="6"/>
        <v>-0.74865989049020409</v>
      </c>
      <c r="R12" s="18">
        <f t="shared" si="7"/>
        <v>5.1805343310166529</v>
      </c>
      <c r="Z12">
        <v>0.49299999999999999</v>
      </c>
      <c r="AA12">
        <v>177.7777778</v>
      </c>
    </row>
    <row r="13" spans="1:27" x14ac:dyDescent="0.35">
      <c r="A13" s="24">
        <v>-0.68121860969467152</v>
      </c>
      <c r="B13" s="12">
        <v>5.0470029385528452</v>
      </c>
      <c r="C13" s="7">
        <f t="shared" si="0"/>
        <v>6.0524849828776713E-2</v>
      </c>
      <c r="D13" s="7">
        <f t="shared" si="1"/>
        <v>0.60874655780815135</v>
      </c>
      <c r="E13" s="7">
        <f t="shared" si="2"/>
        <v>0.19194867541903776</v>
      </c>
      <c r="F13" s="7">
        <f t="shared" si="3"/>
        <v>0.46405879419434121</v>
      </c>
      <c r="G13" s="7"/>
      <c r="H13" s="7">
        <f t="shared" si="4"/>
        <v>5.3581371044382369</v>
      </c>
      <c r="I13" s="7">
        <f t="shared" si="5"/>
        <v>9.6804469181198421E-2</v>
      </c>
      <c r="O13" s="8">
        <v>0.50600000000000001</v>
      </c>
      <c r="P13" s="8">
        <v>155.55555559999999</v>
      </c>
      <c r="Q13" s="18">
        <f t="shared" si="6"/>
        <v>-0.68121860969467152</v>
      </c>
      <c r="R13" s="18">
        <f t="shared" si="7"/>
        <v>5.0470029385528452</v>
      </c>
      <c r="Z13">
        <v>0.50600000000000001</v>
      </c>
      <c r="AA13">
        <v>155.55555559999999</v>
      </c>
    </row>
    <row r="14" spans="1:27" x14ac:dyDescent="0.35">
      <c r="A14" s="24">
        <v>-0.64245406624442714</v>
      </c>
      <c r="B14" s="12">
        <v>5.6660421467118152</v>
      </c>
      <c r="C14" s="7">
        <f t="shared" si="0"/>
        <v>4.2953989780036977E-2</v>
      </c>
      <c r="D14" s="7">
        <f t="shared" si="1"/>
        <v>2.5979931332094437E-2</v>
      </c>
      <c r="E14" s="7">
        <f t="shared" si="2"/>
        <v>3.3405713656870839E-2</v>
      </c>
      <c r="F14" s="7">
        <f t="shared" si="3"/>
        <v>0.41274722723399876</v>
      </c>
      <c r="G14" s="7"/>
      <c r="H14" s="7">
        <f t="shared" si="4"/>
        <v>5.4320503196767129</v>
      </c>
      <c r="I14" s="7">
        <f t="shared" si="5"/>
        <v>5.4752175119225206E-2</v>
      </c>
      <c r="O14" s="8">
        <v>0.52600000000000002</v>
      </c>
      <c r="P14" s="8">
        <v>288.88888889999998</v>
      </c>
      <c r="Q14" s="18">
        <f t="shared" si="6"/>
        <v>-0.64245406624442714</v>
      </c>
      <c r="R14" s="18">
        <f t="shared" si="7"/>
        <v>5.6660421467118152</v>
      </c>
      <c r="Z14">
        <v>0.52600000000000002</v>
      </c>
      <c r="AA14">
        <v>288.88888889999998</v>
      </c>
    </row>
    <row r="15" spans="1:27" x14ac:dyDescent="0.35">
      <c r="A15" s="24">
        <v>-0.60513630323723189</v>
      </c>
      <c r="B15" s="12">
        <v>5.4026773818722793</v>
      </c>
      <c r="C15" s="7">
        <f t="shared" si="0"/>
        <v>2.8878135453248303E-2</v>
      </c>
      <c r="D15" s="7">
        <f t="shared" si="1"/>
        <v>0.18024073046638656</v>
      </c>
      <c r="E15" s="7">
        <f t="shared" si="2"/>
        <v>7.2145798412663845E-2</v>
      </c>
      <c r="F15" s="7">
        <f t="shared" si="3"/>
        <v>0.36618994549562306</v>
      </c>
      <c r="G15" s="7"/>
      <c r="H15" s="7">
        <f t="shared" si="4"/>
        <v>5.5032049265382534</v>
      </c>
      <c r="I15" s="7">
        <f t="shared" si="5"/>
        <v>1.0105787236569425E-2</v>
      </c>
      <c r="O15" s="8">
        <v>0.54600000000000004</v>
      </c>
      <c r="P15" s="8">
        <v>222</v>
      </c>
      <c r="Q15" s="18">
        <f t="shared" si="6"/>
        <v>-0.60513630323723189</v>
      </c>
      <c r="R15" s="18">
        <f t="shared" si="7"/>
        <v>5.4026773818722793</v>
      </c>
      <c r="Z15">
        <v>0.54600000000000004</v>
      </c>
      <c r="AA15">
        <v>222</v>
      </c>
    </row>
    <row r="16" spans="1:27" x14ac:dyDescent="0.35">
      <c r="A16" s="24">
        <v>-0.50087529291282262</v>
      </c>
      <c r="B16" s="12">
        <v>5.7401501187913615</v>
      </c>
      <c r="C16" s="7">
        <f t="shared" si="0"/>
        <v>4.3131622819000681E-3</v>
      </c>
      <c r="D16" s="7">
        <f t="shared" si="1"/>
        <v>7.5820452762971613E-3</v>
      </c>
      <c r="E16" s="7">
        <f t="shared" si="2"/>
        <v>5.7186179891109612E-3</v>
      </c>
      <c r="F16" s="7">
        <f t="shared" si="3"/>
        <v>0.25087605905050586</v>
      </c>
      <c r="G16" s="7"/>
      <c r="H16" s="7">
        <f t="shared" si="4"/>
        <v>5.7020017086280586</v>
      </c>
      <c r="I16" s="7">
        <f t="shared" si="5"/>
        <v>1.4553011979875957E-3</v>
      </c>
      <c r="O16" s="8">
        <v>0.60599999999999998</v>
      </c>
      <c r="P16" s="8">
        <v>311.11111110000002</v>
      </c>
      <c r="Q16" s="18">
        <f t="shared" si="6"/>
        <v>-0.50087529291282262</v>
      </c>
      <c r="R16" s="18">
        <f t="shared" si="7"/>
        <v>5.7401501187913615</v>
      </c>
      <c r="Z16">
        <v>0.60599999999999998</v>
      </c>
      <c r="AA16">
        <v>311.11111110000002</v>
      </c>
    </row>
    <row r="17" spans="1:27" x14ac:dyDescent="0.35">
      <c r="A17" s="24">
        <v>-0.40346710544549125</v>
      </c>
      <c r="B17" s="12">
        <v>5.872117789475416</v>
      </c>
      <c r="C17" s="7">
        <f t="shared" si="0"/>
        <v>1.00701612974235E-3</v>
      </c>
      <c r="D17" s="7">
        <f t="shared" si="1"/>
        <v>2.0153572165632658E-3</v>
      </c>
      <c r="E17" s="7">
        <f t="shared" si="2"/>
        <v>1.4246042342601173E-3</v>
      </c>
      <c r="F17" s="7">
        <f t="shared" si="3"/>
        <v>0.16278570517656316</v>
      </c>
      <c r="G17" s="7"/>
      <c r="H17" s="7">
        <f t="shared" si="4"/>
        <v>5.8877320613021151</v>
      </c>
      <c r="I17" s="7">
        <f t="shared" si="5"/>
        <v>2.4380548467805132E-4</v>
      </c>
      <c r="O17" s="8">
        <v>0.66800000000000004</v>
      </c>
      <c r="P17" s="8">
        <v>355</v>
      </c>
      <c r="Q17" s="18">
        <f t="shared" si="6"/>
        <v>-0.40346710544549125</v>
      </c>
      <c r="R17" s="18">
        <f t="shared" si="7"/>
        <v>5.872117789475416</v>
      </c>
      <c r="Z17">
        <v>0.63800000000000001</v>
      </c>
      <c r="AA17">
        <v>355</v>
      </c>
    </row>
    <row r="18" spans="1:27" x14ac:dyDescent="0.35">
      <c r="A18" s="24">
        <v>-0.36240561864771748</v>
      </c>
      <c r="B18" s="12">
        <v>6.0968250626658085</v>
      </c>
      <c r="C18" s="7">
        <f t="shared" si="0"/>
        <v>5.2991126434171042E-3</v>
      </c>
      <c r="D18" s="7">
        <f t="shared" si="1"/>
        <v>7.2684161778574549E-2</v>
      </c>
      <c r="E18" s="7">
        <f t="shared" si="2"/>
        <v>1.9625533385287101E-2</v>
      </c>
      <c r="F18" s="7">
        <f t="shared" si="3"/>
        <v>0.13133783242743483</v>
      </c>
      <c r="G18" s="7"/>
      <c r="H18" s="7">
        <f t="shared" si="4"/>
        <v>5.9660249093938562</v>
      </c>
      <c r="I18" s="7">
        <f t="shared" si="5"/>
        <v>1.7108680095966205E-2</v>
      </c>
      <c r="O18" s="8">
        <v>0.69599999999999995</v>
      </c>
      <c r="P18" s="8">
        <v>444.44444440000001</v>
      </c>
      <c r="Q18" s="18">
        <f t="shared" si="6"/>
        <v>-0.36240561864771748</v>
      </c>
      <c r="R18" s="18">
        <f t="shared" si="7"/>
        <v>6.0968250626658085</v>
      </c>
      <c r="Z18">
        <v>0.69599999999999995</v>
      </c>
      <c r="AA18">
        <v>444.44444440000001</v>
      </c>
    </row>
    <row r="19" spans="1:27" x14ac:dyDescent="0.35">
      <c r="A19" s="24">
        <v>-0.23445731121448313</v>
      </c>
      <c r="B19" s="12">
        <v>6.156978985585555</v>
      </c>
      <c r="C19" s="7">
        <f t="shared" si="0"/>
        <v>4.0297877184613431E-2</v>
      </c>
      <c r="D19" s="7">
        <f t="shared" si="1"/>
        <v>0.10873765185637732</v>
      </c>
      <c r="E19" s="7">
        <f t="shared" si="2"/>
        <v>6.6195895188837395E-2</v>
      </c>
      <c r="F19" s="7">
        <f t="shared" si="3"/>
        <v>5.4970230781924999E-2</v>
      </c>
      <c r="G19" s="7"/>
      <c r="H19" s="7">
        <f t="shared" si="4"/>
        <v>6.2099867865368132</v>
      </c>
      <c r="I19" s="7">
        <f t="shared" si="5"/>
        <v>2.8098269616882131E-3</v>
      </c>
      <c r="O19" s="8">
        <v>0.78100000000000003</v>
      </c>
      <c r="P19" s="8">
        <v>472</v>
      </c>
      <c r="Q19" s="18">
        <f t="shared" si="6"/>
        <v>-0.24718012914245105</v>
      </c>
      <c r="R19" s="18">
        <f t="shared" si="7"/>
        <v>6.156978985585555</v>
      </c>
      <c r="Z19">
        <v>0.79100000000000004</v>
      </c>
      <c r="AA19">
        <v>422</v>
      </c>
    </row>
    <row r="20" spans="1:27" x14ac:dyDescent="0.35">
      <c r="A20" s="24">
        <v>0.53297842840712395</v>
      </c>
      <c r="B20" s="12">
        <v>7.8106229906592866</v>
      </c>
      <c r="C20" s="7">
        <f t="shared" si="0"/>
        <v>0.93737067538101526</v>
      </c>
      <c r="D20" s="7">
        <f t="shared" si="1"/>
        <v>3.9338673538534699</v>
      </c>
      <c r="E20" s="7">
        <f t="shared" si="2"/>
        <v>1.9202843274736567</v>
      </c>
      <c r="F20" s="7">
        <f t="shared" si="3"/>
        <v>0.28406600514732777</v>
      </c>
      <c r="G20" s="7"/>
      <c r="H20" s="7">
        <f t="shared" si="4"/>
        <v>7.6732735417944244</v>
      </c>
      <c r="I20" s="7">
        <f t="shared" si="5"/>
        <v>1.8864871103481371E-2</v>
      </c>
      <c r="O20" s="8">
        <v>1.704</v>
      </c>
      <c r="P20" s="8">
        <v>2466.666667</v>
      </c>
      <c r="Q20" s="18">
        <f t="shared" si="6"/>
        <v>0.53297842840712395</v>
      </c>
      <c r="R20" s="18">
        <f t="shared" si="7"/>
        <v>7.8106229906592866</v>
      </c>
      <c r="Z20">
        <v>1.704</v>
      </c>
      <c r="AA20">
        <v>2466.666667</v>
      </c>
    </row>
    <row r="21" spans="1:27" x14ac:dyDescent="0.35">
      <c r="A21" s="24">
        <v>0.54116082356206363</v>
      </c>
      <c r="B21" s="12">
        <v>7.7260656026431471</v>
      </c>
      <c r="C21" s="7">
        <f t="shared" si="0"/>
        <v>0.9532816741284702</v>
      </c>
      <c r="D21" s="7">
        <f t="shared" si="1"/>
        <v>3.6055954087882465</v>
      </c>
      <c r="E21" s="7">
        <f t="shared" si="2"/>
        <v>1.8539546994248768</v>
      </c>
      <c r="F21" s="7">
        <f t="shared" si="3"/>
        <v>0.29285503695837095</v>
      </c>
      <c r="G21" s="7"/>
      <c r="H21" s="7">
        <f t="shared" si="4"/>
        <v>7.6888750962156598</v>
      </c>
      <c r="I21" s="7">
        <f t="shared" si="5"/>
        <v>1.3831337683329768E-3</v>
      </c>
      <c r="O21" s="8">
        <v>1.718</v>
      </c>
      <c r="P21" s="8">
        <v>2266.666667</v>
      </c>
      <c r="Q21" s="18">
        <f t="shared" si="6"/>
        <v>0.54116082356206363</v>
      </c>
      <c r="R21" s="18">
        <f t="shared" si="7"/>
        <v>7.7260656026431471</v>
      </c>
      <c r="Z21">
        <v>1.718</v>
      </c>
      <c r="AA21">
        <v>2266.666667</v>
      </c>
    </row>
    <row r="22" spans="1:27" x14ac:dyDescent="0.35">
      <c r="A22" s="24">
        <v>0.54754320670115353</v>
      </c>
      <c r="B22" s="12">
        <v>7.6174317613293585</v>
      </c>
      <c r="C22" s="7">
        <f t="shared" si="0"/>
        <v>0.96578543461005917</v>
      </c>
      <c r="D22" s="7">
        <f t="shared" si="1"/>
        <v>3.2048400357499953</v>
      </c>
      <c r="E22" s="7">
        <f t="shared" si="2"/>
        <v>1.7593145900556064</v>
      </c>
      <c r="F22" s="7">
        <f t="shared" si="3"/>
        <v>0.29980356320458212</v>
      </c>
      <c r="G22" s="7"/>
      <c r="H22" s="7">
        <f t="shared" si="4"/>
        <v>7.7010445277813755</v>
      </c>
      <c r="I22" s="7">
        <f t="shared" si="5"/>
        <v>6.9910947137595365E-3</v>
      </c>
      <c r="O22" s="8">
        <v>1.7290000000000001</v>
      </c>
      <c r="P22" s="8">
        <v>2033.333333</v>
      </c>
      <c r="Q22" s="18">
        <f t="shared" si="6"/>
        <v>0.54754320670115353</v>
      </c>
      <c r="R22" s="18">
        <f t="shared" si="7"/>
        <v>7.6174317613293585</v>
      </c>
      <c r="Z22">
        <v>1.7290000000000001</v>
      </c>
      <c r="AA22">
        <v>1933.333333</v>
      </c>
    </row>
    <row r="23" spans="1:27" x14ac:dyDescent="0.35">
      <c r="A23" s="24">
        <v>0.55043087835835014</v>
      </c>
      <c r="B23" s="12">
        <v>7.7550531392264839</v>
      </c>
      <c r="C23" s="7">
        <f t="shared" si="0"/>
        <v>0.97146945626368042</v>
      </c>
      <c r="D23" s="7">
        <f t="shared" si="1"/>
        <v>3.716521105493682</v>
      </c>
      <c r="E23" s="7">
        <f t="shared" si="2"/>
        <v>1.9001280845107362</v>
      </c>
      <c r="F23" s="7">
        <f t="shared" si="3"/>
        <v>0.30297415185034487</v>
      </c>
      <c r="G23" s="7"/>
      <c r="H23" s="7">
        <f t="shared" si="4"/>
        <v>7.7065505154118092</v>
      </c>
      <c r="I23" s="7">
        <f t="shared" si="5"/>
        <v>2.3525045169078425E-3</v>
      </c>
      <c r="O23" s="8">
        <v>1.734</v>
      </c>
      <c r="P23" s="8">
        <v>2333.333333</v>
      </c>
      <c r="Q23" s="18">
        <f t="shared" si="6"/>
        <v>0.55043087835835014</v>
      </c>
      <c r="R23" s="18">
        <f t="shared" si="7"/>
        <v>7.7550531392264839</v>
      </c>
      <c r="Z23">
        <v>1.734</v>
      </c>
      <c r="AA23">
        <v>2333.333333</v>
      </c>
    </row>
    <row r="24" spans="1:27" x14ac:dyDescent="0.35">
      <c r="A24" s="24">
        <v>0.56701690341573308</v>
      </c>
      <c r="B24" s="12">
        <v>7.7260656026431471</v>
      </c>
      <c r="C24" s="7">
        <f t="shared" si="0"/>
        <v>1.0044399700451652</v>
      </c>
      <c r="D24" s="7">
        <f t="shared" si="1"/>
        <v>3.6055954087882465</v>
      </c>
      <c r="E24" s="7">
        <f t="shared" si="2"/>
        <v>1.9030512721412032</v>
      </c>
      <c r="F24" s="7">
        <f t="shared" si="3"/>
        <v>0.32150816875916677</v>
      </c>
      <c r="G24" s="7"/>
      <c r="H24" s="7">
        <f t="shared" si="4"/>
        <v>7.7381754574568662</v>
      </c>
      <c r="I24" s="7">
        <f t="shared" si="5"/>
        <v>1.4664858360935486E-4</v>
      </c>
      <c r="O24" s="8">
        <v>1.7629999999999999</v>
      </c>
      <c r="P24" s="8">
        <v>2266.666667</v>
      </c>
      <c r="Q24" s="18">
        <f t="shared" si="6"/>
        <v>0.56701690341573308</v>
      </c>
      <c r="R24" s="18">
        <f t="shared" si="7"/>
        <v>7.7260656026431471</v>
      </c>
      <c r="Z24">
        <v>1.7629999999999999</v>
      </c>
      <c r="AA24">
        <v>2266.666667</v>
      </c>
    </row>
    <row r="25" spans="1:27" x14ac:dyDescent="0.35">
      <c r="A25" s="24">
        <v>0.60322247303195831</v>
      </c>
      <c r="B25" s="12">
        <v>7.7970173383313863</v>
      </c>
      <c r="C25" s="7">
        <f t="shared" si="0"/>
        <v>1.0783225261553164</v>
      </c>
      <c r="D25" s="7">
        <f t="shared" si="1"/>
        <v>3.8800816222666659</v>
      </c>
      <c r="E25" s="7">
        <f t="shared" si="2"/>
        <v>2.0454777966556885</v>
      </c>
      <c r="F25" s="7">
        <f t="shared" si="3"/>
        <v>0.36387735197079168</v>
      </c>
      <c r="G25" s="7"/>
      <c r="H25" s="7">
        <f t="shared" si="4"/>
        <v>7.8072094204986477</v>
      </c>
      <c r="I25" s="7">
        <f t="shared" si="5"/>
        <v>1.038785389042082E-4</v>
      </c>
      <c r="O25" s="8">
        <v>1.8280000000000001</v>
      </c>
      <c r="P25" s="8">
        <v>2433.333333</v>
      </c>
      <c r="Q25" s="18">
        <f t="shared" si="6"/>
        <v>0.60322247303195831</v>
      </c>
      <c r="R25" s="18">
        <f t="shared" si="7"/>
        <v>7.7970173383313863</v>
      </c>
      <c r="Z25">
        <v>1.8280000000000001</v>
      </c>
      <c r="AA25">
        <v>2533.333333</v>
      </c>
    </row>
    <row r="26" spans="1:27" x14ac:dyDescent="0.35">
      <c r="A26" s="24">
        <v>0.61030890225094081</v>
      </c>
      <c r="B26" s="12">
        <v>7.7550531392264839</v>
      </c>
      <c r="C26" s="7">
        <f t="shared" si="0"/>
        <v>1.0930901671716839</v>
      </c>
      <c r="D26" s="7">
        <f t="shared" si="1"/>
        <v>3.716521105493682</v>
      </c>
      <c r="E26" s="7">
        <f t="shared" si="2"/>
        <v>2.015562620337354</v>
      </c>
      <c r="F26" s="7">
        <f t="shared" si="3"/>
        <v>0.37247695616674842</v>
      </c>
      <c r="G26" s="7"/>
      <c r="H26" s="7">
        <f t="shared" si="4"/>
        <v>7.8207212723487061</v>
      </c>
      <c r="I26" s="7">
        <f t="shared" si="5"/>
        <v>4.3123037077578957E-3</v>
      </c>
      <c r="O26" s="8">
        <v>1.841</v>
      </c>
      <c r="P26" s="8">
        <v>2333.333333</v>
      </c>
      <c r="Q26" s="18">
        <f t="shared" si="6"/>
        <v>0.61030890225094081</v>
      </c>
      <c r="R26" s="18">
        <f t="shared" si="7"/>
        <v>7.7550531392264839</v>
      </c>
      <c r="Z26">
        <v>1.841</v>
      </c>
      <c r="AA26">
        <v>2333.333333</v>
      </c>
    </row>
    <row r="27" spans="1:27" x14ac:dyDescent="0.35">
      <c r="A27" s="24">
        <v>-0.13581972314253485</v>
      </c>
      <c r="B27" s="12">
        <v>6.3820040049806739</v>
      </c>
      <c r="C27" s="7">
        <f t="shared" si="0"/>
        <v>8.9628923136822691E-2</v>
      </c>
      <c r="D27" s="7">
        <f t="shared" si="1"/>
        <v>0.30777967849592547</v>
      </c>
      <c r="E27" s="7">
        <f t="shared" si="2"/>
        <v>0.16609021990167663</v>
      </c>
      <c r="F27" s="7">
        <f t="shared" si="3"/>
        <v>1.8446997194514817E-2</v>
      </c>
      <c r="G27" s="7"/>
      <c r="H27" s="7">
        <f t="shared" si="4"/>
        <v>6.3980612646258903</v>
      </c>
      <c r="I27" s="7">
        <f t="shared" si="5"/>
        <v>2.5783558731389596E-4</v>
      </c>
      <c r="O27" s="8">
        <v>0.873</v>
      </c>
      <c r="P27" s="8">
        <v>591.11111110000002</v>
      </c>
      <c r="Q27" s="18">
        <f t="shared" si="6"/>
        <v>-0.13581972314253485</v>
      </c>
      <c r="R27" s="18">
        <f t="shared" si="7"/>
        <v>6.3820040049806739</v>
      </c>
      <c r="Z27">
        <v>0.873</v>
      </c>
      <c r="AA27">
        <v>511.11111110000002</v>
      </c>
    </row>
    <row r="28" spans="1:27" x14ac:dyDescent="0.35">
      <c r="A28" s="24">
        <v>-0.31471074483970024</v>
      </c>
      <c r="B28" s="12">
        <v>6.0455317683256258</v>
      </c>
      <c r="C28" s="7">
        <f t="shared" si="0"/>
        <v>1.4517810713872412E-2</v>
      </c>
      <c r="D28" s="7">
        <f t="shared" si="1"/>
        <v>4.7657819176230347E-2</v>
      </c>
      <c r="E28" s="7">
        <f t="shared" si="2"/>
        <v>2.6303748741129486E-2</v>
      </c>
      <c r="F28" s="7">
        <f t="shared" si="3"/>
        <v>9.9042852917558918E-2</v>
      </c>
      <c r="G28" s="7"/>
      <c r="H28" s="7">
        <f t="shared" si="4"/>
        <v>6.0569657837025854</v>
      </c>
      <c r="I28" s="7">
        <f t="shared" si="5"/>
        <v>1.3073670764054973E-4</v>
      </c>
      <c r="O28" s="8">
        <v>0.73</v>
      </c>
      <c r="P28" s="8">
        <v>422.22222219999998</v>
      </c>
      <c r="Q28" s="18">
        <f t="shared" si="6"/>
        <v>-0.31471074483970024</v>
      </c>
      <c r="R28" s="18">
        <f t="shared" si="7"/>
        <v>6.0455317683256258</v>
      </c>
      <c r="Z28">
        <v>0.73</v>
      </c>
      <c r="AA28">
        <v>422.22222219999998</v>
      </c>
    </row>
    <row r="29" spans="1:27" x14ac:dyDescent="0.35">
      <c r="A29" s="24">
        <v>0.13976194237515863</v>
      </c>
      <c r="B29" s="12">
        <v>6.8965819784963713</v>
      </c>
      <c r="C29" s="7">
        <f t="shared" si="0"/>
        <v>0.33058195146247754</v>
      </c>
      <c r="D29" s="7">
        <f t="shared" si="1"/>
        <v>1.1435242204892937</v>
      </c>
      <c r="E29" s="7">
        <f t="shared" si="2"/>
        <v>0.61484019741227003</v>
      </c>
      <c r="F29" s="7">
        <f t="shared" si="3"/>
        <v>1.9533400536477161E-2</v>
      </c>
      <c r="G29" s="7"/>
      <c r="H29" s="7">
        <f t="shared" si="4"/>
        <v>6.923518941828549</v>
      </c>
      <c r="I29" s="7">
        <f t="shared" si="5"/>
        <v>7.2559999355908348E-4</v>
      </c>
      <c r="O29" s="8">
        <v>1.1499999999999999</v>
      </c>
      <c r="P29" s="8">
        <v>987.86662185546413</v>
      </c>
      <c r="Q29" s="18">
        <f t="shared" si="6"/>
        <v>0.13976194237515863</v>
      </c>
      <c r="R29" s="18">
        <f t="shared" si="7"/>
        <v>6.8955476905128013</v>
      </c>
      <c r="Z29">
        <v>1.1499999999999999</v>
      </c>
      <c r="AA29">
        <v>1088.8888890000001</v>
      </c>
    </row>
    <row r="30" spans="1:27" x14ac:dyDescent="0.35">
      <c r="A30" s="43">
        <f>AVERAGE(A5:A29)</f>
        <v>-0.43520062289537931</v>
      </c>
      <c r="B30" s="43">
        <f>AVERAGE(B5:B29)</f>
        <v>5.8272250593672652</v>
      </c>
      <c r="C30" s="42">
        <f>SUM(C5:C29)</f>
        <v>17.663415793845864</v>
      </c>
      <c r="D30" s="42">
        <f>SUM(D5:D29)</f>
        <v>64.47991159800138</v>
      </c>
      <c r="E30" s="42">
        <f>SUM(E5:E29)</f>
        <v>33.679226871147208</v>
      </c>
      <c r="F30" s="42">
        <f>SUM(F5:F29)</f>
        <v>22.398405348059025</v>
      </c>
      <c r="G30" s="7"/>
      <c r="H30" s="7"/>
      <c r="I30" s="42">
        <f>SUM(I5:I29)</f>
        <v>0.26298233149990091</v>
      </c>
    </row>
    <row r="31" spans="1:27" x14ac:dyDescent="0.35">
      <c r="A31" s="40">
        <f>SUM(A5:A29)</f>
        <v>-10.880015572384483</v>
      </c>
      <c r="B31" s="38"/>
      <c r="C31" s="39"/>
      <c r="D31" s="39"/>
      <c r="E31" s="39"/>
      <c r="F31" s="39"/>
      <c r="I31" s="7"/>
    </row>
    <row r="32" spans="1:27" x14ac:dyDescent="0.35">
      <c r="A32" s="41">
        <f>COUNT(A5:A29)</f>
        <v>25</v>
      </c>
    </row>
    <row r="33" spans="1:3" x14ac:dyDescent="0.35">
      <c r="A33" t="s">
        <v>195</v>
      </c>
    </row>
    <row r="34" spans="1:3" x14ac:dyDescent="0.35">
      <c r="A34" t="s">
        <v>196</v>
      </c>
      <c r="B34" s="18">
        <f>E30/C30</f>
        <v>1.906722191462052</v>
      </c>
      <c r="C34" s="18">
        <f>SLOPE(B5:B29,A5:A29)</f>
        <v>1.906722191462052</v>
      </c>
    </row>
    <row r="35" spans="1:3" x14ac:dyDescent="0.35">
      <c r="A35" t="s">
        <v>197</v>
      </c>
      <c r="B35" s="18">
        <f>B30-B34*A30</f>
        <v>6.6570317447799932</v>
      </c>
      <c r="C35" s="18">
        <f>INTERCEPT(B5:B29,A5:A29)</f>
        <v>6.6570317447799932</v>
      </c>
    </row>
    <row r="36" spans="1:3" x14ac:dyDescent="0.35">
      <c r="A36" t="s">
        <v>198</v>
      </c>
      <c r="B36" s="18">
        <f>SQRT((D30-B34^2*C30)/(A32-2))</f>
        <v>0.10692995096342711</v>
      </c>
    </row>
    <row r="37" spans="1:3" x14ac:dyDescent="0.35">
      <c r="A37" t="s">
        <v>199</v>
      </c>
      <c r="B37" s="18">
        <f>SQRT(B36^2/C30)</f>
        <v>2.5442631129899841E-2</v>
      </c>
    </row>
    <row r="38" spans="1:3" x14ac:dyDescent="0.35">
      <c r="A38" t="s">
        <v>200</v>
      </c>
      <c r="B38" s="18">
        <f>B36*SQRT(1/(A32-A31^2/F30))</f>
        <v>2.408244444683437E-2</v>
      </c>
    </row>
    <row r="39" spans="1:3" x14ac:dyDescent="0.35">
      <c r="A39" t="s">
        <v>201</v>
      </c>
      <c r="B39" s="18">
        <f>I30</f>
        <v>0.26298233149990091</v>
      </c>
    </row>
    <row r="40" spans="1:3" x14ac:dyDescent="0.35">
      <c r="A40" t="s">
        <v>202</v>
      </c>
      <c r="B40" s="18">
        <f>SQRT(B39/(A32-2))</f>
        <v>0.1069299509634189</v>
      </c>
    </row>
    <row r="44" spans="1:3" x14ac:dyDescent="0.35">
      <c r="A44" t="s">
        <v>188</v>
      </c>
      <c r="B44" t="s">
        <v>210</v>
      </c>
    </row>
    <row r="45" spans="1:3" x14ac:dyDescent="0.35">
      <c r="A45" s="23">
        <v>0.94099999999999995</v>
      </c>
      <c r="B45" s="24">
        <f>$B$34*LN(A45)+$B$35</f>
        <v>6.541079889081912</v>
      </c>
    </row>
    <row r="46" spans="1:3" x14ac:dyDescent="0.35">
      <c r="A46" s="23"/>
      <c r="B46" s="23"/>
    </row>
    <row r="47" spans="1:3" x14ac:dyDescent="0.35">
      <c r="A47">
        <f>COUNT(A45)</f>
        <v>1</v>
      </c>
    </row>
    <row r="48" spans="1:3" x14ac:dyDescent="0.35">
      <c r="A48" t="s">
        <v>203</v>
      </c>
      <c r="B48" s="24">
        <f>B36/B34*SQRT(1/A47+1/A32+(B45-B30)^2/(B34^2*C30))</f>
        <v>5.7408897641437175E-2</v>
      </c>
    </row>
    <row r="50" spans="1:3" x14ac:dyDescent="0.35">
      <c r="A50" t="s">
        <v>211</v>
      </c>
      <c r="B50" s="7">
        <f>EXP(B45)</f>
        <v>693.03457455761531</v>
      </c>
    </row>
    <row r="51" spans="1:3" x14ac:dyDescent="0.35">
      <c r="A51" t="s">
        <v>212</v>
      </c>
      <c r="B51" s="6">
        <f>EXP(B45-B48)</f>
        <v>654.36872445322308</v>
      </c>
      <c r="C51" s="7">
        <f>B50-B51</f>
        <v>38.665850104392234</v>
      </c>
    </row>
    <row r="52" spans="1:3" x14ac:dyDescent="0.35">
      <c r="A52" t="s">
        <v>213</v>
      </c>
      <c r="B52" s="6">
        <f>EXP(B45+B48)</f>
        <v>733.98514260225534</v>
      </c>
      <c r="C52" s="7">
        <f>B52-B50</f>
        <v>40.950568044640022</v>
      </c>
    </row>
  </sheetData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Q48"/>
  <sheetViews>
    <sheetView workbookViewId="0">
      <selection activeCell="K11" sqref="K11"/>
    </sheetView>
  </sheetViews>
  <sheetFormatPr defaultRowHeight="14.5" x14ac:dyDescent="0.35"/>
  <cols>
    <col min="1" max="1" width="32.1796875" customWidth="1"/>
    <col min="2" max="2" width="19.81640625" customWidth="1"/>
    <col min="3" max="3" width="10" customWidth="1"/>
    <col min="4" max="4" width="9.54296875" customWidth="1"/>
    <col min="5" max="5" width="9.81640625" customWidth="1"/>
    <col min="6" max="6" width="10.81640625" customWidth="1"/>
    <col min="8" max="8" width="12.453125" customWidth="1"/>
    <col min="9" max="9" width="11" customWidth="1"/>
    <col min="16" max="16" width="13" customWidth="1"/>
    <col min="17" max="17" width="14.26953125" customWidth="1"/>
    <col min="18" max="18" width="12.26953125" customWidth="1"/>
  </cols>
  <sheetData>
    <row r="1" spans="1:17" ht="21" x14ac:dyDescent="0.5">
      <c r="A1" s="2" t="s">
        <v>215</v>
      </c>
    </row>
    <row r="4" spans="1:17" x14ac:dyDescent="0.35">
      <c r="A4" t="s">
        <v>205</v>
      </c>
      <c r="B4" t="s">
        <v>216</v>
      </c>
      <c r="C4" s="11" t="s">
        <v>189</v>
      </c>
      <c r="D4" s="11" t="s">
        <v>190</v>
      </c>
      <c r="E4" s="11" t="s">
        <v>191</v>
      </c>
      <c r="F4" s="11" t="s">
        <v>192</v>
      </c>
      <c r="G4" s="11"/>
      <c r="H4" s="11" t="s">
        <v>193</v>
      </c>
      <c r="I4" s="11" t="s">
        <v>194</v>
      </c>
      <c r="O4" s="23" t="s">
        <v>66</v>
      </c>
      <c r="P4" s="23" t="s">
        <v>214</v>
      </c>
      <c r="Q4" s="23" t="s">
        <v>218</v>
      </c>
    </row>
    <row r="5" spans="1:17" x14ac:dyDescent="0.35">
      <c r="A5" s="8">
        <v>0.1</v>
      </c>
      <c r="B5" s="12">
        <v>13.449073836823588</v>
      </c>
      <c r="C5" s="7">
        <f t="shared" ref="C5:C25" si="0">(A5-$A$26)^2</f>
        <v>0.2594689546485261</v>
      </c>
      <c r="D5" s="7">
        <f t="shared" ref="D5:D25" si="1">(B5-$B$26)^2</f>
        <v>2.0625778872369591</v>
      </c>
      <c r="E5" s="7">
        <f t="shared" ref="E5:E25" si="2">(A5-$A$26)*(B5-$B$26)</f>
        <v>0.73155651065556049</v>
      </c>
      <c r="F5" s="7">
        <f>A5^2</f>
        <v>1.0000000000000002E-2</v>
      </c>
      <c r="G5" s="7"/>
      <c r="H5" s="7">
        <f t="shared" ref="H5:H25" si="3">$B$30*A5+$B$31</f>
        <v>13.676997568340004</v>
      </c>
      <c r="I5" s="7">
        <f>(B5-H5)^2</f>
        <v>5.1949227388367276E-2</v>
      </c>
      <c r="O5" s="8">
        <v>0.1</v>
      </c>
      <c r="P5" s="8">
        <v>693200</v>
      </c>
      <c r="Q5" s="18">
        <f t="shared" ref="Q5:Q25" si="4">LN(P5)</f>
        <v>13.449073836823588</v>
      </c>
    </row>
    <row r="6" spans="1:17" x14ac:dyDescent="0.35">
      <c r="A6" s="8">
        <v>0.14099999999999999</v>
      </c>
      <c r="B6" s="12">
        <v>13.739385167574783</v>
      </c>
      <c r="C6" s="7">
        <f t="shared" si="0"/>
        <v>0.21938071655328795</v>
      </c>
      <c r="D6" s="7">
        <f t="shared" si="1"/>
        <v>1.3129869982374172</v>
      </c>
      <c r="E6" s="7">
        <f t="shared" si="2"/>
        <v>0.53669733416374932</v>
      </c>
      <c r="F6" s="7">
        <f t="shared" ref="F6:F25" si="5">A6^2</f>
        <v>1.9880999999999996E-2</v>
      </c>
      <c r="G6" s="7"/>
      <c r="H6" s="7">
        <f t="shared" si="3"/>
        <v>13.774248958844225</v>
      </c>
      <c r="I6" s="7">
        <f t="shared" ref="I6:I25" si="6">(B6-H6)^2</f>
        <v>1.2154839416792552E-3</v>
      </c>
      <c r="O6" s="8">
        <v>0.14099999999999999</v>
      </c>
      <c r="P6" s="8">
        <v>926700</v>
      </c>
      <c r="Q6" s="18">
        <f t="shared" si="4"/>
        <v>13.739385167574783</v>
      </c>
    </row>
    <row r="7" spans="1:17" x14ac:dyDescent="0.35">
      <c r="A7" s="8">
        <v>0.16600000000000001</v>
      </c>
      <c r="B7" s="12">
        <v>13.796939172378838</v>
      </c>
      <c r="C7" s="7">
        <f t="shared" si="0"/>
        <v>0.19658666893424032</v>
      </c>
      <c r="D7" s="7">
        <f t="shared" si="1"/>
        <v>1.1844022067400608</v>
      </c>
      <c r="E7" s="7">
        <f t="shared" si="2"/>
        <v>0.48253257351332457</v>
      </c>
      <c r="F7" s="7">
        <f t="shared" si="5"/>
        <v>2.7556000000000004E-2</v>
      </c>
      <c r="G7" s="7"/>
      <c r="H7" s="7">
        <f t="shared" si="3"/>
        <v>13.833548587200459</v>
      </c>
      <c r="I7" s="7">
        <f t="shared" si="6"/>
        <v>1.3402492535815192E-3</v>
      </c>
      <c r="O7" s="8">
        <v>0.16600000000000001</v>
      </c>
      <c r="P7" s="8">
        <v>981600</v>
      </c>
      <c r="Q7" s="18">
        <f t="shared" si="4"/>
        <v>13.796939172378838</v>
      </c>
    </row>
    <row r="8" spans="1:17" x14ac:dyDescent="0.35">
      <c r="A8" s="8">
        <v>0.17899999999999999</v>
      </c>
      <c r="B8" s="12">
        <v>13.882140640262037</v>
      </c>
      <c r="C8" s="7">
        <f t="shared" si="0"/>
        <v>0.18522776417233558</v>
      </c>
      <c r="D8" s="7">
        <f t="shared" si="1"/>
        <v>1.0062115656353494</v>
      </c>
      <c r="E8" s="7">
        <f t="shared" si="2"/>
        <v>0.43171555286667757</v>
      </c>
      <c r="F8" s="7">
        <f t="shared" si="5"/>
        <v>3.2041E-2</v>
      </c>
      <c r="G8" s="7"/>
      <c r="H8" s="7">
        <f t="shared" si="3"/>
        <v>13.864384393945699</v>
      </c>
      <c r="I8" s="7">
        <f t="shared" si="6"/>
        <v>3.1528428324647818E-4</v>
      </c>
      <c r="O8" s="8">
        <v>0.17899999999999999</v>
      </c>
      <c r="P8" s="8">
        <v>1068900</v>
      </c>
      <c r="Q8" s="18">
        <f t="shared" si="4"/>
        <v>13.882140640262037</v>
      </c>
    </row>
    <row r="9" spans="1:17" x14ac:dyDescent="0.35">
      <c r="A9" s="8">
        <v>0.20200000000000001</v>
      </c>
      <c r="B9" s="12">
        <v>14.040252830642181</v>
      </c>
      <c r="C9" s="7">
        <f t="shared" si="0"/>
        <v>0.16595924036281176</v>
      </c>
      <c r="D9" s="7">
        <f t="shared" si="1"/>
        <v>0.71400604578745963</v>
      </c>
      <c r="E9" s="7">
        <f t="shared" si="2"/>
        <v>0.34423233574628315</v>
      </c>
      <c r="F9" s="7">
        <f t="shared" si="5"/>
        <v>4.0804000000000007E-2</v>
      </c>
      <c r="G9" s="7"/>
      <c r="H9" s="7">
        <f t="shared" si="3"/>
        <v>13.918940052033433</v>
      </c>
      <c r="I9" s="7">
        <f t="shared" si="6"/>
        <v>1.471679025377527E-2</v>
      </c>
      <c r="O9" s="8">
        <v>0.20200000000000001</v>
      </c>
      <c r="P9" s="8">
        <v>1252000</v>
      </c>
      <c r="Q9" s="18">
        <f t="shared" si="4"/>
        <v>14.040252830642181</v>
      </c>
    </row>
    <row r="10" spans="1:17" x14ac:dyDescent="0.35">
      <c r="A10" s="8">
        <v>0.26</v>
      </c>
      <c r="B10" s="12">
        <v>14.13592600003269</v>
      </c>
      <c r="C10" s="7">
        <f t="shared" si="0"/>
        <v>0.12206704988662129</v>
      </c>
      <c r="D10" s="7">
        <f t="shared" si="1"/>
        <v>0.56147389091981614</v>
      </c>
      <c r="E10" s="7">
        <f t="shared" si="2"/>
        <v>0.26179660321124215</v>
      </c>
      <c r="F10" s="7">
        <f t="shared" si="5"/>
        <v>6.7600000000000007E-2</v>
      </c>
      <c r="G10" s="7"/>
      <c r="H10" s="7">
        <f t="shared" si="3"/>
        <v>14.056515189819892</v>
      </c>
      <c r="I10" s="7">
        <f t="shared" si="6"/>
        <v>6.3060767786529441E-3</v>
      </c>
      <c r="O10" s="8">
        <v>0.26</v>
      </c>
      <c r="P10" s="8">
        <v>1377700</v>
      </c>
      <c r="Q10" s="18">
        <f t="shared" si="4"/>
        <v>14.13592600003269</v>
      </c>
    </row>
    <row r="11" spans="1:17" x14ac:dyDescent="0.35">
      <c r="A11" s="8">
        <v>0.312</v>
      </c>
      <c r="B11" s="12">
        <v>14.249109505316209</v>
      </c>
      <c r="C11" s="7">
        <f t="shared" si="0"/>
        <v>8.8435430839002252E-2</v>
      </c>
      <c r="D11" s="7">
        <f t="shared" si="1"/>
        <v>0.40466406104374159</v>
      </c>
      <c r="E11" s="7">
        <f t="shared" si="2"/>
        <v>0.1891735726349312</v>
      </c>
      <c r="F11" s="7">
        <f t="shared" si="5"/>
        <v>9.7344E-2</v>
      </c>
      <c r="G11" s="7"/>
      <c r="H11" s="7">
        <f t="shared" si="3"/>
        <v>14.179858416800856</v>
      </c>
      <c r="I11" s="7">
        <f t="shared" si="6"/>
        <v>4.7957132605612254E-3</v>
      </c>
      <c r="O11" s="8">
        <v>0.312</v>
      </c>
      <c r="P11" s="8">
        <v>1542800</v>
      </c>
      <c r="Q11" s="18">
        <f t="shared" si="4"/>
        <v>14.249109505316209</v>
      </c>
    </row>
    <row r="12" spans="1:17" x14ac:dyDescent="0.35">
      <c r="A12" s="8">
        <v>0.35899999999999999</v>
      </c>
      <c r="B12" s="12">
        <v>14.432802086220685</v>
      </c>
      <c r="C12" s="7">
        <f t="shared" si="0"/>
        <v>6.2690621315192735E-2</v>
      </c>
      <c r="D12" s="7">
        <f t="shared" si="1"/>
        <v>0.20470152725396284</v>
      </c>
      <c r="E12" s="7">
        <f t="shared" si="2"/>
        <v>0.11328224012491893</v>
      </c>
      <c r="F12" s="7">
        <f t="shared" si="5"/>
        <v>0.128881</v>
      </c>
      <c r="G12" s="7"/>
      <c r="H12" s="7">
        <f t="shared" si="3"/>
        <v>14.291341718110573</v>
      </c>
      <c r="I12" s="7">
        <f t="shared" si="6"/>
        <v>2.0011035745848293E-2</v>
      </c>
      <c r="O12" s="8">
        <v>0.35899999999999999</v>
      </c>
      <c r="P12" s="8">
        <v>1853900</v>
      </c>
      <c r="Q12" s="18">
        <f t="shared" si="4"/>
        <v>14.432802086220685</v>
      </c>
    </row>
    <row r="13" spans="1:17" x14ac:dyDescent="0.35">
      <c r="A13" s="8">
        <v>0.436</v>
      </c>
      <c r="B13" s="12">
        <v>14.709801049558761</v>
      </c>
      <c r="C13" s="7">
        <f t="shared" si="0"/>
        <v>3.006095464852607E-2</v>
      </c>
      <c r="D13" s="7">
        <f t="shared" si="1"/>
        <v>3.0779392022471982E-2</v>
      </c>
      <c r="E13" s="7">
        <f t="shared" si="2"/>
        <v>3.0418052332401812E-2</v>
      </c>
      <c r="F13" s="7">
        <f t="shared" si="5"/>
        <v>0.19009599999999999</v>
      </c>
      <c r="G13" s="7"/>
      <c r="H13" s="7">
        <f t="shared" si="3"/>
        <v>14.473984573447769</v>
      </c>
      <c r="I13" s="7">
        <f t="shared" si="6"/>
        <v>5.5609410405406158E-2</v>
      </c>
      <c r="O13" s="8">
        <v>0.436</v>
      </c>
      <c r="P13" s="8">
        <v>2445600</v>
      </c>
      <c r="Q13" s="18">
        <f t="shared" si="4"/>
        <v>14.709801049558761</v>
      </c>
    </row>
    <row r="14" spans="1:17" x14ac:dyDescent="0.35">
      <c r="A14" s="8">
        <v>0.46100000000000002</v>
      </c>
      <c r="B14" s="12">
        <v>14.499162803962419</v>
      </c>
      <c r="C14" s="7">
        <f t="shared" si="0"/>
        <v>2.2016907029478446E-2</v>
      </c>
      <c r="D14" s="7">
        <f t="shared" si="1"/>
        <v>0.149056848376492</v>
      </c>
      <c r="E14" s="7">
        <f t="shared" si="2"/>
        <v>5.728674168437483E-2</v>
      </c>
      <c r="F14" s="7">
        <f t="shared" si="5"/>
        <v>0.21252100000000002</v>
      </c>
      <c r="G14" s="7"/>
      <c r="H14" s="7">
        <f t="shared" si="3"/>
        <v>14.533284201804001</v>
      </c>
      <c r="I14" s="7">
        <f t="shared" si="6"/>
        <v>1.1642697906635601E-3</v>
      </c>
      <c r="O14" s="8">
        <v>0.46100000000000002</v>
      </c>
      <c r="P14" s="8">
        <v>1981100</v>
      </c>
      <c r="Q14" s="18">
        <f t="shared" si="4"/>
        <v>14.499162803962419</v>
      </c>
    </row>
    <row r="15" spans="1:17" x14ac:dyDescent="0.35">
      <c r="A15" s="8">
        <v>0.52500000000000002</v>
      </c>
      <c r="B15" s="12">
        <v>14.663436792311773</v>
      </c>
      <c r="C15" s="7">
        <f t="shared" si="0"/>
        <v>7.1201451247165457E-3</v>
      </c>
      <c r="D15" s="7">
        <f t="shared" si="1"/>
        <v>4.9197379393206335E-2</v>
      </c>
      <c r="E15" s="7">
        <f t="shared" si="2"/>
        <v>1.8716102185961914E-2</v>
      </c>
      <c r="F15" s="7">
        <f t="shared" si="5"/>
        <v>0.27562500000000001</v>
      </c>
      <c r="G15" s="7"/>
      <c r="H15" s="7">
        <f t="shared" si="3"/>
        <v>14.685091250395955</v>
      </c>
      <c r="I15" s="7">
        <f t="shared" si="6"/>
        <v>4.6891555491959441E-4</v>
      </c>
      <c r="O15" s="8">
        <v>0.52500000000000002</v>
      </c>
      <c r="P15" s="8">
        <v>2334800</v>
      </c>
      <c r="Q15" s="18">
        <f t="shared" si="4"/>
        <v>14.663436792311773</v>
      </c>
    </row>
    <row r="16" spans="1:17" x14ac:dyDescent="0.35">
      <c r="A16" s="8">
        <v>0.621</v>
      </c>
      <c r="B16" s="12">
        <v>14.910248685083783</v>
      </c>
      <c r="C16" s="7">
        <f t="shared" si="0"/>
        <v>1.3500226757369663E-4</v>
      </c>
      <c r="D16" s="7">
        <f t="shared" si="1"/>
        <v>6.2535355130586255E-4</v>
      </c>
      <c r="E16" s="7">
        <f t="shared" si="2"/>
        <v>2.9055833744973743E-4</v>
      </c>
      <c r="F16" s="7">
        <f t="shared" si="5"/>
        <v>0.38564100000000001</v>
      </c>
      <c r="G16" s="7"/>
      <c r="H16" s="7">
        <f t="shared" si="3"/>
        <v>14.912801823283887</v>
      </c>
      <c r="I16" s="7">
        <f t="shared" si="6"/>
        <v>6.5185146688328398E-6</v>
      </c>
      <c r="O16" s="8">
        <v>0.621</v>
      </c>
      <c r="P16" s="8">
        <v>2988400</v>
      </c>
      <c r="Q16" s="18">
        <f t="shared" si="4"/>
        <v>14.910248685083783</v>
      </c>
    </row>
    <row r="17" spans="1:17" x14ac:dyDescent="0.35">
      <c r="A17" s="8">
        <v>0.72699999999999998</v>
      </c>
      <c r="B17" s="12">
        <v>15.021481364952884</v>
      </c>
      <c r="C17" s="7">
        <f t="shared" si="0"/>
        <v>1.3834240362811792E-2</v>
      </c>
      <c r="D17" s="7">
        <f t="shared" si="1"/>
        <v>1.8561269451591818E-2</v>
      </c>
      <c r="E17" s="7">
        <f t="shared" si="2"/>
        <v>1.6024389630567432E-2</v>
      </c>
      <c r="F17" s="7">
        <f t="shared" si="5"/>
        <v>0.52852899999999992</v>
      </c>
      <c r="G17" s="7"/>
      <c r="H17" s="7">
        <f t="shared" si="3"/>
        <v>15.164232247514313</v>
      </c>
      <c r="I17" s="7">
        <f t="shared" si="6"/>
        <v>2.0377814472067081E-2</v>
      </c>
      <c r="O17" s="8">
        <v>0.72699999999999998</v>
      </c>
      <c r="P17" s="8">
        <v>3340000</v>
      </c>
      <c r="Q17" s="18">
        <f t="shared" si="4"/>
        <v>15.021481364952884</v>
      </c>
    </row>
    <row r="18" spans="1:17" x14ac:dyDescent="0.35">
      <c r="A18" s="8">
        <v>0.72899999999999998</v>
      </c>
      <c r="B18" s="12">
        <v>15.070784656645762</v>
      </c>
      <c r="C18" s="7">
        <f t="shared" si="0"/>
        <v>1.4308716553287984E-2</v>
      </c>
      <c r="D18" s="7">
        <f t="shared" si="1"/>
        <v>3.4426220281871214E-2</v>
      </c>
      <c r="E18" s="7">
        <f t="shared" si="2"/>
        <v>2.219448192714462E-2</v>
      </c>
      <c r="F18" s="7">
        <f t="shared" si="5"/>
        <v>0.53144099999999994</v>
      </c>
      <c r="G18" s="7"/>
      <c r="H18" s="7">
        <f t="shared" si="3"/>
        <v>15.168976217782811</v>
      </c>
      <c r="I18" s="7">
        <f t="shared" si="6"/>
        <v>9.6415826785309564E-3</v>
      </c>
      <c r="O18" s="8">
        <v>0.72899999999999998</v>
      </c>
      <c r="P18" s="8">
        <v>3508800</v>
      </c>
      <c r="Q18" s="18">
        <f t="shared" si="4"/>
        <v>15.070784656645762</v>
      </c>
    </row>
    <row r="19" spans="1:17" x14ac:dyDescent="0.35">
      <c r="A19" s="8">
        <v>0.84399999999999997</v>
      </c>
      <c r="B19" s="12">
        <v>15.285318519311982</v>
      </c>
      <c r="C19" s="7">
        <f t="shared" si="0"/>
        <v>5.5046097505668933E-2</v>
      </c>
      <c r="D19" s="7">
        <f t="shared" si="1"/>
        <v>0.16006152931795323</v>
      </c>
      <c r="E19" s="7">
        <f t="shared" si="2"/>
        <v>9.3865662250593743E-2</v>
      </c>
      <c r="F19" s="7">
        <f t="shared" si="5"/>
        <v>0.71233599999999997</v>
      </c>
      <c r="G19" s="7"/>
      <c r="H19" s="7">
        <f t="shared" si="3"/>
        <v>15.44175450822148</v>
      </c>
      <c r="I19" s="7">
        <f t="shared" si="6"/>
        <v>2.4472218626092702E-2</v>
      </c>
      <c r="O19" s="8">
        <v>0.84399999999999997</v>
      </c>
      <c r="P19" s="8">
        <v>4348400</v>
      </c>
      <c r="Q19" s="18">
        <f t="shared" si="4"/>
        <v>15.285318519311982</v>
      </c>
    </row>
    <row r="20" spans="1:17" x14ac:dyDescent="0.35">
      <c r="A20" s="8">
        <v>0.879</v>
      </c>
      <c r="B20" s="12">
        <v>15.585024418245009</v>
      </c>
      <c r="C20" s="7">
        <f t="shared" si="0"/>
        <v>7.2694430839002289E-2</v>
      </c>
      <c r="D20" s="7">
        <f t="shared" si="1"/>
        <v>0.48969597163714862</v>
      </c>
      <c r="E20" s="7">
        <f t="shared" si="2"/>
        <v>0.18867477293563845</v>
      </c>
      <c r="F20" s="7">
        <f t="shared" si="5"/>
        <v>0.77264100000000002</v>
      </c>
      <c r="G20" s="7"/>
      <c r="H20" s="7">
        <f t="shared" si="3"/>
        <v>15.524773987920206</v>
      </c>
      <c r="I20" s="7">
        <f t="shared" si="6"/>
        <v>3.6301143543239723E-3</v>
      </c>
      <c r="O20" s="8">
        <v>0.879</v>
      </c>
      <c r="P20" s="8">
        <v>5868000</v>
      </c>
      <c r="Q20" s="18">
        <f t="shared" si="4"/>
        <v>15.585024418245009</v>
      </c>
    </row>
    <row r="21" spans="1:17" x14ac:dyDescent="0.35">
      <c r="A21" s="8">
        <v>0.98099999999999998</v>
      </c>
      <c r="B21" s="12">
        <v>15.642057852677993</v>
      </c>
      <c r="C21" s="7">
        <f t="shared" si="0"/>
        <v>0.13810071655328798</v>
      </c>
      <c r="D21" s="7">
        <f t="shared" si="1"/>
        <v>0.57277081752623449</v>
      </c>
      <c r="E21" s="7">
        <f t="shared" si="2"/>
        <v>0.28124732944720654</v>
      </c>
      <c r="F21" s="7">
        <f t="shared" si="5"/>
        <v>0.96236100000000002</v>
      </c>
      <c r="G21" s="7"/>
      <c r="H21" s="7">
        <f t="shared" si="3"/>
        <v>15.766716471613634</v>
      </c>
      <c r="I21" s="7">
        <f t="shared" si="6"/>
        <v>1.5539771274941272E-2</v>
      </c>
      <c r="O21" s="8">
        <v>0.98099999999999998</v>
      </c>
      <c r="P21" s="8">
        <v>6212400</v>
      </c>
      <c r="Q21" s="18">
        <f t="shared" si="4"/>
        <v>15.642057852677993</v>
      </c>
    </row>
    <row r="22" spans="1:17" x14ac:dyDescent="0.35">
      <c r="A22" s="8">
        <v>1.099</v>
      </c>
      <c r="B22" s="12">
        <v>15.843606172292523</v>
      </c>
      <c r="C22" s="7">
        <f t="shared" si="0"/>
        <v>0.23972681179138322</v>
      </c>
      <c r="D22" s="7">
        <f t="shared" si="1"/>
        <v>0.91846262456452854</v>
      </c>
      <c r="E22" s="7">
        <f t="shared" si="2"/>
        <v>0.46923354178532528</v>
      </c>
      <c r="F22" s="7">
        <f t="shared" si="5"/>
        <v>1.2078009999999999</v>
      </c>
      <c r="G22" s="7"/>
      <c r="H22" s="7">
        <f t="shared" si="3"/>
        <v>16.046610717455049</v>
      </c>
      <c r="I22" s="7">
        <f t="shared" si="6"/>
        <v>4.1210845356644321E-2</v>
      </c>
      <c r="O22" s="8">
        <v>1.099</v>
      </c>
      <c r="P22" s="8">
        <v>7599600</v>
      </c>
      <c r="Q22" s="18">
        <f t="shared" si="4"/>
        <v>15.843606172292523</v>
      </c>
    </row>
    <row r="23" spans="1:17" x14ac:dyDescent="0.35">
      <c r="A23" s="8">
        <v>1.196</v>
      </c>
      <c r="B23" s="12">
        <v>16.440468963200033</v>
      </c>
      <c r="C23" s="7">
        <f t="shared" si="0"/>
        <v>0.34412190702947842</v>
      </c>
      <c r="D23" s="7">
        <f t="shared" si="1"/>
        <v>2.4187321044108558</v>
      </c>
      <c r="E23" s="7">
        <f t="shared" si="2"/>
        <v>0.91232598579854518</v>
      </c>
      <c r="F23" s="7">
        <f t="shared" si="5"/>
        <v>1.4304159999999999</v>
      </c>
      <c r="G23" s="7"/>
      <c r="H23" s="7">
        <f t="shared" si="3"/>
        <v>16.276693275477232</v>
      </c>
      <c r="I23" s="7">
        <f t="shared" si="6"/>
        <v>2.6822475889076335E-2</v>
      </c>
      <c r="O23" s="8">
        <v>1.196</v>
      </c>
      <c r="P23" s="8">
        <v>13804000</v>
      </c>
      <c r="Q23" s="18">
        <f t="shared" si="4"/>
        <v>16.440468963200033</v>
      </c>
    </row>
    <row r="24" spans="1:17" x14ac:dyDescent="0.35">
      <c r="A24" s="8">
        <v>1.1990000000000001</v>
      </c>
      <c r="B24" s="12">
        <v>16.41932553595537</v>
      </c>
      <c r="C24" s="7">
        <f t="shared" si="0"/>
        <v>0.34765062131519286</v>
      </c>
      <c r="D24" s="7">
        <f t="shared" si="1"/>
        <v>2.353413476357777</v>
      </c>
      <c r="E24" s="7">
        <f t="shared" si="2"/>
        <v>0.9045251004075725</v>
      </c>
      <c r="F24" s="7">
        <f t="shared" si="5"/>
        <v>1.4376010000000001</v>
      </c>
      <c r="G24" s="7"/>
      <c r="H24" s="7">
        <f t="shared" si="3"/>
        <v>16.283809230879978</v>
      </c>
      <c r="I24" s="7">
        <f t="shared" si="6"/>
        <v>1.8364668941286605E-2</v>
      </c>
      <c r="O24" s="8">
        <v>1.1990000000000001</v>
      </c>
      <c r="P24" s="8">
        <v>13515200</v>
      </c>
      <c r="Q24" s="18">
        <f t="shared" si="4"/>
        <v>16.41932553595537</v>
      </c>
    </row>
    <row r="25" spans="1:17" x14ac:dyDescent="0.35">
      <c r="A25" s="8">
        <v>1.381</v>
      </c>
      <c r="B25" s="12">
        <v>16.773727862755507</v>
      </c>
      <c r="C25" s="7">
        <f t="shared" si="0"/>
        <v>0.59539595464852613</v>
      </c>
      <c r="D25" s="7">
        <f t="shared" si="1"/>
        <v>3.566380307744986</v>
      </c>
      <c r="E25" s="7">
        <f t="shared" si="2"/>
        <v>1.4571919598905048</v>
      </c>
      <c r="F25" s="7">
        <f t="shared" si="5"/>
        <v>1.9071610000000001</v>
      </c>
      <c r="G25" s="7"/>
      <c r="H25" s="7">
        <f t="shared" si="3"/>
        <v>16.715510525313352</v>
      </c>
      <c r="I25" s="7">
        <f t="shared" si="6"/>
        <v>3.3892583788537505E-3</v>
      </c>
      <c r="O25" s="8">
        <v>1.381</v>
      </c>
      <c r="P25" s="8">
        <v>19263600</v>
      </c>
      <c r="Q25" s="18">
        <f t="shared" si="4"/>
        <v>16.773727862755507</v>
      </c>
    </row>
    <row r="26" spans="1:17" x14ac:dyDescent="0.35">
      <c r="A26" s="43">
        <f>AVERAGE(A5:A25)</f>
        <v>0.60938095238095236</v>
      </c>
      <c r="B26" s="43">
        <f>AVERAGE(B5:B25)</f>
        <v>14.885241615057371</v>
      </c>
      <c r="C26" s="42">
        <f>SUM(C5:C25)</f>
        <v>3.180028952380952</v>
      </c>
      <c r="D26" s="42">
        <f>SUM(D5:D25)</f>
        <v>18.213187477491186</v>
      </c>
      <c r="E26" s="42">
        <f>SUM(E5:E25)</f>
        <v>7.5429814015299739</v>
      </c>
      <c r="F26" s="42">
        <f>SUM(F5:F25)</f>
        <v>10.978277</v>
      </c>
      <c r="G26" s="7"/>
      <c r="H26" s="7"/>
      <c r="I26" s="42">
        <f>SUM(I5:I25)</f>
        <v>0.32134772514318743</v>
      </c>
    </row>
    <row r="27" spans="1:17" x14ac:dyDescent="0.35">
      <c r="A27" s="40">
        <f>SUM(A5:A25)</f>
        <v>12.797000000000001</v>
      </c>
      <c r="B27" s="38"/>
      <c r="C27" s="39"/>
      <c r="D27" s="39"/>
      <c r="E27" s="39"/>
      <c r="F27" s="39"/>
      <c r="I27" s="7"/>
    </row>
    <row r="28" spans="1:17" x14ac:dyDescent="0.35">
      <c r="A28" s="41">
        <f>COUNT(A5:A25)</f>
        <v>21</v>
      </c>
    </row>
    <row r="29" spans="1:17" x14ac:dyDescent="0.35">
      <c r="A29" t="s">
        <v>195</v>
      </c>
    </row>
    <row r="30" spans="1:17" x14ac:dyDescent="0.35">
      <c r="A30" t="s">
        <v>196</v>
      </c>
      <c r="B30" s="18">
        <f>E26/C26</f>
        <v>2.3719851342492939</v>
      </c>
      <c r="C30" s="18">
        <f>SLOPE(B5:B25,A5:A25)</f>
        <v>2.3719851342492939</v>
      </c>
    </row>
    <row r="31" spans="1:17" x14ac:dyDescent="0.35">
      <c r="A31" t="s">
        <v>197</v>
      </c>
      <c r="B31" s="18">
        <f>B26-B30*A26</f>
        <v>13.439799054915076</v>
      </c>
      <c r="C31" s="18">
        <f>INTERCEPT(B5:B25,A5:A25)</f>
        <v>13.439799054915076</v>
      </c>
    </row>
    <row r="32" spans="1:17" x14ac:dyDescent="0.35">
      <c r="A32" t="s">
        <v>198</v>
      </c>
      <c r="B32" s="18">
        <f>SQRT((D26-B30^2*C26)/(A28-2))</f>
        <v>0.13005013712192209</v>
      </c>
    </row>
    <row r="33" spans="1:3" x14ac:dyDescent="0.35">
      <c r="A33" t="s">
        <v>199</v>
      </c>
      <c r="B33" s="18">
        <f>SQRT(B32^2/C26)</f>
        <v>7.2928163546535543E-2</v>
      </c>
    </row>
    <row r="34" spans="1:3" x14ac:dyDescent="0.35">
      <c r="A34" t="s">
        <v>200</v>
      </c>
      <c r="B34" s="18">
        <f>B32*SQRT(1/(A28-A27^2/F26))</f>
        <v>5.2729386979246735E-2</v>
      </c>
    </row>
    <row r="35" spans="1:3" x14ac:dyDescent="0.35">
      <c r="A35" t="s">
        <v>201</v>
      </c>
      <c r="B35" s="18">
        <f>I26</f>
        <v>0.32134772514318743</v>
      </c>
    </row>
    <row r="36" spans="1:3" x14ac:dyDescent="0.35">
      <c r="A36" t="s">
        <v>202</v>
      </c>
      <c r="B36" s="18">
        <f>SQRT(B35/(A28-2))</f>
        <v>0.13005013712192279</v>
      </c>
    </row>
    <row r="40" spans="1:3" x14ac:dyDescent="0.35">
      <c r="A40" t="s">
        <v>188</v>
      </c>
      <c r="B40" t="s">
        <v>217</v>
      </c>
    </row>
    <row r="41" spans="1:3" x14ac:dyDescent="0.35">
      <c r="A41" s="23">
        <v>0.23274</v>
      </c>
      <c r="B41" s="24">
        <f>$B$30*LN(A41)+$B$31</f>
        <v>9.9818400719690725</v>
      </c>
    </row>
    <row r="42" spans="1:3" x14ac:dyDescent="0.35">
      <c r="A42" s="23"/>
      <c r="B42" s="23"/>
    </row>
    <row r="43" spans="1:3" x14ac:dyDescent="0.35">
      <c r="A43">
        <f>COUNT(A41)</f>
        <v>1</v>
      </c>
    </row>
    <row r="44" spans="1:3" x14ac:dyDescent="0.35">
      <c r="A44" t="s">
        <v>203</v>
      </c>
      <c r="B44" s="24">
        <f>B32/B30*SQRT(1/A43+1/A28+(B41-B26)^2/(B30^2*C26))</f>
        <v>8.4786786952007004E-2</v>
      </c>
    </row>
    <row r="46" spans="1:3" x14ac:dyDescent="0.35">
      <c r="A46" t="s">
        <v>211</v>
      </c>
      <c r="B46" s="7">
        <f>EXP(B41)</f>
        <v>21630.076852001697</v>
      </c>
    </row>
    <row r="47" spans="1:3" x14ac:dyDescent="0.35">
      <c r="A47" t="s">
        <v>212</v>
      </c>
      <c r="B47" s="6">
        <f>EXP(B41-B44)</f>
        <v>19871.727761105674</v>
      </c>
      <c r="C47" s="7">
        <f>B46-B47</f>
        <v>1758.349090896023</v>
      </c>
    </row>
    <row r="48" spans="1:3" x14ac:dyDescent="0.35">
      <c r="A48" t="s">
        <v>213</v>
      </c>
      <c r="B48" s="6">
        <f>EXP(B41+B44)</f>
        <v>23544.013396722767</v>
      </c>
      <c r="C48" s="7">
        <f>B48-B46</f>
        <v>1913.9365447210694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60"/>
  <sheetViews>
    <sheetView topLeftCell="A97" zoomScaleNormal="100" workbookViewId="0"/>
  </sheetViews>
  <sheetFormatPr defaultRowHeight="14.5" x14ac:dyDescent="0.35"/>
  <cols>
    <col min="1" max="1" width="10.453125" customWidth="1"/>
    <col min="7" max="7" width="18.453125" customWidth="1"/>
    <col min="9" max="9" width="9.453125" bestFit="1" customWidth="1"/>
    <col min="10" max="10" width="9" bestFit="1" customWidth="1"/>
    <col min="12" max="12" width="11.54296875" customWidth="1"/>
    <col min="18" max="18" width="18.453125" customWidth="1"/>
    <col min="20" max="20" width="9.453125" bestFit="1" customWidth="1"/>
    <col min="21" max="21" width="9" bestFit="1" customWidth="1"/>
  </cols>
  <sheetData>
    <row r="1" spans="1:21" ht="21" x14ac:dyDescent="0.5">
      <c r="A1" s="2" t="s">
        <v>0</v>
      </c>
      <c r="L1" s="2" t="s">
        <v>23</v>
      </c>
    </row>
    <row r="2" spans="1:21" ht="21" x14ac:dyDescent="0.5">
      <c r="A2" s="2"/>
      <c r="L2" s="2"/>
    </row>
    <row r="4" spans="1:21" ht="15.5" x14ac:dyDescent="0.35">
      <c r="B4" s="56" t="s">
        <v>6</v>
      </c>
      <c r="C4" s="56"/>
      <c r="D4" s="56"/>
      <c r="E4" s="56"/>
      <c r="F4" s="56"/>
      <c r="M4" s="56" t="s">
        <v>6</v>
      </c>
      <c r="N4" s="56"/>
      <c r="O4" s="56"/>
      <c r="P4" s="56"/>
      <c r="Q4" s="56"/>
    </row>
    <row r="5" spans="1:21" x14ac:dyDescent="0.35">
      <c r="A5" s="5" t="s">
        <v>27</v>
      </c>
      <c r="B5" s="4" t="s">
        <v>1</v>
      </c>
      <c r="C5" s="4" t="s">
        <v>2</v>
      </c>
      <c r="D5" s="4" t="s">
        <v>3</v>
      </c>
      <c r="E5" s="4" t="s">
        <v>4</v>
      </c>
      <c r="F5" s="4" t="s">
        <v>5</v>
      </c>
      <c r="G5" s="4" t="s">
        <v>7</v>
      </c>
      <c r="H5" s="4" t="s">
        <v>8</v>
      </c>
      <c r="I5" s="4" t="s">
        <v>9</v>
      </c>
      <c r="J5" s="4" t="s">
        <v>10</v>
      </c>
      <c r="L5" s="5" t="s">
        <v>27</v>
      </c>
      <c r="M5" s="4" t="s">
        <v>1</v>
      </c>
      <c r="N5" s="4" t="s">
        <v>2</v>
      </c>
      <c r="O5" s="4" t="s">
        <v>3</v>
      </c>
      <c r="P5" s="4" t="s">
        <v>4</v>
      </c>
      <c r="Q5" s="4"/>
      <c r="R5" s="4" t="s">
        <v>7</v>
      </c>
      <c r="S5" s="4" t="s">
        <v>8</v>
      </c>
      <c r="T5" s="4" t="s">
        <v>9</v>
      </c>
      <c r="U5" s="4" t="s">
        <v>10</v>
      </c>
    </row>
    <row r="6" spans="1:21" x14ac:dyDescent="0.35">
      <c r="A6" s="7">
        <v>0</v>
      </c>
      <c r="B6" s="6">
        <v>0.125</v>
      </c>
      <c r="C6" s="6">
        <v>0.152</v>
      </c>
      <c r="D6" s="6">
        <v>0.159</v>
      </c>
      <c r="E6" s="6">
        <v>0.16300000000000001</v>
      </c>
      <c r="F6" s="6">
        <v>0.14799999999999999</v>
      </c>
      <c r="G6" s="8">
        <f>AVERAGE(B6:F6)</f>
        <v>0.14940000000000003</v>
      </c>
      <c r="H6" s="8">
        <f>LN(G6/$G$6)</f>
        <v>0</v>
      </c>
      <c r="I6" s="8">
        <f t="shared" ref="I6:I18" si="0">$H$19*(1-EXP(-$H$20*A6/$H$19))</f>
        <v>0</v>
      </c>
      <c r="J6" s="8">
        <f>(H6-I6)^2</f>
        <v>0</v>
      </c>
      <c r="L6" s="7">
        <v>0</v>
      </c>
      <c r="M6" s="6">
        <v>0.1</v>
      </c>
      <c r="N6" s="6">
        <v>0.1</v>
      </c>
      <c r="O6" s="6">
        <v>0.1</v>
      </c>
      <c r="P6" s="6">
        <v>0.114</v>
      </c>
      <c r="Q6" s="6"/>
      <c r="R6" s="8">
        <f>AVERAGE(M6:Q6)</f>
        <v>0.10350000000000001</v>
      </c>
      <c r="S6" s="8">
        <f>LN(R6/$R$6)</f>
        <v>0</v>
      </c>
      <c r="T6" s="8">
        <f>$S$25*(1-EXP(-$S$26*L6/$S$25))</f>
        <v>0</v>
      </c>
      <c r="U6" s="8">
        <f>(S6-T6)^2</f>
        <v>0</v>
      </c>
    </row>
    <row r="7" spans="1:21" x14ac:dyDescent="0.35">
      <c r="A7" s="7">
        <v>1</v>
      </c>
      <c r="B7" s="6">
        <v>0.159</v>
      </c>
      <c r="C7" s="6">
        <v>0.26400000000000001</v>
      </c>
      <c r="D7" s="6">
        <v>0.27600000000000002</v>
      </c>
      <c r="E7" s="6">
        <v>0.193</v>
      </c>
      <c r="F7" s="6">
        <v>0.20499999999999999</v>
      </c>
      <c r="G7" s="8">
        <f t="shared" ref="G7:G18" si="1">AVERAGE(B7:F7)</f>
        <v>0.21940000000000004</v>
      </c>
      <c r="H7" s="8">
        <f t="shared" ref="H7:H18" si="2">LN(G7/$G$6)</f>
        <v>0.38426927514241283</v>
      </c>
      <c r="I7" s="8">
        <f t="shared" si="0"/>
        <v>0.42618349310503217</v>
      </c>
      <c r="J7" s="8">
        <f t="shared" ref="J7:J18" si="3">(H7-I7)^2</f>
        <v>1.7568016674179626E-3</v>
      </c>
      <c r="L7" s="7">
        <v>1.7152777779999999</v>
      </c>
      <c r="M7" s="6">
        <v>0.23100000000000001</v>
      </c>
      <c r="N7" s="6">
        <v>0.27100000000000002</v>
      </c>
      <c r="O7" s="6">
        <v>0.155</v>
      </c>
      <c r="P7" s="6">
        <v>0.20100000000000001</v>
      </c>
      <c r="Q7" s="6"/>
      <c r="R7" s="8">
        <f t="shared" ref="R7:R24" si="4">AVERAGE(M7:Q7)</f>
        <v>0.21450000000000002</v>
      </c>
      <c r="S7" s="8">
        <f t="shared" ref="S7:S24" si="5">LN(R7/$R$6)</f>
        <v>0.72873812566264784</v>
      </c>
      <c r="T7" s="8">
        <f t="shared" ref="T7:T24" si="6">$S$25*(1-EXP(-$S$26*L7/$S$25))</f>
        <v>0.63994880065369564</v>
      </c>
      <c r="U7" s="8">
        <f t="shared" ref="U7:U24" si="7">(S7-T7)^2</f>
        <v>7.8835442355453447E-3</v>
      </c>
    </row>
    <row r="8" spans="1:21" x14ac:dyDescent="0.35">
      <c r="A8" s="7">
        <v>2.16</v>
      </c>
      <c r="B8" s="6">
        <v>0.52700000000000002</v>
      </c>
      <c r="C8" s="6">
        <v>0.54100000000000004</v>
      </c>
      <c r="D8" s="6">
        <v>0.55900000000000005</v>
      </c>
      <c r="E8" s="6">
        <v>0.36899999999999999</v>
      </c>
      <c r="F8" s="6">
        <v>0.36699999999999999</v>
      </c>
      <c r="G8" s="8">
        <f t="shared" si="1"/>
        <v>0.47260000000000008</v>
      </c>
      <c r="H8" s="8">
        <f t="shared" si="2"/>
        <v>1.1516220920540905</v>
      </c>
      <c r="I8" s="8">
        <f t="shared" si="0"/>
        <v>0.82340071265630199</v>
      </c>
      <c r="J8" s="8">
        <f t="shared" si="3"/>
        <v>0.10772927389378702</v>
      </c>
      <c r="L8" s="7">
        <v>2.59375</v>
      </c>
      <c r="M8" s="6">
        <v>0.28799999999999998</v>
      </c>
      <c r="N8" s="6">
        <v>0.25700000000000001</v>
      </c>
      <c r="O8" s="6">
        <v>0.25600000000000001</v>
      </c>
      <c r="P8" s="6">
        <v>0.27700000000000002</v>
      </c>
      <c r="Q8" s="6"/>
      <c r="R8" s="8">
        <f t="shared" si="4"/>
        <v>0.26949999999999996</v>
      </c>
      <c r="S8" s="8">
        <f t="shared" si="5"/>
        <v>0.95699677764362789</v>
      </c>
      <c r="T8" s="8">
        <f t="shared" si="6"/>
        <v>0.9034702457340974</v>
      </c>
      <c r="U8" s="8">
        <f t="shared" si="7"/>
        <v>2.8650896182619862E-3</v>
      </c>
    </row>
    <row r="9" spans="1:21" x14ac:dyDescent="0.35">
      <c r="A9" s="7">
        <v>5.05</v>
      </c>
      <c r="B9" s="6">
        <v>0.53500000000000003</v>
      </c>
      <c r="C9" s="6">
        <v>0.72599999999999998</v>
      </c>
      <c r="D9" s="6">
        <v>0.747</v>
      </c>
      <c r="E9" s="6">
        <v>0.66400000000000003</v>
      </c>
      <c r="F9" s="6">
        <v>0.63200000000000001</v>
      </c>
      <c r="G9" s="8">
        <f t="shared" si="1"/>
        <v>0.66080000000000005</v>
      </c>
      <c r="H9" s="8">
        <f t="shared" si="2"/>
        <v>1.4868239495080511</v>
      </c>
      <c r="I9" s="8">
        <f t="shared" si="0"/>
        <v>1.4871814896353943</v>
      </c>
      <c r="J9" s="8">
        <f t="shared" si="3"/>
        <v>1.2783494266061784E-7</v>
      </c>
      <c r="L9" s="7">
        <v>3.611111111</v>
      </c>
      <c r="M9" s="6">
        <v>0.42299999999999999</v>
      </c>
      <c r="N9" s="6">
        <v>0.38800000000000001</v>
      </c>
      <c r="O9" s="6">
        <v>0.33300000000000002</v>
      </c>
      <c r="P9" s="6">
        <v>0.30299999999999999</v>
      </c>
      <c r="Q9" s="6"/>
      <c r="R9" s="8">
        <f t="shared" si="4"/>
        <v>0.36174999999999996</v>
      </c>
      <c r="S9" s="8">
        <f t="shared" si="5"/>
        <v>1.2513817528061693</v>
      </c>
      <c r="T9" s="8">
        <f t="shared" si="6"/>
        <v>1.1642370754275573</v>
      </c>
      <c r="U9" s="8">
        <f t="shared" si="7"/>
        <v>7.5941947954223663E-3</v>
      </c>
    </row>
    <row r="10" spans="1:21" x14ac:dyDescent="0.35">
      <c r="A10" s="7">
        <v>7.17</v>
      </c>
      <c r="B10" s="6">
        <v>0.73799999999999999</v>
      </c>
      <c r="C10" s="6">
        <v>0.83299999999999996</v>
      </c>
      <c r="D10" s="6">
        <v>0.85199999999999998</v>
      </c>
      <c r="E10" s="6">
        <v>0.76600000000000001</v>
      </c>
      <c r="F10" s="6">
        <v>0.78300000000000003</v>
      </c>
      <c r="G10" s="8">
        <f t="shared" si="1"/>
        <v>0.7944</v>
      </c>
      <c r="H10" s="8">
        <f t="shared" si="2"/>
        <v>1.6709598400322456</v>
      </c>
      <c r="I10" s="8">
        <f t="shared" si="0"/>
        <v>1.7779768574186485</v>
      </c>
      <c r="J10" s="8">
        <f t="shared" si="3"/>
        <v>1.1452642010281662E-2</v>
      </c>
      <c r="L10" s="7">
        <v>4.3333333329999997</v>
      </c>
      <c r="M10" s="6">
        <v>0.46899999999999997</v>
      </c>
      <c r="N10" s="6">
        <v>0.4</v>
      </c>
      <c r="O10" s="6">
        <v>0.48099999999999998</v>
      </c>
      <c r="P10" s="6">
        <v>0.38200000000000001</v>
      </c>
      <c r="Q10" s="6"/>
      <c r="R10" s="8">
        <f t="shared" si="4"/>
        <v>0.43300000000000005</v>
      </c>
      <c r="S10" s="8">
        <f t="shared" si="5"/>
        <v>1.4311661152970661</v>
      </c>
      <c r="T10" s="8">
        <f t="shared" si="6"/>
        <v>1.3243365303413603</v>
      </c>
      <c r="U10" s="8">
        <f t="shared" si="7"/>
        <v>1.1412560221808345E-2</v>
      </c>
    </row>
    <row r="11" spans="1:21" x14ac:dyDescent="0.35">
      <c r="A11" s="7">
        <v>7.84</v>
      </c>
      <c r="B11" s="6">
        <v>0.89900000000000002</v>
      </c>
      <c r="C11" s="6">
        <v>0.86599999999999999</v>
      </c>
      <c r="D11" s="6">
        <v>0.88200000000000001</v>
      </c>
      <c r="E11" s="6">
        <v>0.90400000000000003</v>
      </c>
      <c r="F11" s="6">
        <v>0.86299999999999999</v>
      </c>
      <c r="G11" s="8">
        <f t="shared" si="1"/>
        <v>0.88279999999999992</v>
      </c>
      <c r="H11" s="8">
        <f t="shared" si="2"/>
        <v>1.7764714016838641</v>
      </c>
      <c r="I11" s="8">
        <f t="shared" si="0"/>
        <v>1.8467208368028758</v>
      </c>
      <c r="J11" s="8">
        <f t="shared" si="3"/>
        <v>4.934983134540237E-3</v>
      </c>
      <c r="L11" s="7">
        <v>5.8125</v>
      </c>
      <c r="M11" s="6">
        <v>0.60599999999999998</v>
      </c>
      <c r="N11" s="6">
        <v>0.49299999999999999</v>
      </c>
      <c r="O11" s="6">
        <v>0.52600000000000002</v>
      </c>
      <c r="P11" s="6">
        <v>0.438</v>
      </c>
      <c r="Q11" s="6"/>
      <c r="R11" s="8">
        <f t="shared" si="4"/>
        <v>0.51575000000000004</v>
      </c>
      <c r="S11" s="8">
        <f t="shared" si="5"/>
        <v>1.6060505392459374</v>
      </c>
      <c r="T11" s="8">
        <f t="shared" si="6"/>
        <v>1.5979236684149145</v>
      </c>
      <c r="U11" s="8">
        <f t="shared" si="7"/>
        <v>6.6046029504131259E-5</v>
      </c>
    </row>
    <row r="12" spans="1:21" x14ac:dyDescent="0.35">
      <c r="A12" s="7">
        <v>11.13</v>
      </c>
      <c r="B12" s="6">
        <v>1.266</v>
      </c>
      <c r="C12" s="6">
        <v>1.05</v>
      </c>
      <c r="D12" s="6">
        <v>1.01</v>
      </c>
      <c r="E12" s="6">
        <v>1.155</v>
      </c>
      <c r="F12" s="6">
        <v>1.075</v>
      </c>
      <c r="G12" s="8">
        <f t="shared" si="1"/>
        <v>1.1112</v>
      </c>
      <c r="H12" s="8">
        <f t="shared" si="2"/>
        <v>2.0065685187414171</v>
      </c>
      <c r="I12" s="8">
        <f t="shared" si="0"/>
        <v>2.0765398473371444</v>
      </c>
      <c r="J12" s="8">
        <f t="shared" si="3"/>
        <v>4.8959868254512453E-3</v>
      </c>
      <c r="L12" s="7">
        <v>6.875</v>
      </c>
      <c r="M12" s="6">
        <v>0.63800000000000001</v>
      </c>
      <c r="N12" s="6">
        <v>0.54600000000000004</v>
      </c>
      <c r="O12" s="6">
        <v>0.60099999999999998</v>
      </c>
      <c r="P12" s="6">
        <v>0.57099999999999995</v>
      </c>
      <c r="Q12" s="6"/>
      <c r="R12" s="8">
        <f t="shared" si="4"/>
        <v>0.58899999999999997</v>
      </c>
      <c r="S12" s="8">
        <f t="shared" si="5"/>
        <v>1.7388545709461629</v>
      </c>
      <c r="T12" s="8">
        <f t="shared" si="6"/>
        <v>1.7568223631069557</v>
      </c>
      <c r="U12" s="8">
        <f t="shared" si="7"/>
        <v>3.2284155513344738E-4</v>
      </c>
    </row>
    <row r="13" spans="1:21" x14ac:dyDescent="0.35">
      <c r="A13" s="7">
        <v>12.16</v>
      </c>
      <c r="B13" s="6">
        <v>1.3740000000000001</v>
      </c>
      <c r="C13" s="6">
        <v>1.081</v>
      </c>
      <c r="D13" s="6">
        <v>1.0369999999999999</v>
      </c>
      <c r="E13" s="6">
        <v>1.125</v>
      </c>
      <c r="F13" s="6">
        <v>1.456</v>
      </c>
      <c r="G13" s="8">
        <f t="shared" si="1"/>
        <v>1.2146000000000001</v>
      </c>
      <c r="H13" s="8">
        <f t="shared" si="2"/>
        <v>2.095542810764758</v>
      </c>
      <c r="I13" s="8">
        <f t="shared" si="0"/>
        <v>2.122164220057452</v>
      </c>
      <c r="J13" s="8">
        <f t="shared" si="3"/>
        <v>7.0869943272913261E-4</v>
      </c>
      <c r="L13" s="7">
        <v>9.875</v>
      </c>
      <c r="M13" s="6">
        <v>0.77300000000000002</v>
      </c>
      <c r="N13" s="6">
        <v>0.73</v>
      </c>
      <c r="O13" s="6">
        <v>0.69599999999999995</v>
      </c>
      <c r="P13" s="6">
        <v>0.79120000000000001</v>
      </c>
      <c r="Q13" s="6"/>
      <c r="R13" s="8">
        <f t="shared" si="4"/>
        <v>0.74754999999999994</v>
      </c>
      <c r="S13" s="8">
        <f t="shared" si="5"/>
        <v>1.9772295799545128</v>
      </c>
      <c r="T13" s="8">
        <f t="shared" si="6"/>
        <v>2.079804237726008</v>
      </c>
      <c r="U13" s="8">
        <f t="shared" si="7"/>
        <v>1.0521560416939364E-2</v>
      </c>
    </row>
    <row r="14" spans="1:21" x14ac:dyDescent="0.35">
      <c r="A14" s="7">
        <v>16.09</v>
      </c>
      <c r="B14" s="6">
        <v>1.5940000000000001</v>
      </c>
      <c r="C14" s="6">
        <v>1.1739999999999999</v>
      </c>
      <c r="D14" s="6">
        <v>1.1619999999999999</v>
      </c>
      <c r="E14" s="6">
        <v>1.248</v>
      </c>
      <c r="F14" s="6">
        <v>1.413</v>
      </c>
      <c r="G14" s="8">
        <f t="shared" si="1"/>
        <v>1.3182</v>
      </c>
      <c r="H14" s="8">
        <f t="shared" si="2"/>
        <v>2.1773951759199024</v>
      </c>
      <c r="I14" s="8">
        <f t="shared" si="0"/>
        <v>2.2299676222878824</v>
      </c>
      <c r="J14" s="8">
        <f t="shared" si="3"/>
        <v>2.7638621171141306E-3</v>
      </c>
      <c r="L14" s="7">
        <v>10.83333333</v>
      </c>
      <c r="M14" s="6">
        <v>0.86199999999999999</v>
      </c>
      <c r="N14" s="6">
        <v>0.79300000000000004</v>
      </c>
      <c r="O14" s="6">
        <v>0.754</v>
      </c>
      <c r="P14" s="6">
        <v>0.84399999999999997</v>
      </c>
      <c r="Q14" s="6"/>
      <c r="R14" s="8">
        <f t="shared" si="4"/>
        <v>0.81324999999999992</v>
      </c>
      <c r="S14" s="8">
        <f t="shared" si="5"/>
        <v>2.0614669526480371</v>
      </c>
      <c r="T14" s="8">
        <f t="shared" si="6"/>
        <v>2.1533637629814431</v>
      </c>
      <c r="U14" s="8">
        <f t="shared" si="7"/>
        <v>8.4450237494539792E-3</v>
      </c>
    </row>
    <row r="15" spans="1:21" x14ac:dyDescent="0.35">
      <c r="A15" s="7">
        <v>18.079999999999998</v>
      </c>
      <c r="B15" s="6">
        <v>1.67</v>
      </c>
      <c r="C15" s="6">
        <v>1.254</v>
      </c>
      <c r="D15" s="6">
        <v>1.226</v>
      </c>
      <c r="E15" s="6">
        <v>1.4870000000000001</v>
      </c>
      <c r="F15" s="6">
        <v>1.4510000000000001</v>
      </c>
      <c r="G15" s="8">
        <f t="shared" si="1"/>
        <v>1.4176000000000002</v>
      </c>
      <c r="H15" s="8">
        <f t="shared" si="2"/>
        <v>2.2500933071520994</v>
      </c>
      <c r="I15" s="8">
        <f t="shared" si="0"/>
        <v>2.2593051104766548</v>
      </c>
      <c r="J15" s="8">
        <f t="shared" si="3"/>
        <v>8.4857320490289937E-5</v>
      </c>
      <c r="L15" s="7">
        <v>11.875</v>
      </c>
      <c r="M15" s="6">
        <v>0.95699999999999996</v>
      </c>
      <c r="N15" s="6">
        <v>0.81899999999999995</v>
      </c>
      <c r="O15" s="6">
        <v>0.79100000000000004</v>
      </c>
      <c r="P15" s="6">
        <v>0.89400000000000002</v>
      </c>
      <c r="Q15" s="6"/>
      <c r="R15" s="8">
        <f t="shared" si="4"/>
        <v>0.86524999999999996</v>
      </c>
      <c r="S15" s="8">
        <f t="shared" si="5"/>
        <v>2.1234468698100297</v>
      </c>
      <c r="T15" s="8">
        <f t="shared" si="6"/>
        <v>2.2210860298742525</v>
      </c>
      <c r="U15" s="8">
        <f t="shared" si="7"/>
        <v>9.5334055780469194E-3</v>
      </c>
    </row>
    <row r="16" spans="1:21" x14ac:dyDescent="0.35">
      <c r="A16" s="7">
        <v>26.19</v>
      </c>
      <c r="B16" s="6">
        <v>1.831</v>
      </c>
      <c r="C16" s="6">
        <v>1.3720000000000001</v>
      </c>
      <c r="D16" s="6">
        <v>1.385</v>
      </c>
      <c r="E16" s="6">
        <v>1.653</v>
      </c>
      <c r="F16" s="6">
        <v>1.474</v>
      </c>
      <c r="G16" s="8">
        <f t="shared" si="1"/>
        <v>1.5429999999999999</v>
      </c>
      <c r="H16" s="8">
        <f t="shared" si="2"/>
        <v>2.3348565796644438</v>
      </c>
      <c r="I16" s="8">
        <f t="shared" si="0"/>
        <v>2.3068547392326297</v>
      </c>
      <c r="J16" s="8">
        <f t="shared" si="3"/>
        <v>7.8410306756877802E-4</v>
      </c>
      <c r="L16" s="7">
        <v>14.72916667</v>
      </c>
      <c r="M16" s="6">
        <v>1.123</v>
      </c>
      <c r="N16" s="6">
        <v>0.98499999999999999</v>
      </c>
      <c r="O16" s="6">
        <v>0.92100000000000004</v>
      </c>
      <c r="P16" s="6">
        <v>1.0698000000000001</v>
      </c>
      <c r="Q16" s="6"/>
      <c r="R16" s="8">
        <f t="shared" si="4"/>
        <v>1.0246999999999999</v>
      </c>
      <c r="S16" s="8">
        <f t="shared" si="5"/>
        <v>2.2925835531002483</v>
      </c>
      <c r="T16" s="8">
        <f t="shared" si="6"/>
        <v>2.3564057367002365</v>
      </c>
      <c r="U16" s="8">
        <f t="shared" si="7"/>
        <v>4.0732711194705956E-3</v>
      </c>
    </row>
    <row r="17" spans="1:21" x14ac:dyDescent="0.35">
      <c r="A17" s="7">
        <v>28.18</v>
      </c>
      <c r="B17" s="6">
        <v>1.8049999999999999</v>
      </c>
      <c r="C17" s="6">
        <v>1.4670000000000001</v>
      </c>
      <c r="D17" s="6">
        <v>1.4810000000000001</v>
      </c>
      <c r="E17" s="6">
        <v>1.756</v>
      </c>
      <c r="F17" s="6">
        <v>1.5860000000000001</v>
      </c>
      <c r="G17" s="8">
        <f t="shared" si="1"/>
        <v>1.6190000000000002</v>
      </c>
      <c r="H17" s="8">
        <f t="shared" si="2"/>
        <v>2.3829366809789181</v>
      </c>
      <c r="I17" s="8">
        <f t="shared" si="0"/>
        <v>2.3106247018760189</v>
      </c>
      <c r="J17" s="8">
        <f t="shared" si="3"/>
        <v>5.2290223217781326E-3</v>
      </c>
      <c r="L17" s="7">
        <v>16.875</v>
      </c>
      <c r="M17" s="6">
        <v>1.1850000000000001</v>
      </c>
      <c r="N17" s="6">
        <v>1.0009999999999999</v>
      </c>
      <c r="O17" s="6">
        <v>1.0789500000000001</v>
      </c>
      <c r="P17" s="6">
        <v>1.1759999999999999</v>
      </c>
      <c r="Q17" s="6"/>
      <c r="R17" s="8">
        <f t="shared" si="4"/>
        <v>1.1102375</v>
      </c>
      <c r="S17" s="8">
        <f t="shared" si="5"/>
        <v>2.3727576226778955</v>
      </c>
      <c r="T17" s="8">
        <f t="shared" si="6"/>
        <v>2.423271551633229</v>
      </c>
      <c r="U17" s="8">
        <f t="shared" si="7"/>
        <v>2.551657018504488E-3</v>
      </c>
    </row>
    <row r="18" spans="1:21" x14ac:dyDescent="0.35">
      <c r="A18" s="7">
        <v>32.659999999999997</v>
      </c>
      <c r="B18" s="6">
        <v>1.744</v>
      </c>
      <c r="C18" s="6">
        <v>1.52</v>
      </c>
      <c r="D18" s="6">
        <v>1.5760000000000001</v>
      </c>
      <c r="E18" s="6">
        <v>1.6830000000000001</v>
      </c>
      <c r="F18" s="6">
        <v>1.64</v>
      </c>
      <c r="G18" s="8">
        <f t="shared" si="1"/>
        <v>1.6326000000000001</v>
      </c>
      <c r="H18" s="8">
        <f t="shared" si="2"/>
        <v>2.3913018423185384</v>
      </c>
      <c r="I18" s="8">
        <f t="shared" si="0"/>
        <v>2.3151462046211098</v>
      </c>
      <c r="J18" s="8">
        <f t="shared" si="3"/>
        <v>5.7996811531020103E-3</v>
      </c>
      <c r="L18" s="7">
        <v>17.833333329999999</v>
      </c>
      <c r="M18" s="6">
        <v>1.171</v>
      </c>
      <c r="N18" s="6">
        <v>1.1359999999999999</v>
      </c>
      <c r="O18" s="6">
        <v>1.1499999999999999</v>
      </c>
      <c r="P18" s="6">
        <v>1.2256</v>
      </c>
      <c r="Q18" s="6"/>
      <c r="R18" s="8">
        <f t="shared" si="4"/>
        <v>1.17065</v>
      </c>
      <c r="S18" s="8">
        <f t="shared" si="5"/>
        <v>2.4257428163780781</v>
      </c>
      <c r="T18" s="8">
        <f t="shared" si="6"/>
        <v>2.4462445888438693</v>
      </c>
      <c r="U18" s="8">
        <f t="shared" si="7"/>
        <v>4.2032267423907472E-4</v>
      </c>
    </row>
    <row r="19" spans="1:21" x14ac:dyDescent="0.35">
      <c r="G19" s="3" t="s">
        <v>11</v>
      </c>
      <c r="H19" s="6">
        <v>2.3181918378550632</v>
      </c>
      <c r="I19" s="4" t="s">
        <v>19</v>
      </c>
      <c r="J19" s="8">
        <f>SUM(J6:J18)</f>
        <v>0.14614004077920326</v>
      </c>
      <c r="L19" s="7">
        <v>18.875</v>
      </c>
      <c r="M19" s="6">
        <v>1.246</v>
      </c>
      <c r="N19" s="6">
        <v>1.1519999999999999</v>
      </c>
      <c r="O19" s="6">
        <v>1.19</v>
      </c>
      <c r="P19" s="6">
        <v>1.294</v>
      </c>
      <c r="R19" s="8">
        <f t="shared" si="4"/>
        <v>1.2204999999999999</v>
      </c>
      <c r="S19" s="8">
        <f t="shared" si="5"/>
        <v>2.4674442771275906</v>
      </c>
      <c r="T19" s="8">
        <f t="shared" si="6"/>
        <v>2.4673946187266744</v>
      </c>
      <c r="U19" s="8">
        <f t="shared" si="7"/>
        <v>2.4659567815537659E-9</v>
      </c>
    </row>
    <row r="20" spans="1:21" x14ac:dyDescent="0.35">
      <c r="G20" s="3" t="s">
        <v>12</v>
      </c>
      <c r="H20" s="6">
        <v>0.47093747369272609</v>
      </c>
      <c r="L20" s="7">
        <v>19.8125</v>
      </c>
      <c r="M20" s="6">
        <v>1.286</v>
      </c>
      <c r="N20" s="6">
        <v>1.161</v>
      </c>
      <c r="O20" s="6">
        <v>1.222</v>
      </c>
      <c r="P20" s="6">
        <v>1.333</v>
      </c>
      <c r="R20" s="8">
        <f t="shared" si="4"/>
        <v>1.2504999999999999</v>
      </c>
      <c r="S20" s="8">
        <f t="shared" si="5"/>
        <v>2.4917271376122496</v>
      </c>
      <c r="T20" s="8">
        <f t="shared" si="6"/>
        <v>2.483538189764479</v>
      </c>
      <c r="U20" s="8">
        <f t="shared" si="7"/>
        <v>6.7058866853506383E-5</v>
      </c>
    </row>
    <row r="21" spans="1:21" ht="16.5" x14ac:dyDescent="0.35">
      <c r="G21" s="3" t="s">
        <v>13</v>
      </c>
      <c r="H21" s="6">
        <f>H20/LN(2)</f>
        <v>0.67941915786527263</v>
      </c>
      <c r="I21" t="s">
        <v>14</v>
      </c>
      <c r="L21" s="7">
        <v>23.958333329999999</v>
      </c>
      <c r="M21" s="6">
        <v>1.379</v>
      </c>
      <c r="N21" s="6">
        <v>1.2769999999999999</v>
      </c>
      <c r="O21" s="6">
        <v>1.2987</v>
      </c>
      <c r="P21" s="6">
        <v>1.395</v>
      </c>
      <c r="R21" s="8">
        <f t="shared" si="4"/>
        <v>1.3374250000000001</v>
      </c>
      <c r="S21" s="8">
        <f t="shared" si="5"/>
        <v>2.5589297897261343</v>
      </c>
      <c r="T21" s="8">
        <f t="shared" si="6"/>
        <v>2.5312084938536121</v>
      </c>
      <c r="U21" s="8">
        <f t="shared" si="7"/>
        <v>7.6847024485191331E-4</v>
      </c>
    </row>
    <row r="22" spans="1:21" ht="16.5" x14ac:dyDescent="0.35">
      <c r="H22" s="18">
        <f>H21/24</f>
        <v>2.8309131577719693E-2</v>
      </c>
      <c r="I22" t="s">
        <v>15</v>
      </c>
      <c r="L22" s="7">
        <v>24.8125</v>
      </c>
      <c r="M22" s="6">
        <v>1.377</v>
      </c>
      <c r="N22" s="6">
        <v>1.347</v>
      </c>
      <c r="O22" s="6">
        <v>1.4013</v>
      </c>
      <c r="P22" s="6">
        <v>1.452</v>
      </c>
      <c r="R22" s="8">
        <f t="shared" si="4"/>
        <v>1.394325</v>
      </c>
      <c r="S22" s="8">
        <f t="shared" si="5"/>
        <v>2.6005940934789669</v>
      </c>
      <c r="T22" s="8">
        <f t="shared" si="6"/>
        <v>2.5375687294711256</v>
      </c>
      <c r="U22" s="8">
        <f t="shared" si="7"/>
        <v>3.9721965083208991E-3</v>
      </c>
    </row>
    <row r="23" spans="1:21" x14ac:dyDescent="0.35">
      <c r="G23" s="3" t="s">
        <v>16</v>
      </c>
      <c r="H23" s="6">
        <f>1/H21</f>
        <v>1.4718454556712659</v>
      </c>
      <c r="I23" t="s">
        <v>17</v>
      </c>
      <c r="L23" s="7">
        <v>25.864583329999999</v>
      </c>
      <c r="M23" s="6">
        <v>1.41</v>
      </c>
      <c r="N23" s="6">
        <v>1.36</v>
      </c>
      <c r="O23" s="6">
        <v>1.4796199999999999</v>
      </c>
      <c r="P23" s="6">
        <v>1.498</v>
      </c>
      <c r="R23" s="8">
        <f t="shared" si="4"/>
        <v>1.4369050000000001</v>
      </c>
      <c r="S23" s="8">
        <f t="shared" si="5"/>
        <v>2.6306751612369546</v>
      </c>
      <c r="T23" s="8">
        <f t="shared" si="6"/>
        <v>2.5442575713338114</v>
      </c>
      <c r="U23" s="8">
        <f t="shared" si="7"/>
        <v>7.4679998446678351E-3</v>
      </c>
    </row>
    <row r="24" spans="1:21" x14ac:dyDescent="0.35">
      <c r="H24" s="6">
        <f>1/H22</f>
        <v>35.324290936110387</v>
      </c>
      <c r="I24" t="s">
        <v>18</v>
      </c>
      <c r="L24" s="7">
        <v>27</v>
      </c>
      <c r="M24" s="6">
        <v>1.3879999999999999</v>
      </c>
      <c r="N24" s="6">
        <v>1.2310000000000001</v>
      </c>
      <c r="O24" s="6">
        <v>1.4963200000000001</v>
      </c>
      <c r="P24" s="6">
        <v>1.512</v>
      </c>
      <c r="R24" s="8">
        <f t="shared" si="4"/>
        <v>1.4068299999999998</v>
      </c>
      <c r="S24" s="8">
        <f t="shared" si="5"/>
        <v>2.6095226126599207</v>
      </c>
      <c r="T24" s="8">
        <f t="shared" si="6"/>
        <v>2.550277276595307</v>
      </c>
      <c r="U24" s="8">
        <f t="shared" si="7"/>
        <v>3.5100098454090151E-3</v>
      </c>
    </row>
    <row r="25" spans="1:21" x14ac:dyDescent="0.35">
      <c r="R25" s="3" t="s">
        <v>11</v>
      </c>
      <c r="S25" s="6">
        <v>2.5792516895712918</v>
      </c>
      <c r="T25" s="4" t="s">
        <v>19</v>
      </c>
      <c r="U25" s="8">
        <f>SUM(U6:U24)</f>
        <v>8.1475254788389975E-2</v>
      </c>
    </row>
    <row r="26" spans="1:21" x14ac:dyDescent="0.35">
      <c r="R26" s="3" t="s">
        <v>12</v>
      </c>
      <c r="S26" s="6">
        <v>0.42880933072051591</v>
      </c>
    </row>
    <row r="27" spans="1:21" ht="16.5" x14ac:dyDescent="0.35">
      <c r="A27" s="55" t="s">
        <v>35</v>
      </c>
      <c r="B27" s="55"/>
      <c r="C27" s="55"/>
      <c r="D27" s="55"/>
      <c r="E27" s="55"/>
      <c r="R27" s="3" t="s">
        <v>13</v>
      </c>
      <c r="S27" s="6">
        <f>S26/LN(2)</f>
        <v>0.61864109491740371</v>
      </c>
      <c r="T27" t="s">
        <v>14</v>
      </c>
    </row>
    <row r="28" spans="1:21" ht="16.5" x14ac:dyDescent="0.35">
      <c r="A28" s="5" t="s">
        <v>27</v>
      </c>
      <c r="B28" s="4" t="s">
        <v>25</v>
      </c>
      <c r="C28" s="4" t="s">
        <v>8</v>
      </c>
      <c r="D28" s="4" t="s">
        <v>9</v>
      </c>
      <c r="E28" s="4" t="s">
        <v>10</v>
      </c>
      <c r="G28" s="9" t="s">
        <v>20</v>
      </c>
      <c r="S28" s="18">
        <f>S27/24</f>
        <v>2.5776712288225156E-2</v>
      </c>
      <c r="T28" t="s">
        <v>15</v>
      </c>
    </row>
    <row r="29" spans="1:21" x14ac:dyDescent="0.35">
      <c r="A29">
        <v>0</v>
      </c>
      <c r="B29" s="6">
        <v>0.125</v>
      </c>
      <c r="C29" s="8">
        <f>LN(B29/$B$29)</f>
        <v>0</v>
      </c>
      <c r="D29" s="8">
        <f>$C$42*(1-EXP(-$C$43*A29/$C$42))</f>
        <v>0</v>
      </c>
      <c r="E29" s="8">
        <f>(C29-D29)^2</f>
        <v>0</v>
      </c>
      <c r="R29" s="3" t="s">
        <v>16</v>
      </c>
      <c r="S29" s="6">
        <f>1/S27</f>
        <v>1.6164461239574013</v>
      </c>
      <c r="T29" t="s">
        <v>17</v>
      </c>
    </row>
    <row r="30" spans="1:21" ht="16.5" x14ac:dyDescent="0.35">
      <c r="A30">
        <v>1</v>
      </c>
      <c r="B30" s="6">
        <v>0.159</v>
      </c>
      <c r="C30" s="8">
        <f t="shared" ref="C30:C41" si="8">LN(B30/$B$29)</f>
        <v>0.24059046491793043</v>
      </c>
      <c r="D30" s="8">
        <f t="shared" ref="D30:D41" si="9">$C$42*(1-EXP(-$C$43*A30/$C$42))</f>
        <v>0.44478197079249521</v>
      </c>
      <c r="E30" s="8">
        <f t="shared" ref="E30:E41" si="10">(C30-D30)^2</f>
        <v>4.1694171071322422E-2</v>
      </c>
      <c r="G30" t="s">
        <v>1</v>
      </c>
      <c r="H30" s="6">
        <f>C45</f>
        <v>2.9252545601539743E-2</v>
      </c>
      <c r="I30" t="s">
        <v>15</v>
      </c>
      <c r="J30">
        <v>0.70206109443695386</v>
      </c>
      <c r="S30" s="6">
        <f>1/S28</f>
        <v>38.794706974977629</v>
      </c>
      <c r="T30" t="s">
        <v>18</v>
      </c>
    </row>
    <row r="31" spans="1:21" ht="16.5" x14ac:dyDescent="0.35">
      <c r="A31">
        <v>2.16</v>
      </c>
      <c r="B31" s="6">
        <v>0.52700000000000002</v>
      </c>
      <c r="C31" s="8">
        <f t="shared" si="8"/>
        <v>1.4388868112390611</v>
      </c>
      <c r="D31" s="8">
        <f t="shared" si="9"/>
        <v>0.8685766114455542</v>
      </c>
      <c r="E31" s="8">
        <f t="shared" si="10"/>
        <v>0.32525372398850982</v>
      </c>
      <c r="G31" t="s">
        <v>2</v>
      </c>
      <c r="H31" s="6">
        <f>C67</f>
        <v>4.5575482556690979E-2</v>
      </c>
      <c r="I31" t="s">
        <v>15</v>
      </c>
      <c r="J31">
        <v>1.0938115813605835</v>
      </c>
    </row>
    <row r="32" spans="1:21" ht="16.5" x14ac:dyDescent="0.35">
      <c r="A32">
        <v>5.05</v>
      </c>
      <c r="B32" s="6">
        <v>0.53500000000000003</v>
      </c>
      <c r="C32" s="8">
        <f t="shared" si="8"/>
        <v>1.4539530095937054</v>
      </c>
      <c r="D32" s="8">
        <f t="shared" si="9"/>
        <v>1.6051288144101683</v>
      </c>
      <c r="E32" s="8">
        <f t="shared" si="10"/>
        <v>2.2854123961905278E-2</v>
      </c>
      <c r="G32" t="s">
        <v>3</v>
      </c>
      <c r="H32" s="6">
        <f>C89</f>
        <v>4.9251589452705628E-2</v>
      </c>
      <c r="I32" t="s">
        <v>15</v>
      </c>
      <c r="J32">
        <v>1.182038146864935</v>
      </c>
    </row>
    <row r="33" spans="1:21" ht="16.5" x14ac:dyDescent="0.35">
      <c r="A33">
        <v>7.17</v>
      </c>
      <c r="B33" s="6">
        <v>0.73799999999999999</v>
      </c>
      <c r="C33" s="8">
        <f t="shared" si="8"/>
        <v>1.7756300872981714</v>
      </c>
      <c r="D33" s="8">
        <f t="shared" si="9"/>
        <v>1.9452567452808003</v>
      </c>
      <c r="E33" s="8">
        <f t="shared" si="10"/>
        <v>2.8773203098355755E-2</v>
      </c>
      <c r="G33" t="s">
        <v>4</v>
      </c>
      <c r="H33" s="6">
        <f>C111</f>
        <v>2.9746324395067386E-2</v>
      </c>
      <c r="I33" t="s">
        <v>15</v>
      </c>
      <c r="J33">
        <v>0.71391178548161727</v>
      </c>
      <c r="L33" s="55" t="s">
        <v>35</v>
      </c>
      <c r="M33" s="55"/>
      <c r="N33" s="55"/>
      <c r="O33" s="55"/>
      <c r="P33" s="55"/>
    </row>
    <row r="34" spans="1:21" ht="16.5" x14ac:dyDescent="0.35">
      <c r="A34">
        <v>7.84</v>
      </c>
      <c r="B34" s="6">
        <v>0.89900000000000002</v>
      </c>
      <c r="C34" s="8">
        <f t="shared" si="8"/>
        <v>1.9729692971693191</v>
      </c>
      <c r="D34" s="8">
        <f t="shared" si="9"/>
        <v>2.0281084138067182</v>
      </c>
      <c r="E34" s="8">
        <f t="shared" si="10"/>
        <v>3.0403221835527045E-3</v>
      </c>
      <c r="G34" t="s">
        <v>5</v>
      </c>
      <c r="H34" s="6">
        <f>C133</f>
        <v>3.0884931696586748E-2</v>
      </c>
      <c r="I34" t="s">
        <v>15</v>
      </c>
      <c r="J34">
        <v>0.74123836071808191</v>
      </c>
      <c r="L34" s="5" t="s">
        <v>27</v>
      </c>
      <c r="M34" s="4" t="s">
        <v>25</v>
      </c>
      <c r="N34" s="4" t="s">
        <v>8</v>
      </c>
      <c r="O34" s="4" t="s">
        <v>9</v>
      </c>
      <c r="P34" s="4" t="s">
        <v>10</v>
      </c>
      <c r="R34" s="9" t="s">
        <v>20</v>
      </c>
    </row>
    <row r="35" spans="1:21" ht="16.5" x14ac:dyDescent="0.35">
      <c r="A35">
        <v>11.13</v>
      </c>
      <c r="B35" s="6">
        <v>1.266</v>
      </c>
      <c r="C35" s="8">
        <f t="shared" si="8"/>
        <v>2.3153038654018205</v>
      </c>
      <c r="D35" s="8">
        <f t="shared" si="9"/>
        <v>2.3155996378042873</v>
      </c>
      <c r="E35" s="8">
        <f t="shared" si="10"/>
        <v>8.7481314060988386E-8</v>
      </c>
      <c r="G35" t="s">
        <v>21</v>
      </c>
      <c r="H35" s="6">
        <f>H22</f>
        <v>2.8309131577719693E-2</v>
      </c>
      <c r="I35" t="s">
        <v>15</v>
      </c>
      <c r="J35">
        <v>0.67941915786527263</v>
      </c>
      <c r="L35" s="7">
        <v>0</v>
      </c>
      <c r="M35" s="6">
        <v>0.1</v>
      </c>
      <c r="N35" s="8">
        <f>LN(M35/$M$35)</f>
        <v>0</v>
      </c>
      <c r="O35" s="8">
        <f>$N$54*(1-EXP(-$N$55*L35/$N$54))</f>
        <v>0</v>
      </c>
      <c r="P35" s="8">
        <f>(N35-O35)^2</f>
        <v>0</v>
      </c>
    </row>
    <row r="36" spans="1:21" ht="16.5" x14ac:dyDescent="0.35">
      <c r="A36">
        <v>12.16</v>
      </c>
      <c r="B36" s="6">
        <v>1.3740000000000001</v>
      </c>
      <c r="C36" s="8">
        <f t="shared" si="8"/>
        <v>2.3971677354799934</v>
      </c>
      <c r="D36" s="8">
        <f t="shared" si="9"/>
        <v>2.3754513608141452</v>
      </c>
      <c r="E36" s="8">
        <f t="shared" si="10"/>
        <v>4.7160092862749318E-4</v>
      </c>
      <c r="G36" t="s">
        <v>24</v>
      </c>
      <c r="H36" s="18">
        <f>_xlfn.STDEV.S(H30:H34)</f>
        <v>9.6650988896624032E-3</v>
      </c>
      <c r="I36" t="s">
        <v>15</v>
      </c>
      <c r="J36" s="18">
        <f>_xlfn.STDEV.S(J30:J34)</f>
        <v>0.23196237335189757</v>
      </c>
      <c r="L36" s="7">
        <v>1.7152777779999999</v>
      </c>
      <c r="M36" s="6">
        <v>0.23100000000000001</v>
      </c>
      <c r="N36" s="8">
        <f t="shared" ref="N36:N53" si="11">LN(M36/$M$35)</f>
        <v>0.83724752453370221</v>
      </c>
      <c r="O36" s="8">
        <f t="shared" ref="O36:O53" si="12">$N$54*(1-EXP(-$N$55*L36/$N$54))</f>
        <v>0.77696978292815377</v>
      </c>
      <c r="P36" s="8">
        <f t="shared" ref="P36:P53" si="13">(N36-O36)^2</f>
        <v>3.6334061330652655E-3</v>
      </c>
      <c r="R36" t="s">
        <v>1</v>
      </c>
      <c r="S36" s="6">
        <f>N57</f>
        <v>3.2730130172521327E-2</v>
      </c>
      <c r="T36" t="s">
        <v>15</v>
      </c>
      <c r="U36">
        <v>0.78552312414051184</v>
      </c>
    </row>
    <row r="37" spans="1:21" ht="16.5" x14ac:dyDescent="0.35">
      <c r="A37">
        <v>16.09</v>
      </c>
      <c r="B37" s="6">
        <v>1.5940000000000001</v>
      </c>
      <c r="C37" s="8">
        <f t="shared" si="8"/>
        <v>2.5456881220478591</v>
      </c>
      <c r="D37" s="8">
        <f t="shared" si="9"/>
        <v>2.5235588718219666</v>
      </c>
      <c r="E37" s="8">
        <f t="shared" si="10"/>
        <v>4.8970371556016393E-4</v>
      </c>
      <c r="G37" t="s">
        <v>22</v>
      </c>
      <c r="H37">
        <f>H36/SQRT(5)</f>
        <v>4.3223636253085741E-3</v>
      </c>
      <c r="I37" t="s">
        <v>15</v>
      </c>
      <c r="J37">
        <f>J36/SQRT(5)</f>
        <v>0.10373672700740573</v>
      </c>
      <c r="L37" s="7">
        <v>2.59375</v>
      </c>
      <c r="M37" s="6">
        <v>0.28799999999999998</v>
      </c>
      <c r="N37" s="8">
        <f t="shared" si="11"/>
        <v>1.0577902941478543</v>
      </c>
      <c r="O37" s="8">
        <f t="shared" si="12"/>
        <v>1.0741927712334549</v>
      </c>
      <c r="P37" s="8">
        <f t="shared" si="13"/>
        <v>2.6904125454365306E-4</v>
      </c>
      <c r="R37" t="s">
        <v>2</v>
      </c>
      <c r="S37" s="6">
        <f>N85</f>
        <v>2.9857680883430601E-2</v>
      </c>
      <c r="T37" t="s">
        <v>15</v>
      </c>
      <c r="U37">
        <v>0.71658434120233439</v>
      </c>
    </row>
    <row r="38" spans="1:21" ht="16.5" x14ac:dyDescent="0.35">
      <c r="A38">
        <v>18.079999999999998</v>
      </c>
      <c r="B38" s="6">
        <v>1.67</v>
      </c>
      <c r="C38" s="8">
        <f t="shared" si="8"/>
        <v>2.5922651681084998</v>
      </c>
      <c r="D38" s="8">
        <f t="shared" si="9"/>
        <v>2.5665497737027319</v>
      </c>
      <c r="E38" s="8">
        <f t="shared" si="10"/>
        <v>6.6128150944420297E-4</v>
      </c>
      <c r="L38" s="7">
        <v>3.611111111</v>
      </c>
      <c r="M38" s="6">
        <v>0.42299999999999999</v>
      </c>
      <c r="N38" s="8">
        <f t="shared" si="11"/>
        <v>1.4422019930581864</v>
      </c>
      <c r="O38" s="8">
        <f t="shared" si="12"/>
        <v>1.353351453524112</v>
      </c>
      <c r="P38" s="8">
        <f t="shared" si="13"/>
        <v>7.8944183754961188E-3</v>
      </c>
      <c r="R38" t="s">
        <v>3</v>
      </c>
      <c r="S38" s="6">
        <f>N113</f>
        <v>2.739810391479738E-2</v>
      </c>
      <c r="T38" t="s">
        <v>15</v>
      </c>
      <c r="U38">
        <v>0.6575544939551371</v>
      </c>
    </row>
    <row r="39" spans="1:21" ht="16.5" x14ac:dyDescent="0.35">
      <c r="A39">
        <v>26.19</v>
      </c>
      <c r="B39" s="6">
        <v>1.831</v>
      </c>
      <c r="C39" s="8">
        <f t="shared" si="8"/>
        <v>2.6843038073722094</v>
      </c>
      <c r="D39" s="8">
        <f t="shared" si="9"/>
        <v>2.6423410907106395</v>
      </c>
      <c r="E39" s="8">
        <f t="shared" si="10"/>
        <v>1.7608695896191978E-3</v>
      </c>
      <c r="G39" s="9" t="s">
        <v>186</v>
      </c>
      <c r="L39" s="7">
        <v>4.3333333329999997</v>
      </c>
      <c r="M39" s="6">
        <v>0.46899999999999997</v>
      </c>
      <c r="N39" s="8">
        <f t="shared" si="11"/>
        <v>1.5454325824581878</v>
      </c>
      <c r="O39" s="8">
        <f t="shared" si="12"/>
        <v>1.5166177186185219</v>
      </c>
      <c r="P39" s="8">
        <f t="shared" si="13"/>
        <v>8.3029637809848634E-4</v>
      </c>
      <c r="R39" t="s">
        <v>4</v>
      </c>
      <c r="S39" s="6">
        <f>N141</f>
        <v>2.1412848684561864E-2</v>
      </c>
      <c r="T39" t="s">
        <v>15</v>
      </c>
      <c r="U39">
        <v>0.51390836842948473</v>
      </c>
    </row>
    <row r="40" spans="1:21" ht="16.5" x14ac:dyDescent="0.35">
      <c r="A40">
        <v>28.18</v>
      </c>
      <c r="B40" s="6">
        <v>1.8049999999999999</v>
      </c>
      <c r="C40" s="8">
        <f t="shared" si="8"/>
        <v>2.67000213346468</v>
      </c>
      <c r="D40" s="8">
        <f t="shared" si="9"/>
        <v>2.649138043722119</v>
      </c>
      <c r="E40" s="8">
        <f t="shared" si="10"/>
        <v>4.3531024078563628E-4</v>
      </c>
      <c r="L40" s="7">
        <v>5.8125</v>
      </c>
      <c r="M40" s="6">
        <v>0.60599999999999998</v>
      </c>
      <c r="N40" s="8">
        <f t="shared" si="11"/>
        <v>1.8017098000812231</v>
      </c>
      <c r="O40" s="8">
        <f t="shared" si="12"/>
        <v>1.7795284905670083</v>
      </c>
      <c r="P40" s="8">
        <f t="shared" si="13"/>
        <v>4.9201049176539194E-4</v>
      </c>
      <c r="R40" t="s">
        <v>21</v>
      </c>
      <c r="S40" s="6">
        <f>S28</f>
        <v>2.5776712288225156E-2</v>
      </c>
      <c r="T40" t="s">
        <v>15</v>
      </c>
      <c r="U40">
        <v>0.61864109491740371</v>
      </c>
    </row>
    <row r="41" spans="1:21" ht="16.5" x14ac:dyDescent="0.35">
      <c r="A41">
        <v>32.659999999999997</v>
      </c>
      <c r="B41" s="6">
        <v>1.744</v>
      </c>
      <c r="C41" s="8">
        <f t="shared" si="8"/>
        <v>2.635622867166624</v>
      </c>
      <c r="D41" s="8">
        <f t="shared" si="9"/>
        <v>2.6578040708751258</v>
      </c>
      <c r="E41" s="8">
        <f t="shared" si="10"/>
        <v>4.920057979580563E-4</v>
      </c>
      <c r="G41" t="s">
        <v>1</v>
      </c>
      <c r="H41" s="6">
        <v>0.48663166818980402</v>
      </c>
      <c r="I41" t="s">
        <v>15</v>
      </c>
      <c r="L41" s="7">
        <v>6.875</v>
      </c>
      <c r="M41" s="6">
        <v>0.63800000000000001</v>
      </c>
      <c r="N41" s="8">
        <f t="shared" si="11"/>
        <v>1.8531680973566984</v>
      </c>
      <c r="O41" s="8">
        <f t="shared" si="12"/>
        <v>1.9217274411079963</v>
      </c>
      <c r="P41" s="8">
        <f t="shared" si="13"/>
        <v>4.7003836156086316E-3</v>
      </c>
      <c r="R41" t="s">
        <v>24</v>
      </c>
      <c r="S41">
        <f>_xlfn.STDEV.S(S36:S39)</f>
        <v>4.8127462630663392E-3</v>
      </c>
      <c r="T41" t="s">
        <v>15</v>
      </c>
      <c r="U41">
        <f>_xlfn.STDEV.S(U36:U39)</f>
        <v>0.11550591031359227</v>
      </c>
    </row>
    <row r="42" spans="1:21" ht="16.5" x14ac:dyDescent="0.35">
      <c r="B42" s="3" t="s">
        <v>11</v>
      </c>
      <c r="C42" s="6">
        <v>2.6646475034013721</v>
      </c>
      <c r="D42" s="4" t="s">
        <v>19</v>
      </c>
      <c r="E42" s="8">
        <f>SUM(E29:E41)</f>
        <v>0.42592640356695483</v>
      </c>
      <c r="G42" t="s">
        <v>2</v>
      </c>
      <c r="H42" s="6">
        <v>0.75817241368390365</v>
      </c>
      <c r="I42" t="s">
        <v>15</v>
      </c>
      <c r="L42" s="7">
        <v>9.875</v>
      </c>
      <c r="M42" s="6">
        <v>0.77300000000000002</v>
      </c>
      <c r="N42" s="8">
        <f t="shared" si="11"/>
        <v>2.0451088625993306</v>
      </c>
      <c r="O42" s="8">
        <f t="shared" si="12"/>
        <v>2.1818616750168789</v>
      </c>
      <c r="P42" s="8">
        <f t="shared" si="13"/>
        <v>1.8701331704109161E-2</v>
      </c>
      <c r="R42" t="s">
        <v>22</v>
      </c>
      <c r="S42">
        <f>S41/SQRT(4)</f>
        <v>2.4063731315331696E-3</v>
      </c>
      <c r="T42" t="s">
        <v>15</v>
      </c>
      <c r="U42">
        <f>U41/SQRT(4)</f>
        <v>5.7752955156796133E-2</v>
      </c>
    </row>
    <row r="43" spans="1:21" ht="16.5" x14ac:dyDescent="0.35">
      <c r="B43" s="3" t="s">
        <v>12</v>
      </c>
      <c r="C43" s="6">
        <v>0.48663166818980402</v>
      </c>
      <c r="G43" t="s">
        <v>3</v>
      </c>
      <c r="H43" s="6">
        <v>0.81932640881373231</v>
      </c>
      <c r="I43" t="s">
        <v>15</v>
      </c>
      <c r="L43" s="7">
        <v>10.83333333</v>
      </c>
      <c r="M43" s="6">
        <v>0.86199999999999999</v>
      </c>
      <c r="N43" s="8">
        <f t="shared" si="11"/>
        <v>2.1540850846756014</v>
      </c>
      <c r="O43" s="8">
        <f t="shared" si="12"/>
        <v>2.2345846512203145</v>
      </c>
      <c r="P43" s="8">
        <f t="shared" si="13"/>
        <v>6.4801802138866795E-3</v>
      </c>
    </row>
    <row r="44" spans="1:21" ht="16.5" x14ac:dyDescent="0.35">
      <c r="B44" s="3" t="s">
        <v>13</v>
      </c>
      <c r="C44" s="6">
        <f>C43/LN(2)</f>
        <v>0.70206109443695386</v>
      </c>
      <c r="D44" t="s">
        <v>14</v>
      </c>
      <c r="G44" t="s">
        <v>4</v>
      </c>
      <c r="H44" s="6">
        <v>0.49484594127509951</v>
      </c>
      <c r="I44" t="s">
        <v>15</v>
      </c>
      <c r="L44" s="7">
        <v>11.875</v>
      </c>
      <c r="M44" s="6">
        <v>0.95699999999999996</v>
      </c>
      <c r="N44" s="8">
        <f t="shared" si="11"/>
        <v>2.2586332054648626</v>
      </c>
      <c r="O44" s="8">
        <f t="shared" si="12"/>
        <v>2.2805188648551837</v>
      </c>
      <c r="P44" s="8">
        <f t="shared" si="13"/>
        <v>4.7898208694915304E-4</v>
      </c>
      <c r="R44" s="9" t="s">
        <v>186</v>
      </c>
    </row>
    <row r="45" spans="1:21" ht="16.5" x14ac:dyDescent="0.35">
      <c r="C45" s="6">
        <f>C44/24</f>
        <v>2.9252545601539743E-2</v>
      </c>
      <c r="D45" t="s">
        <v>15</v>
      </c>
      <c r="G45" t="s">
        <v>5</v>
      </c>
      <c r="H45" s="6">
        <v>0.51378727985461414</v>
      </c>
      <c r="I45" t="s">
        <v>15</v>
      </c>
      <c r="L45" s="7">
        <v>14.72916667</v>
      </c>
      <c r="M45" s="6">
        <v>1.123</v>
      </c>
      <c r="N45" s="8">
        <f t="shared" si="11"/>
        <v>2.4185887687503516</v>
      </c>
      <c r="O45" s="8">
        <f t="shared" si="12"/>
        <v>2.3634466527269384</v>
      </c>
      <c r="P45" s="8">
        <f t="shared" si="13"/>
        <v>3.0406529595395542E-3</v>
      </c>
    </row>
    <row r="46" spans="1:21" ht="16.5" x14ac:dyDescent="0.35">
      <c r="B46" s="3" t="s">
        <v>16</v>
      </c>
      <c r="C46" s="6">
        <f>1/C44</f>
        <v>1.4243774621950676</v>
      </c>
      <c r="D46" t="s">
        <v>17</v>
      </c>
      <c r="G46" t="s">
        <v>21</v>
      </c>
      <c r="H46" s="6">
        <v>0.47093747369272609</v>
      </c>
      <c r="I46" t="s">
        <v>15</v>
      </c>
      <c r="L46" s="7">
        <v>16.875</v>
      </c>
      <c r="M46" s="6">
        <v>1.1850000000000001</v>
      </c>
      <c r="N46" s="8">
        <f t="shared" si="11"/>
        <v>2.4723278675811402</v>
      </c>
      <c r="O46" s="8">
        <f t="shared" si="12"/>
        <v>2.3990202303747408</v>
      </c>
      <c r="P46" s="8">
        <f t="shared" si="13"/>
        <v>5.3740096727850784E-3</v>
      </c>
      <c r="R46" t="s">
        <v>1</v>
      </c>
      <c r="S46" s="6">
        <v>0.54448313876263565</v>
      </c>
      <c r="T46" t="s">
        <v>15</v>
      </c>
    </row>
    <row r="47" spans="1:21" ht="16.5" x14ac:dyDescent="0.35">
      <c r="C47" s="6">
        <f>1/C45</f>
        <v>34.18505909268162</v>
      </c>
      <c r="D47" t="s">
        <v>18</v>
      </c>
      <c r="G47" t="s">
        <v>24</v>
      </c>
      <c r="H47" s="18">
        <f>_xlfn.STDEV.S(H41:H45)</f>
        <v>0.16078406508486098</v>
      </c>
      <c r="I47" t="s">
        <v>15</v>
      </c>
      <c r="L47" s="7">
        <v>17.833333329999999</v>
      </c>
      <c r="M47" s="6">
        <v>1.171</v>
      </c>
      <c r="N47" s="8">
        <f t="shared" si="11"/>
        <v>2.4604431776096258</v>
      </c>
      <c r="O47" s="8">
        <f t="shared" si="12"/>
        <v>2.4102000227988611</v>
      </c>
      <c r="P47" s="8">
        <f t="shared" si="13"/>
        <v>2.5243746053384671E-3</v>
      </c>
      <c r="R47" t="s">
        <v>2</v>
      </c>
      <c r="S47" s="6">
        <v>0.49669841573780393</v>
      </c>
      <c r="T47" t="s">
        <v>15</v>
      </c>
    </row>
    <row r="48" spans="1:21" ht="16.5" x14ac:dyDescent="0.35">
      <c r="G48" t="s">
        <v>22</v>
      </c>
      <c r="H48">
        <f>H47/SQRT(5)</f>
        <v>7.1904819845699922E-2</v>
      </c>
      <c r="I48" t="s">
        <v>15</v>
      </c>
      <c r="L48" s="7">
        <v>18.875</v>
      </c>
      <c r="M48" s="6">
        <v>1.246</v>
      </c>
      <c r="N48" s="8">
        <f t="shared" si="11"/>
        <v>2.5225235133593071</v>
      </c>
      <c r="O48" s="8">
        <f t="shared" si="12"/>
        <v>2.4199402728868211</v>
      </c>
      <c r="P48" s="8">
        <f t="shared" si="13"/>
        <v>1.0523321225835892E-2</v>
      </c>
      <c r="R48" t="s">
        <v>3</v>
      </c>
      <c r="S48" s="6">
        <v>0.4557820435495249</v>
      </c>
      <c r="T48" t="s">
        <v>15</v>
      </c>
    </row>
    <row r="49" spans="1:20" ht="16.5" x14ac:dyDescent="0.35">
      <c r="A49" s="55" t="s">
        <v>36</v>
      </c>
      <c r="B49" s="55"/>
      <c r="C49" s="55"/>
      <c r="D49" s="55"/>
      <c r="E49" s="55"/>
      <c r="L49" s="7">
        <v>19.8125</v>
      </c>
      <c r="M49" s="6">
        <v>1.286</v>
      </c>
      <c r="N49" s="8">
        <f t="shared" si="11"/>
        <v>2.5541217188094731</v>
      </c>
      <c r="O49" s="8">
        <f t="shared" si="12"/>
        <v>2.4269776077180438</v>
      </c>
      <c r="P49" s="8">
        <f t="shared" si="13"/>
        <v>1.6165624985229717E-2</v>
      </c>
      <c r="R49" t="s">
        <v>4</v>
      </c>
      <c r="S49" s="6">
        <v>0.35621413664305895</v>
      </c>
      <c r="T49" t="s">
        <v>15</v>
      </c>
    </row>
    <row r="50" spans="1:20" ht="16.5" x14ac:dyDescent="0.35">
      <c r="A50" s="5" t="s">
        <v>27</v>
      </c>
      <c r="B50" s="4" t="s">
        <v>25</v>
      </c>
      <c r="C50" s="4" t="s">
        <v>8</v>
      </c>
      <c r="D50" s="4" t="s">
        <v>9</v>
      </c>
      <c r="E50" s="4" t="s">
        <v>10</v>
      </c>
      <c r="G50" s="9" t="s">
        <v>187</v>
      </c>
      <c r="L50" s="7">
        <v>23.958333329999999</v>
      </c>
      <c r="M50" s="6">
        <v>1.379</v>
      </c>
      <c r="N50" s="8">
        <f t="shared" si="11"/>
        <v>2.6239436918052106</v>
      </c>
      <c r="O50" s="8">
        <f t="shared" si="12"/>
        <v>2.4452949331921201</v>
      </c>
      <c r="P50" s="8">
        <f t="shared" si="13"/>
        <v>3.191537895399827E-2</v>
      </c>
      <c r="R50" t="s">
        <v>21</v>
      </c>
      <c r="S50" s="6">
        <v>0.42880933072051591</v>
      </c>
      <c r="T50" t="s">
        <v>15</v>
      </c>
    </row>
    <row r="51" spans="1:20" ht="16.5" x14ac:dyDescent="0.35">
      <c r="A51">
        <v>0</v>
      </c>
      <c r="B51" s="6">
        <v>0.152</v>
      </c>
      <c r="C51" s="8">
        <f>LN(B51/$B$29)</f>
        <v>0.19556678354397525</v>
      </c>
      <c r="D51" s="8">
        <f t="shared" ref="D51:D63" si="14">$C$64*(1-EXP(-$C$65*A51/$C$64))</f>
        <v>0</v>
      </c>
      <c r="E51" s="8">
        <f>(C51-D51)^2</f>
        <v>3.8246366825736067E-2</v>
      </c>
      <c r="L51" s="7">
        <v>24.8125</v>
      </c>
      <c r="M51" s="6">
        <v>1.377</v>
      </c>
      <c r="N51" s="8">
        <f t="shared" si="11"/>
        <v>2.6224923127405635</v>
      </c>
      <c r="O51" s="8">
        <f t="shared" si="12"/>
        <v>2.4473925154206504</v>
      </c>
      <c r="P51" s="8">
        <f t="shared" si="13"/>
        <v>3.0659939021474646E-2</v>
      </c>
      <c r="R51" t="s">
        <v>24</v>
      </c>
      <c r="S51">
        <f>_xlfn.STDEV.S(S46:S49)</f>
        <v>8.0062596071875936E-2</v>
      </c>
      <c r="T51" t="s">
        <v>15</v>
      </c>
    </row>
    <row r="52" spans="1:20" ht="16.5" x14ac:dyDescent="0.35">
      <c r="A52">
        <v>1</v>
      </c>
      <c r="B52" s="6">
        <v>0.26400000000000001</v>
      </c>
      <c r="C52" s="8">
        <f t="shared" ref="C52:C63" si="15">LN(B52/$B$29)</f>
        <v>0.74763536584401513</v>
      </c>
      <c r="D52" s="8">
        <f t="shared" si="14"/>
        <v>0.64566270539167359</v>
      </c>
      <c r="E52" s="8">
        <f t="shared" ref="E52:E63" si="16">(C52-D52)^2</f>
        <v>1.0398423479728542E-2</v>
      </c>
      <c r="G52" t="s">
        <v>1</v>
      </c>
      <c r="H52" s="6">
        <v>2.6646475034013721</v>
      </c>
      <c r="L52" s="7">
        <v>25.864583329999999</v>
      </c>
      <c r="M52" s="6">
        <v>1.41</v>
      </c>
      <c r="N52" s="8">
        <f t="shared" si="11"/>
        <v>2.6461747973841225</v>
      </c>
      <c r="O52" s="8">
        <f t="shared" si="12"/>
        <v>2.4494858958200783</v>
      </c>
      <c r="P52" s="8">
        <f t="shared" si="13"/>
        <v>3.86865239984703E-2</v>
      </c>
      <c r="R52" t="s">
        <v>22</v>
      </c>
      <c r="S52">
        <f>S51/SQRT(4)</f>
        <v>4.0031298035937968E-2</v>
      </c>
      <c r="T52" t="s">
        <v>15</v>
      </c>
    </row>
    <row r="53" spans="1:20" x14ac:dyDescent="0.35">
      <c r="A53">
        <v>2.16</v>
      </c>
      <c r="B53" s="6">
        <v>0.54100000000000004</v>
      </c>
      <c r="C53" s="8">
        <f t="shared" si="15"/>
        <v>1.4651055415441805</v>
      </c>
      <c r="D53" s="8">
        <f t="shared" si="14"/>
        <v>1.1707076193155044</v>
      </c>
      <c r="E53" s="8">
        <f t="shared" si="16"/>
        <v>8.6670136612561635E-2</v>
      </c>
      <c r="G53" t="s">
        <v>2</v>
      </c>
      <c r="H53" s="6">
        <v>2.2950347670754407</v>
      </c>
      <c r="L53" s="7">
        <v>27</v>
      </c>
      <c r="M53" s="6">
        <v>1.3879999999999999</v>
      </c>
      <c r="N53" s="8">
        <f t="shared" si="11"/>
        <v>2.6304489550786583</v>
      </c>
      <c r="O53" s="8">
        <f t="shared" si="12"/>
        <v>2.4512595556886003</v>
      </c>
      <c r="P53" s="8">
        <f t="shared" si="13"/>
        <v>3.21088408537697E-2</v>
      </c>
    </row>
    <row r="54" spans="1:20" x14ac:dyDescent="0.35">
      <c r="A54">
        <v>5.05</v>
      </c>
      <c r="B54" s="6">
        <v>0.72599999999999998</v>
      </c>
      <c r="C54" s="8">
        <f t="shared" si="15"/>
        <v>1.759236277522495</v>
      </c>
      <c r="D54" s="8">
        <f t="shared" si="14"/>
        <v>1.8622593717601095</v>
      </c>
      <c r="E54" s="8">
        <f t="shared" si="16"/>
        <v>1.0613757946292391E-2</v>
      </c>
      <c r="G54" t="s">
        <v>3</v>
      </c>
      <c r="H54" s="6">
        <v>2.2775007709631292</v>
      </c>
      <c r="M54" s="3" t="s">
        <v>11</v>
      </c>
      <c r="N54" s="6">
        <v>2.4574603245408384</v>
      </c>
      <c r="O54" s="4" t="s">
        <v>19</v>
      </c>
      <c r="P54" s="8">
        <f>SUM(P35:P47)</f>
        <v>5.4419087491185646E-2</v>
      </c>
      <c r="R54" s="9" t="s">
        <v>187</v>
      </c>
    </row>
    <row r="55" spans="1:20" x14ac:dyDescent="0.35">
      <c r="A55">
        <v>7.17</v>
      </c>
      <c r="B55" s="6">
        <v>0.83299999999999996</v>
      </c>
      <c r="C55" s="8">
        <f t="shared" si="15"/>
        <v>1.8967199048645416</v>
      </c>
      <c r="D55" s="8">
        <f t="shared" si="14"/>
        <v>2.0801998763196843</v>
      </c>
      <c r="E55" s="8">
        <f t="shared" si="16"/>
        <v>3.3664899925179986E-2</v>
      </c>
      <c r="G55" t="s">
        <v>4</v>
      </c>
      <c r="H55" s="6">
        <v>2.5461914995651331</v>
      </c>
      <c r="M55" s="3" t="s">
        <v>12</v>
      </c>
      <c r="N55" s="6">
        <v>0.54448313876263565</v>
      </c>
    </row>
    <row r="56" spans="1:20" ht="16.5" x14ac:dyDescent="0.35">
      <c r="A56">
        <v>7.84</v>
      </c>
      <c r="B56" s="6">
        <v>0.86599999999999999</v>
      </c>
      <c r="C56" s="8">
        <f t="shared" si="15"/>
        <v>1.935571171260134</v>
      </c>
      <c r="D56" s="8">
        <f t="shared" si="14"/>
        <v>2.1228560411484492</v>
      </c>
      <c r="E56" s="8">
        <f t="shared" si="16"/>
        <v>3.5075622489083143E-2</v>
      </c>
      <c r="G56" t="s">
        <v>5</v>
      </c>
      <c r="H56" s="6">
        <v>2.5211453022739847</v>
      </c>
      <c r="M56" s="3" t="s">
        <v>13</v>
      </c>
      <c r="N56" s="6">
        <f>N55/LN(2)</f>
        <v>0.78552312414051184</v>
      </c>
      <c r="O56" t="s">
        <v>14</v>
      </c>
      <c r="R56" t="s">
        <v>1</v>
      </c>
      <c r="S56" s="6">
        <v>2.4574603245408384</v>
      </c>
    </row>
    <row r="57" spans="1:20" ht="16.5" x14ac:dyDescent="0.35">
      <c r="A57">
        <v>11.13</v>
      </c>
      <c r="B57" s="6">
        <v>1.05</v>
      </c>
      <c r="C57" s="8">
        <f t="shared" si="15"/>
        <v>2.1282317058492679</v>
      </c>
      <c r="D57" s="8">
        <f t="shared" si="14"/>
        <v>2.2369635269787302</v>
      </c>
      <c r="E57" s="8">
        <f t="shared" si="16"/>
        <v>1.1822608926129392E-2</v>
      </c>
      <c r="G57" t="s">
        <v>21</v>
      </c>
      <c r="H57" s="6">
        <v>2.3181918378550632</v>
      </c>
      <c r="N57" s="6">
        <f>N56/24</f>
        <v>3.2730130172521327E-2</v>
      </c>
      <c r="O57" t="s">
        <v>15</v>
      </c>
      <c r="R57" t="s">
        <v>2</v>
      </c>
      <c r="S57" s="6">
        <v>2.3538272461045868</v>
      </c>
    </row>
    <row r="58" spans="1:20" x14ac:dyDescent="0.35">
      <c r="A58">
        <v>12.16</v>
      </c>
      <c r="B58" s="6">
        <v>1.081</v>
      </c>
      <c r="C58" s="8">
        <f t="shared" si="15"/>
        <v>2.157328080336907</v>
      </c>
      <c r="D58" s="8">
        <f t="shared" si="14"/>
        <v>2.2537122901113871</v>
      </c>
      <c r="E58" s="8">
        <f t="shared" si="16"/>
        <v>9.2899158938509717E-3</v>
      </c>
      <c r="G58" t="s">
        <v>24</v>
      </c>
      <c r="H58" s="18">
        <f>_xlfn.STDEV.S(H52:H56)</f>
        <v>0.16849609350970929</v>
      </c>
      <c r="M58" s="3" t="s">
        <v>16</v>
      </c>
      <c r="N58" s="6">
        <f>1/N56</f>
        <v>1.273036998234979</v>
      </c>
      <c r="O58" t="s">
        <v>17</v>
      </c>
      <c r="R58" t="s">
        <v>3</v>
      </c>
      <c r="S58" s="6">
        <v>2.4189253100946768</v>
      </c>
    </row>
    <row r="59" spans="1:20" x14ac:dyDescent="0.35">
      <c r="A59">
        <v>16.09</v>
      </c>
      <c r="B59" s="6">
        <v>1.1739999999999999</v>
      </c>
      <c r="C59" s="8">
        <f t="shared" si="15"/>
        <v>2.2398582630857407</v>
      </c>
      <c r="D59" s="8">
        <f t="shared" si="14"/>
        <v>2.2837537891261768</v>
      </c>
      <c r="E59" s="8">
        <f t="shared" si="16"/>
        <v>1.9268172063666052E-3</v>
      </c>
      <c r="G59" t="s">
        <v>22</v>
      </c>
      <c r="H59">
        <f>H58/SQRT(5)</f>
        <v>7.5353743806174212E-2</v>
      </c>
      <c r="N59" s="6">
        <f>1/N57</f>
        <v>30.552887957639498</v>
      </c>
      <c r="O59" t="s">
        <v>18</v>
      </c>
      <c r="R59" t="s">
        <v>4</v>
      </c>
      <c r="S59" s="6">
        <v>2.6088892841595825</v>
      </c>
    </row>
    <row r="60" spans="1:20" x14ac:dyDescent="0.35">
      <c r="A60">
        <v>18.079999999999998</v>
      </c>
      <c r="B60" s="6">
        <v>1.254</v>
      </c>
      <c r="C60" s="8">
        <f t="shared" si="15"/>
        <v>2.3057799838905648</v>
      </c>
      <c r="D60" s="8">
        <f t="shared" si="14"/>
        <v>2.2891890177733707</v>
      </c>
      <c r="E60" s="8">
        <f t="shared" si="16"/>
        <v>2.7526015670188361E-4</v>
      </c>
      <c r="R60" t="s">
        <v>21</v>
      </c>
      <c r="S60" s="6">
        <v>2.5792516895712918</v>
      </c>
    </row>
    <row r="61" spans="1:20" x14ac:dyDescent="0.35">
      <c r="A61">
        <v>26.19</v>
      </c>
      <c r="B61" s="6">
        <v>1.3720000000000001</v>
      </c>
      <c r="C61" s="8">
        <f t="shared" si="15"/>
        <v>2.3957110709835296</v>
      </c>
      <c r="D61" s="8">
        <f t="shared" si="14"/>
        <v>2.2946336295086236</v>
      </c>
      <c r="E61" s="8">
        <f t="shared" si="16"/>
        <v>1.0216649175113057E-2</v>
      </c>
      <c r="L61" s="55" t="s">
        <v>36</v>
      </c>
      <c r="M61" s="55"/>
      <c r="N61" s="55"/>
      <c r="O61" s="55"/>
      <c r="P61" s="55"/>
      <c r="R61" t="s">
        <v>24</v>
      </c>
      <c r="S61">
        <f>_xlfn.STDEV.S(S56:S59)</f>
        <v>0.10821899276094188</v>
      </c>
    </row>
    <row r="62" spans="1:20" x14ac:dyDescent="0.35">
      <c r="A62">
        <v>28.18</v>
      </c>
      <c r="B62" s="6">
        <v>1.4670000000000001</v>
      </c>
      <c r="C62" s="8">
        <f t="shared" si="15"/>
        <v>2.4626610408406808</v>
      </c>
      <c r="D62" s="8">
        <f t="shared" si="14"/>
        <v>2.2948268994896868</v>
      </c>
      <c r="E62" s="8">
        <f t="shared" si="16"/>
        <v>2.8168299003025456E-2</v>
      </c>
      <c r="L62" s="5" t="s">
        <v>27</v>
      </c>
      <c r="M62" s="4" t="s">
        <v>25</v>
      </c>
      <c r="N62" s="4" t="s">
        <v>8</v>
      </c>
      <c r="O62" s="4" t="s">
        <v>9</v>
      </c>
      <c r="P62" s="4" t="s">
        <v>10</v>
      </c>
      <c r="R62" t="s">
        <v>22</v>
      </c>
      <c r="S62">
        <f>S61/SQRT(4)</f>
        <v>5.4109496380470939E-2</v>
      </c>
    </row>
    <row r="63" spans="1:20" x14ac:dyDescent="0.35">
      <c r="A63">
        <v>32.659999999999997</v>
      </c>
      <c r="B63" s="6">
        <v>1.52</v>
      </c>
      <c r="C63" s="8">
        <f t="shared" si="15"/>
        <v>2.4981518765380208</v>
      </c>
      <c r="D63" s="8">
        <f t="shared" si="14"/>
        <v>2.2949874477737646</v>
      </c>
      <c r="E63" s="8">
        <f t="shared" si="16"/>
        <v>4.1275785115106538E-2</v>
      </c>
      <c r="L63" s="7">
        <v>0</v>
      </c>
      <c r="M63" s="6">
        <v>0.1</v>
      </c>
      <c r="N63" s="8">
        <f t="shared" ref="N63:N81" si="17">LN(M63/$M$63)</f>
        <v>0</v>
      </c>
      <c r="O63" s="8">
        <f t="shared" ref="O63:O81" si="18">$N$82*(1-EXP(-$N$83*L63/$N$82))</f>
        <v>0</v>
      </c>
      <c r="P63" s="8">
        <f>(N63-O63)^2</f>
        <v>0</v>
      </c>
    </row>
    <row r="64" spans="1:20" x14ac:dyDescent="0.35">
      <c r="B64" s="3" t="s">
        <v>11</v>
      </c>
      <c r="C64" s="6">
        <v>2.2950347670754407</v>
      </c>
      <c r="D64" s="4" t="s">
        <v>19</v>
      </c>
      <c r="E64" s="8">
        <f>SUM(E51:E63)</f>
        <v>0.31764454275487564</v>
      </c>
      <c r="L64" s="7">
        <v>1.7152777779999999</v>
      </c>
      <c r="M64" s="6">
        <v>0.27100000000000002</v>
      </c>
      <c r="N64" s="8">
        <f t="shared" si="17"/>
        <v>0.99694863489160956</v>
      </c>
      <c r="O64" s="8">
        <f t="shared" si="18"/>
        <v>0.71482244802608075</v>
      </c>
      <c r="P64" s="8">
        <f t="shared" ref="P64:P81" si="19">(N64-O64)^2</f>
        <v>7.9595185315283284E-2</v>
      </c>
    </row>
    <row r="65" spans="1:16" x14ac:dyDescent="0.35">
      <c r="B65" s="3" t="s">
        <v>12</v>
      </c>
      <c r="C65" s="6">
        <v>0.75817241368390365</v>
      </c>
      <c r="L65" s="7">
        <v>2.59375</v>
      </c>
      <c r="M65" s="6">
        <v>0.25700000000000001</v>
      </c>
      <c r="N65" s="8">
        <f t="shared" si="17"/>
        <v>0.94390589890712839</v>
      </c>
      <c r="O65" s="8">
        <f t="shared" si="18"/>
        <v>0.99215118825474069</v>
      </c>
      <c r="P65" s="8">
        <f t="shared" si="19"/>
        <v>2.3276079442348325E-3</v>
      </c>
    </row>
    <row r="66" spans="1:16" ht="16.5" x14ac:dyDescent="0.35">
      <c r="B66" s="3" t="s">
        <v>13</v>
      </c>
      <c r="C66" s="6">
        <f>C65/LN(2)</f>
        <v>1.0938115813605835</v>
      </c>
      <c r="D66" t="s">
        <v>14</v>
      </c>
      <c r="L66" s="7">
        <v>3.611111111</v>
      </c>
      <c r="M66" s="6">
        <v>0.38800000000000001</v>
      </c>
      <c r="N66" s="8">
        <f t="shared" si="17"/>
        <v>1.355835153635182</v>
      </c>
      <c r="O66" s="8">
        <f t="shared" si="18"/>
        <v>1.2552285239675514</v>
      </c>
      <c r="P66" s="8">
        <f t="shared" si="19"/>
        <v>1.0121693933079785E-2</v>
      </c>
    </row>
    <row r="67" spans="1:16" ht="16.5" x14ac:dyDescent="0.35">
      <c r="C67" s="6">
        <f>C66/24</f>
        <v>4.5575482556690979E-2</v>
      </c>
      <c r="D67" t="s">
        <v>15</v>
      </c>
      <c r="L67" s="7">
        <v>4.3333333329999997</v>
      </c>
      <c r="M67" s="6">
        <v>0.4</v>
      </c>
      <c r="N67" s="8">
        <f t="shared" si="17"/>
        <v>1.3862943611198906</v>
      </c>
      <c r="O67" s="8">
        <f t="shared" si="18"/>
        <v>1.4105225634406451</v>
      </c>
      <c r="P67" s="8">
        <f t="shared" si="19"/>
        <v>5.8700578769541425E-4</v>
      </c>
    </row>
    <row r="68" spans="1:16" x14ac:dyDescent="0.35">
      <c r="B68" s="3" t="s">
        <v>16</v>
      </c>
      <c r="C68" s="6">
        <f>1/C66</f>
        <v>0.91423424019346</v>
      </c>
      <c r="D68" t="s">
        <v>17</v>
      </c>
      <c r="L68" s="7">
        <v>5.8125</v>
      </c>
      <c r="M68" s="6">
        <v>0.49299999999999999</v>
      </c>
      <c r="N68" s="8">
        <f t="shared" si="17"/>
        <v>1.5953389880545987</v>
      </c>
      <c r="O68" s="8">
        <f t="shared" si="18"/>
        <v>1.6634352946106015</v>
      </c>
      <c r="P68" s="8">
        <f t="shared" si="19"/>
        <v>4.6371069665691019E-3</v>
      </c>
    </row>
    <row r="69" spans="1:16" x14ac:dyDescent="0.35">
      <c r="C69" s="6">
        <f>1/C67</f>
        <v>21.941621764643042</v>
      </c>
      <c r="D69" t="s">
        <v>18</v>
      </c>
      <c r="L69" s="7">
        <v>6.875</v>
      </c>
      <c r="M69" s="6">
        <v>0.54600000000000004</v>
      </c>
      <c r="N69" s="8">
        <f t="shared" si="17"/>
        <v>1.6974487897568136</v>
      </c>
      <c r="O69" s="8">
        <f t="shared" si="18"/>
        <v>1.8021001488550255</v>
      </c>
      <c r="P69" s="8">
        <f t="shared" si="19"/>
        <v>1.0951906961102894E-2</v>
      </c>
    </row>
    <row r="70" spans="1:16" x14ac:dyDescent="0.35">
      <c r="L70" s="7">
        <v>9.875</v>
      </c>
      <c r="M70" s="6">
        <v>0.73</v>
      </c>
      <c r="N70" s="8">
        <f t="shared" si="17"/>
        <v>1.9878743481543455</v>
      </c>
      <c r="O70" s="8">
        <f t="shared" si="18"/>
        <v>2.0608773915755991</v>
      </c>
      <c r="P70" s="8">
        <f t="shared" si="19"/>
        <v>5.3294443487654436E-3</v>
      </c>
    </row>
    <row r="71" spans="1:16" x14ac:dyDescent="0.35">
      <c r="A71" s="55" t="s">
        <v>37</v>
      </c>
      <c r="B71" s="55"/>
      <c r="C71" s="55"/>
      <c r="D71" s="55"/>
      <c r="E71" s="55"/>
      <c r="L71" s="7">
        <v>10.83333333</v>
      </c>
      <c r="M71" s="6">
        <v>0.79300000000000004</v>
      </c>
      <c r="N71" s="8">
        <f t="shared" si="17"/>
        <v>2.0706530356467567</v>
      </c>
      <c r="O71" s="8">
        <f t="shared" si="18"/>
        <v>2.1145132506109658</v>
      </c>
      <c r="P71" s="8">
        <f t="shared" si="19"/>
        <v>1.9237184567066328E-3</v>
      </c>
    </row>
    <row r="72" spans="1:16" x14ac:dyDescent="0.35">
      <c r="A72" s="5" t="s">
        <v>27</v>
      </c>
      <c r="B72" s="4" t="s">
        <v>25</v>
      </c>
      <c r="C72" s="4" t="s">
        <v>8</v>
      </c>
      <c r="D72" s="4" t="s">
        <v>9</v>
      </c>
      <c r="E72" s="4" t="s">
        <v>10</v>
      </c>
      <c r="L72" s="7">
        <v>11.875</v>
      </c>
      <c r="M72" s="6">
        <v>0.81899999999999995</v>
      </c>
      <c r="N72" s="8">
        <f t="shared" si="17"/>
        <v>2.102913897864978</v>
      </c>
      <c r="O72" s="8">
        <f t="shared" si="18"/>
        <v>2.1617367248663233</v>
      </c>
      <c r="P72" s="8">
        <f t="shared" si="19"/>
        <v>3.4601249764302016E-3</v>
      </c>
    </row>
    <row r="73" spans="1:16" x14ac:dyDescent="0.35">
      <c r="A73">
        <v>0</v>
      </c>
      <c r="B73" s="6">
        <v>0.159</v>
      </c>
      <c r="C73" s="8">
        <f>LN(B73/$B$29)</f>
        <v>0.24059046491793043</v>
      </c>
      <c r="D73" s="8">
        <f t="shared" ref="D73:D85" si="20">$C$86*(1-EXP(-$C$87*A73/$C$86))</f>
        <v>0</v>
      </c>
      <c r="E73" s="8">
        <f>(C73-D73)^2</f>
        <v>5.7883771809425916E-2</v>
      </c>
      <c r="L73" s="7">
        <v>14.72916667</v>
      </c>
      <c r="M73" s="6">
        <v>0.98499999999999999</v>
      </c>
      <c r="N73" s="8">
        <f t="shared" si="17"/>
        <v>2.2874714551839976</v>
      </c>
      <c r="O73" s="8">
        <f t="shared" si="18"/>
        <v>2.2486456855853301</v>
      </c>
      <c r="P73" s="8">
        <f t="shared" si="19"/>
        <v>1.5074403849288189E-3</v>
      </c>
    </row>
    <row r="74" spans="1:16" x14ac:dyDescent="0.35">
      <c r="A74">
        <v>1</v>
      </c>
      <c r="B74" s="6">
        <v>0.27600000000000002</v>
      </c>
      <c r="C74" s="8">
        <f t="shared" ref="C74:C85" si="21">LN(B74/$B$29)</f>
        <v>0.79208712841484896</v>
      </c>
      <c r="D74" s="8">
        <f t="shared" si="20"/>
        <v>0.68814197537831223</v>
      </c>
      <c r="E74" s="8">
        <f t="shared" ref="E74:E85" si="22">(C74-D74)^2</f>
        <v>1.0804594839789041E-2</v>
      </c>
      <c r="L74" s="7">
        <v>16.875</v>
      </c>
      <c r="M74" s="6">
        <v>1.0009999999999999</v>
      </c>
      <c r="N74" s="8">
        <f t="shared" si="17"/>
        <v>2.3035845933271291</v>
      </c>
      <c r="O74" s="8">
        <f t="shared" si="18"/>
        <v>2.2869485871923576</v>
      </c>
      <c r="P74" s="8">
        <f t="shared" si="19"/>
        <v>2.7675670011615344E-4</v>
      </c>
    </row>
    <row r="75" spans="1:16" x14ac:dyDescent="0.35">
      <c r="A75">
        <v>2.16</v>
      </c>
      <c r="B75" s="6">
        <v>0.55900000000000005</v>
      </c>
      <c r="C75" s="8">
        <f t="shared" si="21"/>
        <v>1.4978357358527981</v>
      </c>
      <c r="D75" s="8">
        <f t="shared" si="20"/>
        <v>1.230402328980635</v>
      </c>
      <c r="E75" s="8">
        <f t="shared" si="22"/>
        <v>7.1520627111251941E-2</v>
      </c>
      <c r="L75" s="7">
        <v>17.833333329999999</v>
      </c>
      <c r="M75" s="6">
        <v>1.1359999999999999</v>
      </c>
      <c r="N75" s="8">
        <f t="shared" si="17"/>
        <v>2.4300984132930052</v>
      </c>
      <c r="O75" s="8">
        <f t="shared" si="18"/>
        <v>2.2991933255543482</v>
      </c>
      <c r="P75" s="8">
        <f t="shared" si="19"/>
        <v>1.7136141995865502E-2</v>
      </c>
    </row>
    <row r="76" spans="1:16" x14ac:dyDescent="0.35">
      <c r="A76">
        <v>5.05</v>
      </c>
      <c r="B76" s="6">
        <v>0.747</v>
      </c>
      <c r="C76" s="8">
        <f t="shared" si="21"/>
        <v>1.7877514478305161</v>
      </c>
      <c r="D76" s="8">
        <f t="shared" si="20"/>
        <v>1.9072774360675577</v>
      </c>
      <c r="E76" s="8">
        <f t="shared" si="22"/>
        <v>1.4286461864041415E-2</v>
      </c>
      <c r="L76" s="7">
        <v>18.875</v>
      </c>
      <c r="M76" s="6">
        <v>1.1519999999999999</v>
      </c>
      <c r="N76" s="8">
        <f t="shared" si="17"/>
        <v>2.4440846552677451</v>
      </c>
      <c r="O76" s="8">
        <f t="shared" si="18"/>
        <v>2.3099741557153752</v>
      </c>
      <c r="P76" s="8">
        <f t="shared" si="19"/>
        <v>1.7985626090186196E-2</v>
      </c>
    </row>
    <row r="77" spans="1:16" x14ac:dyDescent="0.35">
      <c r="A77">
        <v>7.17</v>
      </c>
      <c r="B77" s="6">
        <v>0.85199999999999998</v>
      </c>
      <c r="C77" s="8">
        <f t="shared" si="21"/>
        <v>1.9192727895270145</v>
      </c>
      <c r="D77" s="8">
        <f t="shared" si="20"/>
        <v>2.1048206943850571</v>
      </c>
      <c r="E77" s="8">
        <f t="shared" si="22"/>
        <v>3.442802499720924E-2</v>
      </c>
      <c r="L77" s="7">
        <v>19.8125</v>
      </c>
      <c r="M77" s="6">
        <v>1.161</v>
      </c>
      <c r="N77" s="8">
        <f t="shared" si="17"/>
        <v>2.4518667957098002</v>
      </c>
      <c r="O77" s="8">
        <f t="shared" si="18"/>
        <v>2.3178453323691968</v>
      </c>
      <c r="P77" s="8">
        <f t="shared" si="19"/>
        <v>1.7961752635956698E-2</v>
      </c>
    </row>
    <row r="78" spans="1:16" x14ac:dyDescent="0.35">
      <c r="A78">
        <v>7.84</v>
      </c>
      <c r="B78" s="6">
        <v>0.88200000000000001</v>
      </c>
      <c r="C78" s="8">
        <f t="shared" si="21"/>
        <v>1.9538783187044901</v>
      </c>
      <c r="D78" s="8">
        <f t="shared" si="20"/>
        <v>2.1418058095145804</v>
      </c>
      <c r="E78" s="8">
        <f t="shared" si="22"/>
        <v>3.5316741802176574E-2</v>
      </c>
      <c r="L78" s="7">
        <v>23.958333329999999</v>
      </c>
      <c r="M78" s="6">
        <v>1.2769999999999999</v>
      </c>
      <c r="N78" s="8">
        <f t="shared" si="17"/>
        <v>2.5470986700444476</v>
      </c>
      <c r="O78" s="8">
        <f t="shared" si="18"/>
        <v>2.3388253949471682</v>
      </c>
      <c r="P78" s="8">
        <f t="shared" si="19"/>
        <v>4.3377757119746993E-2</v>
      </c>
    </row>
    <row r="79" spans="1:16" x14ac:dyDescent="0.35">
      <c r="A79">
        <v>11.13</v>
      </c>
      <c r="B79" s="6">
        <v>1.01</v>
      </c>
      <c r="C79" s="8">
        <f t="shared" si="21"/>
        <v>2.0893918725330041</v>
      </c>
      <c r="D79" s="8">
        <f t="shared" si="20"/>
        <v>2.2359532262467754</v>
      </c>
      <c r="E79" s="8">
        <f t="shared" si="22"/>
        <v>2.1480230402413193E-2</v>
      </c>
      <c r="L79" s="7">
        <v>24.8125</v>
      </c>
      <c r="M79" s="6">
        <v>1.347</v>
      </c>
      <c r="N79" s="8">
        <f t="shared" si="17"/>
        <v>2.6004649904222727</v>
      </c>
      <c r="O79" s="8">
        <f t="shared" si="18"/>
        <v>2.3412997037760741</v>
      </c>
      <c r="P79" s="8">
        <f t="shared" si="19"/>
        <v>6.7166645802406305E-2</v>
      </c>
    </row>
    <row r="80" spans="1:16" x14ac:dyDescent="0.35">
      <c r="A80">
        <v>12.16</v>
      </c>
      <c r="B80" s="6">
        <v>1.0369999999999999</v>
      </c>
      <c r="C80" s="8">
        <f t="shared" si="21"/>
        <v>2.115773470927226</v>
      </c>
      <c r="D80" s="8">
        <f t="shared" si="20"/>
        <v>2.2488179617984589</v>
      </c>
      <c r="E80" s="8">
        <f t="shared" si="22"/>
        <v>1.7700836551185584E-2</v>
      </c>
      <c r="L80" s="7">
        <v>25.864583329999999</v>
      </c>
      <c r="M80" s="6">
        <v>1.36</v>
      </c>
      <c r="N80" s="8">
        <f t="shared" si="17"/>
        <v>2.6100697927420065</v>
      </c>
      <c r="O80" s="8">
        <f t="shared" si="18"/>
        <v>2.343793823726454</v>
      </c>
      <c r="P80" s="8">
        <f t="shared" si="19"/>
        <v>7.0902891675171484E-2</v>
      </c>
    </row>
    <row r="81" spans="1:16" x14ac:dyDescent="0.35">
      <c r="A81">
        <v>16.09</v>
      </c>
      <c r="B81" s="6">
        <v>1.1619999999999999</v>
      </c>
      <c r="C81" s="8">
        <f t="shared" si="21"/>
        <v>2.2295842001095552</v>
      </c>
      <c r="D81" s="8">
        <f t="shared" si="20"/>
        <v>2.2705246835754092</v>
      </c>
      <c r="E81" s="8">
        <f t="shared" si="22"/>
        <v>1.6761231864178643E-3</v>
      </c>
      <c r="L81" s="7">
        <v>27</v>
      </c>
      <c r="M81" s="6">
        <v>1.2310000000000001</v>
      </c>
      <c r="N81" s="8">
        <f t="shared" si="17"/>
        <v>2.510411940196362</v>
      </c>
      <c r="O81" s="8">
        <f t="shared" si="18"/>
        <v>2.3459314606715047</v>
      </c>
      <c r="P81" s="8">
        <f t="shared" si="19"/>
        <v>2.7053828144727014E-2</v>
      </c>
    </row>
    <row r="82" spans="1:16" x14ac:dyDescent="0.35">
      <c r="A82">
        <v>18.079999999999998</v>
      </c>
      <c r="B82" s="6">
        <v>1.226</v>
      </c>
      <c r="C82" s="8">
        <f t="shared" si="21"/>
        <v>2.2831983791938555</v>
      </c>
      <c r="D82" s="8">
        <f t="shared" si="20"/>
        <v>2.2740911891793028</v>
      </c>
      <c r="E82" s="8">
        <f t="shared" si="22"/>
        <v>8.2940909961169053E-5</v>
      </c>
      <c r="M82" s="3" t="s">
        <v>11</v>
      </c>
      <c r="N82" s="6">
        <v>2.3538272461045868</v>
      </c>
      <c r="O82" s="4" t="s">
        <v>19</v>
      </c>
      <c r="P82" s="8">
        <f>SUM(P63:P75)</f>
        <v>0.13785413377077807</v>
      </c>
    </row>
    <row r="83" spans="1:16" x14ac:dyDescent="0.35">
      <c r="A83">
        <v>26.19</v>
      </c>
      <c r="B83" s="6">
        <v>1.385</v>
      </c>
      <c r="C83" s="8">
        <f t="shared" si="21"/>
        <v>2.405141681319138</v>
      </c>
      <c r="D83" s="8">
        <f t="shared" si="20"/>
        <v>2.2773164297573034</v>
      </c>
      <c r="E83" s="8">
        <f t="shared" si="22"/>
        <v>1.6339294936846285E-2</v>
      </c>
      <c r="M83" s="3" t="s">
        <v>12</v>
      </c>
      <c r="N83" s="6">
        <v>0.49669841573780393</v>
      </c>
    </row>
    <row r="84" spans="1:16" ht="16.5" x14ac:dyDescent="0.35">
      <c r="A84">
        <v>28.18</v>
      </c>
      <c r="B84" s="6">
        <v>1.4810000000000001</v>
      </c>
      <c r="C84" s="8">
        <f t="shared" si="21"/>
        <v>2.4721590769654975</v>
      </c>
      <c r="D84" s="8">
        <f t="shared" si="20"/>
        <v>2.277410673694781</v>
      </c>
      <c r="E84" s="8">
        <f t="shared" si="22"/>
        <v>3.792694057649363E-2</v>
      </c>
      <c r="M84" s="3" t="s">
        <v>13</v>
      </c>
      <c r="N84" s="6">
        <f>N83/LN(2)</f>
        <v>0.71658434120233439</v>
      </c>
      <c r="O84" t="s">
        <v>14</v>
      </c>
    </row>
    <row r="85" spans="1:16" ht="16.5" x14ac:dyDescent="0.35">
      <c r="A85">
        <v>32.659999999999997</v>
      </c>
      <c r="B85" s="6">
        <v>1.5760000000000001</v>
      </c>
      <c r="C85" s="8">
        <f t="shared" si="21"/>
        <v>2.5343315331155232</v>
      </c>
      <c r="D85" s="8">
        <f t="shared" si="20"/>
        <v>2.2774827917064751</v>
      </c>
      <c r="E85" s="8">
        <f t="shared" si="22"/>
        <v>6.5971275963412068E-2</v>
      </c>
      <c r="N85" s="6">
        <f>N84/24</f>
        <v>2.9857680883430601E-2</v>
      </c>
      <c r="O85" t="s">
        <v>15</v>
      </c>
    </row>
    <row r="86" spans="1:16" x14ac:dyDescent="0.35">
      <c r="B86" s="3" t="s">
        <v>11</v>
      </c>
      <c r="C86" s="6">
        <v>2.2775007709631292</v>
      </c>
      <c r="D86" s="4" t="s">
        <v>19</v>
      </c>
      <c r="E86" s="8">
        <f>SUM(E73:E85)</f>
        <v>0.38541786495062397</v>
      </c>
      <c r="M86" s="3" t="s">
        <v>16</v>
      </c>
      <c r="N86" s="6">
        <f>1/N84</f>
        <v>1.3955091431695694</v>
      </c>
      <c r="O86" t="s">
        <v>17</v>
      </c>
    </row>
    <row r="87" spans="1:16" x14ac:dyDescent="0.35">
      <c r="B87" s="3" t="s">
        <v>12</v>
      </c>
      <c r="C87" s="6">
        <v>0.81932640881373231</v>
      </c>
      <c r="N87" s="6">
        <f>1/N85</f>
        <v>33.492219436069661</v>
      </c>
      <c r="O87" t="s">
        <v>18</v>
      </c>
    </row>
    <row r="88" spans="1:16" ht="16.5" x14ac:dyDescent="0.35">
      <c r="B88" s="3" t="s">
        <v>13</v>
      </c>
      <c r="C88" s="6">
        <f>C87/LN(2)</f>
        <v>1.182038146864935</v>
      </c>
      <c r="D88" t="s">
        <v>14</v>
      </c>
    </row>
    <row r="89" spans="1:16" ht="16.5" x14ac:dyDescent="0.35">
      <c r="C89" s="6">
        <f>C88/24</f>
        <v>4.9251589452705628E-2</v>
      </c>
      <c r="D89" t="s">
        <v>15</v>
      </c>
      <c r="L89" s="55" t="s">
        <v>37</v>
      </c>
      <c r="M89" s="55"/>
      <c r="N89" s="55"/>
      <c r="O89" s="55"/>
      <c r="P89" s="55"/>
    </row>
    <row r="90" spans="1:16" x14ac:dyDescent="0.35">
      <c r="B90" s="3" t="s">
        <v>16</v>
      </c>
      <c r="C90" s="6">
        <f>1/C88</f>
        <v>0.84599638569385738</v>
      </c>
      <c r="D90" t="s">
        <v>17</v>
      </c>
      <c r="L90" s="5" t="s">
        <v>27</v>
      </c>
      <c r="M90" s="4" t="s">
        <v>25</v>
      </c>
      <c r="N90" s="4" t="s">
        <v>8</v>
      </c>
      <c r="O90" s="4" t="s">
        <v>9</v>
      </c>
      <c r="P90" s="4" t="s">
        <v>10</v>
      </c>
    </row>
    <row r="91" spans="1:16" x14ac:dyDescent="0.35">
      <c r="C91" s="6">
        <f>1/C89</f>
        <v>20.303913256652574</v>
      </c>
      <c r="D91" t="s">
        <v>18</v>
      </c>
      <c r="L91" s="7">
        <v>0</v>
      </c>
      <c r="M91" s="6">
        <v>0.1</v>
      </c>
      <c r="N91" s="8">
        <f t="shared" ref="N91:N109" si="23">LN(M91/$M$91)</f>
        <v>0</v>
      </c>
      <c r="O91" s="8">
        <f t="shared" ref="O91:O109" si="24">$N$110*(1-EXP(-$N$111*L91/$N$110))</f>
        <v>0</v>
      </c>
      <c r="P91" s="8">
        <f>(N91-O91)^2</f>
        <v>0</v>
      </c>
    </row>
    <row r="92" spans="1:16" x14ac:dyDescent="0.35">
      <c r="L92" s="7">
        <v>1.7152777779999999</v>
      </c>
      <c r="M92" s="6">
        <v>0.155</v>
      </c>
      <c r="N92" s="8">
        <f t="shared" si="23"/>
        <v>0.43825493093115514</v>
      </c>
      <c r="O92" s="8">
        <f t="shared" si="24"/>
        <v>0.66803405638572977</v>
      </c>
      <c r="P92" s="8">
        <f t="shared" ref="P92:P109" si="25">(N92-O92)^2</f>
        <v>5.2798446494669145E-2</v>
      </c>
    </row>
    <row r="93" spans="1:16" x14ac:dyDescent="0.35">
      <c r="A93" s="55" t="s">
        <v>38</v>
      </c>
      <c r="B93" s="55"/>
      <c r="C93" s="55"/>
      <c r="D93" s="55"/>
      <c r="E93" s="55"/>
      <c r="L93" s="7">
        <v>2.59375</v>
      </c>
      <c r="M93" s="6">
        <v>0.25600000000000001</v>
      </c>
      <c r="N93" s="8">
        <f t="shared" si="23"/>
        <v>0.94000725849147115</v>
      </c>
      <c r="O93" s="8">
        <f t="shared" si="24"/>
        <v>0.93513437558553714</v>
      </c>
      <c r="P93" s="8">
        <f t="shared" si="25"/>
        <v>2.3744987814943953E-5</v>
      </c>
    </row>
    <row r="94" spans="1:16" x14ac:dyDescent="0.35">
      <c r="A94" s="5" t="s">
        <v>27</v>
      </c>
      <c r="B94" s="4" t="s">
        <v>25</v>
      </c>
      <c r="C94" s="4" t="s">
        <v>8</v>
      </c>
      <c r="D94" s="4" t="s">
        <v>9</v>
      </c>
      <c r="E94" s="4" t="s">
        <v>10</v>
      </c>
      <c r="L94" s="7">
        <v>3.611111111</v>
      </c>
      <c r="M94" s="6">
        <v>0.33300000000000002</v>
      </c>
      <c r="N94" s="8">
        <f t="shared" si="23"/>
        <v>1.2029723039923526</v>
      </c>
      <c r="O94" s="8">
        <f t="shared" si="24"/>
        <v>1.1939684189893669</v>
      </c>
      <c r="P94" s="8">
        <f t="shared" si="25"/>
        <v>8.1069945146990016E-5</v>
      </c>
    </row>
    <row r="95" spans="1:16" x14ac:dyDescent="0.35">
      <c r="A95">
        <v>0</v>
      </c>
      <c r="B95" s="6">
        <v>0.16300000000000001</v>
      </c>
      <c r="C95" s="8">
        <f>LN(B95/$B$29)</f>
        <v>0.26543646350446126</v>
      </c>
      <c r="D95" s="8">
        <f t="shared" ref="D95:D107" si="26">$C$108*(1-EXP(-$C$109*A95/$C$108))</f>
        <v>0</v>
      </c>
      <c r="E95" s="8">
        <f>(C95-D95)^2</f>
        <v>7.0456516157755195E-2</v>
      </c>
      <c r="L95" s="7">
        <v>4.3333333329999997</v>
      </c>
      <c r="M95" s="6">
        <v>0.48099999999999998</v>
      </c>
      <c r="N95" s="8">
        <f t="shared" si="23"/>
        <v>1.5706970841176697</v>
      </c>
      <c r="O95" s="8">
        <f t="shared" si="24"/>
        <v>1.349820029825624</v>
      </c>
      <c r="P95" s="8">
        <f t="shared" si="25"/>
        <v>4.878667311273132E-2</v>
      </c>
    </row>
    <row r="96" spans="1:16" x14ac:dyDescent="0.35">
      <c r="A96">
        <v>1</v>
      </c>
      <c r="B96" s="6">
        <v>0.193</v>
      </c>
      <c r="C96" s="8">
        <f t="shared" ref="C96:C107" si="27">LN(B96/$B$29)</f>
        <v>0.43437645160258448</v>
      </c>
      <c r="D96" s="8">
        <f t="shared" si="26"/>
        <v>0.44972938313346544</v>
      </c>
      <c r="E96" s="8">
        <f t="shared" ref="E96:E107" si="28">(C96-D96)^2</f>
        <v>2.3571250659191892E-4</v>
      </c>
      <c r="L96" s="7">
        <v>5.8125</v>
      </c>
      <c r="M96" s="6">
        <v>0.52600000000000002</v>
      </c>
      <c r="N96" s="8">
        <f t="shared" si="23"/>
        <v>1.6601310267496185</v>
      </c>
      <c r="O96" s="8">
        <f t="shared" si="24"/>
        <v>1.6098695559268308</v>
      </c>
      <c r="P96" s="8">
        <f t="shared" si="25"/>
        <v>2.5262154492699451E-3</v>
      </c>
    </row>
    <row r="97" spans="1:16" x14ac:dyDescent="0.35">
      <c r="A97">
        <v>2.16</v>
      </c>
      <c r="B97" s="6">
        <v>0.36899999999999999</v>
      </c>
      <c r="C97" s="8">
        <f t="shared" si="27"/>
        <v>1.082482906738226</v>
      </c>
      <c r="D97" s="8">
        <f t="shared" si="26"/>
        <v>0.87287410027956358</v>
      </c>
      <c r="E97" s="8">
        <f t="shared" si="28"/>
        <v>4.3935851745025005E-2</v>
      </c>
      <c r="L97" s="7">
        <v>6.875</v>
      </c>
      <c r="M97" s="6">
        <v>0.60099999999999998</v>
      </c>
      <c r="N97" s="8">
        <f t="shared" si="23"/>
        <v>1.7934247485471162</v>
      </c>
      <c r="O97" s="8">
        <f t="shared" si="24"/>
        <v>1.7566588331406021</v>
      </c>
      <c r="P97" s="8">
        <f t="shared" si="25"/>
        <v>1.3517325356789496E-3</v>
      </c>
    </row>
    <row r="98" spans="1:16" x14ac:dyDescent="0.35">
      <c r="A98">
        <v>5.05</v>
      </c>
      <c r="B98" s="6">
        <v>0.66400000000000003</v>
      </c>
      <c r="C98" s="8">
        <f t="shared" si="27"/>
        <v>1.6699684121741327</v>
      </c>
      <c r="D98" s="8">
        <f t="shared" si="26"/>
        <v>1.5919668367564104</v>
      </c>
      <c r="E98" s="8">
        <f t="shared" si="28"/>
        <v>6.0842457676466271E-3</v>
      </c>
      <c r="L98" s="7">
        <v>9.875</v>
      </c>
      <c r="M98" s="6">
        <v>0.69599999999999995</v>
      </c>
      <c r="N98" s="8">
        <f t="shared" si="23"/>
        <v>1.9401794743463281</v>
      </c>
      <c r="O98" s="8">
        <f t="shared" si="24"/>
        <v>2.0426210882469311</v>
      </c>
      <c r="P98" s="8">
        <f t="shared" si="25"/>
        <v>1.0494284258560223E-2</v>
      </c>
    </row>
    <row r="99" spans="1:16" x14ac:dyDescent="0.35">
      <c r="A99">
        <v>7.17</v>
      </c>
      <c r="B99" s="6">
        <v>0.76600000000000001</v>
      </c>
      <c r="C99" s="8">
        <f t="shared" si="27"/>
        <v>1.8128684324382902</v>
      </c>
      <c r="D99" s="8">
        <f t="shared" si="26"/>
        <v>1.9141958891074748</v>
      </c>
      <c r="E99" s="8">
        <f t="shared" si="28"/>
        <v>1.026725347504549E-2</v>
      </c>
      <c r="L99" s="7">
        <v>10.83333333</v>
      </c>
      <c r="M99" s="6">
        <v>0.754</v>
      </c>
      <c r="N99" s="8">
        <f t="shared" si="23"/>
        <v>2.0202221820198649</v>
      </c>
      <c r="O99" s="8">
        <f t="shared" si="24"/>
        <v>2.1047894627243062</v>
      </c>
      <c r="P99" s="8">
        <f t="shared" si="25"/>
        <v>7.1516249657437711E-3</v>
      </c>
    </row>
    <row r="100" spans="1:16" x14ac:dyDescent="0.35">
      <c r="A100">
        <v>7.84</v>
      </c>
      <c r="B100" s="6">
        <v>0.90400000000000003</v>
      </c>
      <c r="C100" s="8">
        <f t="shared" si="27"/>
        <v>1.9785156230898755</v>
      </c>
      <c r="D100" s="8">
        <f t="shared" si="26"/>
        <v>1.9913571352167889</v>
      </c>
      <c r="E100" s="8">
        <f t="shared" si="28"/>
        <v>1.6490443370566451E-4</v>
      </c>
      <c r="L100" s="7">
        <v>11.875</v>
      </c>
      <c r="M100" s="6">
        <v>0.79100000000000004</v>
      </c>
      <c r="N100" s="8">
        <f t="shared" si="23"/>
        <v>2.0681277817795625</v>
      </c>
      <c r="O100" s="8">
        <f t="shared" si="24"/>
        <v>2.1607726309718069</v>
      </c>
      <c r="P100" s="8">
        <f t="shared" si="25"/>
        <v>8.583068081853721E-3</v>
      </c>
    </row>
    <row r="101" spans="1:16" x14ac:dyDescent="0.35">
      <c r="A101">
        <v>11.13</v>
      </c>
      <c r="B101" s="6">
        <v>1.155</v>
      </c>
      <c r="C101" s="8">
        <f t="shared" si="27"/>
        <v>2.2235418856535927</v>
      </c>
      <c r="D101" s="8">
        <f t="shared" si="26"/>
        <v>2.2534569084760303</v>
      </c>
      <c r="E101" s="8">
        <f t="shared" si="28"/>
        <v>8.9490859046696431E-4</v>
      </c>
      <c r="L101" s="7">
        <v>14.72916667</v>
      </c>
      <c r="M101" s="6">
        <v>0.92100000000000004</v>
      </c>
      <c r="N101" s="8">
        <f t="shared" si="23"/>
        <v>2.2202898502672155</v>
      </c>
      <c r="O101" s="8">
        <f t="shared" si="24"/>
        <v>2.2681547058034983</v>
      </c>
      <c r="P101" s="8">
        <f t="shared" si="25"/>
        <v>2.2910443955092255E-3</v>
      </c>
    </row>
    <row r="102" spans="1:16" x14ac:dyDescent="0.35">
      <c r="A102">
        <v>12.16</v>
      </c>
      <c r="B102" s="6">
        <v>1.125</v>
      </c>
      <c r="C102" s="8">
        <f t="shared" si="27"/>
        <v>2.1972245773362196</v>
      </c>
      <c r="D102" s="8">
        <f t="shared" si="26"/>
        <v>2.3065633259022142</v>
      </c>
      <c r="E102" s="8">
        <f t="shared" si="28"/>
        <v>1.1954961937977803E-2</v>
      </c>
      <c r="L102" s="7">
        <v>16.875</v>
      </c>
      <c r="M102" s="6">
        <v>1.0789500000000001</v>
      </c>
      <c r="N102" s="8">
        <f t="shared" si="23"/>
        <v>2.3785734389933837</v>
      </c>
      <c r="O102" s="8">
        <f t="shared" si="24"/>
        <v>2.3182969255132591</v>
      </c>
      <c r="P102" s="8">
        <f t="shared" si="25"/>
        <v>3.6332580773196471E-3</v>
      </c>
    </row>
    <row r="103" spans="1:16" x14ac:dyDescent="0.35">
      <c r="A103">
        <v>16.09</v>
      </c>
      <c r="B103" s="6">
        <v>1.248</v>
      </c>
      <c r="C103" s="8">
        <f t="shared" si="27"/>
        <v>2.3009838116270718</v>
      </c>
      <c r="D103" s="8">
        <f t="shared" si="26"/>
        <v>2.4345488894845251</v>
      </c>
      <c r="E103" s="8">
        <f t="shared" si="28"/>
        <v>1.7839630023067564E-2</v>
      </c>
      <c r="L103" s="7">
        <v>17.833333329999999</v>
      </c>
      <c r="M103" s="6">
        <v>1.1499999999999999</v>
      </c>
      <c r="N103" s="8">
        <f t="shared" si="23"/>
        <v>2.4423470353692043</v>
      </c>
      <c r="O103" s="8">
        <f t="shared" si="24"/>
        <v>2.334921514695365</v>
      </c>
      <c r="P103" s="8">
        <f t="shared" si="25"/>
        <v>1.1540242492045466E-2</v>
      </c>
    </row>
    <row r="104" spans="1:16" x14ac:dyDescent="0.35">
      <c r="A104">
        <v>18.079999999999998</v>
      </c>
      <c r="B104" s="6">
        <v>1.4870000000000001</v>
      </c>
      <c r="C104" s="8">
        <f t="shared" si="27"/>
        <v>2.4762022091578539</v>
      </c>
      <c r="D104" s="8">
        <f t="shared" si="26"/>
        <v>2.4703571559844533</v>
      </c>
      <c r="E104" s="8">
        <f t="shared" si="28"/>
        <v>3.4164646599881263E-5</v>
      </c>
      <c r="L104" s="7">
        <v>18.875</v>
      </c>
      <c r="M104" s="6">
        <v>1.19</v>
      </c>
      <c r="N104" s="8">
        <f t="shared" si="23"/>
        <v>2.4765384001174837</v>
      </c>
      <c r="O104" s="8">
        <f t="shared" si="24"/>
        <v>2.3498921035365794</v>
      </c>
      <c r="P104" s="8">
        <f t="shared" si="25"/>
        <v>1.6039284437658376E-2</v>
      </c>
    </row>
    <row r="105" spans="1:16" x14ac:dyDescent="0.35">
      <c r="A105">
        <v>26.19</v>
      </c>
      <c r="B105" s="6">
        <v>1.653</v>
      </c>
      <c r="C105" s="8">
        <f t="shared" si="27"/>
        <v>2.5820333605187229</v>
      </c>
      <c r="D105" s="8">
        <f t="shared" si="26"/>
        <v>2.5305113887496966</v>
      </c>
      <c r="E105" s="8">
        <f t="shared" si="28"/>
        <v>2.6545135749683419E-3</v>
      </c>
      <c r="L105" s="7">
        <v>19.8125</v>
      </c>
      <c r="M105" s="6">
        <v>1.222</v>
      </c>
      <c r="N105" s="8">
        <f t="shared" si="23"/>
        <v>2.5030739537434492</v>
      </c>
      <c r="O105" s="8">
        <f t="shared" si="24"/>
        <v>2.3610702603701545</v>
      </c>
      <c r="P105" s="8">
        <f t="shared" si="25"/>
        <v>2.0165048931656691E-2</v>
      </c>
    </row>
    <row r="106" spans="1:16" x14ac:dyDescent="0.35">
      <c r="A106">
        <v>28.18</v>
      </c>
      <c r="B106" s="6">
        <v>1.756</v>
      </c>
      <c r="C106" s="8">
        <f t="shared" si="27"/>
        <v>2.6424800368927608</v>
      </c>
      <c r="D106" s="8">
        <f t="shared" si="26"/>
        <v>2.5355406297036849</v>
      </c>
      <c r="E106" s="8">
        <f t="shared" si="28"/>
        <v>1.143603680995098E-2</v>
      </c>
      <c r="L106" s="7">
        <v>23.958333329999999</v>
      </c>
      <c r="M106" s="6">
        <v>1.2987</v>
      </c>
      <c r="N106" s="8">
        <f t="shared" si="23"/>
        <v>2.563948857127953</v>
      </c>
      <c r="O106" s="8">
        <f t="shared" si="24"/>
        <v>2.3924352683730916</v>
      </c>
      <c r="P106" s="8">
        <f t="shared" si="25"/>
        <v>2.9416911127571697E-2</v>
      </c>
    </row>
    <row r="107" spans="1:16" x14ac:dyDescent="0.35">
      <c r="A107">
        <v>32.659999999999997</v>
      </c>
      <c r="B107" s="6">
        <v>1.6830000000000001</v>
      </c>
      <c r="C107" s="8">
        <f t="shared" si="27"/>
        <v>2.6000194568885049</v>
      </c>
      <c r="D107" s="8">
        <f t="shared" si="26"/>
        <v>2.5417323200422297</v>
      </c>
      <c r="E107" s="8">
        <f t="shared" si="28"/>
        <v>3.3973903217364093E-3</v>
      </c>
      <c r="L107" s="7">
        <v>24.8125</v>
      </c>
      <c r="M107" s="6">
        <v>1.4013</v>
      </c>
      <c r="N107" s="8">
        <f t="shared" si="23"/>
        <v>2.6399854701880807</v>
      </c>
      <c r="O107" s="8">
        <f t="shared" si="24"/>
        <v>2.3963733063214163</v>
      </c>
      <c r="P107" s="8">
        <f t="shared" si="25"/>
        <v>5.934688638379855E-2</v>
      </c>
    </row>
    <row r="108" spans="1:16" x14ac:dyDescent="0.35">
      <c r="B108" s="3" t="s">
        <v>11</v>
      </c>
      <c r="C108" s="6">
        <v>2.5461914995651331</v>
      </c>
      <c r="D108" s="4" t="s">
        <v>19</v>
      </c>
      <c r="E108" s="8">
        <f>SUM(E95:E107)</f>
        <v>0.17935608999053784</v>
      </c>
      <c r="L108" s="7">
        <v>25.864583329999999</v>
      </c>
      <c r="M108" s="6">
        <v>1.4796199999999999</v>
      </c>
      <c r="N108" s="8">
        <f t="shared" si="23"/>
        <v>2.6943703910456533</v>
      </c>
      <c r="O108" s="8">
        <f t="shared" si="24"/>
        <v>2.4004287117640271</v>
      </c>
      <c r="P108" s="8">
        <f t="shared" si="25"/>
        <v>8.6401710818902452E-2</v>
      </c>
    </row>
    <row r="109" spans="1:16" x14ac:dyDescent="0.35">
      <c r="B109" s="3" t="s">
        <v>12</v>
      </c>
      <c r="C109" s="6">
        <v>0.49484594127509951</v>
      </c>
      <c r="L109" s="7">
        <v>27</v>
      </c>
      <c r="M109" s="6">
        <v>1.4963200000000001</v>
      </c>
      <c r="N109" s="8">
        <f t="shared" si="23"/>
        <v>2.7055938534155031</v>
      </c>
      <c r="O109" s="8">
        <f t="shared" si="24"/>
        <v>2.4039912007722624</v>
      </c>
      <c r="P109" s="8">
        <f t="shared" si="25"/>
        <v>9.0964160081439316E-2</v>
      </c>
    </row>
    <row r="110" spans="1:16" ht="16.5" x14ac:dyDescent="0.35">
      <c r="B110" s="3" t="s">
        <v>13</v>
      </c>
      <c r="C110" s="6">
        <f>C109/LN(2)</f>
        <v>0.71391178548161727</v>
      </c>
      <c r="D110" t="s">
        <v>14</v>
      </c>
      <c r="M110" s="3" t="s">
        <v>11</v>
      </c>
      <c r="N110" s="6">
        <v>2.4189253100946768</v>
      </c>
      <c r="O110" s="4" t="s">
        <v>19</v>
      </c>
      <c r="P110" s="8">
        <f>SUM(P91:P103)</f>
        <v>0.14926140479634337</v>
      </c>
    </row>
    <row r="111" spans="1:16" ht="16.5" x14ac:dyDescent="0.35">
      <c r="C111" s="6">
        <f>C110/24</f>
        <v>2.9746324395067386E-2</v>
      </c>
      <c r="D111" t="s">
        <v>15</v>
      </c>
      <c r="M111" s="3" t="s">
        <v>12</v>
      </c>
      <c r="N111" s="6">
        <v>0.4557820435495249</v>
      </c>
    </row>
    <row r="112" spans="1:16" ht="16.5" x14ac:dyDescent="0.35">
      <c r="B112" s="3" t="s">
        <v>16</v>
      </c>
      <c r="C112" s="6">
        <f>1/C110</f>
        <v>1.4007332843306162</v>
      </c>
      <c r="D112" t="s">
        <v>17</v>
      </c>
      <c r="M112" s="3" t="s">
        <v>13</v>
      </c>
      <c r="N112" s="6">
        <f>N111/LN(2)</f>
        <v>0.6575544939551371</v>
      </c>
      <c r="O112" t="s">
        <v>14</v>
      </c>
    </row>
    <row r="113" spans="1:16" ht="16.5" x14ac:dyDescent="0.35">
      <c r="C113" s="6">
        <f>1/C111</f>
        <v>33.617598823934784</v>
      </c>
      <c r="D113" t="s">
        <v>18</v>
      </c>
      <c r="N113" s="6">
        <f>N112/24</f>
        <v>2.739810391479738E-2</v>
      </c>
      <c r="O113" t="s">
        <v>15</v>
      </c>
    </row>
    <row r="114" spans="1:16" x14ac:dyDescent="0.35">
      <c r="M114" s="3" t="s">
        <v>16</v>
      </c>
      <c r="N114" s="6">
        <f>1/N112</f>
        <v>1.5207865039216459</v>
      </c>
      <c r="O114" t="s">
        <v>17</v>
      </c>
    </row>
    <row r="115" spans="1:16" x14ac:dyDescent="0.35">
      <c r="A115" s="55" t="s">
        <v>39</v>
      </c>
      <c r="B115" s="55"/>
      <c r="C115" s="55"/>
      <c r="D115" s="55"/>
      <c r="E115" s="55"/>
      <c r="N115" s="6">
        <f>1/N113</f>
        <v>36.498876094119503</v>
      </c>
      <c r="O115" t="s">
        <v>18</v>
      </c>
    </row>
    <row r="116" spans="1:16" x14ac:dyDescent="0.35">
      <c r="A116" s="5" t="s">
        <v>27</v>
      </c>
      <c r="B116" s="4" t="s">
        <v>25</v>
      </c>
      <c r="C116" s="4" t="s">
        <v>8</v>
      </c>
      <c r="D116" s="4" t="s">
        <v>9</v>
      </c>
      <c r="E116" s="4" t="s">
        <v>10</v>
      </c>
    </row>
    <row r="117" spans="1:16" x14ac:dyDescent="0.35">
      <c r="A117">
        <v>0</v>
      </c>
      <c r="B117" s="6">
        <v>0.14799999999999999</v>
      </c>
      <c r="C117" s="8">
        <f>LN(B117/$B$29)</f>
        <v>0.16889853646181388</v>
      </c>
      <c r="D117" s="8">
        <f t="shared" ref="D117:D129" si="29">$C$130*(1-EXP(-$C$131*A117/$C$130))</f>
        <v>0</v>
      </c>
      <c r="E117" s="8">
        <f>(C117-D117)^2</f>
        <v>2.8526715618942673E-2</v>
      </c>
      <c r="L117" s="55" t="s">
        <v>38</v>
      </c>
      <c r="M117" s="55"/>
      <c r="N117" s="55"/>
      <c r="O117" s="55"/>
      <c r="P117" s="55"/>
    </row>
    <row r="118" spans="1:16" x14ac:dyDescent="0.35">
      <c r="A118">
        <v>1</v>
      </c>
      <c r="B118" s="6">
        <v>0.20499999999999999</v>
      </c>
      <c r="C118" s="8">
        <f t="shared" ref="C118:C129" si="30">LN(B118/$B$29)</f>
        <v>0.494696241836107</v>
      </c>
      <c r="D118" s="8">
        <f t="shared" si="29"/>
        <v>0.46481690291483252</v>
      </c>
      <c r="E118" s="8">
        <f t="shared" ref="E118:E129" si="31">(C118-D118)^2</f>
        <v>8.9277489437238793E-4</v>
      </c>
      <c r="L118" s="5" t="s">
        <v>27</v>
      </c>
      <c r="M118" s="4" t="s">
        <v>25</v>
      </c>
      <c r="N118" s="4" t="s">
        <v>8</v>
      </c>
      <c r="O118" s="4" t="s">
        <v>9</v>
      </c>
      <c r="P118" s="4" t="s">
        <v>10</v>
      </c>
    </row>
    <row r="119" spans="1:16" x14ac:dyDescent="0.35">
      <c r="A119">
        <v>2.16</v>
      </c>
      <c r="B119" s="6">
        <v>0.36699999999999999</v>
      </c>
      <c r="C119" s="8">
        <f t="shared" si="30"/>
        <v>1.0770481107522691</v>
      </c>
      <c r="D119" s="8">
        <f t="shared" si="29"/>
        <v>0.89774281803145606</v>
      </c>
      <c r="E119" s="8">
        <f t="shared" si="31"/>
        <v>3.2150387997696463E-2</v>
      </c>
      <c r="L119" s="7">
        <v>0</v>
      </c>
      <c r="M119" s="6">
        <v>0.114</v>
      </c>
      <c r="N119" s="8">
        <f t="shared" ref="N119:N137" si="32">LN(M119/$M$119)</f>
        <v>0</v>
      </c>
      <c r="O119" s="8">
        <f t="shared" ref="O119:O137" si="33">$N$138*(1-EXP(-$N$139*L119/$N$138))</f>
        <v>0</v>
      </c>
      <c r="P119" s="8">
        <f t="shared" ref="P119:P131" si="34">(N119-O119)^2</f>
        <v>0</v>
      </c>
    </row>
    <row r="120" spans="1:16" x14ac:dyDescent="0.35">
      <c r="A120">
        <v>5.05</v>
      </c>
      <c r="B120" s="6">
        <v>0.63200000000000001</v>
      </c>
      <c r="C120" s="8">
        <f t="shared" si="30"/>
        <v>1.6205756568445564</v>
      </c>
      <c r="D120" s="8">
        <f t="shared" si="29"/>
        <v>1.6203095955842013</v>
      </c>
      <c r="E120" s="8">
        <f t="shared" si="31"/>
        <v>7.0788594261749879E-8</v>
      </c>
      <c r="L120" s="7">
        <v>1.7152777779999999</v>
      </c>
      <c r="M120" s="6">
        <v>0.20100000000000001</v>
      </c>
      <c r="N120" s="8">
        <f t="shared" si="32"/>
        <v>0.5671064596645804</v>
      </c>
      <c r="O120" s="8">
        <f t="shared" si="33"/>
        <v>0.5447302164895963</v>
      </c>
      <c r="P120" s="8">
        <f t="shared" si="34"/>
        <v>5.0069625862602253E-4</v>
      </c>
    </row>
    <row r="121" spans="1:16" x14ac:dyDescent="0.35">
      <c r="A121">
        <v>7.17</v>
      </c>
      <c r="B121" s="6">
        <v>0.78300000000000003</v>
      </c>
      <c r="C121" s="8">
        <f t="shared" si="30"/>
        <v>1.834818958688502</v>
      </c>
      <c r="D121" s="8">
        <f t="shared" si="29"/>
        <v>1.9363361803842138</v>
      </c>
      <c r="E121" s="8">
        <f t="shared" si="31"/>
        <v>1.0305746300816312E-2</v>
      </c>
      <c r="L121" s="7">
        <v>2.59375</v>
      </c>
      <c r="M121" s="6">
        <v>0.27700000000000002</v>
      </c>
      <c r="N121" s="8">
        <f t="shared" si="32"/>
        <v>0.88781905779284309</v>
      </c>
      <c r="O121" s="8">
        <f t="shared" si="33"/>
        <v>0.77804442969689258</v>
      </c>
      <c r="P121" s="8">
        <f t="shared" si="34"/>
        <v>1.2050468973604248E-2</v>
      </c>
    </row>
    <row r="122" spans="1:16" x14ac:dyDescent="0.35">
      <c r="A122">
        <v>7.84</v>
      </c>
      <c r="B122" s="6">
        <v>0.86299999999999999</v>
      </c>
      <c r="C122" s="8">
        <f t="shared" si="30"/>
        <v>1.9321009537811269</v>
      </c>
      <c r="D122" s="8">
        <f t="shared" si="29"/>
        <v>2.0109745957188476</v>
      </c>
      <c r="E122" s="8">
        <f t="shared" si="31"/>
        <v>6.221051392519778E-3</v>
      </c>
      <c r="L122" s="7">
        <v>3.611111111</v>
      </c>
      <c r="M122" s="6">
        <v>0.30299999999999999</v>
      </c>
      <c r="N122" s="8">
        <f t="shared" si="32"/>
        <v>0.97753435711487369</v>
      </c>
      <c r="O122" s="8">
        <f t="shared" si="33"/>
        <v>1.0154919106537355</v>
      </c>
      <c r="P122" s="8">
        <f t="shared" si="34"/>
        <v>1.4407758706555575E-3</v>
      </c>
    </row>
    <row r="123" spans="1:16" x14ac:dyDescent="0.35">
      <c r="A123">
        <v>11.13</v>
      </c>
      <c r="B123" s="6">
        <v>1.075</v>
      </c>
      <c r="C123" s="8">
        <f t="shared" si="30"/>
        <v>2.1517622032594619</v>
      </c>
      <c r="D123" s="8">
        <f t="shared" si="29"/>
        <v>2.2602100578576931</v>
      </c>
      <c r="E123" s="8">
        <f t="shared" si="31"/>
        <v>1.1760937166959107E-2</v>
      </c>
      <c r="L123" s="7">
        <v>4.3333333329999997</v>
      </c>
      <c r="M123" s="6">
        <v>0.38200000000000001</v>
      </c>
      <c r="N123" s="8">
        <f t="shared" si="32"/>
        <v>1.2092221602120796</v>
      </c>
      <c r="O123" s="8">
        <f t="shared" si="33"/>
        <v>1.165120038211295</v>
      </c>
      <c r="P123" s="8">
        <f t="shared" si="34"/>
        <v>1.9449971649720954E-3</v>
      </c>
    </row>
    <row r="124" spans="1:16" x14ac:dyDescent="0.35">
      <c r="A124">
        <v>12.16</v>
      </c>
      <c r="B124" s="6">
        <v>1.456</v>
      </c>
      <c r="C124" s="8">
        <f t="shared" si="30"/>
        <v>2.4551344914543303</v>
      </c>
      <c r="D124" s="8">
        <f t="shared" si="29"/>
        <v>2.3096152005982558</v>
      </c>
      <c r="E124" s="8">
        <f t="shared" si="31"/>
        <v>2.1175864011254812E-2</v>
      </c>
      <c r="L124" s="7">
        <v>5.8125</v>
      </c>
      <c r="M124" s="6">
        <v>0.438</v>
      </c>
      <c r="N124" s="8">
        <f t="shared" si="32"/>
        <v>1.3460204619819507</v>
      </c>
      <c r="O124" s="8">
        <f t="shared" si="33"/>
        <v>1.4291495455658558</v>
      </c>
      <c r="P124" s="8">
        <f t="shared" si="34"/>
        <v>6.9104445374998866E-3</v>
      </c>
    </row>
    <row r="125" spans="1:16" x14ac:dyDescent="0.35">
      <c r="A125">
        <v>16.09</v>
      </c>
      <c r="B125" s="6">
        <v>1.413</v>
      </c>
      <c r="C125" s="8">
        <f t="shared" si="30"/>
        <v>2.4251566453822262</v>
      </c>
      <c r="D125" s="8">
        <f t="shared" si="29"/>
        <v>2.4261841567043629</v>
      </c>
      <c r="E125" s="8">
        <f t="shared" si="31"/>
        <v>1.0557795171191971E-6</v>
      </c>
      <c r="L125" s="7">
        <v>6.875</v>
      </c>
      <c r="M125" s="6">
        <v>0.57099999999999995</v>
      </c>
      <c r="N125" s="8">
        <f t="shared" si="32"/>
        <v>1.6111907612615146</v>
      </c>
      <c r="O125" s="8">
        <f t="shared" si="33"/>
        <v>1.5884618707208995</v>
      </c>
      <c r="P125" s="8">
        <f t="shared" si="34"/>
        <v>5.1660246520726302E-4</v>
      </c>
    </row>
    <row r="126" spans="1:16" x14ac:dyDescent="0.35">
      <c r="A126">
        <v>18.079999999999998</v>
      </c>
      <c r="B126" s="6">
        <v>1.4510000000000001</v>
      </c>
      <c r="C126" s="8">
        <f t="shared" si="30"/>
        <v>2.4516945155818868</v>
      </c>
      <c r="D126" s="8">
        <f t="shared" si="29"/>
        <v>2.4578428996964461</v>
      </c>
      <c r="E126" s="8">
        <f t="shared" si="31"/>
        <v>3.7802627220165313E-5</v>
      </c>
      <c r="L126" s="7">
        <v>9.875</v>
      </c>
      <c r="M126" s="6">
        <v>0.79120000000000001</v>
      </c>
      <c r="N126" s="8">
        <f t="shared" si="32"/>
        <v>1.9373523319140069</v>
      </c>
      <c r="O126" s="8">
        <f t="shared" si="33"/>
        <v>1.9314221791170636</v>
      </c>
      <c r="P126" s="8">
        <f t="shared" si="34"/>
        <v>3.5166712195094574E-5</v>
      </c>
    </row>
    <row r="127" spans="1:16" x14ac:dyDescent="0.35">
      <c r="A127">
        <v>26.19</v>
      </c>
      <c r="B127" s="6">
        <v>1.474</v>
      </c>
      <c r="C127" s="8">
        <f t="shared" si="30"/>
        <v>2.4674213354469807</v>
      </c>
      <c r="D127" s="8">
        <f t="shared" si="29"/>
        <v>2.5090214293195676</v>
      </c>
      <c r="E127" s="8">
        <f t="shared" si="31"/>
        <v>1.7305678102080418E-3</v>
      </c>
      <c r="L127" s="7">
        <v>10.83333333</v>
      </c>
      <c r="M127" s="6">
        <v>0.84399999999999997</v>
      </c>
      <c r="N127" s="8">
        <f t="shared" si="32"/>
        <v>2.0019540462014618</v>
      </c>
      <c r="O127" s="8">
        <f t="shared" si="33"/>
        <v>2.0145136561190364</v>
      </c>
      <c r="P127" s="8">
        <f t="shared" si="34"/>
        <v>1.5774380128163963E-4</v>
      </c>
    </row>
    <row r="128" spans="1:16" x14ac:dyDescent="0.35">
      <c r="A128">
        <v>28.18</v>
      </c>
      <c r="B128" s="6">
        <v>1.5860000000000001</v>
      </c>
      <c r="C128" s="8">
        <f t="shared" si="30"/>
        <v>2.5406566648924924</v>
      </c>
      <c r="D128" s="8">
        <f t="shared" si="29"/>
        <v>2.5130633622135972</v>
      </c>
      <c r="E128" s="8">
        <f t="shared" si="31"/>
        <v>7.6139035272912827E-4</v>
      </c>
      <c r="L128" s="7">
        <v>11.875</v>
      </c>
      <c r="M128" s="6">
        <v>0.89400000000000002</v>
      </c>
      <c r="N128" s="8">
        <f t="shared" si="32"/>
        <v>2.0595073267790185</v>
      </c>
      <c r="O128" s="8">
        <f t="shared" si="33"/>
        <v>2.0933137788944527</v>
      </c>
      <c r="P128" s="8">
        <f t="shared" si="34"/>
        <v>1.1428762046331458E-3</v>
      </c>
    </row>
    <row r="129" spans="1:16" x14ac:dyDescent="0.35">
      <c r="A129">
        <v>32.659999999999997</v>
      </c>
      <c r="B129" s="6">
        <v>1.64</v>
      </c>
      <c r="C129" s="8">
        <f t="shared" si="30"/>
        <v>2.5741377835159431</v>
      </c>
      <c r="D129" s="8">
        <f t="shared" si="29"/>
        <v>2.5179018208080719</v>
      </c>
      <c r="E129" s="8">
        <f t="shared" si="31"/>
        <v>3.162483501681084E-3</v>
      </c>
      <c r="L129" s="7">
        <v>14.72916667</v>
      </c>
      <c r="M129" s="6">
        <v>1.0698000000000001</v>
      </c>
      <c r="N129" s="8">
        <f t="shared" si="32"/>
        <v>2.2390285457026544</v>
      </c>
      <c r="O129" s="8">
        <f t="shared" si="33"/>
        <v>2.2597119929923513</v>
      </c>
      <c r="P129" s="8">
        <f t="shared" si="34"/>
        <v>4.278049917856677E-4</v>
      </c>
    </row>
    <row r="130" spans="1:16" x14ac:dyDescent="0.35">
      <c r="B130" s="3" t="s">
        <v>11</v>
      </c>
      <c r="C130" s="6">
        <v>2.5211453022739847</v>
      </c>
      <c r="D130" s="4" t="s">
        <v>19</v>
      </c>
      <c r="E130" s="8">
        <f>SUM(E117:E129)</f>
        <v>0.11672684824251132</v>
      </c>
      <c r="L130" s="7">
        <v>16.875</v>
      </c>
      <c r="M130" s="6">
        <v>1.1759999999999999</v>
      </c>
      <c r="N130" s="8">
        <f t="shared" si="32"/>
        <v>2.3336756800640766</v>
      </c>
      <c r="O130" s="8">
        <f t="shared" si="33"/>
        <v>2.3483924588796463</v>
      </c>
      <c r="P130" s="8">
        <f t="shared" si="34"/>
        <v>2.1658357870640299E-4</v>
      </c>
    </row>
    <row r="131" spans="1:16" x14ac:dyDescent="0.35">
      <c r="B131" s="3" t="s">
        <v>12</v>
      </c>
      <c r="C131" s="6">
        <v>0.51378727985461414</v>
      </c>
      <c r="L131" s="7">
        <v>17.833333329999999</v>
      </c>
      <c r="M131" s="6">
        <v>1.2256</v>
      </c>
      <c r="N131" s="8">
        <f t="shared" si="32"/>
        <v>2.3749873505918315</v>
      </c>
      <c r="O131" s="8">
        <f t="shared" si="33"/>
        <v>2.3803424470129833</v>
      </c>
      <c r="P131" s="8">
        <f t="shared" si="34"/>
        <v>2.8677057679832048E-5</v>
      </c>
    </row>
    <row r="132" spans="1:16" ht="16.5" x14ac:dyDescent="0.35">
      <c r="B132" s="3" t="s">
        <v>13</v>
      </c>
      <c r="C132" s="6">
        <f>C131/LN(2)</f>
        <v>0.74123836071808191</v>
      </c>
      <c r="D132" t="s">
        <v>14</v>
      </c>
      <c r="L132" s="7">
        <v>18.875</v>
      </c>
      <c r="M132" s="6">
        <v>1.294</v>
      </c>
      <c r="N132" s="8">
        <f t="shared" si="32"/>
        <v>2.4292950266663502</v>
      </c>
      <c r="O132" s="8">
        <f t="shared" si="33"/>
        <v>2.410642341519857</v>
      </c>
      <c r="P132" s="8">
        <f t="shared" ref="P132:P137" si="35">(N132-O132)^2</f>
        <v>3.4792266317420839E-4</v>
      </c>
    </row>
    <row r="133" spans="1:16" ht="16.5" x14ac:dyDescent="0.35">
      <c r="C133" s="6">
        <f>C132/24</f>
        <v>3.0884931696586748E-2</v>
      </c>
      <c r="D133" t="s">
        <v>15</v>
      </c>
      <c r="L133" s="7">
        <v>19.8125</v>
      </c>
      <c r="M133" s="6">
        <v>1.333</v>
      </c>
      <c r="N133" s="8">
        <f t="shared" si="32"/>
        <v>2.458988871784213</v>
      </c>
      <c r="O133" s="8">
        <f t="shared" si="33"/>
        <v>2.4344619059078827</v>
      </c>
      <c r="P133" s="8">
        <f t="shared" si="35"/>
        <v>6.0157205509867083E-4</v>
      </c>
    </row>
    <row r="134" spans="1:16" x14ac:dyDescent="0.35">
      <c r="B134" s="3" t="s">
        <v>16</v>
      </c>
      <c r="C134" s="6">
        <f>1/C132</f>
        <v>1.3490936964342215</v>
      </c>
      <c r="D134" t="s">
        <v>17</v>
      </c>
      <c r="L134" s="7">
        <v>23.958333329999999</v>
      </c>
      <c r="M134" s="6">
        <v>1.395</v>
      </c>
      <c r="N134" s="8">
        <f t="shared" si="32"/>
        <v>2.5044512458609707</v>
      </c>
      <c r="O134" s="8">
        <f t="shared" si="33"/>
        <v>2.5098573730766214</v>
      </c>
      <c r="P134" s="8">
        <f t="shared" si="35"/>
        <v>2.9226211471799217E-5</v>
      </c>
    </row>
    <row r="135" spans="1:16" x14ac:dyDescent="0.35">
      <c r="C135" s="6">
        <f>1/C133</f>
        <v>32.378248714421318</v>
      </c>
      <c r="D135" t="s">
        <v>18</v>
      </c>
      <c r="L135" s="7">
        <v>24.8125</v>
      </c>
      <c r="M135" s="6">
        <v>1.452</v>
      </c>
      <c r="N135" s="8">
        <f t="shared" si="32"/>
        <v>2.544498746990246</v>
      </c>
      <c r="O135" s="8">
        <f t="shared" si="33"/>
        <v>2.5207590727502867</v>
      </c>
      <c r="P135" s="8">
        <f t="shared" si="35"/>
        <v>5.6357213301939067E-4</v>
      </c>
    </row>
    <row r="136" spans="1:16" x14ac:dyDescent="0.35">
      <c r="L136" s="7">
        <v>25.864583329999999</v>
      </c>
      <c r="M136" s="6">
        <v>1.498</v>
      </c>
      <c r="N136" s="8">
        <f t="shared" si="32"/>
        <v>2.5756877156826694</v>
      </c>
      <c r="O136" s="8">
        <f t="shared" si="33"/>
        <v>2.5325517006623532</v>
      </c>
      <c r="P136" s="8">
        <f t="shared" si="35"/>
        <v>1.8607157918329419E-3</v>
      </c>
    </row>
    <row r="137" spans="1:16" x14ac:dyDescent="0.35">
      <c r="L137" s="7">
        <v>27</v>
      </c>
      <c r="M137" s="6">
        <v>1.512</v>
      </c>
      <c r="N137" s="8">
        <f t="shared" si="32"/>
        <v>2.5849901083449827</v>
      </c>
      <c r="O137" s="8">
        <f t="shared" si="33"/>
        <v>2.5435144641173428</v>
      </c>
      <c r="P137" s="8">
        <f t="shared" si="35"/>
        <v>1.7202290640977531E-3</v>
      </c>
    </row>
    <row r="138" spans="1:16" x14ac:dyDescent="0.35">
      <c r="M138" s="3" t="s">
        <v>11</v>
      </c>
      <c r="N138" s="6">
        <v>2.6088892841595825</v>
      </c>
      <c r="O138" s="4" t="s">
        <v>19</v>
      </c>
      <c r="P138" s="8">
        <f>SUM(P119:P135)</f>
        <v>2.6915130679610919E-2</v>
      </c>
    </row>
    <row r="139" spans="1:16" x14ac:dyDescent="0.35">
      <c r="M139" s="3" t="s">
        <v>12</v>
      </c>
      <c r="N139" s="6">
        <v>0.35621413664305895</v>
      </c>
    </row>
    <row r="140" spans="1:16" ht="16.5" x14ac:dyDescent="0.35">
      <c r="M140" s="3" t="s">
        <v>13</v>
      </c>
      <c r="N140" s="6">
        <f>N139/LN(2)</f>
        <v>0.51390836842948473</v>
      </c>
      <c r="O140" t="s">
        <v>14</v>
      </c>
    </row>
    <row r="141" spans="1:16" ht="16.5" x14ac:dyDescent="0.35">
      <c r="N141" s="6">
        <f>N140/24</f>
        <v>2.1412848684561864E-2</v>
      </c>
      <c r="O141" t="s">
        <v>15</v>
      </c>
    </row>
    <row r="142" spans="1:16" x14ac:dyDescent="0.35">
      <c r="M142" s="3" t="s">
        <v>16</v>
      </c>
      <c r="N142" s="6">
        <f>1/N140</f>
        <v>1.9458721854559831</v>
      </c>
      <c r="O142" t="s">
        <v>17</v>
      </c>
    </row>
    <row r="143" spans="1:16" x14ac:dyDescent="0.35">
      <c r="N143" s="6">
        <f>1/N141</f>
        <v>46.700932450943597</v>
      </c>
      <c r="O143" t="s">
        <v>18</v>
      </c>
    </row>
    <row r="151" spans="13:16" x14ac:dyDescent="0.35">
      <c r="M151" s="6"/>
      <c r="N151" s="8"/>
      <c r="O151" s="8"/>
      <c r="P151" s="8"/>
    </row>
    <row r="152" spans="13:16" x14ac:dyDescent="0.35">
      <c r="M152" s="6"/>
      <c r="N152" s="8"/>
      <c r="O152" s="8"/>
      <c r="P152" s="8"/>
    </row>
    <row r="153" spans="13:16" x14ac:dyDescent="0.35">
      <c r="M153" s="6"/>
      <c r="N153" s="8"/>
      <c r="O153" s="8"/>
      <c r="P153" s="8"/>
    </row>
    <row r="154" spans="13:16" x14ac:dyDescent="0.35">
      <c r="M154" s="6"/>
      <c r="N154" s="8"/>
      <c r="O154" s="8"/>
      <c r="P154" s="8"/>
    </row>
    <row r="155" spans="13:16" x14ac:dyDescent="0.35">
      <c r="M155" s="3"/>
      <c r="N155" s="6"/>
      <c r="O155" s="4"/>
      <c r="P155" s="8"/>
    </row>
    <row r="156" spans="13:16" x14ac:dyDescent="0.35">
      <c r="M156" s="3"/>
      <c r="N156" s="6"/>
    </row>
    <row r="157" spans="13:16" x14ac:dyDescent="0.35">
      <c r="M157" s="3"/>
      <c r="N157" s="6"/>
    </row>
    <row r="158" spans="13:16" x14ac:dyDescent="0.35">
      <c r="N158" s="6"/>
    </row>
    <row r="159" spans="13:16" x14ac:dyDescent="0.35">
      <c r="M159" s="3"/>
      <c r="N159" s="6"/>
    </row>
    <row r="160" spans="13:16" x14ac:dyDescent="0.35">
      <c r="N160" s="6"/>
    </row>
  </sheetData>
  <mergeCells count="11">
    <mergeCell ref="B4:F4"/>
    <mergeCell ref="M4:Q4"/>
    <mergeCell ref="A27:E27"/>
    <mergeCell ref="A49:E49"/>
    <mergeCell ref="A71:E71"/>
    <mergeCell ref="A115:E115"/>
    <mergeCell ref="L33:P33"/>
    <mergeCell ref="L61:P61"/>
    <mergeCell ref="L89:P89"/>
    <mergeCell ref="L117:P117"/>
    <mergeCell ref="A93:E93"/>
  </mergeCells>
  <pageMargins left="0.7" right="0.7" top="0.75" bottom="0.75" header="0.3" footer="0.3"/>
  <pageSetup orientation="portrait" r:id="rId1"/>
  <ignoredErrors>
    <ignoredError sqref="G6:G18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89"/>
  <sheetViews>
    <sheetView topLeftCell="A46" zoomScaleNormal="100" workbookViewId="0">
      <selection activeCell="K51" sqref="K51"/>
    </sheetView>
  </sheetViews>
  <sheetFormatPr defaultRowHeight="14.5" x14ac:dyDescent="0.35"/>
  <cols>
    <col min="1" max="1" width="10.1796875" customWidth="1"/>
    <col min="2" max="2" width="12" customWidth="1"/>
    <col min="4" max="4" width="10.54296875" customWidth="1"/>
    <col min="6" max="6" width="13.26953125" customWidth="1"/>
    <col min="12" max="12" width="16.453125" customWidth="1"/>
    <col min="17" max="17" width="10.1796875" customWidth="1"/>
    <col min="18" max="18" width="12" customWidth="1"/>
    <col min="20" max="20" width="10.54296875" customWidth="1"/>
    <col min="22" max="22" width="13.26953125" customWidth="1"/>
    <col min="28" max="28" width="18.453125" customWidth="1"/>
  </cols>
  <sheetData>
    <row r="1" spans="1:30" ht="17.149999999999999" customHeight="1" x14ac:dyDescent="0.5">
      <c r="A1" s="2" t="s">
        <v>26</v>
      </c>
      <c r="Q1" s="2" t="s">
        <v>34</v>
      </c>
    </row>
    <row r="2" spans="1:30" ht="17.149999999999999" customHeight="1" x14ac:dyDescent="0.5">
      <c r="A2" s="2"/>
      <c r="Q2" s="2"/>
    </row>
    <row r="3" spans="1:30" ht="17.149999999999999" customHeight="1" x14ac:dyDescent="0.5">
      <c r="A3" s="2"/>
      <c r="B3" s="55" t="s">
        <v>40</v>
      </c>
      <c r="C3" s="55"/>
      <c r="D3" s="55"/>
      <c r="Q3" s="2"/>
      <c r="R3" s="55" t="s">
        <v>40</v>
      </c>
      <c r="S3" s="55"/>
      <c r="T3" s="55"/>
    </row>
    <row r="4" spans="1:30" ht="17.149999999999999" customHeight="1" x14ac:dyDescent="0.35">
      <c r="A4" s="1" t="s">
        <v>27</v>
      </c>
      <c r="B4" s="3" t="s">
        <v>1</v>
      </c>
      <c r="C4" s="3" t="s">
        <v>2</v>
      </c>
      <c r="D4" s="3" t="s">
        <v>3</v>
      </c>
      <c r="E4" s="3" t="s">
        <v>41</v>
      </c>
      <c r="F4" s="11"/>
      <c r="G4" s="9" t="s">
        <v>42</v>
      </c>
      <c r="L4" s="1" t="s">
        <v>49</v>
      </c>
      <c r="Q4" s="1" t="s">
        <v>27</v>
      </c>
      <c r="R4" s="3" t="s">
        <v>1</v>
      </c>
      <c r="S4" s="3" t="s">
        <v>2</v>
      </c>
      <c r="T4" s="3" t="s">
        <v>3</v>
      </c>
      <c r="U4" s="3" t="s">
        <v>41</v>
      </c>
      <c r="W4" s="9" t="s">
        <v>42</v>
      </c>
      <c r="AB4" s="1" t="s">
        <v>50</v>
      </c>
    </row>
    <row r="5" spans="1:30" ht="17.149999999999999" customHeight="1" x14ac:dyDescent="0.35">
      <c r="A5" s="7">
        <v>0</v>
      </c>
      <c r="B5" s="7">
        <v>1.2363999999999999</v>
      </c>
      <c r="C5" s="7">
        <v>2.1562000000000001</v>
      </c>
      <c r="D5" s="7">
        <v>1.87452</v>
      </c>
      <c r="E5" s="7">
        <f>AVERAGE(B5:D5)</f>
        <v>1.7557066666666667</v>
      </c>
      <c r="Q5" s="7">
        <v>0</v>
      </c>
      <c r="R5" s="7">
        <v>1.1679999999999999</v>
      </c>
      <c r="S5" s="7">
        <v>1.2329600000000001</v>
      </c>
      <c r="T5" s="7">
        <v>1.0376000000000001</v>
      </c>
      <c r="U5" s="7">
        <f>AVERAGE(R5:T5)</f>
        <v>1.1461866666666667</v>
      </c>
    </row>
    <row r="6" spans="1:30" ht="17.149999999999999" customHeight="1" x14ac:dyDescent="0.35">
      <c r="A6" s="7">
        <v>1</v>
      </c>
      <c r="B6" s="7">
        <v>3.9269406390000001</v>
      </c>
      <c r="C6" s="7">
        <v>9.4977168949999999</v>
      </c>
      <c r="D6" s="7">
        <v>11.87214612</v>
      </c>
      <c r="E6" s="7">
        <f t="shared" ref="E6:E18" si="0">AVERAGE(B6:D6)</f>
        <v>8.4322678846666665</v>
      </c>
      <c r="L6" t="s">
        <v>1</v>
      </c>
      <c r="M6">
        <f>I25</f>
        <v>6.1836441019896338</v>
      </c>
      <c r="N6" t="s">
        <v>43</v>
      </c>
      <c r="Q6" s="7">
        <v>1.7152777779999999</v>
      </c>
      <c r="R6" s="7">
        <v>7.4604799999999996</v>
      </c>
      <c r="S6" s="7">
        <v>6.9051679999999998</v>
      </c>
      <c r="T6" s="7">
        <v>5.9949199999999996</v>
      </c>
      <c r="U6" s="7">
        <f t="shared" ref="U6:U23" si="1">AVERAGE(R6:T6)</f>
        <v>6.7868560000000002</v>
      </c>
      <c r="AB6" t="s">
        <v>1</v>
      </c>
      <c r="AC6" s="6">
        <f>Y26</f>
        <v>3.1392596837237776</v>
      </c>
      <c r="AD6" t="s">
        <v>43</v>
      </c>
    </row>
    <row r="7" spans="1:30" ht="17.149999999999999" customHeight="1" x14ac:dyDescent="0.35">
      <c r="A7" s="7">
        <v>2.1583333329999999</v>
      </c>
      <c r="B7" s="7">
        <v>10.776255709999999</v>
      </c>
      <c r="C7" s="7">
        <v>15.159817350000001</v>
      </c>
      <c r="D7" s="7">
        <v>20.365296799999999</v>
      </c>
      <c r="E7" s="7">
        <f t="shared" si="0"/>
        <v>15.433789953333331</v>
      </c>
      <c r="L7" t="s">
        <v>2</v>
      </c>
      <c r="M7">
        <f>I42</f>
        <v>5.8295964042579111</v>
      </c>
      <c r="N7" t="s">
        <v>43</v>
      </c>
      <c r="Q7" s="7">
        <v>2.59375</v>
      </c>
      <c r="R7" s="7">
        <v>9.8926719999999992</v>
      </c>
      <c r="S7" s="7">
        <v>9.3176959999999998</v>
      </c>
      <c r="T7" s="7">
        <v>9.9810719999999993</v>
      </c>
      <c r="U7" s="7">
        <f t="shared" si="1"/>
        <v>9.73048</v>
      </c>
      <c r="AB7" t="s">
        <v>2</v>
      </c>
      <c r="AC7" s="6">
        <f>Y48</f>
        <v>2.9975772054362642</v>
      </c>
      <c r="AD7" t="s">
        <v>43</v>
      </c>
    </row>
    <row r="8" spans="1:30" ht="17.149999999999999" customHeight="1" x14ac:dyDescent="0.35">
      <c r="A8" s="7">
        <v>3.0916666670000001</v>
      </c>
      <c r="B8" s="7">
        <v>21.5641</v>
      </c>
      <c r="C8" s="7">
        <v>25.239799999999999</v>
      </c>
      <c r="D8" s="7">
        <v>28.374960999999999</v>
      </c>
      <c r="E8" s="7">
        <f t="shared" si="0"/>
        <v>25.059620333333331</v>
      </c>
      <c r="L8" t="s">
        <v>3</v>
      </c>
      <c r="M8">
        <f>I59</f>
        <v>5.3686638624452305</v>
      </c>
      <c r="N8" t="s">
        <v>43</v>
      </c>
      <c r="Q8" s="7">
        <v>3.611111111</v>
      </c>
      <c r="R8" s="7">
        <v>13.099696</v>
      </c>
      <c r="S8" s="7">
        <v>10.196208</v>
      </c>
      <c r="T8" s="7">
        <v>10.637119999999999</v>
      </c>
      <c r="U8" s="7">
        <f t="shared" si="1"/>
        <v>11.311008000000001</v>
      </c>
      <c r="AB8" t="s">
        <v>3</v>
      </c>
      <c r="AC8" s="6">
        <f>Y70</f>
        <v>3.0003435398367935</v>
      </c>
      <c r="AD8" t="s">
        <v>43</v>
      </c>
    </row>
    <row r="9" spans="1:30" ht="17.149999999999999" customHeight="1" x14ac:dyDescent="0.35">
      <c r="A9" s="7">
        <v>5.05</v>
      </c>
      <c r="B9" s="7">
        <v>29.13242009</v>
      </c>
      <c r="C9" s="7">
        <v>38.082191780000002</v>
      </c>
      <c r="D9" s="7">
        <v>37.534246580000001</v>
      </c>
      <c r="E9" s="7">
        <f t="shared" si="0"/>
        <v>34.916286149999998</v>
      </c>
      <c r="L9" t="s">
        <v>21</v>
      </c>
      <c r="M9">
        <f>H19</f>
        <v>5.7939681228975912</v>
      </c>
      <c r="N9" t="s">
        <v>43</v>
      </c>
      <c r="Q9" s="7">
        <v>4.3333333329999997</v>
      </c>
      <c r="R9" s="7">
        <v>17.38812785</v>
      </c>
      <c r="S9" s="7">
        <v>11.981735159999999</v>
      </c>
      <c r="T9" s="7">
        <v>14.038271999999999</v>
      </c>
      <c r="U9" s="7">
        <f t="shared" si="1"/>
        <v>14.469378336666665</v>
      </c>
      <c r="AB9" t="s">
        <v>21</v>
      </c>
      <c r="AC9" s="6">
        <f>Y20</f>
        <v>3.0493207548496453</v>
      </c>
      <c r="AD9" t="s">
        <v>43</v>
      </c>
    </row>
    <row r="10" spans="1:30" ht="17.149999999999999" customHeight="1" x14ac:dyDescent="0.35">
      <c r="A10" s="7">
        <v>7.170833333</v>
      </c>
      <c r="B10" s="7">
        <v>39.543379000000002</v>
      </c>
      <c r="C10" s="7">
        <v>48.401826479999997</v>
      </c>
      <c r="D10" s="7">
        <v>48.401826479999997</v>
      </c>
      <c r="E10" s="7">
        <f t="shared" si="0"/>
        <v>45.449010653333325</v>
      </c>
      <c r="L10" t="s">
        <v>24</v>
      </c>
      <c r="M10">
        <f>_xlfn.STDEV.S(M6:M8)</f>
        <v>0.40865661445335838</v>
      </c>
      <c r="N10" t="s">
        <v>43</v>
      </c>
      <c r="Q10" s="7">
        <v>5.8125</v>
      </c>
      <c r="R10" s="7">
        <v>23.74429224</v>
      </c>
      <c r="S10" s="7">
        <v>19.433789950000001</v>
      </c>
      <c r="T10" s="7">
        <v>16.151688</v>
      </c>
      <c r="U10" s="7">
        <f t="shared" si="1"/>
        <v>19.776590063333334</v>
      </c>
      <c r="AB10" t="s">
        <v>24</v>
      </c>
      <c r="AC10">
        <f>_xlfn.STDEV.S(AC6:AC8)</f>
        <v>8.1013653470815808E-2</v>
      </c>
      <c r="AD10" t="s">
        <v>43</v>
      </c>
    </row>
    <row r="11" spans="1:30" ht="17.149999999999999" customHeight="1" x14ac:dyDescent="0.35">
      <c r="A11" s="7">
        <v>7.8368055559999998</v>
      </c>
      <c r="B11" s="7">
        <v>54.329700000000003</v>
      </c>
      <c r="C11" s="7">
        <v>59.364125999999999</v>
      </c>
      <c r="D11" s="7">
        <v>61.32499</v>
      </c>
      <c r="E11" s="7">
        <f t="shared" si="0"/>
        <v>58.339605333333338</v>
      </c>
      <c r="L11" t="s">
        <v>22</v>
      </c>
      <c r="M11">
        <f>M10/SQRT(3)</f>
        <v>0.23593800636076759</v>
      </c>
      <c r="N11" t="s">
        <v>43</v>
      </c>
      <c r="Q11" s="7">
        <v>6.875</v>
      </c>
      <c r="R11" s="7">
        <v>25.86526168</v>
      </c>
      <c r="S11" s="7">
        <v>21.61208289</v>
      </c>
      <c r="T11" s="7">
        <v>18.612328000000002</v>
      </c>
      <c r="U11" s="7">
        <f t="shared" si="1"/>
        <v>22.029890856666668</v>
      </c>
      <c r="AB11" t="s">
        <v>22</v>
      </c>
      <c r="AC11">
        <f>AC10/SQRT(3)</f>
        <v>4.6773254639410566E-2</v>
      </c>
      <c r="AD11" t="s">
        <v>43</v>
      </c>
    </row>
    <row r="12" spans="1:30" ht="17.149999999999999" customHeight="1" x14ac:dyDescent="0.35">
      <c r="A12" s="7">
        <v>11.12916667</v>
      </c>
      <c r="B12" s="7">
        <v>71.324200910000002</v>
      </c>
      <c r="C12" s="7">
        <v>70.867579910000003</v>
      </c>
      <c r="D12" s="7">
        <v>77.899543379999997</v>
      </c>
      <c r="E12" s="7">
        <f t="shared" si="0"/>
        <v>73.363774733333344</v>
      </c>
      <c r="Q12" s="7">
        <v>9.875</v>
      </c>
      <c r="R12" s="7">
        <v>31.85388128</v>
      </c>
      <c r="S12" s="7">
        <v>27.762557080000001</v>
      </c>
      <c r="T12" s="7">
        <v>29.988968</v>
      </c>
      <c r="U12" s="7">
        <f t="shared" si="1"/>
        <v>29.868468786666668</v>
      </c>
    </row>
    <row r="13" spans="1:30" ht="17.149999999999999" customHeight="1" x14ac:dyDescent="0.35">
      <c r="A13" s="7">
        <v>12.1625</v>
      </c>
      <c r="B13" s="7">
        <v>85.496145600000006</v>
      </c>
      <c r="C13" s="7">
        <v>77.658910000000006</v>
      </c>
      <c r="D13" s="7">
        <v>80.698400000000007</v>
      </c>
      <c r="E13" s="7">
        <f t="shared" si="0"/>
        <v>81.284485200000006</v>
      </c>
      <c r="Q13" s="7">
        <v>10.83333333</v>
      </c>
      <c r="R13" s="7"/>
      <c r="S13" s="7">
        <v>24.182648400000001</v>
      </c>
      <c r="T13" s="7">
        <v>33.723911999999999</v>
      </c>
      <c r="U13" s="7">
        <f t="shared" si="1"/>
        <v>28.953280200000002</v>
      </c>
    </row>
    <row r="14" spans="1:30" ht="17.149999999999999" customHeight="1" x14ac:dyDescent="0.35">
      <c r="A14" s="7">
        <v>14.04722222</v>
      </c>
      <c r="B14" s="7">
        <v>103.0136986</v>
      </c>
      <c r="C14" s="7">
        <v>85.205479449999999</v>
      </c>
      <c r="D14" s="7">
        <v>85.662100460000005</v>
      </c>
      <c r="E14" s="7">
        <f t="shared" si="0"/>
        <v>91.293759503333334</v>
      </c>
      <c r="Q14" s="7">
        <v>11.875</v>
      </c>
      <c r="R14" s="7">
        <v>36.894977169999997</v>
      </c>
      <c r="S14" s="7">
        <v>32.292237440000001</v>
      </c>
      <c r="T14" s="7">
        <v>34.791795999999998</v>
      </c>
      <c r="U14" s="7">
        <f t="shared" si="1"/>
        <v>34.659670203333327</v>
      </c>
    </row>
    <row r="15" spans="1:30" ht="17.149999999999999" customHeight="1" x14ac:dyDescent="0.35">
      <c r="A15" s="7">
        <v>16.08888889</v>
      </c>
      <c r="B15" s="7">
        <v>85.022831049999994</v>
      </c>
      <c r="C15" s="7">
        <v>90.776255710000001</v>
      </c>
      <c r="D15" s="7">
        <v>90.045662100000001</v>
      </c>
      <c r="E15" s="7">
        <f t="shared" si="0"/>
        <v>88.614916286666656</v>
      </c>
      <c r="Q15" s="7">
        <v>14.72916667</v>
      </c>
      <c r="R15" s="7">
        <v>52.602739730000003</v>
      </c>
      <c r="S15" s="7">
        <v>42.812785390000002</v>
      </c>
      <c r="T15" s="7">
        <v>42.527453600000001</v>
      </c>
      <c r="U15" s="7">
        <f t="shared" si="1"/>
        <v>45.980992906666671</v>
      </c>
    </row>
    <row r="16" spans="1:30" ht="17.149999999999999" customHeight="1" x14ac:dyDescent="0.35">
      <c r="A16" s="7">
        <v>18.08472222</v>
      </c>
      <c r="B16" s="7">
        <v>92.602739729999996</v>
      </c>
      <c r="C16" s="7">
        <v>106.11872150000001</v>
      </c>
      <c r="D16" s="7">
        <v>98.538812789999994</v>
      </c>
      <c r="E16" s="7">
        <f t="shared" si="0"/>
        <v>99.08675800666667</v>
      </c>
      <c r="Q16" s="7">
        <v>16.875</v>
      </c>
      <c r="R16" s="7">
        <v>49.534246580000001</v>
      </c>
      <c r="S16" s="7">
        <v>38.429223739999998</v>
      </c>
      <c r="T16" s="7">
        <v>45.182568000000003</v>
      </c>
      <c r="U16" s="7">
        <f t="shared" si="1"/>
        <v>44.382012773333336</v>
      </c>
    </row>
    <row r="17" spans="1:26" ht="17.149999999999999" customHeight="1" x14ac:dyDescent="0.35">
      <c r="A17" s="7">
        <v>22.497260000000001</v>
      </c>
      <c r="B17" s="7">
        <v>145.87461999999999</v>
      </c>
      <c r="C17" s="7">
        <v>141.36489</v>
      </c>
      <c r="D17" s="7">
        <v>130.26479800000001</v>
      </c>
      <c r="E17" s="7">
        <f t="shared" si="0"/>
        <v>139.16810266666667</v>
      </c>
      <c r="Q17" s="7">
        <v>17.833333329999999</v>
      </c>
      <c r="R17" s="7">
        <v>54.940639269999998</v>
      </c>
      <c r="S17" s="7">
        <v>53.333333330000002</v>
      </c>
      <c r="T17" s="7">
        <v>49.811279999999996</v>
      </c>
      <c r="U17" s="7">
        <f t="shared" si="1"/>
        <v>52.695084199999997</v>
      </c>
    </row>
    <row r="18" spans="1:26" ht="17.149999999999999" customHeight="1" x14ac:dyDescent="0.35">
      <c r="A18" s="7">
        <v>26.190972219999999</v>
      </c>
      <c r="B18" s="7">
        <v>164.88584470000001</v>
      </c>
      <c r="C18" s="7">
        <v>158.9041096</v>
      </c>
      <c r="D18" s="7">
        <v>150.77625570000001</v>
      </c>
      <c r="E18" s="7">
        <f t="shared" si="0"/>
        <v>158.18873666666664</v>
      </c>
      <c r="Q18" s="7">
        <v>18.875</v>
      </c>
      <c r="R18" s="7">
        <v>54.940639269999998</v>
      </c>
      <c r="S18" s="7">
        <v>49.680365299999998</v>
      </c>
      <c r="T18" s="7">
        <v>53.059752000000003</v>
      </c>
      <c r="U18" s="7">
        <f t="shared" si="1"/>
        <v>52.56025219</v>
      </c>
    </row>
    <row r="19" spans="1:26" ht="17.149999999999999" customHeight="1" x14ac:dyDescent="0.5">
      <c r="A19" s="2"/>
      <c r="G19" s="3" t="s">
        <v>45</v>
      </c>
      <c r="H19" s="6">
        <f>SLOPE(E5:E18,A5:A18)</f>
        <v>5.7939681228975912</v>
      </c>
      <c r="I19" t="s">
        <v>43</v>
      </c>
      <c r="Q19" s="7">
        <v>19.8125</v>
      </c>
      <c r="R19" s="7">
        <v>62.977168949999999</v>
      </c>
      <c r="S19" s="7">
        <v>58.301369860000001</v>
      </c>
      <c r="T19" s="7">
        <v>57.476505600000003</v>
      </c>
      <c r="U19" s="7">
        <f t="shared" si="1"/>
        <v>59.585014803333337</v>
      </c>
    </row>
    <row r="20" spans="1:26" ht="17.149999999999999" customHeight="1" x14ac:dyDescent="0.5">
      <c r="A20" s="2"/>
      <c r="G20" s="3" t="s">
        <v>47</v>
      </c>
      <c r="H20" s="6">
        <f>INTERCEPT(E5:E18,A5:A18)</f>
        <v>5.1087134353430983</v>
      </c>
      <c r="I20" t="s">
        <v>44</v>
      </c>
      <c r="Q20" s="7">
        <v>23.958333329999999</v>
      </c>
      <c r="R20" s="7">
        <v>73.059360729999995</v>
      </c>
      <c r="S20" s="7">
        <v>65.168949769999998</v>
      </c>
      <c r="T20" s="7">
        <v>67.325968000000003</v>
      </c>
      <c r="U20" s="7">
        <f t="shared" si="1"/>
        <v>68.518092833333341</v>
      </c>
      <c r="X20" s="3" t="s">
        <v>45</v>
      </c>
      <c r="Y20" s="6">
        <f>SLOPE(U5:U23,Q5:Q23)</f>
        <v>3.0493207548496453</v>
      </c>
      <c r="Z20" t="s">
        <v>43</v>
      </c>
    </row>
    <row r="21" spans="1:26" ht="17.149999999999999" customHeight="1" x14ac:dyDescent="0.5">
      <c r="A21" s="2"/>
      <c r="Q21" s="7">
        <v>24.8125</v>
      </c>
      <c r="R21" s="7">
        <v>86.356164379999996</v>
      </c>
      <c r="S21" s="7">
        <v>80.657534249999998</v>
      </c>
      <c r="T21" s="7">
        <v>78.917970479999994</v>
      </c>
      <c r="U21" s="7">
        <f t="shared" si="1"/>
        <v>81.977223036666658</v>
      </c>
      <c r="X21" s="3" t="s">
        <v>47</v>
      </c>
      <c r="Y21" s="6">
        <f>INTERCEPT(U5:U23,Q5:Q23)</f>
        <v>2.3397779915057981E-2</v>
      </c>
      <c r="Z21" t="s">
        <v>44</v>
      </c>
    </row>
    <row r="22" spans="1:26" ht="17.149999999999999" customHeight="1" x14ac:dyDescent="0.5">
      <c r="A22" s="2"/>
      <c r="Q22" s="7">
        <v>25.864583329999999</v>
      </c>
      <c r="R22" s="7">
        <v>84.310502279999994</v>
      </c>
      <c r="S22" s="7">
        <v>85.625570780000004</v>
      </c>
      <c r="T22" s="7">
        <v>80.398992000000007</v>
      </c>
      <c r="U22" s="7">
        <f t="shared" si="1"/>
        <v>83.445021686666678</v>
      </c>
    </row>
    <row r="23" spans="1:26" ht="17.149999999999999" customHeight="1" x14ac:dyDescent="0.35">
      <c r="Q23" s="7">
        <v>27</v>
      </c>
      <c r="R23" s="7">
        <v>91.178082189999998</v>
      </c>
      <c r="S23" s="7">
        <v>82.557077629999995</v>
      </c>
      <c r="T23" s="7">
        <v>86.123310399999994</v>
      </c>
      <c r="U23" s="7">
        <f t="shared" si="1"/>
        <v>86.619490073333324</v>
      </c>
    </row>
    <row r="24" spans="1:26" ht="17.149999999999999" customHeight="1" x14ac:dyDescent="0.35">
      <c r="A24" s="55" t="s">
        <v>35</v>
      </c>
      <c r="B24" s="55"/>
      <c r="C24" s="55"/>
      <c r="D24" s="55"/>
      <c r="E24" s="55"/>
      <c r="F24" s="55"/>
    </row>
    <row r="25" spans="1:26" ht="16.5" x14ac:dyDescent="0.45">
      <c r="A25" s="1" t="s">
        <v>27</v>
      </c>
      <c r="B25" s="1" t="s">
        <v>29</v>
      </c>
      <c r="C25" s="1" t="s">
        <v>28</v>
      </c>
      <c r="D25" s="1" t="s">
        <v>30</v>
      </c>
      <c r="E25" s="1" t="s">
        <v>25</v>
      </c>
      <c r="F25" s="1" t="s">
        <v>31</v>
      </c>
      <c r="G25" s="1"/>
      <c r="H25" s="1" t="s">
        <v>46</v>
      </c>
      <c r="I25" s="6">
        <f>SLOPE(B26:B39,A26:A39)</f>
        <v>6.1836441019896338</v>
      </c>
      <c r="J25" s="1"/>
      <c r="K25" s="1"/>
      <c r="L25" s="1"/>
      <c r="M25" s="1"/>
      <c r="Q25" s="55" t="s">
        <v>35</v>
      </c>
      <c r="R25" s="55"/>
      <c r="S25" s="55"/>
      <c r="T25" s="55"/>
      <c r="U25" s="55"/>
      <c r="V25" s="55"/>
      <c r="W25" s="1"/>
    </row>
    <row r="26" spans="1:26" ht="16.5" x14ac:dyDescent="0.45">
      <c r="A26" s="7">
        <v>0</v>
      </c>
      <c r="B26" s="7">
        <v>1.2363999999999999</v>
      </c>
      <c r="C26" t="s">
        <v>33</v>
      </c>
      <c r="D26" s="6">
        <f t="shared" ref="D26:D39" si="2">2.318*(1-EXP(-0.471*A26/2.318))</f>
        <v>0</v>
      </c>
      <c r="E26" s="6">
        <f>'Growth rates'!$G$6*EXP(D26)</f>
        <v>0.14940000000000003</v>
      </c>
      <c r="F26" s="7">
        <f t="shared" ref="F26:F39" si="3">EXP(6.6292056+1.9008173*LN(E26))</f>
        <v>20.399463391010336</v>
      </c>
      <c r="H26" s="1" t="s">
        <v>48</v>
      </c>
      <c r="I26" s="6">
        <f>INTERCEPT(B26:B39,A26:A39)</f>
        <v>0.19811793776597142</v>
      </c>
      <c r="Q26" s="1" t="s">
        <v>27</v>
      </c>
      <c r="R26" s="1" t="s">
        <v>29</v>
      </c>
      <c r="S26" s="1" t="s">
        <v>28</v>
      </c>
      <c r="T26" s="1" t="s">
        <v>30</v>
      </c>
      <c r="U26" s="1" t="s">
        <v>25</v>
      </c>
      <c r="V26" s="1" t="s">
        <v>31</v>
      </c>
      <c r="X26" s="1" t="s">
        <v>46</v>
      </c>
      <c r="Y26" s="6">
        <f>SLOPE(R27:R45,Q27:Q45)</f>
        <v>3.1392596837237776</v>
      </c>
    </row>
    <row r="27" spans="1:26" ht="16.5" x14ac:dyDescent="0.45">
      <c r="A27" s="7">
        <v>1</v>
      </c>
      <c r="B27" s="7">
        <v>3.9269406390000001</v>
      </c>
      <c r="C27" t="s">
        <v>33</v>
      </c>
      <c r="D27" s="6">
        <f t="shared" si="2"/>
        <v>0.42623106144945755</v>
      </c>
      <c r="E27" s="6">
        <f>'Growth rates'!$G$6*EXP(D27)</f>
        <v>0.22880230508982274</v>
      </c>
      <c r="F27" s="7">
        <f t="shared" si="3"/>
        <v>45.864709793838337</v>
      </c>
      <c r="Q27" s="7">
        <v>0</v>
      </c>
      <c r="R27" s="7">
        <v>1.1679999999999999</v>
      </c>
      <c r="S27" t="s">
        <v>32</v>
      </c>
      <c r="T27">
        <f t="shared" ref="T27:T45" si="4">2.579*(1-EXP(-0.429*Q27/2.579))</f>
        <v>0</v>
      </c>
      <c r="U27">
        <f>'Growth rates'!$R$6*EXP(T27)</f>
        <v>0.10350000000000001</v>
      </c>
      <c r="V27" s="7">
        <f t="shared" ref="V27:V45" si="5">EXP(6.6292056+1.9008173*LN(U27))</f>
        <v>10.153341341929345</v>
      </c>
      <c r="X27" s="1" t="s">
        <v>48</v>
      </c>
      <c r="Y27" s="6">
        <f>INTERCEPT(R27:R45,Q27:Q45)</f>
        <v>1.943589962346941</v>
      </c>
    </row>
    <row r="28" spans="1:26" ht="16.5" x14ac:dyDescent="0.45">
      <c r="A28" s="7">
        <v>2.1583333329999999</v>
      </c>
      <c r="B28" s="7">
        <v>10.776255709999999</v>
      </c>
      <c r="C28" t="s">
        <v>33</v>
      </c>
      <c r="D28" s="6">
        <f t="shared" si="2"/>
        <v>0.82296771886421705</v>
      </c>
      <c r="E28" s="6">
        <f>'Growth rates'!$G$6*EXP(D28)</f>
        <v>0.34022085884615705</v>
      </c>
      <c r="F28" s="7">
        <f t="shared" si="3"/>
        <v>97.496830862444398</v>
      </c>
      <c r="Q28" s="7">
        <v>1.7152777779999999</v>
      </c>
      <c r="R28" s="7">
        <v>7.4604799999999996</v>
      </c>
      <c r="S28" t="s">
        <v>32</v>
      </c>
      <c r="T28">
        <f t="shared" si="4"/>
        <v>0.64018620081876088</v>
      </c>
      <c r="U28">
        <f>'Growth rates'!$R$6*EXP(T28)</f>
        <v>0.19632232298223343</v>
      </c>
      <c r="V28" s="7">
        <f t="shared" si="5"/>
        <v>34.284037035816183</v>
      </c>
    </row>
    <row r="29" spans="1:26" ht="16.5" x14ac:dyDescent="0.45">
      <c r="A29" s="7">
        <v>3.0916666670000001</v>
      </c>
      <c r="B29" s="7">
        <v>21.5641</v>
      </c>
      <c r="C29" t="s">
        <v>33</v>
      </c>
      <c r="D29" s="6">
        <f t="shared" si="2"/>
        <v>1.0812319664248469</v>
      </c>
      <c r="E29" s="6">
        <f>'Growth rates'!$G$6*EXP(D29)</f>
        <v>0.44047744422320212</v>
      </c>
      <c r="F29" s="7">
        <f t="shared" si="3"/>
        <v>159.29104859817795</v>
      </c>
      <c r="Q29" s="7">
        <v>2.59375</v>
      </c>
      <c r="R29" s="7">
        <v>9.8926719999999992</v>
      </c>
      <c r="S29" t="s">
        <v>32</v>
      </c>
      <c r="T29">
        <f t="shared" si="4"/>
        <v>0.90377386920418556</v>
      </c>
      <c r="U29">
        <f>'Growth rates'!$R$6*EXP(T29)</f>
        <v>0.25553144689900564</v>
      </c>
      <c r="V29" s="7">
        <f t="shared" si="5"/>
        <v>56.583184839869546</v>
      </c>
    </row>
    <row r="30" spans="1:26" ht="16.5" x14ac:dyDescent="0.45">
      <c r="A30" s="7">
        <v>5.05</v>
      </c>
      <c r="B30" s="7">
        <v>29.13242009</v>
      </c>
      <c r="C30" t="s">
        <v>33</v>
      </c>
      <c r="D30" s="6">
        <f t="shared" si="2"/>
        <v>1.4872421410142636</v>
      </c>
      <c r="E30" s="6">
        <f>'Growth rates'!$G$6*EXP(D30)</f>
        <v>0.66107639873707913</v>
      </c>
      <c r="F30" s="7">
        <f t="shared" si="3"/>
        <v>344.63441450024362</v>
      </c>
      <c r="Q30" s="7">
        <v>3.611111111</v>
      </c>
      <c r="R30" s="7">
        <v>13.099696</v>
      </c>
      <c r="S30" t="s">
        <v>32</v>
      </c>
      <c r="T30">
        <f t="shared" si="4"/>
        <v>1.1645840257004594</v>
      </c>
      <c r="U30">
        <f>'Growth rates'!$R$6*EXP(T30)</f>
        <v>0.33167502142716848</v>
      </c>
      <c r="V30" s="7">
        <f t="shared" si="5"/>
        <v>92.894487951234723</v>
      </c>
    </row>
    <row r="31" spans="1:26" ht="16.5" x14ac:dyDescent="0.45">
      <c r="A31" s="7">
        <v>7.170833333</v>
      </c>
      <c r="B31" s="7">
        <v>39.543379000000002</v>
      </c>
      <c r="C31" t="s">
        <v>33</v>
      </c>
      <c r="D31" s="6">
        <f t="shared" si="2"/>
        <v>1.7780907137634208</v>
      </c>
      <c r="E31" s="6">
        <f>'Growth rates'!$G$6*EXP(D31)</f>
        <v>0.88423068675537952</v>
      </c>
      <c r="F31" s="7">
        <f t="shared" si="3"/>
        <v>599.04348162080453</v>
      </c>
      <c r="Q31" s="7">
        <v>4.3333333329999997</v>
      </c>
      <c r="R31" s="7">
        <v>17.38812785</v>
      </c>
      <c r="S31" t="s">
        <v>32</v>
      </c>
      <c r="T31">
        <f t="shared" si="4"/>
        <v>1.3246974225791315</v>
      </c>
      <c r="U31">
        <f>'Growth rates'!$R$6*EXP(T31)</f>
        <v>0.38926838259809843</v>
      </c>
      <c r="V31" s="7">
        <f t="shared" si="5"/>
        <v>125.94063254871709</v>
      </c>
    </row>
    <row r="32" spans="1:26" ht="16.5" x14ac:dyDescent="0.45">
      <c r="A32" s="7">
        <v>7.8368055559999998</v>
      </c>
      <c r="B32" s="7">
        <v>54.329700000000003</v>
      </c>
      <c r="C32" t="s">
        <v>33</v>
      </c>
      <c r="D32" s="6">
        <f t="shared" si="2"/>
        <v>1.8464238297320441</v>
      </c>
      <c r="E32" s="6">
        <f>'Growth rates'!$G$6*EXP(D32)</f>
        <v>0.94676518187228065</v>
      </c>
      <c r="F32" s="7">
        <f t="shared" si="3"/>
        <v>682.13184128591286</v>
      </c>
      <c r="Q32" s="7">
        <v>5.8125</v>
      </c>
      <c r="R32" s="7">
        <v>23.74429224</v>
      </c>
      <c r="S32" t="s">
        <v>32</v>
      </c>
      <c r="T32">
        <f t="shared" si="4"/>
        <v>1.5982818039930466</v>
      </c>
      <c r="U32">
        <f>'Growth rates'!$R$6*EXP(T32)</f>
        <v>0.51175879816201086</v>
      </c>
      <c r="V32" s="7">
        <f t="shared" si="5"/>
        <v>211.84281285568866</v>
      </c>
    </row>
    <row r="33" spans="1:25" ht="16.5" x14ac:dyDescent="0.45">
      <c r="A33" s="7">
        <v>11.12916667</v>
      </c>
      <c r="B33" s="7">
        <v>71.324200910000002</v>
      </c>
      <c r="C33" t="s">
        <v>33</v>
      </c>
      <c r="D33" s="6">
        <f t="shared" si="2"/>
        <v>2.0764448388518302</v>
      </c>
      <c r="E33" s="6">
        <f>'Growth rates'!$G$6*EXP(D33)</f>
        <v>1.1916237020074523</v>
      </c>
      <c r="F33" s="7">
        <f t="shared" si="3"/>
        <v>1056.2190414027011</v>
      </c>
      <c r="Q33" s="7">
        <v>6.875</v>
      </c>
      <c r="R33" s="7">
        <v>25.86526168</v>
      </c>
      <c r="S33" t="s">
        <v>32</v>
      </c>
      <c r="T33">
        <f t="shared" si="4"/>
        <v>1.7571604833162708</v>
      </c>
      <c r="U33">
        <f>'Growth rates'!$R$6*EXP(T33)</f>
        <v>0.59988147619144849</v>
      </c>
      <c r="V33" s="7">
        <f t="shared" si="5"/>
        <v>286.53018636288874</v>
      </c>
    </row>
    <row r="34" spans="1:25" ht="16.5" x14ac:dyDescent="0.45">
      <c r="A34" s="7">
        <v>12.1625</v>
      </c>
      <c r="B34" s="7">
        <v>85.496145600000006</v>
      </c>
      <c r="C34" t="s">
        <v>33</v>
      </c>
      <c r="D34" s="6">
        <f t="shared" si="2"/>
        <v>2.1221924340137663</v>
      </c>
      <c r="E34" s="6">
        <f>'Growth rates'!$G$6*EXP(D34)</f>
        <v>1.2474037953705372</v>
      </c>
      <c r="F34" s="7">
        <f t="shared" si="3"/>
        <v>1152.1772458257271</v>
      </c>
      <c r="Q34" s="7">
        <v>9.875</v>
      </c>
      <c r="R34" s="7">
        <v>31.85388128</v>
      </c>
      <c r="S34" t="s">
        <v>32</v>
      </c>
      <c r="T34">
        <f t="shared" si="4"/>
        <v>2.0800456998012882</v>
      </c>
      <c r="U34">
        <f>'Growth rates'!$R$6*EXP(T34)</f>
        <v>0.82850039406791198</v>
      </c>
      <c r="V34" s="7">
        <f t="shared" si="5"/>
        <v>529.31816571450565</v>
      </c>
    </row>
    <row r="35" spans="1:25" ht="16.5" x14ac:dyDescent="0.45">
      <c r="A35" s="7">
        <v>14.04722222</v>
      </c>
      <c r="B35" s="7">
        <v>103.0136986</v>
      </c>
      <c r="C35" t="s">
        <v>33</v>
      </c>
      <c r="D35" s="6">
        <f t="shared" si="2"/>
        <v>2.1844907016634947</v>
      </c>
      <c r="E35" s="6">
        <f>'Growth rates'!$G$6*EXP(D35)</f>
        <v>1.3275865840277499</v>
      </c>
      <c r="F35" s="7">
        <f t="shared" si="3"/>
        <v>1297.0222168101895</v>
      </c>
      <c r="Q35" s="7">
        <v>10.83333333</v>
      </c>
      <c r="R35" s="7"/>
      <c r="S35" t="s">
        <v>32</v>
      </c>
      <c r="T35">
        <f t="shared" si="4"/>
        <v>2.1535693515618037</v>
      </c>
      <c r="U35">
        <f>'Growth rates'!$R$6*EXP(T35)</f>
        <v>0.89170999701744424</v>
      </c>
      <c r="V35" s="7">
        <f t="shared" si="5"/>
        <v>608.71168244221462</v>
      </c>
    </row>
    <row r="36" spans="1:25" ht="16.5" x14ac:dyDescent="0.45">
      <c r="A36" s="7">
        <v>16.08888889</v>
      </c>
      <c r="B36" s="7">
        <v>85.022831049999994</v>
      </c>
      <c r="C36" t="s">
        <v>33</v>
      </c>
      <c r="D36" s="6">
        <f t="shared" si="2"/>
        <v>2.2298253099981653</v>
      </c>
      <c r="E36" s="6">
        <f>'Growth rates'!$G$6*EXP(D36)</f>
        <v>1.3891572991862935</v>
      </c>
      <c r="F36" s="7">
        <f t="shared" si="3"/>
        <v>1413.7473053017773</v>
      </c>
      <c r="Q36" s="7">
        <v>11.875</v>
      </c>
      <c r="R36" s="7">
        <v>36.894977169999997</v>
      </c>
      <c r="S36" t="s">
        <v>32</v>
      </c>
      <c r="T36">
        <f t="shared" si="4"/>
        <v>2.2212525034061539</v>
      </c>
      <c r="U36">
        <f>'Growth rates'!$R$6*EXP(T36)</f>
        <v>0.95415307648860426</v>
      </c>
      <c r="V36" s="7">
        <f t="shared" si="5"/>
        <v>692.28521679924711</v>
      </c>
    </row>
    <row r="37" spans="1:25" ht="16.5" x14ac:dyDescent="0.45">
      <c r="A37" s="7">
        <v>18.08472222</v>
      </c>
      <c r="B37" s="7">
        <v>92.602739729999996</v>
      </c>
      <c r="C37" t="s">
        <v>33</v>
      </c>
      <c r="D37" s="6">
        <f t="shared" si="2"/>
        <v>2.2592211684981969</v>
      </c>
      <c r="E37" s="6">
        <f>'Growth rates'!$G$6*EXP(D37)</f>
        <v>1.4305988920331043</v>
      </c>
      <c r="F37" s="7">
        <f t="shared" si="3"/>
        <v>1494.9907189563355</v>
      </c>
      <c r="Q37" s="7">
        <v>14.72916667</v>
      </c>
      <c r="R37" s="7">
        <v>52.602739730000003</v>
      </c>
      <c r="S37" t="s">
        <v>32</v>
      </c>
      <c r="T37">
        <f t="shared" si="4"/>
        <v>2.3564714914552014</v>
      </c>
      <c r="U37">
        <f>'Growth rates'!$R$6*EXP(T37)</f>
        <v>1.0923024689406353</v>
      </c>
      <c r="V37" s="7">
        <f t="shared" si="5"/>
        <v>895.1798300113602</v>
      </c>
    </row>
    <row r="38" spans="1:25" ht="16.5" x14ac:dyDescent="0.45">
      <c r="A38" s="7">
        <v>22.497260000000001</v>
      </c>
      <c r="B38" s="7">
        <v>145.87461999999999</v>
      </c>
      <c r="C38" t="s">
        <v>33</v>
      </c>
      <c r="D38" s="6">
        <f t="shared" si="2"/>
        <v>2.2940207803342818</v>
      </c>
      <c r="E38" s="6">
        <f>'Growth rates'!$G$6*EXP(D38)</f>
        <v>1.4812595513523263</v>
      </c>
      <c r="F38" s="7">
        <f t="shared" si="3"/>
        <v>1597.2249273304403</v>
      </c>
      <c r="Q38" s="7">
        <v>16.875</v>
      </c>
      <c r="R38" s="7">
        <v>49.534246580000001</v>
      </c>
      <c r="S38" t="s">
        <v>32</v>
      </c>
      <c r="T38">
        <f t="shared" si="4"/>
        <v>2.4232721860885933</v>
      </c>
      <c r="U38">
        <f>'Growth rates'!$R$6*EXP(T38)</f>
        <v>1.1677613265430595</v>
      </c>
      <c r="V38" s="7">
        <f t="shared" si="5"/>
        <v>1016.3779342400478</v>
      </c>
    </row>
    <row r="39" spans="1:25" ht="16.5" x14ac:dyDescent="0.45">
      <c r="A39" s="7">
        <v>26.190972219999999</v>
      </c>
      <c r="B39" s="7">
        <v>164.88584470000001</v>
      </c>
      <c r="C39" t="s">
        <v>33</v>
      </c>
      <c r="D39" s="6">
        <f t="shared" si="2"/>
        <v>2.3066790688058156</v>
      </c>
      <c r="E39" s="6">
        <f>'Growth rates'!$G$6*EXP(D39)</f>
        <v>1.5001289371626267</v>
      </c>
      <c r="F39" s="7">
        <f t="shared" si="3"/>
        <v>1636.1219822750438</v>
      </c>
      <c r="Q39" s="7">
        <v>17.833333329999999</v>
      </c>
      <c r="R39" s="7">
        <v>54.940639269999998</v>
      </c>
      <c r="S39" t="s">
        <v>32</v>
      </c>
      <c r="T39">
        <f t="shared" si="4"/>
        <v>2.4462195332802876</v>
      </c>
      <c r="U39">
        <f>'Growth rates'!$R$6*EXP(T39)</f>
        <v>1.1948681768074141</v>
      </c>
      <c r="V39" s="7">
        <f t="shared" si="5"/>
        <v>1061.6921222166759</v>
      </c>
    </row>
    <row r="40" spans="1:25" ht="16.5" x14ac:dyDescent="0.45">
      <c r="Q40" s="7">
        <v>18.875</v>
      </c>
      <c r="R40" s="7">
        <v>54.940639269999998</v>
      </c>
      <c r="S40" t="s">
        <v>32</v>
      </c>
      <c r="T40">
        <f t="shared" si="4"/>
        <v>2.467344011556468</v>
      </c>
      <c r="U40">
        <f>'Growth rates'!$R$6*EXP(T40)</f>
        <v>1.2203776320051956</v>
      </c>
      <c r="V40" s="7">
        <f t="shared" si="5"/>
        <v>1105.1905359172472</v>
      </c>
    </row>
    <row r="41" spans="1:25" ht="16.5" x14ac:dyDescent="0.45">
      <c r="A41" s="55" t="s">
        <v>36</v>
      </c>
      <c r="B41" s="55"/>
      <c r="C41" s="55"/>
      <c r="D41" s="55"/>
      <c r="E41" s="55"/>
      <c r="F41" s="55"/>
      <c r="Q41" s="7">
        <v>19.8125</v>
      </c>
      <c r="R41" s="7">
        <v>62.977168949999999</v>
      </c>
      <c r="S41" t="s">
        <v>32</v>
      </c>
      <c r="T41">
        <f t="shared" si="4"/>
        <v>2.4834666367197316</v>
      </c>
      <c r="U41">
        <f>'Growth rates'!$R$6*EXP(T41)</f>
        <v>1.2402127908802898</v>
      </c>
      <c r="V41" s="7">
        <f t="shared" si="5"/>
        <v>1139.5847203339249</v>
      </c>
    </row>
    <row r="42" spans="1:25" ht="16.5" x14ac:dyDescent="0.45">
      <c r="A42" s="1" t="s">
        <v>27</v>
      </c>
      <c r="B42" s="1" t="s">
        <v>29</v>
      </c>
      <c r="C42" s="1" t="s">
        <v>28</v>
      </c>
      <c r="D42" s="1" t="s">
        <v>30</v>
      </c>
      <c r="E42" s="1" t="s">
        <v>25</v>
      </c>
      <c r="F42" s="1" t="s">
        <v>31</v>
      </c>
      <c r="H42" s="1" t="s">
        <v>46</v>
      </c>
      <c r="I42" s="6">
        <f>SLOPE(B43:B56,A43:A56)</f>
        <v>5.8295964042579111</v>
      </c>
      <c r="Q42" s="7">
        <v>23.958333329999999</v>
      </c>
      <c r="R42" s="7">
        <v>73.059360729999995</v>
      </c>
      <c r="S42" t="s">
        <v>32</v>
      </c>
      <c r="T42">
        <f t="shared" si="4"/>
        <v>2.5310651435802618</v>
      </c>
      <c r="U42">
        <f>'Growth rates'!$R$6*EXP(T42)</f>
        <v>1.300672550597783</v>
      </c>
      <c r="V42" s="7">
        <f t="shared" si="5"/>
        <v>1247.4980442739122</v>
      </c>
    </row>
    <row r="43" spans="1:25" ht="16.5" x14ac:dyDescent="0.45">
      <c r="A43" s="7">
        <v>0</v>
      </c>
      <c r="B43" s="7">
        <v>2.1562000000000001</v>
      </c>
      <c r="C43" t="s">
        <v>33</v>
      </c>
      <c r="D43" s="6">
        <f t="shared" ref="D43:D56" si="6">2.318*(1-EXP(-0.471*A43/2.318))</f>
        <v>0</v>
      </c>
      <c r="E43" s="6">
        <f>'Growth rates'!$G$6*EXP(D43)</f>
        <v>0.14940000000000003</v>
      </c>
      <c r="F43" s="7">
        <f t="shared" ref="F43:F56" si="7">EXP(6.6292056+1.9008173*LN(E43))</f>
        <v>20.399463391010336</v>
      </c>
      <c r="H43" s="1" t="s">
        <v>48</v>
      </c>
      <c r="I43" s="6">
        <f>INTERCEPT(B43:B56,A43:A56)</f>
        <v>5.3366393760206989</v>
      </c>
      <c r="Q43" s="7">
        <v>24.8125</v>
      </c>
      <c r="R43" s="7">
        <v>86.356164379999996</v>
      </c>
      <c r="S43" t="s">
        <v>32</v>
      </c>
      <c r="T43">
        <f t="shared" si="4"/>
        <v>2.5374142392025441</v>
      </c>
      <c r="U43">
        <f>'Growth rates'!$R$6*EXP(T43)</f>
        <v>1.3089569162805037</v>
      </c>
      <c r="V43" s="7">
        <f t="shared" si="5"/>
        <v>1262.6446523516991</v>
      </c>
    </row>
    <row r="44" spans="1:25" ht="16.5" x14ac:dyDescent="0.45">
      <c r="A44" s="7">
        <v>1</v>
      </c>
      <c r="B44" s="7">
        <v>9.4977168949999999</v>
      </c>
      <c r="C44" t="s">
        <v>33</v>
      </c>
      <c r="D44" s="6">
        <f t="shared" si="6"/>
        <v>0.42623106144945755</v>
      </c>
      <c r="E44" s="6">
        <f>'Growth rates'!$G$6*EXP(D44)</f>
        <v>0.22880230508982274</v>
      </c>
      <c r="F44" s="7">
        <f t="shared" si="7"/>
        <v>45.864709793838337</v>
      </c>
      <c r="Q44" s="7">
        <v>25.864583329999999</v>
      </c>
      <c r="R44" s="7">
        <v>84.310502279999994</v>
      </c>
      <c r="S44" t="s">
        <v>32</v>
      </c>
      <c r="T44">
        <f t="shared" si="4"/>
        <v>2.5440907949151028</v>
      </c>
      <c r="U44">
        <f>'Growth rates'!$R$6*EXP(T44)</f>
        <v>1.3177254793848781</v>
      </c>
      <c r="V44" s="7">
        <f t="shared" si="5"/>
        <v>1278.7708770983406</v>
      </c>
    </row>
    <row r="45" spans="1:25" ht="16.5" x14ac:dyDescent="0.45">
      <c r="A45" s="7">
        <v>2.1583333329999999</v>
      </c>
      <c r="B45" s="7">
        <v>15.159817350000001</v>
      </c>
      <c r="C45" t="s">
        <v>33</v>
      </c>
      <c r="D45" s="6">
        <f t="shared" si="6"/>
        <v>0.82296771886421705</v>
      </c>
      <c r="E45" s="6">
        <f>'Growth rates'!$G$6*EXP(D45)</f>
        <v>0.34022085884615705</v>
      </c>
      <c r="F45" s="7">
        <f t="shared" si="7"/>
        <v>97.496830862444398</v>
      </c>
      <c r="Q45" s="7">
        <v>27</v>
      </c>
      <c r="R45" s="7">
        <v>91.178082189999998</v>
      </c>
      <c r="S45" t="s">
        <v>32</v>
      </c>
      <c r="T45">
        <f t="shared" si="4"/>
        <v>2.5500988519966117</v>
      </c>
      <c r="U45">
        <f>'Growth rates'!$R$6*EXP(T45)</f>
        <v>1.3256662797874172</v>
      </c>
      <c r="V45" s="7">
        <f t="shared" si="5"/>
        <v>1293.4584282545668</v>
      </c>
    </row>
    <row r="46" spans="1:25" ht="16.5" x14ac:dyDescent="0.45">
      <c r="A46" s="7">
        <v>3.0916666670000001</v>
      </c>
      <c r="B46" s="7">
        <v>25.239799999999999</v>
      </c>
      <c r="C46" t="s">
        <v>33</v>
      </c>
      <c r="D46" s="6">
        <f t="shared" si="6"/>
        <v>1.0812319664248469</v>
      </c>
      <c r="E46" s="6">
        <f>'Growth rates'!$G$6*EXP(D46)</f>
        <v>0.44047744422320212</v>
      </c>
      <c r="F46" s="7">
        <f t="shared" si="7"/>
        <v>159.29104859817795</v>
      </c>
    </row>
    <row r="47" spans="1:25" ht="16.5" x14ac:dyDescent="0.45">
      <c r="A47" s="7">
        <v>5.05</v>
      </c>
      <c r="B47" s="7">
        <v>38.082191780000002</v>
      </c>
      <c r="C47" t="s">
        <v>33</v>
      </c>
      <c r="D47" s="6">
        <f t="shared" si="6"/>
        <v>1.4872421410142636</v>
      </c>
      <c r="E47" s="6">
        <f>'Growth rates'!$G$6*EXP(D47)</f>
        <v>0.66107639873707913</v>
      </c>
      <c r="F47" s="7">
        <f t="shared" si="7"/>
        <v>344.63441450024362</v>
      </c>
      <c r="Q47" s="55" t="s">
        <v>36</v>
      </c>
      <c r="R47" s="55"/>
      <c r="S47" s="55"/>
      <c r="T47" s="55"/>
      <c r="U47" s="55"/>
      <c r="V47" s="55"/>
    </row>
    <row r="48" spans="1:25" ht="16.5" x14ac:dyDescent="0.45">
      <c r="A48" s="7">
        <v>7.170833333</v>
      </c>
      <c r="B48" s="7">
        <v>48.401826479999997</v>
      </c>
      <c r="C48" t="s">
        <v>33</v>
      </c>
      <c r="D48" s="6">
        <f t="shared" si="6"/>
        <v>1.7780907137634208</v>
      </c>
      <c r="E48" s="6">
        <f>'Growth rates'!$G$6*EXP(D48)</f>
        <v>0.88423068675537952</v>
      </c>
      <c r="F48" s="7">
        <f t="shared" si="7"/>
        <v>599.04348162080453</v>
      </c>
      <c r="Q48" s="1" t="s">
        <v>27</v>
      </c>
      <c r="R48" s="1" t="s">
        <v>29</v>
      </c>
      <c r="S48" s="1" t="s">
        <v>28</v>
      </c>
      <c r="T48" s="1" t="s">
        <v>30</v>
      </c>
      <c r="U48" s="1" t="s">
        <v>25</v>
      </c>
      <c r="V48" s="1" t="s">
        <v>31</v>
      </c>
      <c r="X48" s="1" t="s">
        <v>46</v>
      </c>
      <c r="Y48" s="6">
        <f>SLOPE(R49:R67,Q49:Q67)</f>
        <v>2.9975772054362642</v>
      </c>
    </row>
    <row r="49" spans="1:25" ht="16.5" x14ac:dyDescent="0.45">
      <c r="A49" s="7">
        <v>7.8368055559999998</v>
      </c>
      <c r="B49" s="7">
        <v>59.364125999999999</v>
      </c>
      <c r="C49" t="s">
        <v>33</v>
      </c>
      <c r="D49" s="6">
        <f t="shared" si="6"/>
        <v>1.8464238297320441</v>
      </c>
      <c r="E49" s="6">
        <f>'Growth rates'!$G$6*EXP(D49)</f>
        <v>0.94676518187228065</v>
      </c>
      <c r="F49" s="7">
        <f t="shared" si="7"/>
        <v>682.13184128591286</v>
      </c>
      <c r="Q49" s="7">
        <v>0</v>
      </c>
      <c r="R49" s="7">
        <v>1.2329600000000001</v>
      </c>
      <c r="S49" t="s">
        <v>32</v>
      </c>
      <c r="T49">
        <f t="shared" ref="T49:T67" si="8">2.579*(1-EXP(-0.429*Q49/2.579))</f>
        <v>0</v>
      </c>
      <c r="U49">
        <f>'Growth rates'!$R$6*EXP(T49)</f>
        <v>0.10350000000000001</v>
      </c>
      <c r="V49" s="7">
        <f t="shared" ref="V49:V67" si="9">EXP(6.6292056+1.9008173*LN(U49))</f>
        <v>10.153341341929345</v>
      </c>
      <c r="X49" s="1" t="s">
        <v>48</v>
      </c>
      <c r="Y49" s="6">
        <f>INTERCEPT(R49:R67,Q49:Q67)</f>
        <v>-1.0406186097541976</v>
      </c>
    </row>
    <row r="50" spans="1:25" ht="16.5" x14ac:dyDescent="0.45">
      <c r="A50" s="7">
        <v>11.12916667</v>
      </c>
      <c r="B50" s="7">
        <v>70.867579910000003</v>
      </c>
      <c r="C50" t="s">
        <v>33</v>
      </c>
      <c r="D50" s="6">
        <f t="shared" si="6"/>
        <v>2.0764448388518302</v>
      </c>
      <c r="E50" s="6">
        <f>'Growth rates'!$G$6*EXP(D50)</f>
        <v>1.1916237020074523</v>
      </c>
      <c r="F50" s="7">
        <f t="shared" si="7"/>
        <v>1056.2190414027011</v>
      </c>
      <c r="Q50" s="7">
        <v>1.7152777779999999</v>
      </c>
      <c r="R50" s="7">
        <v>6.9051679999999998</v>
      </c>
      <c r="S50" t="s">
        <v>32</v>
      </c>
      <c r="T50">
        <f t="shared" si="8"/>
        <v>0.64018620081876088</v>
      </c>
      <c r="U50">
        <f>'Growth rates'!$R$6*EXP(T50)</f>
        <v>0.19632232298223343</v>
      </c>
      <c r="V50" s="7">
        <f t="shared" si="9"/>
        <v>34.284037035816183</v>
      </c>
    </row>
    <row r="51" spans="1:25" ht="16.5" x14ac:dyDescent="0.45">
      <c r="A51" s="7">
        <v>12.1625</v>
      </c>
      <c r="B51" s="7">
        <v>77.658910000000006</v>
      </c>
      <c r="C51" t="s">
        <v>33</v>
      </c>
      <c r="D51" s="6">
        <f t="shared" si="6"/>
        <v>2.1221924340137663</v>
      </c>
      <c r="E51" s="6">
        <f>'Growth rates'!$G$6*EXP(D51)</f>
        <v>1.2474037953705372</v>
      </c>
      <c r="F51" s="7">
        <f t="shared" si="7"/>
        <v>1152.1772458257271</v>
      </c>
      <c r="Q51" s="7">
        <v>2.59375</v>
      </c>
      <c r="R51" s="7">
        <v>9.3176959999999998</v>
      </c>
      <c r="S51" t="s">
        <v>32</v>
      </c>
      <c r="T51">
        <f t="shared" si="8"/>
        <v>0.90377386920418556</v>
      </c>
      <c r="U51">
        <f>'Growth rates'!$R$6*EXP(T51)</f>
        <v>0.25553144689900564</v>
      </c>
      <c r="V51" s="7">
        <f t="shared" si="9"/>
        <v>56.583184839869546</v>
      </c>
    </row>
    <row r="52" spans="1:25" ht="16.5" x14ac:dyDescent="0.45">
      <c r="A52" s="7">
        <v>14.04722222</v>
      </c>
      <c r="B52" s="7">
        <v>85.205479449999999</v>
      </c>
      <c r="C52" t="s">
        <v>33</v>
      </c>
      <c r="D52" s="6">
        <f t="shared" si="6"/>
        <v>2.1844907016634947</v>
      </c>
      <c r="E52" s="6">
        <f>'Growth rates'!$G$6*EXP(D52)</f>
        <v>1.3275865840277499</v>
      </c>
      <c r="F52" s="7">
        <f t="shared" si="7"/>
        <v>1297.0222168101895</v>
      </c>
      <c r="Q52" s="7">
        <v>3.611111111</v>
      </c>
      <c r="R52" s="7">
        <v>10.196208</v>
      </c>
      <c r="S52" t="s">
        <v>32</v>
      </c>
      <c r="T52">
        <f t="shared" si="8"/>
        <v>1.1645840257004594</v>
      </c>
      <c r="U52">
        <f>'Growth rates'!$R$6*EXP(T52)</f>
        <v>0.33167502142716848</v>
      </c>
      <c r="V52" s="7">
        <f t="shared" si="9"/>
        <v>92.894487951234723</v>
      </c>
    </row>
    <row r="53" spans="1:25" ht="16.5" x14ac:dyDescent="0.45">
      <c r="A53" s="7">
        <v>16.08888889</v>
      </c>
      <c r="B53" s="7">
        <v>90.776255710000001</v>
      </c>
      <c r="C53" t="s">
        <v>33</v>
      </c>
      <c r="D53" s="6">
        <f t="shared" si="6"/>
        <v>2.2298253099981653</v>
      </c>
      <c r="E53" s="6">
        <f>'Growth rates'!$G$6*EXP(D53)</f>
        <v>1.3891572991862935</v>
      </c>
      <c r="F53" s="7">
        <f t="shared" si="7"/>
        <v>1413.7473053017773</v>
      </c>
      <c r="Q53" s="7">
        <v>4.3333333329999997</v>
      </c>
      <c r="R53" s="7">
        <v>11.981735159999999</v>
      </c>
      <c r="S53" t="s">
        <v>32</v>
      </c>
      <c r="T53">
        <f t="shared" si="8"/>
        <v>1.3246974225791315</v>
      </c>
      <c r="U53">
        <f>'Growth rates'!$R$6*EXP(T53)</f>
        <v>0.38926838259809843</v>
      </c>
      <c r="V53" s="7">
        <f t="shared" si="9"/>
        <v>125.94063254871709</v>
      </c>
    </row>
    <row r="54" spans="1:25" ht="16.5" x14ac:dyDescent="0.45">
      <c r="A54" s="7">
        <v>18.08472222</v>
      </c>
      <c r="B54" s="7">
        <v>106.11872150000001</v>
      </c>
      <c r="C54" t="s">
        <v>33</v>
      </c>
      <c r="D54" s="6">
        <f t="shared" si="6"/>
        <v>2.2592211684981969</v>
      </c>
      <c r="E54" s="6">
        <f>'Growth rates'!$G$6*EXP(D54)</f>
        <v>1.4305988920331043</v>
      </c>
      <c r="F54" s="7">
        <f t="shared" si="7"/>
        <v>1494.9907189563355</v>
      </c>
      <c r="Q54" s="7">
        <v>5.8125</v>
      </c>
      <c r="R54" s="7">
        <v>19.433789950000001</v>
      </c>
      <c r="S54" t="s">
        <v>32</v>
      </c>
      <c r="T54">
        <f t="shared" si="8"/>
        <v>1.5982818039930466</v>
      </c>
      <c r="U54">
        <f>'Growth rates'!$R$6*EXP(T54)</f>
        <v>0.51175879816201086</v>
      </c>
      <c r="V54" s="7">
        <f t="shared" si="9"/>
        <v>211.84281285568866</v>
      </c>
    </row>
    <row r="55" spans="1:25" ht="16.5" x14ac:dyDescent="0.45">
      <c r="A55" s="7">
        <v>22.497260000000001</v>
      </c>
      <c r="B55" s="7">
        <v>141.36489</v>
      </c>
      <c r="C55" t="s">
        <v>33</v>
      </c>
      <c r="D55" s="6">
        <f t="shared" si="6"/>
        <v>2.2940207803342818</v>
      </c>
      <c r="E55" s="6">
        <f>'Growth rates'!$G$6*EXP(D55)</f>
        <v>1.4812595513523263</v>
      </c>
      <c r="F55" s="7">
        <f t="shared" si="7"/>
        <v>1597.2249273304403</v>
      </c>
      <c r="Q55" s="7">
        <v>6.875</v>
      </c>
      <c r="R55" s="7">
        <v>21.61208289</v>
      </c>
      <c r="S55" t="s">
        <v>32</v>
      </c>
      <c r="T55">
        <f t="shared" si="8"/>
        <v>1.7571604833162708</v>
      </c>
      <c r="U55">
        <f>'Growth rates'!$R$6*EXP(T55)</f>
        <v>0.59988147619144849</v>
      </c>
      <c r="V55" s="7">
        <f t="shared" si="9"/>
        <v>286.53018636288874</v>
      </c>
    </row>
    <row r="56" spans="1:25" ht="16.5" x14ac:dyDescent="0.45">
      <c r="A56" s="7">
        <v>26.190972219999999</v>
      </c>
      <c r="B56" s="7">
        <v>158.9041096</v>
      </c>
      <c r="C56" t="s">
        <v>33</v>
      </c>
      <c r="D56" s="6">
        <f t="shared" si="6"/>
        <v>2.3066790688058156</v>
      </c>
      <c r="E56" s="6">
        <f>'Growth rates'!$G$6*EXP(D56)</f>
        <v>1.5001289371626267</v>
      </c>
      <c r="F56" s="7">
        <f t="shared" si="7"/>
        <v>1636.1219822750438</v>
      </c>
      <c r="Q56" s="7">
        <v>9.875</v>
      </c>
      <c r="R56" s="7">
        <v>27.762557080000001</v>
      </c>
      <c r="S56" t="s">
        <v>32</v>
      </c>
      <c r="T56">
        <f t="shared" si="8"/>
        <v>2.0800456998012882</v>
      </c>
      <c r="U56">
        <f>'Growth rates'!$R$6*EXP(T56)</f>
        <v>0.82850039406791198</v>
      </c>
      <c r="V56" s="7">
        <f t="shared" si="9"/>
        <v>529.31816571450565</v>
      </c>
    </row>
    <row r="57" spans="1:25" ht="16.5" x14ac:dyDescent="0.45">
      <c r="Q57" s="7">
        <v>10.83333333</v>
      </c>
      <c r="R57" s="7">
        <v>24.182648400000001</v>
      </c>
      <c r="S57" t="s">
        <v>32</v>
      </c>
      <c r="T57">
        <f t="shared" si="8"/>
        <v>2.1535693515618037</v>
      </c>
      <c r="U57">
        <f>'Growth rates'!$R$6*EXP(T57)</f>
        <v>0.89170999701744424</v>
      </c>
      <c r="V57" s="7">
        <f t="shared" si="9"/>
        <v>608.71168244221462</v>
      </c>
    </row>
    <row r="58" spans="1:25" ht="16.5" x14ac:dyDescent="0.45">
      <c r="A58" s="55" t="s">
        <v>37</v>
      </c>
      <c r="B58" s="55"/>
      <c r="C58" s="55"/>
      <c r="D58" s="55"/>
      <c r="E58" s="55"/>
      <c r="F58" s="55"/>
      <c r="Q58" s="7">
        <v>11.875</v>
      </c>
      <c r="R58" s="7">
        <v>32.292237440000001</v>
      </c>
      <c r="S58" t="s">
        <v>32</v>
      </c>
      <c r="T58">
        <f t="shared" si="8"/>
        <v>2.2212525034061539</v>
      </c>
      <c r="U58">
        <f>'Growth rates'!$R$6*EXP(T58)</f>
        <v>0.95415307648860426</v>
      </c>
      <c r="V58" s="7">
        <f t="shared" si="9"/>
        <v>692.28521679924711</v>
      </c>
    </row>
    <row r="59" spans="1:25" ht="16.5" x14ac:dyDescent="0.45">
      <c r="A59" s="1" t="s">
        <v>27</v>
      </c>
      <c r="B59" s="1" t="s">
        <v>29</v>
      </c>
      <c r="C59" s="1" t="s">
        <v>28</v>
      </c>
      <c r="D59" s="1" t="s">
        <v>30</v>
      </c>
      <c r="E59" s="1" t="s">
        <v>25</v>
      </c>
      <c r="F59" s="1" t="s">
        <v>31</v>
      </c>
      <c r="H59" s="1" t="s">
        <v>46</v>
      </c>
      <c r="I59" s="6">
        <f>SLOPE(B60:B73,A60:A73)</f>
        <v>5.3686638624452305</v>
      </c>
      <c r="Q59" s="7">
        <v>14.72916667</v>
      </c>
      <c r="R59" s="7">
        <v>42.812785390000002</v>
      </c>
      <c r="S59" t="s">
        <v>32</v>
      </c>
      <c r="T59">
        <f t="shared" si="8"/>
        <v>2.3564714914552014</v>
      </c>
      <c r="U59">
        <f>'Growth rates'!$R$6*EXP(T59)</f>
        <v>1.0923024689406353</v>
      </c>
      <c r="V59" s="7">
        <f t="shared" si="9"/>
        <v>895.1798300113602</v>
      </c>
    </row>
    <row r="60" spans="1:25" ht="16.5" x14ac:dyDescent="0.45">
      <c r="A60" s="7">
        <v>0</v>
      </c>
      <c r="B60" s="7">
        <v>1.87452</v>
      </c>
      <c r="C60" t="s">
        <v>33</v>
      </c>
      <c r="D60" s="6">
        <f t="shared" ref="D60:D73" si="10">2.318*(1-EXP(-0.471*A60/2.318))</f>
        <v>0</v>
      </c>
      <c r="E60" s="6">
        <f>'Growth rates'!$G$6*EXP(D60)</f>
        <v>0.14940000000000003</v>
      </c>
      <c r="F60" s="7">
        <f>EXP(6.6292056+1.9008173*LN(E60))</f>
        <v>20.399463391010336</v>
      </c>
      <c r="H60" s="1" t="s">
        <v>48</v>
      </c>
      <c r="I60" s="6">
        <f>INTERCEPT(B60:B73,A60:A73)</f>
        <v>9.7913829922426174</v>
      </c>
      <c r="Q60" s="7">
        <v>16.875</v>
      </c>
      <c r="R60" s="7">
        <v>38.429223739999998</v>
      </c>
      <c r="S60" t="s">
        <v>32</v>
      </c>
      <c r="T60">
        <f t="shared" si="8"/>
        <v>2.4232721860885933</v>
      </c>
      <c r="U60">
        <f>'Growth rates'!$R$6*EXP(T60)</f>
        <v>1.1677613265430595</v>
      </c>
      <c r="V60" s="7">
        <f t="shared" si="9"/>
        <v>1016.3779342400478</v>
      </c>
    </row>
    <row r="61" spans="1:25" ht="16.5" x14ac:dyDescent="0.45">
      <c r="A61" s="7">
        <v>1</v>
      </c>
      <c r="B61" s="7">
        <v>11.87214612</v>
      </c>
      <c r="C61" t="s">
        <v>33</v>
      </c>
      <c r="D61" s="6">
        <f t="shared" si="10"/>
        <v>0.42623106144945755</v>
      </c>
      <c r="E61" s="6">
        <f>'Growth rates'!$G$6*EXP(D61)</f>
        <v>0.22880230508982274</v>
      </c>
      <c r="F61" s="7">
        <f t="shared" ref="F61:F73" si="11">EXP(6.6292056+1.9008173*LN(E61))</f>
        <v>45.864709793838337</v>
      </c>
      <c r="Q61" s="7">
        <v>17.833333329999999</v>
      </c>
      <c r="R61" s="7">
        <v>53.333333330000002</v>
      </c>
      <c r="S61" t="s">
        <v>32</v>
      </c>
      <c r="T61">
        <f t="shared" si="8"/>
        <v>2.4462195332802876</v>
      </c>
      <c r="U61">
        <f>'Growth rates'!$R$6*EXP(T61)</f>
        <v>1.1948681768074141</v>
      </c>
      <c r="V61" s="7">
        <f t="shared" si="9"/>
        <v>1061.6921222166759</v>
      </c>
    </row>
    <row r="62" spans="1:25" ht="16.5" x14ac:dyDescent="0.45">
      <c r="A62" s="7">
        <v>2.1583333329999999</v>
      </c>
      <c r="B62" s="7">
        <v>20.365296799999999</v>
      </c>
      <c r="C62" t="s">
        <v>33</v>
      </c>
      <c r="D62" s="6">
        <f t="shared" si="10"/>
        <v>0.82296771886421705</v>
      </c>
      <c r="E62" s="6">
        <f>'Growth rates'!$G$6*EXP(D62)</f>
        <v>0.34022085884615705</v>
      </c>
      <c r="F62" s="7">
        <f t="shared" si="11"/>
        <v>97.496830862444398</v>
      </c>
      <c r="Q62" s="7">
        <v>18.875</v>
      </c>
      <c r="R62" s="7">
        <v>49.680365299999998</v>
      </c>
      <c r="S62" t="s">
        <v>32</v>
      </c>
      <c r="T62">
        <f t="shared" si="8"/>
        <v>2.467344011556468</v>
      </c>
      <c r="U62">
        <f>'Growth rates'!$R$6*EXP(T62)</f>
        <v>1.2203776320051956</v>
      </c>
      <c r="V62" s="7">
        <f t="shared" si="9"/>
        <v>1105.1905359172472</v>
      </c>
    </row>
    <row r="63" spans="1:25" ht="16.5" x14ac:dyDescent="0.45">
      <c r="A63" s="7">
        <v>3.0916666670000001</v>
      </c>
      <c r="B63" s="7">
        <v>28.374960999999999</v>
      </c>
      <c r="C63" t="s">
        <v>33</v>
      </c>
      <c r="D63" s="6">
        <f t="shared" si="10"/>
        <v>1.0812319664248469</v>
      </c>
      <c r="E63" s="6">
        <f>'Growth rates'!$G$6*EXP(D63)</f>
        <v>0.44047744422320212</v>
      </c>
      <c r="F63" s="7">
        <f t="shared" si="11"/>
        <v>159.29104859817795</v>
      </c>
      <c r="Q63" s="7">
        <v>19.8125</v>
      </c>
      <c r="R63" s="7">
        <v>58.301369860000001</v>
      </c>
      <c r="S63" t="s">
        <v>32</v>
      </c>
      <c r="T63">
        <f t="shared" si="8"/>
        <v>2.4834666367197316</v>
      </c>
      <c r="U63">
        <f>'Growth rates'!$R$6*EXP(T63)</f>
        <v>1.2402127908802898</v>
      </c>
      <c r="V63" s="7">
        <f t="shared" si="9"/>
        <v>1139.5847203339249</v>
      </c>
    </row>
    <row r="64" spans="1:25" ht="16.5" x14ac:dyDescent="0.45">
      <c r="A64" s="7">
        <v>5.05</v>
      </c>
      <c r="B64" s="7">
        <v>37.534246580000001</v>
      </c>
      <c r="C64" t="s">
        <v>33</v>
      </c>
      <c r="D64" s="6">
        <f t="shared" si="10"/>
        <v>1.4872421410142636</v>
      </c>
      <c r="E64" s="6">
        <f>'Growth rates'!$G$6*EXP(D64)</f>
        <v>0.66107639873707913</v>
      </c>
      <c r="F64" s="7">
        <f t="shared" si="11"/>
        <v>344.63441450024362</v>
      </c>
      <c r="Q64" s="7">
        <v>23.958333329999999</v>
      </c>
      <c r="R64" s="7">
        <v>65.168949769999998</v>
      </c>
      <c r="S64" t="s">
        <v>32</v>
      </c>
      <c r="T64">
        <f t="shared" si="8"/>
        <v>2.5310651435802618</v>
      </c>
      <c r="U64">
        <f>'Growth rates'!$R$6*EXP(T64)</f>
        <v>1.300672550597783</v>
      </c>
      <c r="V64" s="7">
        <f t="shared" si="9"/>
        <v>1247.4980442739122</v>
      </c>
    </row>
    <row r="65" spans="1:25" ht="16.5" x14ac:dyDescent="0.45">
      <c r="A65" s="7">
        <v>7.170833333</v>
      </c>
      <c r="B65" s="7">
        <v>48.401826479999997</v>
      </c>
      <c r="C65" t="s">
        <v>33</v>
      </c>
      <c r="D65" s="6">
        <f t="shared" si="10"/>
        <v>1.7780907137634208</v>
      </c>
      <c r="E65" s="6">
        <f>'Growth rates'!$G$6*EXP(D65)</f>
        <v>0.88423068675537952</v>
      </c>
      <c r="F65" s="7">
        <f t="shared" si="11"/>
        <v>599.04348162080453</v>
      </c>
      <c r="Q65" s="7">
        <v>24.8125</v>
      </c>
      <c r="R65" s="7">
        <v>80.657534249999998</v>
      </c>
      <c r="S65" t="s">
        <v>32</v>
      </c>
      <c r="T65">
        <f t="shared" si="8"/>
        <v>2.5374142392025441</v>
      </c>
      <c r="U65">
        <f>'Growth rates'!$R$6*EXP(T65)</f>
        <v>1.3089569162805037</v>
      </c>
      <c r="V65" s="7">
        <f t="shared" si="9"/>
        <v>1262.6446523516991</v>
      </c>
    </row>
    <row r="66" spans="1:25" ht="16.5" x14ac:dyDescent="0.45">
      <c r="A66" s="7">
        <v>7.8368055559999998</v>
      </c>
      <c r="B66" s="7">
        <v>61.32499</v>
      </c>
      <c r="C66" t="s">
        <v>33</v>
      </c>
      <c r="D66" s="6">
        <f t="shared" si="10"/>
        <v>1.8464238297320441</v>
      </c>
      <c r="E66" s="6">
        <f>'Growth rates'!$G$6*EXP(D66)</f>
        <v>0.94676518187228065</v>
      </c>
      <c r="F66" s="7">
        <f t="shared" si="11"/>
        <v>682.13184128591286</v>
      </c>
      <c r="Q66" s="7">
        <v>25.864583329999999</v>
      </c>
      <c r="R66" s="7">
        <v>85.625570780000004</v>
      </c>
      <c r="S66" t="s">
        <v>32</v>
      </c>
      <c r="T66">
        <f t="shared" si="8"/>
        <v>2.5440907949151028</v>
      </c>
      <c r="U66">
        <f>'Growth rates'!$R$6*EXP(T66)</f>
        <v>1.3177254793848781</v>
      </c>
      <c r="V66" s="7">
        <f t="shared" si="9"/>
        <v>1278.7708770983406</v>
      </c>
    </row>
    <row r="67" spans="1:25" ht="16.5" x14ac:dyDescent="0.45">
      <c r="A67" s="7">
        <v>11.12916667</v>
      </c>
      <c r="B67" s="7">
        <v>77.899543379999997</v>
      </c>
      <c r="C67" t="s">
        <v>33</v>
      </c>
      <c r="D67" s="6">
        <f t="shared" si="10"/>
        <v>2.0764448388518302</v>
      </c>
      <c r="E67" s="6">
        <f>'Growth rates'!$G$6*EXP(D67)</f>
        <v>1.1916237020074523</v>
      </c>
      <c r="F67" s="7">
        <f t="shared" si="11"/>
        <v>1056.2190414027011</v>
      </c>
      <c r="Q67" s="7">
        <v>27</v>
      </c>
      <c r="R67" s="7">
        <v>82.557077629999995</v>
      </c>
      <c r="S67" t="s">
        <v>32</v>
      </c>
      <c r="T67">
        <f t="shared" si="8"/>
        <v>2.5500988519966117</v>
      </c>
      <c r="U67">
        <f>'Growth rates'!$R$6*EXP(T67)</f>
        <v>1.3256662797874172</v>
      </c>
      <c r="V67" s="7">
        <f t="shared" si="9"/>
        <v>1293.4584282545668</v>
      </c>
    </row>
    <row r="68" spans="1:25" ht="16.5" x14ac:dyDescent="0.45">
      <c r="A68" s="7">
        <v>12.1625</v>
      </c>
      <c r="B68" s="7">
        <v>80.698400000000007</v>
      </c>
      <c r="C68" t="s">
        <v>33</v>
      </c>
      <c r="D68" s="6">
        <f t="shared" si="10"/>
        <v>2.1221924340137663</v>
      </c>
      <c r="E68" s="6">
        <f>'Growth rates'!$G$6*EXP(D68)</f>
        <v>1.2474037953705372</v>
      </c>
      <c r="F68" s="7">
        <f t="shared" si="11"/>
        <v>1152.1772458257271</v>
      </c>
    </row>
    <row r="69" spans="1:25" ht="16.5" x14ac:dyDescent="0.45">
      <c r="A69" s="7">
        <v>14.04722222</v>
      </c>
      <c r="B69" s="7">
        <v>85.662100460000005</v>
      </c>
      <c r="C69" t="s">
        <v>33</v>
      </c>
      <c r="D69" s="6">
        <f t="shared" si="10"/>
        <v>2.1844907016634947</v>
      </c>
      <c r="E69" s="6">
        <f>'Growth rates'!$G$6*EXP(D69)</f>
        <v>1.3275865840277499</v>
      </c>
      <c r="F69" s="7">
        <f t="shared" si="11"/>
        <v>1297.0222168101895</v>
      </c>
      <c r="Q69" s="55" t="s">
        <v>37</v>
      </c>
      <c r="R69" s="55"/>
      <c r="S69" s="55"/>
      <c r="T69" s="55"/>
      <c r="U69" s="55"/>
      <c r="V69" s="55"/>
    </row>
    <row r="70" spans="1:25" ht="16.5" x14ac:dyDescent="0.45">
      <c r="A70" s="7">
        <v>16.08888889</v>
      </c>
      <c r="B70" s="7">
        <v>90.045662100000001</v>
      </c>
      <c r="C70" t="s">
        <v>33</v>
      </c>
      <c r="D70" s="6">
        <f t="shared" si="10"/>
        <v>2.2298253099981653</v>
      </c>
      <c r="E70" s="6">
        <f>'Growth rates'!$G$6*EXP(D70)</f>
        <v>1.3891572991862935</v>
      </c>
      <c r="F70" s="7">
        <f t="shared" si="11"/>
        <v>1413.7473053017773</v>
      </c>
      <c r="Q70" s="1" t="s">
        <v>27</v>
      </c>
      <c r="R70" s="1" t="s">
        <v>29</v>
      </c>
      <c r="S70" s="1" t="s">
        <v>28</v>
      </c>
      <c r="T70" s="1" t="s">
        <v>30</v>
      </c>
      <c r="U70" s="1" t="s">
        <v>25</v>
      </c>
      <c r="V70" s="1" t="s">
        <v>31</v>
      </c>
      <c r="X70" s="1" t="s">
        <v>46</v>
      </c>
      <c r="Y70" s="6">
        <f>SLOPE(R71:R89,Q71:Q89)</f>
        <v>3.0003435398367935</v>
      </c>
    </row>
    <row r="71" spans="1:25" ht="16.5" x14ac:dyDescent="0.45">
      <c r="A71" s="7">
        <v>18.08472222</v>
      </c>
      <c r="B71" s="7">
        <v>98.538812789999994</v>
      </c>
      <c r="C71" t="s">
        <v>33</v>
      </c>
      <c r="D71" s="6">
        <f t="shared" si="10"/>
        <v>2.2592211684981969</v>
      </c>
      <c r="E71" s="6">
        <f>'Growth rates'!$G$6*EXP(D71)</f>
        <v>1.4305988920331043</v>
      </c>
      <c r="F71" s="7">
        <f t="shared" si="11"/>
        <v>1494.9907189563355</v>
      </c>
      <c r="Q71" s="7">
        <v>0</v>
      </c>
      <c r="R71" s="7">
        <v>1.0376000000000001</v>
      </c>
      <c r="S71" t="s">
        <v>32</v>
      </c>
      <c r="T71">
        <f t="shared" ref="T71:T89" si="12">2.579*(1-EXP(-0.429*Q71/2.579))</f>
        <v>0</v>
      </c>
      <c r="U71">
        <f>'Growth rates'!$R$6*EXP(T71)</f>
        <v>0.10350000000000001</v>
      </c>
      <c r="V71" s="7">
        <f t="shared" ref="V71:V89" si="13">EXP(6.6292056+1.9008173*LN(U71))</f>
        <v>10.153341341929345</v>
      </c>
      <c r="X71" s="1" t="s">
        <v>48</v>
      </c>
      <c r="Y71" s="6">
        <f>INTERCEPT(R71:R89,Q71:Q89)</f>
        <v>-0.32408645837421091</v>
      </c>
    </row>
    <row r="72" spans="1:25" ht="16.5" x14ac:dyDescent="0.45">
      <c r="A72" s="7">
        <v>22.497260000000001</v>
      </c>
      <c r="B72" s="7">
        <v>130.26479800000001</v>
      </c>
      <c r="C72" t="s">
        <v>33</v>
      </c>
      <c r="D72" s="6">
        <f t="shared" si="10"/>
        <v>2.2940207803342818</v>
      </c>
      <c r="E72" s="6">
        <f>'Growth rates'!$G$6*EXP(D72)</f>
        <v>1.4812595513523263</v>
      </c>
      <c r="F72" s="7">
        <f t="shared" si="11"/>
        <v>1597.2249273304403</v>
      </c>
      <c r="Q72" s="7">
        <v>1.7152777779999999</v>
      </c>
      <c r="R72" s="7">
        <v>5.9949199999999996</v>
      </c>
      <c r="S72" t="s">
        <v>32</v>
      </c>
      <c r="T72">
        <f t="shared" si="12"/>
        <v>0.64018620081876088</v>
      </c>
      <c r="U72">
        <f>'Growth rates'!$R$6*EXP(T72)</f>
        <v>0.19632232298223343</v>
      </c>
      <c r="V72" s="7">
        <f t="shared" si="13"/>
        <v>34.284037035816183</v>
      </c>
    </row>
    <row r="73" spans="1:25" ht="16.5" x14ac:dyDescent="0.45">
      <c r="A73" s="7">
        <v>26.190972219999999</v>
      </c>
      <c r="B73" s="7">
        <v>150.77625570000001</v>
      </c>
      <c r="C73" t="s">
        <v>33</v>
      </c>
      <c r="D73" s="6">
        <f t="shared" si="10"/>
        <v>2.3066790688058156</v>
      </c>
      <c r="E73" s="6">
        <f>'Growth rates'!$G$6*EXP(D73)</f>
        <v>1.5001289371626267</v>
      </c>
      <c r="F73" s="7">
        <f t="shared" si="11"/>
        <v>1636.1219822750438</v>
      </c>
      <c r="Q73" s="7">
        <v>2.59375</v>
      </c>
      <c r="R73" s="7">
        <v>9.9810719999999993</v>
      </c>
      <c r="S73" t="s">
        <v>32</v>
      </c>
      <c r="T73">
        <f t="shared" si="12"/>
        <v>0.90377386920418556</v>
      </c>
      <c r="U73">
        <f>'Growth rates'!$R$6*EXP(T73)</f>
        <v>0.25553144689900564</v>
      </c>
      <c r="V73" s="7">
        <f t="shared" si="13"/>
        <v>56.583184839869546</v>
      </c>
    </row>
    <row r="74" spans="1:25" ht="16.5" x14ac:dyDescent="0.45">
      <c r="Q74" s="7">
        <v>3.611111111</v>
      </c>
      <c r="R74" s="7">
        <v>10.637119999999999</v>
      </c>
      <c r="S74" t="s">
        <v>32</v>
      </c>
      <c r="T74">
        <f t="shared" si="12"/>
        <v>1.1645840257004594</v>
      </c>
      <c r="U74">
        <f>'Growth rates'!$R$6*EXP(T74)</f>
        <v>0.33167502142716848</v>
      </c>
      <c r="V74" s="7">
        <f t="shared" si="13"/>
        <v>92.894487951234723</v>
      </c>
    </row>
    <row r="75" spans="1:25" ht="16.5" x14ac:dyDescent="0.45">
      <c r="Q75" s="7">
        <v>4.3333333329999997</v>
      </c>
      <c r="R75" s="7">
        <v>14.038271999999999</v>
      </c>
      <c r="S75" t="s">
        <v>32</v>
      </c>
      <c r="T75">
        <f t="shared" si="12"/>
        <v>1.3246974225791315</v>
      </c>
      <c r="U75">
        <f>'Growth rates'!$R$6*EXP(T75)</f>
        <v>0.38926838259809843</v>
      </c>
      <c r="V75" s="7">
        <f t="shared" si="13"/>
        <v>125.94063254871709</v>
      </c>
    </row>
    <row r="76" spans="1:25" ht="16.5" x14ac:dyDescent="0.45">
      <c r="A76" s="1"/>
      <c r="Q76" s="7">
        <v>5.8125</v>
      </c>
      <c r="R76" s="7">
        <v>16.151688</v>
      </c>
      <c r="S76" t="s">
        <v>32</v>
      </c>
      <c r="T76">
        <f t="shared" si="12"/>
        <v>1.5982818039930466</v>
      </c>
      <c r="U76">
        <f>'Growth rates'!$R$6*EXP(T76)</f>
        <v>0.51175879816201086</v>
      </c>
      <c r="V76" s="7">
        <f t="shared" si="13"/>
        <v>211.84281285568866</v>
      </c>
    </row>
    <row r="77" spans="1:25" ht="16.5" x14ac:dyDescent="0.45">
      <c r="Q77" s="7">
        <v>6.875</v>
      </c>
      <c r="R77" s="7">
        <v>18.612328000000002</v>
      </c>
      <c r="S77" t="s">
        <v>32</v>
      </c>
      <c r="T77">
        <f t="shared" si="12"/>
        <v>1.7571604833162708</v>
      </c>
      <c r="U77">
        <f>'Growth rates'!$R$6*EXP(T77)</f>
        <v>0.59988147619144849</v>
      </c>
      <c r="V77" s="7">
        <f t="shared" si="13"/>
        <v>286.53018636288874</v>
      </c>
    </row>
    <row r="78" spans="1:25" ht="16.5" x14ac:dyDescent="0.45">
      <c r="Q78" s="7">
        <v>9.875</v>
      </c>
      <c r="R78" s="7">
        <v>29.988968</v>
      </c>
      <c r="S78" t="s">
        <v>32</v>
      </c>
      <c r="T78">
        <f t="shared" si="12"/>
        <v>2.0800456998012882</v>
      </c>
      <c r="U78">
        <f>'Growth rates'!$R$6*EXP(T78)</f>
        <v>0.82850039406791198</v>
      </c>
      <c r="V78" s="7">
        <f t="shared" si="13"/>
        <v>529.31816571450565</v>
      </c>
    </row>
    <row r="79" spans="1:25" ht="16.5" x14ac:dyDescent="0.45">
      <c r="Q79" s="7">
        <v>10.83333333</v>
      </c>
      <c r="R79" s="7">
        <v>33.723911999999999</v>
      </c>
      <c r="S79" t="s">
        <v>32</v>
      </c>
      <c r="T79">
        <f t="shared" si="12"/>
        <v>2.1535693515618037</v>
      </c>
      <c r="U79">
        <f>'Growth rates'!$R$6*EXP(T79)</f>
        <v>0.89170999701744424</v>
      </c>
      <c r="V79" s="7">
        <f t="shared" si="13"/>
        <v>608.71168244221462</v>
      </c>
    </row>
    <row r="80" spans="1:25" ht="16.5" x14ac:dyDescent="0.45">
      <c r="Q80" s="7">
        <v>11.875</v>
      </c>
      <c r="R80" s="7">
        <v>34.791795999999998</v>
      </c>
      <c r="S80" t="s">
        <v>32</v>
      </c>
      <c r="T80">
        <f t="shared" si="12"/>
        <v>2.2212525034061539</v>
      </c>
      <c r="U80">
        <f>'Growth rates'!$R$6*EXP(T80)</f>
        <v>0.95415307648860426</v>
      </c>
      <c r="V80" s="7">
        <f t="shared" si="13"/>
        <v>692.28521679924711</v>
      </c>
    </row>
    <row r="81" spans="17:22" ht="16.5" x14ac:dyDescent="0.45">
      <c r="Q81" s="7">
        <v>14.72916667</v>
      </c>
      <c r="R81" s="7">
        <v>42.527453600000001</v>
      </c>
      <c r="S81" t="s">
        <v>32</v>
      </c>
      <c r="T81">
        <f t="shared" si="12"/>
        <v>2.3564714914552014</v>
      </c>
      <c r="U81">
        <f>'Growth rates'!$R$6*EXP(T81)</f>
        <v>1.0923024689406353</v>
      </c>
      <c r="V81" s="7">
        <f t="shared" si="13"/>
        <v>895.1798300113602</v>
      </c>
    </row>
    <row r="82" spans="17:22" ht="16.5" x14ac:dyDescent="0.45">
      <c r="Q82" s="7">
        <v>16.875</v>
      </c>
      <c r="R82" s="7">
        <v>45.182568000000003</v>
      </c>
      <c r="S82" t="s">
        <v>32</v>
      </c>
      <c r="T82">
        <f t="shared" si="12"/>
        <v>2.4232721860885933</v>
      </c>
      <c r="U82">
        <f>'Growth rates'!$R$6*EXP(T82)</f>
        <v>1.1677613265430595</v>
      </c>
      <c r="V82" s="7">
        <f t="shared" si="13"/>
        <v>1016.3779342400478</v>
      </c>
    </row>
    <row r="83" spans="17:22" ht="16.5" x14ac:dyDescent="0.45">
      <c r="Q83" s="7">
        <v>17.833333329999999</v>
      </c>
      <c r="R83" s="7">
        <v>49.811279999999996</v>
      </c>
      <c r="S83" t="s">
        <v>32</v>
      </c>
      <c r="T83">
        <f t="shared" si="12"/>
        <v>2.4462195332802876</v>
      </c>
      <c r="U83">
        <f>'Growth rates'!$R$6*EXP(T83)</f>
        <v>1.1948681768074141</v>
      </c>
      <c r="V83" s="7">
        <f t="shared" si="13"/>
        <v>1061.6921222166759</v>
      </c>
    </row>
    <row r="84" spans="17:22" ht="16.5" x14ac:dyDescent="0.45">
      <c r="Q84" s="7">
        <v>18.875</v>
      </c>
      <c r="R84" s="7">
        <v>53.059752000000003</v>
      </c>
      <c r="S84" t="s">
        <v>32</v>
      </c>
      <c r="T84">
        <f t="shared" si="12"/>
        <v>2.467344011556468</v>
      </c>
      <c r="U84">
        <f>'Growth rates'!$R$6*EXP(T84)</f>
        <v>1.2203776320051956</v>
      </c>
      <c r="V84" s="7">
        <f t="shared" si="13"/>
        <v>1105.1905359172472</v>
      </c>
    </row>
    <row r="85" spans="17:22" ht="16.5" x14ac:dyDescent="0.45">
      <c r="Q85" s="7">
        <v>19.8125</v>
      </c>
      <c r="R85" s="7">
        <v>57.476505600000003</v>
      </c>
      <c r="S85" t="s">
        <v>32</v>
      </c>
      <c r="T85">
        <f t="shared" si="12"/>
        <v>2.4834666367197316</v>
      </c>
      <c r="U85">
        <f>'Growth rates'!$R$6*EXP(T85)</f>
        <v>1.2402127908802898</v>
      </c>
      <c r="V85" s="7">
        <f t="shared" si="13"/>
        <v>1139.5847203339249</v>
      </c>
    </row>
    <row r="86" spans="17:22" ht="16.5" x14ac:dyDescent="0.45">
      <c r="Q86" s="7">
        <v>23.958333329999999</v>
      </c>
      <c r="R86" s="7">
        <v>67.325968000000003</v>
      </c>
      <c r="S86" t="s">
        <v>32</v>
      </c>
      <c r="T86">
        <f t="shared" si="12"/>
        <v>2.5310651435802618</v>
      </c>
      <c r="U86">
        <f>'Growth rates'!$R$6*EXP(T86)</f>
        <v>1.300672550597783</v>
      </c>
      <c r="V86" s="7">
        <f t="shared" si="13"/>
        <v>1247.4980442739122</v>
      </c>
    </row>
    <row r="87" spans="17:22" ht="16.5" x14ac:dyDescent="0.45">
      <c r="Q87" s="7">
        <v>24.8125</v>
      </c>
      <c r="R87" s="7">
        <v>78.917970479999994</v>
      </c>
      <c r="S87" t="s">
        <v>32</v>
      </c>
      <c r="T87">
        <f t="shared" si="12"/>
        <v>2.5374142392025441</v>
      </c>
      <c r="U87">
        <f>'Growth rates'!$R$6*EXP(T87)</f>
        <v>1.3089569162805037</v>
      </c>
      <c r="V87" s="7">
        <f t="shared" si="13"/>
        <v>1262.6446523516991</v>
      </c>
    </row>
    <row r="88" spans="17:22" ht="16.5" x14ac:dyDescent="0.45">
      <c r="Q88" s="7">
        <v>25.864583329999999</v>
      </c>
      <c r="R88" s="7">
        <v>80.398992000000007</v>
      </c>
      <c r="S88" t="s">
        <v>32</v>
      </c>
      <c r="T88">
        <f t="shared" si="12"/>
        <v>2.5440907949151028</v>
      </c>
      <c r="U88">
        <f>'Growth rates'!$R$6*EXP(T88)</f>
        <v>1.3177254793848781</v>
      </c>
      <c r="V88" s="7">
        <f t="shared" si="13"/>
        <v>1278.7708770983406</v>
      </c>
    </row>
    <row r="89" spans="17:22" ht="16.5" x14ac:dyDescent="0.45">
      <c r="Q89" s="7">
        <v>27</v>
      </c>
      <c r="R89" s="7">
        <v>86.123310399999994</v>
      </c>
      <c r="S89" t="s">
        <v>32</v>
      </c>
      <c r="T89">
        <f t="shared" si="12"/>
        <v>2.5500988519966117</v>
      </c>
      <c r="U89">
        <f>'Growth rates'!$R$6*EXP(T89)</f>
        <v>1.3256662797874172</v>
      </c>
      <c r="V89" s="7">
        <f t="shared" si="13"/>
        <v>1293.4584282545668</v>
      </c>
    </row>
  </sheetData>
  <mergeCells count="8">
    <mergeCell ref="Q69:V69"/>
    <mergeCell ref="A24:F24"/>
    <mergeCell ref="A41:F41"/>
    <mergeCell ref="A58:F58"/>
    <mergeCell ref="B3:D3"/>
    <mergeCell ref="R3:T3"/>
    <mergeCell ref="Q25:V25"/>
    <mergeCell ref="Q47:V47"/>
  </mergeCells>
  <pageMargins left="0.7" right="0.7" top="0.75" bottom="0.75" header="0.3" footer="0.3"/>
  <ignoredErrors>
    <ignoredError sqref="U5:U23" formulaRange="1"/>
  </ignoredError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68"/>
  <sheetViews>
    <sheetView zoomScale="85" zoomScaleNormal="85" workbookViewId="0">
      <selection activeCell="E58" sqref="E58"/>
    </sheetView>
  </sheetViews>
  <sheetFormatPr defaultRowHeight="14.5" x14ac:dyDescent="0.35"/>
  <cols>
    <col min="2" max="2" width="21.453125" customWidth="1"/>
    <col min="3" max="3" width="20.7265625" customWidth="1"/>
    <col min="4" max="4" width="19.1796875" customWidth="1"/>
    <col min="5" max="5" width="21.1796875" customWidth="1"/>
    <col min="6" max="6" width="27.26953125" customWidth="1"/>
    <col min="7" max="7" width="24.453125" customWidth="1"/>
    <col min="8" max="8" width="24.1796875" customWidth="1"/>
    <col min="9" max="9" width="12.26953125" bestFit="1" customWidth="1"/>
    <col min="12" max="14" width="9.453125" bestFit="1" customWidth="1"/>
    <col min="17" max="17" width="16.26953125" customWidth="1"/>
    <col min="18" max="19" width="8.7265625" customWidth="1"/>
    <col min="21" max="21" width="16.453125" customWidth="1"/>
  </cols>
  <sheetData>
    <row r="1" spans="1:22" ht="21" x14ac:dyDescent="0.5">
      <c r="A1" s="2" t="s">
        <v>61</v>
      </c>
    </row>
    <row r="2" spans="1:22" ht="21" x14ac:dyDescent="0.5">
      <c r="A2" s="2"/>
    </row>
    <row r="3" spans="1:22" ht="16.5" x14ac:dyDescent="0.35">
      <c r="A3" s="1" t="s">
        <v>84</v>
      </c>
      <c r="C3" s="6">
        <f>'C-Phycocyanin production'!H19</f>
        <v>5.7939681228975912</v>
      </c>
      <c r="D3" t="s">
        <v>57</v>
      </c>
      <c r="F3" s="1" t="s">
        <v>59</v>
      </c>
      <c r="G3">
        <v>35900</v>
      </c>
      <c r="H3" t="s">
        <v>58</v>
      </c>
    </row>
    <row r="4" spans="1:22" x14ac:dyDescent="0.35">
      <c r="K4" s="55" t="s">
        <v>56</v>
      </c>
      <c r="L4" s="55"/>
      <c r="M4" s="55"/>
      <c r="N4" s="55"/>
      <c r="O4" s="55"/>
      <c r="Q4" s="1" t="s">
        <v>92</v>
      </c>
      <c r="U4" s="1" t="s">
        <v>93</v>
      </c>
    </row>
    <row r="5" spans="1:22" x14ac:dyDescent="0.35">
      <c r="A5" s="1" t="s">
        <v>53</v>
      </c>
      <c r="B5" s="1" t="s">
        <v>54</v>
      </c>
      <c r="C5" s="1" t="s">
        <v>55</v>
      </c>
      <c r="D5" s="1" t="s">
        <v>51</v>
      </c>
      <c r="E5" s="1" t="s">
        <v>52</v>
      </c>
      <c r="F5" s="1" t="s">
        <v>64</v>
      </c>
      <c r="G5" s="1" t="s">
        <v>60</v>
      </c>
      <c r="H5" s="1" t="s">
        <v>60</v>
      </c>
      <c r="K5" s="1" t="s">
        <v>27</v>
      </c>
      <c r="L5" s="3" t="s">
        <v>1</v>
      </c>
      <c r="M5" s="3" t="s">
        <v>2</v>
      </c>
      <c r="N5" s="3" t="s">
        <v>3</v>
      </c>
      <c r="O5" s="3" t="s">
        <v>41</v>
      </c>
    </row>
    <row r="6" spans="1:22" x14ac:dyDescent="0.35">
      <c r="A6">
        <v>1</v>
      </c>
      <c r="B6" s="7">
        <f>O7</f>
        <v>45.864709793838337</v>
      </c>
      <c r="C6" s="12">
        <f>1/B6</f>
        <v>2.1803255803754029E-2</v>
      </c>
      <c r="D6" s="6">
        <f>C$3*C6*1000</f>
        <v>126.32736910233275</v>
      </c>
      <c r="E6" s="13">
        <f>D6/$G$3</f>
        <v>3.5188682201206896E-3</v>
      </c>
      <c r="F6" s="14">
        <f>E6/24</f>
        <v>1.4661950917169541E-4</v>
      </c>
      <c r="G6" s="15">
        <f>F6*3</f>
        <v>4.3985852751508619E-4</v>
      </c>
      <c r="H6" s="16">
        <f>G6/0.7687*0.9964</f>
        <v>5.7015095201773359E-4</v>
      </c>
      <c r="K6" s="7">
        <v>0</v>
      </c>
      <c r="L6" s="7">
        <v>20.399463391010336</v>
      </c>
      <c r="M6" s="7">
        <v>20.399463391010336</v>
      </c>
      <c r="N6" s="7">
        <v>20.399463391010336</v>
      </c>
      <c r="O6" s="7">
        <f>AVERAGE(L6:N6)</f>
        <v>20.399463391010336</v>
      </c>
      <c r="Q6" t="s">
        <v>7</v>
      </c>
      <c r="R6" s="13">
        <f>F8</f>
        <v>5.8364815505929257E-6</v>
      </c>
      <c r="U6" t="s">
        <v>7</v>
      </c>
      <c r="V6" s="13">
        <f>F6</f>
        <v>1.4661950917169541E-4</v>
      </c>
    </row>
    <row r="7" spans="1:22" x14ac:dyDescent="0.35">
      <c r="A7">
        <v>2</v>
      </c>
      <c r="B7" s="7">
        <f>(O8-O7)/(K8-K7)*(A7-K7)+O7</f>
        <v>90.43920281553406</v>
      </c>
      <c r="C7" s="12">
        <f>1/B7</f>
        <v>1.1057151864105524E-2</v>
      </c>
      <c r="D7" s="6">
        <f>C$3*C7*1000</f>
        <v>64.064785430665083</v>
      </c>
      <c r="E7" s="13">
        <f t="shared" ref="E7:E8" si="0">D7/$G$3</f>
        <v>1.7845344131104479E-3</v>
      </c>
      <c r="F7" s="14">
        <f>E7/24</f>
        <v>7.4355600546268668E-5</v>
      </c>
      <c r="G7" s="15">
        <f>F7*3</f>
        <v>2.2306680163880602E-4</v>
      </c>
      <c r="H7" s="16">
        <f>G7/0.7687*0.9964</f>
        <v>2.8914239775322791E-4</v>
      </c>
      <c r="I7">
        <f>_xlfn.STDEV.S(H14,H21,H28)</f>
        <v>2.0393614678996212E-5</v>
      </c>
      <c r="K7" s="7">
        <v>1</v>
      </c>
      <c r="L7" s="7">
        <v>45.864709793838337</v>
      </c>
      <c r="M7" s="7">
        <v>45.864709793838337</v>
      </c>
      <c r="N7" s="7">
        <v>45.864709793838337</v>
      </c>
      <c r="O7" s="7">
        <f t="shared" ref="O7:O19" si="1">AVERAGE(L7:N7)</f>
        <v>45.864709793838337</v>
      </c>
      <c r="Q7" t="s">
        <v>1</v>
      </c>
      <c r="R7" s="13">
        <f>F15</f>
        <v>6.2290167897309926E-6</v>
      </c>
      <c r="U7" t="s">
        <v>1</v>
      </c>
      <c r="V7" s="13">
        <f>F13</f>
        <v>1.5648047139630322E-4</v>
      </c>
    </row>
    <row r="8" spans="1:22" x14ac:dyDescent="0.35">
      <c r="A8">
        <v>12.1625</v>
      </c>
      <c r="B8" s="7">
        <f>O14</f>
        <v>1152.1772458257271</v>
      </c>
      <c r="C8" s="12">
        <f>1/B8</f>
        <v>8.6792201774765407E-4</v>
      </c>
      <c r="D8" s="6">
        <f>C$3*C8*1000</f>
        <v>5.0287125039908647</v>
      </c>
      <c r="E8" s="13">
        <f t="shared" si="0"/>
        <v>1.4007555721423022E-4</v>
      </c>
      <c r="F8" s="14">
        <f>E8/24</f>
        <v>5.8364815505929257E-6</v>
      </c>
      <c r="G8" s="15">
        <f>F8*3</f>
        <v>1.7509444651778777E-5</v>
      </c>
      <c r="H8" s="16">
        <f>G8/0.7687*0.9964</f>
        <v>2.269599408225884E-5</v>
      </c>
      <c r="K8" s="7">
        <v>2.1583333329999999</v>
      </c>
      <c r="L8" s="7">
        <v>97.496830862444398</v>
      </c>
      <c r="M8" s="7">
        <v>97.496830862444398</v>
      </c>
      <c r="N8" s="7">
        <v>97.496830862444398</v>
      </c>
      <c r="O8" s="7">
        <f t="shared" si="1"/>
        <v>97.496830862444384</v>
      </c>
      <c r="Q8" t="s">
        <v>2</v>
      </c>
      <c r="R8" s="13">
        <f>F22</f>
        <v>5.8723712556151292E-6</v>
      </c>
      <c r="U8" t="s">
        <v>2</v>
      </c>
      <c r="V8" s="13">
        <f>F20</f>
        <v>1.4752110217581237E-4</v>
      </c>
    </row>
    <row r="9" spans="1:22" x14ac:dyDescent="0.35">
      <c r="K9" s="7">
        <v>3.0916666670000001</v>
      </c>
      <c r="L9" s="7">
        <v>159.29104859817795</v>
      </c>
      <c r="M9" s="7">
        <v>159.29104859817795</v>
      </c>
      <c r="N9" s="7">
        <v>159.29104859817795</v>
      </c>
      <c r="O9" s="7">
        <f t="shared" si="1"/>
        <v>159.29104859817795</v>
      </c>
      <c r="Q9" t="s">
        <v>3</v>
      </c>
      <c r="R9" s="13">
        <f>F29</f>
        <v>5.4080566064326588E-6</v>
      </c>
      <c r="U9" t="s">
        <v>3</v>
      </c>
      <c r="V9" s="13">
        <f>F27</f>
        <v>1.3585695394297063E-4</v>
      </c>
    </row>
    <row r="10" spans="1:22" ht="16.5" x14ac:dyDescent="0.35">
      <c r="A10" s="1" t="s">
        <v>85</v>
      </c>
      <c r="C10" s="6">
        <f>'C-Phycocyanin production'!M6</f>
        <v>6.1836441019896338</v>
      </c>
      <c r="D10" t="s">
        <v>57</v>
      </c>
      <c r="F10" s="1" t="s">
        <v>59</v>
      </c>
      <c r="G10">
        <v>35900</v>
      </c>
      <c r="H10" t="s">
        <v>58</v>
      </c>
      <c r="K10" s="7">
        <v>5.05</v>
      </c>
      <c r="L10" s="7">
        <v>344.63441450024362</v>
      </c>
      <c r="M10" s="7">
        <v>344.63441450024362</v>
      </c>
      <c r="N10" s="7">
        <v>344.63441450024362</v>
      </c>
      <c r="O10" s="7">
        <f t="shared" si="1"/>
        <v>344.63441450024362</v>
      </c>
      <c r="Q10" t="s">
        <v>24</v>
      </c>
      <c r="R10">
        <f>_xlfn.STDEV.S(R7:R9)</f>
        <v>4.1165514552261339E-7</v>
      </c>
      <c r="U10" t="s">
        <v>24</v>
      </c>
      <c r="V10">
        <f>_xlfn.STDEV.S(V7:V9)</f>
        <v>1.0341277507918593E-5</v>
      </c>
    </row>
    <row r="11" spans="1:22" x14ac:dyDescent="0.35">
      <c r="K11" s="7">
        <v>7.170833333</v>
      </c>
      <c r="L11" s="7">
        <v>599.04348162080453</v>
      </c>
      <c r="M11" s="7">
        <v>599.04348162080453</v>
      </c>
      <c r="N11" s="7">
        <v>599.04348162080453</v>
      </c>
      <c r="O11" s="7">
        <f t="shared" si="1"/>
        <v>599.04348162080453</v>
      </c>
      <c r="Q11" t="s">
        <v>22</v>
      </c>
      <c r="R11">
        <f>R10/SQRT(3)</f>
        <v>2.3766920908077542E-7</v>
      </c>
      <c r="U11" t="s">
        <v>22</v>
      </c>
      <c r="V11">
        <f>V10/SQRT(3)</f>
        <v>5.9705393529614225E-6</v>
      </c>
    </row>
    <row r="12" spans="1:22" x14ac:dyDescent="0.35">
      <c r="A12" s="1" t="s">
        <v>53</v>
      </c>
      <c r="B12" s="1" t="s">
        <v>54</v>
      </c>
      <c r="C12" s="1" t="s">
        <v>55</v>
      </c>
      <c r="D12" s="1" t="s">
        <v>51</v>
      </c>
      <c r="E12" s="1" t="s">
        <v>52</v>
      </c>
      <c r="F12" s="1" t="s">
        <v>64</v>
      </c>
      <c r="G12" s="1" t="s">
        <v>60</v>
      </c>
      <c r="H12" s="1" t="s">
        <v>60</v>
      </c>
      <c r="K12" s="7">
        <v>7.8368055559999998</v>
      </c>
      <c r="L12" s="7">
        <v>682.13184128591286</v>
      </c>
      <c r="M12" s="7">
        <v>682.13184128591286</v>
      </c>
      <c r="N12" s="7">
        <v>682.13184128591286</v>
      </c>
      <c r="O12" s="7">
        <f t="shared" si="1"/>
        <v>682.13184128591286</v>
      </c>
    </row>
    <row r="13" spans="1:22" x14ac:dyDescent="0.35">
      <c r="A13">
        <v>1</v>
      </c>
      <c r="B13" s="7">
        <f>$B$6</f>
        <v>45.864709793838337</v>
      </c>
      <c r="C13" s="12">
        <f>1/B13</f>
        <v>2.1803255803754029E-2</v>
      </c>
      <c r="D13" s="6">
        <f>C$10*C13*1000</f>
        <v>134.82357415505487</v>
      </c>
      <c r="E13" s="13">
        <f>D13/$G$3</f>
        <v>3.7555313135112776E-3</v>
      </c>
      <c r="F13" s="14">
        <f>E13/24</f>
        <v>1.5648047139630322E-4</v>
      </c>
      <c r="G13" s="15">
        <f>F13*3</f>
        <v>4.6944141418890964E-4</v>
      </c>
      <c r="H13" s="16">
        <f>G13/0.7687*0.9964</f>
        <v>6.0849671536077738E-4</v>
      </c>
      <c r="K13" s="7">
        <v>11.12916667</v>
      </c>
      <c r="L13" s="7">
        <v>1056.2190414027011</v>
      </c>
      <c r="M13" s="7">
        <v>1056.2190414027011</v>
      </c>
      <c r="N13" s="7">
        <v>1056.2190414027011</v>
      </c>
      <c r="O13" s="7">
        <f t="shared" si="1"/>
        <v>1056.2190414027011</v>
      </c>
    </row>
    <row r="14" spans="1:22" x14ac:dyDescent="0.35">
      <c r="A14">
        <v>2</v>
      </c>
      <c r="B14" s="7">
        <f>$B$7</f>
        <v>90.43920281553406</v>
      </c>
      <c r="C14" s="12">
        <f>1/B14</f>
        <v>1.1057151864105524E-2</v>
      </c>
      <c r="D14" s="6">
        <f t="shared" ref="D14:D15" si="2">C$10*C14*1000</f>
        <v>68.373491909279807</v>
      </c>
      <c r="E14" s="13">
        <f t="shared" ref="E14:E15" si="3">D14/$G$3</f>
        <v>1.904554092180496E-3</v>
      </c>
      <c r="F14" s="14">
        <f>E14/24</f>
        <v>7.9356420507520667E-5</v>
      </c>
      <c r="G14" s="15">
        <f>F14*3</f>
        <v>2.38069261522562E-4</v>
      </c>
      <c r="H14" s="16">
        <f>G14/0.7687*0.9964</f>
        <v>3.0858880210886007E-4</v>
      </c>
      <c r="K14" s="7">
        <v>12.1625</v>
      </c>
      <c r="L14" s="7">
        <v>1152.1772458257271</v>
      </c>
      <c r="M14" s="7">
        <v>1152.1772458257271</v>
      </c>
      <c r="N14" s="7">
        <v>1152.1772458257271</v>
      </c>
      <c r="O14" s="7">
        <f t="shared" si="1"/>
        <v>1152.1772458257271</v>
      </c>
    </row>
    <row r="15" spans="1:22" x14ac:dyDescent="0.35">
      <c r="A15">
        <v>12.1625</v>
      </c>
      <c r="B15" s="7">
        <f>$B$8</f>
        <v>1152.1772458257271</v>
      </c>
      <c r="C15" s="12">
        <f>1/B15</f>
        <v>8.6792201774765407E-4</v>
      </c>
      <c r="D15" s="6">
        <f t="shared" si="2"/>
        <v>5.3669208660322232</v>
      </c>
      <c r="E15" s="13">
        <f t="shared" si="3"/>
        <v>1.4949640295354382E-4</v>
      </c>
      <c r="F15" s="14">
        <f>E15/24</f>
        <v>6.2290167897309926E-6</v>
      </c>
      <c r="G15" s="15">
        <f>F15*3</f>
        <v>1.8687050369192977E-5</v>
      </c>
      <c r="H15" s="16">
        <f>G15/0.7687*0.9964</f>
        <v>2.4222423556477011E-5</v>
      </c>
      <c r="K15" s="7">
        <v>14.04722222</v>
      </c>
      <c r="L15" s="7">
        <v>1297.0222168101895</v>
      </c>
      <c r="M15" s="7">
        <v>1297.0222168101895</v>
      </c>
      <c r="N15" s="7">
        <v>1297.0222168101895</v>
      </c>
      <c r="O15" s="7">
        <f t="shared" si="1"/>
        <v>1297.0222168101895</v>
      </c>
    </row>
    <row r="16" spans="1:22" x14ac:dyDescent="0.35">
      <c r="K16" s="7">
        <v>16.08888889</v>
      </c>
      <c r="L16" s="7">
        <v>1413.7473053017773</v>
      </c>
      <c r="M16" s="7">
        <v>1413.7473053017773</v>
      </c>
      <c r="N16" s="7">
        <v>1413.7473053017773</v>
      </c>
      <c r="O16" s="7">
        <f t="shared" si="1"/>
        <v>1413.7473053017773</v>
      </c>
    </row>
    <row r="17" spans="1:15" ht="16.5" x14ac:dyDescent="0.35">
      <c r="A17" s="1" t="s">
        <v>86</v>
      </c>
      <c r="C17" s="6">
        <f>'C-Phycocyanin production'!M7</f>
        <v>5.8295964042579111</v>
      </c>
      <c r="D17" t="s">
        <v>57</v>
      </c>
      <c r="F17" s="1" t="s">
        <v>59</v>
      </c>
      <c r="G17">
        <v>35900</v>
      </c>
      <c r="H17" t="s">
        <v>58</v>
      </c>
      <c r="K17" s="7">
        <v>18.08472222</v>
      </c>
      <c r="L17" s="7">
        <v>1494.9907189563355</v>
      </c>
      <c r="M17" s="7">
        <v>1494.9907189563355</v>
      </c>
      <c r="N17" s="7">
        <v>1494.9907189563355</v>
      </c>
      <c r="O17" s="7">
        <f t="shared" si="1"/>
        <v>1494.9907189563355</v>
      </c>
    </row>
    <row r="18" spans="1:15" x14ac:dyDescent="0.35">
      <c r="K18" s="7">
        <v>22.497260000000001</v>
      </c>
      <c r="L18" s="7">
        <v>1597.2249273304403</v>
      </c>
      <c r="M18" s="7">
        <v>1597.2249273304403</v>
      </c>
      <c r="N18" s="7">
        <v>1597.2249273304403</v>
      </c>
      <c r="O18" s="7">
        <f t="shared" si="1"/>
        <v>1597.2249273304403</v>
      </c>
    </row>
    <row r="19" spans="1:15" x14ac:dyDescent="0.35">
      <c r="A19" s="1" t="s">
        <v>53</v>
      </c>
      <c r="B19" s="1" t="s">
        <v>54</v>
      </c>
      <c r="C19" s="1" t="s">
        <v>55</v>
      </c>
      <c r="D19" s="1" t="s">
        <v>51</v>
      </c>
      <c r="E19" s="1" t="s">
        <v>52</v>
      </c>
      <c r="F19" s="1" t="s">
        <v>64</v>
      </c>
      <c r="G19" s="1" t="s">
        <v>60</v>
      </c>
      <c r="H19" s="1" t="s">
        <v>60</v>
      </c>
      <c r="K19" s="7">
        <v>26.190972219999999</v>
      </c>
      <c r="L19" s="7">
        <v>1636.1219822750438</v>
      </c>
      <c r="M19" s="7">
        <v>1636.1219822750438</v>
      </c>
      <c r="N19" s="7">
        <v>1636.1219822750438</v>
      </c>
      <c r="O19" s="7">
        <f t="shared" si="1"/>
        <v>1636.1219822750438</v>
      </c>
    </row>
    <row r="20" spans="1:15" x14ac:dyDescent="0.35">
      <c r="A20">
        <v>1</v>
      </c>
      <c r="B20" s="7">
        <f>$B$6</f>
        <v>45.864709793838337</v>
      </c>
      <c r="C20" s="12">
        <f>1/B20</f>
        <v>2.1803255803754029E-2</v>
      </c>
      <c r="D20" s="6">
        <f>C$17*C20*1000</f>
        <v>127.10418163467993</v>
      </c>
      <c r="E20" s="13">
        <f>D20/$G$3</f>
        <v>3.5405064522194968E-3</v>
      </c>
      <c r="F20" s="14">
        <f>E20/24</f>
        <v>1.4752110217581237E-4</v>
      </c>
      <c r="G20" s="15">
        <f>F20*3</f>
        <v>4.425633065274371E-4</v>
      </c>
      <c r="H20" s="16">
        <f>G20/0.7687*0.9964</f>
        <v>5.7365692548970763E-4</v>
      </c>
      <c r="K20" s="7"/>
      <c r="L20" s="7"/>
      <c r="M20" s="7"/>
      <c r="N20" s="7"/>
      <c r="O20" s="7"/>
    </row>
    <row r="21" spans="1:15" x14ac:dyDescent="0.35">
      <c r="A21">
        <v>2</v>
      </c>
      <c r="B21" s="7">
        <f>$B$7</f>
        <v>90.43920281553406</v>
      </c>
      <c r="C21" s="12">
        <f>1/B21</f>
        <v>1.1057151864105524E-2</v>
      </c>
      <c r="D21" s="6">
        <f t="shared" ref="D21:D22" si="4">C$17*C21*1000</f>
        <v>64.458732748323229</v>
      </c>
      <c r="E21" s="13">
        <f t="shared" ref="E21:E22" si="5">D21/$G$3</f>
        <v>1.7955078759978615E-3</v>
      </c>
      <c r="F21" s="14">
        <f>E21/24</f>
        <v>7.4812828166577567E-5</v>
      </c>
      <c r="G21" s="15">
        <f>F21*3</f>
        <v>2.2443848449973269E-4</v>
      </c>
      <c r="H21" s="16">
        <f>G21/0.7687*0.9964</f>
        <v>2.9092039281323486E-4</v>
      </c>
      <c r="K21" s="7"/>
      <c r="L21" s="7"/>
      <c r="M21" s="7"/>
      <c r="N21" s="7"/>
      <c r="O21" s="7"/>
    </row>
    <row r="22" spans="1:15" x14ac:dyDescent="0.35">
      <c r="A22">
        <v>12.1625</v>
      </c>
      <c r="B22" s="7">
        <f>$B$8</f>
        <v>1152.1772458257271</v>
      </c>
      <c r="C22" s="12">
        <f>1/B22</f>
        <v>8.6792201774765407E-4</v>
      </c>
      <c r="D22" s="6">
        <f t="shared" si="4"/>
        <v>5.0596350738379954</v>
      </c>
      <c r="E22" s="13">
        <f t="shared" si="5"/>
        <v>1.4093691013476311E-4</v>
      </c>
      <c r="F22" s="14">
        <f>E22/24</f>
        <v>5.8723712556151292E-6</v>
      </c>
      <c r="G22" s="15">
        <f>F22*3</f>
        <v>1.7617113766845388E-5</v>
      </c>
      <c r="H22" s="16">
        <f>G22/0.7687*0.9964</f>
        <v>2.2835556338343623E-5</v>
      </c>
      <c r="K22" s="7"/>
      <c r="L22" s="7"/>
      <c r="M22" s="7"/>
      <c r="N22" s="7"/>
      <c r="O22" s="7"/>
    </row>
    <row r="23" spans="1:15" x14ac:dyDescent="0.35">
      <c r="K23" s="7"/>
      <c r="L23" s="7"/>
      <c r="M23" s="7"/>
      <c r="N23" s="7"/>
      <c r="O23" s="7"/>
    </row>
    <row r="24" spans="1:15" ht="16.5" x14ac:dyDescent="0.35">
      <c r="A24" s="1" t="s">
        <v>87</v>
      </c>
      <c r="C24" s="6">
        <f>'C-Phycocyanin production'!M8</f>
        <v>5.3686638624452305</v>
      </c>
      <c r="D24" t="s">
        <v>57</v>
      </c>
      <c r="F24" s="1" t="s">
        <v>59</v>
      </c>
      <c r="G24">
        <v>35900</v>
      </c>
      <c r="H24" t="s">
        <v>58</v>
      </c>
      <c r="K24" s="7"/>
      <c r="L24" s="7"/>
      <c r="M24" s="7"/>
      <c r="N24" s="7"/>
      <c r="O24" s="7"/>
    </row>
    <row r="25" spans="1:15" x14ac:dyDescent="0.35">
      <c r="K25" s="7"/>
      <c r="L25" s="7"/>
      <c r="M25" s="7"/>
      <c r="N25" s="7"/>
      <c r="O25" s="7"/>
    </row>
    <row r="26" spans="1:15" x14ac:dyDescent="0.35">
      <c r="A26" s="1" t="s">
        <v>53</v>
      </c>
      <c r="B26" s="1" t="s">
        <v>54</v>
      </c>
      <c r="C26" s="1" t="s">
        <v>55</v>
      </c>
      <c r="D26" s="1" t="s">
        <v>51</v>
      </c>
      <c r="E26" s="1" t="s">
        <v>52</v>
      </c>
      <c r="F26" s="1" t="s">
        <v>64</v>
      </c>
      <c r="G26" s="1" t="s">
        <v>60</v>
      </c>
      <c r="H26" s="1" t="s">
        <v>60</v>
      </c>
      <c r="K26" s="7"/>
      <c r="L26" s="7"/>
      <c r="M26" s="7"/>
      <c r="N26" s="7"/>
      <c r="O26" s="7"/>
    </row>
    <row r="27" spans="1:15" x14ac:dyDescent="0.35">
      <c r="A27">
        <v>1</v>
      </c>
      <c r="B27" s="7">
        <f>$B$6</f>
        <v>45.864709793838337</v>
      </c>
      <c r="C27" s="12">
        <f>1/B27</f>
        <v>2.1803255803754029E-2</v>
      </c>
      <c r="D27" s="6">
        <f>C$24*C27*1000</f>
        <v>117.0543515172635</v>
      </c>
      <c r="E27" s="13">
        <f>D27/$G$3</f>
        <v>3.2605668946312952E-3</v>
      </c>
      <c r="F27" s="14">
        <f>E27/24</f>
        <v>1.3585695394297063E-4</v>
      </c>
      <c r="G27" s="15">
        <f>F27*3</f>
        <v>4.0757086182891189E-4</v>
      </c>
      <c r="H27" s="16">
        <f>G27/0.7687*0.9964</f>
        <v>5.2829921520271598E-4</v>
      </c>
      <c r="K27" s="7"/>
      <c r="L27" s="7"/>
      <c r="M27" s="7"/>
      <c r="N27" s="7"/>
      <c r="O27" s="7"/>
    </row>
    <row r="28" spans="1:15" x14ac:dyDescent="0.35">
      <c r="A28">
        <v>2</v>
      </c>
      <c r="B28" s="7">
        <f>$B$7</f>
        <v>90.43920281553406</v>
      </c>
      <c r="C28" s="12">
        <f>1/B28</f>
        <v>1.1057151864105524E-2</v>
      </c>
      <c r="D28" s="6">
        <f t="shared" ref="D28:D29" si="6">C$24*C28*1000</f>
        <v>59.362131634392249</v>
      </c>
      <c r="E28" s="13">
        <f t="shared" ref="E28:E29" si="7">D28/$G$3</f>
        <v>1.6535412711529873E-3</v>
      </c>
      <c r="F28" s="14">
        <f>E28/24</f>
        <v>6.889755296470781E-5</v>
      </c>
      <c r="G28" s="15">
        <f>F28*3</f>
        <v>2.0669265889412342E-4</v>
      </c>
      <c r="H28" s="16">
        <f>G28/0.7687*0.9964</f>
        <v>2.6791799833758882E-4</v>
      </c>
      <c r="K28" s="7"/>
      <c r="L28" s="7"/>
      <c r="M28" s="7"/>
      <c r="N28" s="7"/>
      <c r="O28" s="7"/>
    </row>
    <row r="29" spans="1:15" x14ac:dyDescent="0.35">
      <c r="A29">
        <v>12.1625</v>
      </c>
      <c r="B29" s="7">
        <f>$B$8</f>
        <v>1152.1772458257271</v>
      </c>
      <c r="C29" s="12">
        <f>1/B29</f>
        <v>8.6792201774765407E-4</v>
      </c>
      <c r="D29" s="6">
        <f t="shared" si="6"/>
        <v>4.659581572102379</v>
      </c>
      <c r="E29" s="13">
        <f t="shared" si="7"/>
        <v>1.2979335855438381E-4</v>
      </c>
      <c r="F29" s="14">
        <f>E29/24</f>
        <v>5.4080566064326588E-6</v>
      </c>
      <c r="G29" s="15">
        <f>F29*3</f>
        <v>1.6224169819297976E-5</v>
      </c>
      <c r="H29" s="16">
        <f>G29/0.7687*0.9964</f>
        <v>2.10300023519559E-5</v>
      </c>
    </row>
    <row r="32" spans="1:15" ht="21" x14ac:dyDescent="0.5">
      <c r="A32" s="2" t="s">
        <v>62</v>
      </c>
    </row>
    <row r="33" spans="1:22" ht="21" x14ac:dyDescent="0.5">
      <c r="A33" s="2"/>
    </row>
    <row r="34" spans="1:22" ht="16.5" x14ac:dyDescent="0.35">
      <c r="A34" s="1" t="s">
        <v>89</v>
      </c>
      <c r="C34" s="6">
        <f>'C-Phycocyanin production'!Y20</f>
        <v>3.0493207548496453</v>
      </c>
      <c r="D34" t="s">
        <v>57</v>
      </c>
      <c r="F34" s="1" t="s">
        <v>59</v>
      </c>
      <c r="G34">
        <v>35900</v>
      </c>
      <c r="H34" t="s">
        <v>58</v>
      </c>
    </row>
    <row r="35" spans="1:22" x14ac:dyDescent="0.35">
      <c r="K35" s="55" t="s">
        <v>63</v>
      </c>
      <c r="L35" s="55"/>
      <c r="M35" s="55"/>
      <c r="N35" s="55"/>
      <c r="O35" s="55"/>
      <c r="Q35" s="1" t="s">
        <v>94</v>
      </c>
      <c r="U35" s="1" t="s">
        <v>95</v>
      </c>
    </row>
    <row r="36" spans="1:22" x14ac:dyDescent="0.35">
      <c r="A36" s="1" t="s">
        <v>53</v>
      </c>
      <c r="B36" s="1" t="s">
        <v>54</v>
      </c>
      <c r="C36" s="1" t="s">
        <v>55</v>
      </c>
      <c r="D36" s="1" t="s">
        <v>51</v>
      </c>
      <c r="E36" s="1" t="s">
        <v>52</v>
      </c>
      <c r="F36" s="1" t="s">
        <v>64</v>
      </c>
      <c r="G36" s="1" t="s">
        <v>60</v>
      </c>
      <c r="H36" s="1" t="s">
        <v>60</v>
      </c>
      <c r="K36" s="1" t="s">
        <v>27</v>
      </c>
      <c r="L36" s="3" t="s">
        <v>1</v>
      </c>
      <c r="M36" s="3" t="s">
        <v>2</v>
      </c>
      <c r="N36" s="3" t="s">
        <v>3</v>
      </c>
      <c r="O36" s="3" t="s">
        <v>41</v>
      </c>
    </row>
    <row r="37" spans="1:22" x14ac:dyDescent="0.35">
      <c r="A37" s="28">
        <v>1.7152777779999999</v>
      </c>
      <c r="B37" s="7">
        <f>O38</f>
        <v>34.284037035816183</v>
      </c>
      <c r="C37" s="12">
        <f>1/B37</f>
        <v>2.9168093563640425E-2</v>
      </c>
      <c r="D37" s="6">
        <f>C$34*C37*1000</f>
        <v>88.942873083005097</v>
      </c>
      <c r="E37" s="13">
        <f>D37/$G$3</f>
        <v>2.4775173560725654E-3</v>
      </c>
      <c r="F37" s="14">
        <f>E37/24</f>
        <v>1.0322988983635689E-4</v>
      </c>
      <c r="G37" s="15">
        <f>F37*3</f>
        <v>3.0968966950907067E-4</v>
      </c>
      <c r="H37" s="16">
        <f>G37/0.7397*0.9683</f>
        <v>4.0539746787296622E-4</v>
      </c>
      <c r="K37" s="7">
        <v>0</v>
      </c>
      <c r="L37" s="7">
        <v>10.153341341929345</v>
      </c>
      <c r="M37" s="7">
        <v>10.153341341929345</v>
      </c>
      <c r="N37" s="7">
        <v>10.153341341929345</v>
      </c>
      <c r="O37" s="7">
        <f>AVERAGE(L37:N37)</f>
        <v>10.153341341929345</v>
      </c>
      <c r="Q37" t="s">
        <v>7</v>
      </c>
      <c r="R37" s="13">
        <f>F39</f>
        <v>5.1122532743309797E-6</v>
      </c>
      <c r="U37" t="s">
        <v>7</v>
      </c>
      <c r="V37" s="13">
        <f>F37</f>
        <v>1.0322988983635689E-4</v>
      </c>
    </row>
    <row r="38" spans="1:22" x14ac:dyDescent="0.35">
      <c r="A38">
        <v>4.5</v>
      </c>
      <c r="B38" s="7">
        <f>(O42-O41)/(K42-K41)*(A38-K41)+O41</f>
        <v>135.61975147372192</v>
      </c>
      <c r="C38" s="12">
        <f>1/B38</f>
        <v>7.3735572373008137E-3</v>
      </c>
      <c r="D38" s="6">
        <f t="shared" ref="D38:D39" si="8">C$34*C38*1000</f>
        <v>22.48434112077318</v>
      </c>
      <c r="E38" s="13">
        <f t="shared" ref="E38:E39" si="9">D38/$G$3</f>
        <v>6.2630476659535322E-4</v>
      </c>
      <c r="F38" s="14">
        <f>E38/24</f>
        <v>2.6096031941473052E-5</v>
      </c>
      <c r="G38" s="15">
        <f>F38*3</f>
        <v>7.8288095824419153E-5</v>
      </c>
      <c r="H38" s="16">
        <f>G38/0.7397*0.9683</f>
        <v>1.0248257832470605E-4</v>
      </c>
      <c r="I38">
        <f>_xlfn.STDEV.S(H45,H52,H59)</f>
        <v>2.7227336035375019E-6</v>
      </c>
      <c r="K38" s="7">
        <v>1.7152777779999999</v>
      </c>
      <c r="L38" s="7">
        <v>34.284037035816183</v>
      </c>
      <c r="M38" s="7">
        <v>34.284037035816183</v>
      </c>
      <c r="N38" s="7">
        <v>34.284037035816183</v>
      </c>
      <c r="O38" s="7">
        <f t="shared" ref="O38:O55" si="10">AVERAGE(L38:N38)</f>
        <v>34.284037035816183</v>
      </c>
      <c r="Q38" t="s">
        <v>1</v>
      </c>
      <c r="R38" s="13">
        <f>F46</f>
        <v>5.2630378655863779E-6</v>
      </c>
      <c r="U38" t="s">
        <v>1</v>
      </c>
      <c r="V38" s="13">
        <f>F44</f>
        <v>1.0627462880155455E-4</v>
      </c>
    </row>
    <row r="39" spans="1:22" x14ac:dyDescent="0.35">
      <c r="A39" s="28">
        <v>11.875</v>
      </c>
      <c r="B39" s="7">
        <f>O46</f>
        <v>692.28521679924722</v>
      </c>
      <c r="C39" s="12">
        <f>1/B39</f>
        <v>1.4444913393116491E-3</v>
      </c>
      <c r="D39" s="6">
        <f t="shared" si="8"/>
        <v>4.4047174211635722</v>
      </c>
      <c r="E39" s="13">
        <f t="shared" si="9"/>
        <v>1.2269407858394351E-4</v>
      </c>
      <c r="F39" s="14">
        <f>E39/24</f>
        <v>5.1122532743309797E-6</v>
      </c>
      <c r="G39" s="15">
        <f>F39*3</f>
        <v>1.5336759822992939E-5</v>
      </c>
      <c r="H39" s="16">
        <f>G39/0.7397*0.9683</f>
        <v>2.0076496602141494E-5</v>
      </c>
      <c r="K39" s="7">
        <v>2.59375</v>
      </c>
      <c r="L39" s="7">
        <v>56.583184839869546</v>
      </c>
      <c r="M39" s="7">
        <v>56.583184839869546</v>
      </c>
      <c r="N39" s="7">
        <v>56.583184839869546</v>
      </c>
      <c r="O39" s="7">
        <f t="shared" si="10"/>
        <v>56.583184839869546</v>
      </c>
      <c r="Q39" t="s">
        <v>2</v>
      </c>
      <c r="R39" s="13">
        <f>F53</f>
        <v>5.0255040763355372E-6</v>
      </c>
      <c r="U39" t="s">
        <v>2</v>
      </c>
      <c r="V39" s="13">
        <f>F51</f>
        <v>1.0147819451299994E-4</v>
      </c>
    </row>
    <row r="40" spans="1:22" x14ac:dyDescent="0.35">
      <c r="K40" s="7">
        <v>3.611111111</v>
      </c>
      <c r="L40" s="7">
        <v>92.894487951234723</v>
      </c>
      <c r="M40" s="7">
        <v>92.894487951234723</v>
      </c>
      <c r="N40" s="7">
        <v>92.894487951234723</v>
      </c>
      <c r="O40" s="7">
        <f t="shared" si="10"/>
        <v>92.894487951234723</v>
      </c>
      <c r="Q40" t="s">
        <v>3</v>
      </c>
      <c r="R40" s="13">
        <f>F60</f>
        <v>5.030141896766369E-6</v>
      </c>
      <c r="U40" t="s">
        <v>3</v>
      </c>
      <c r="V40" s="13">
        <f>F58</f>
        <v>1.0157184435123457E-4</v>
      </c>
    </row>
    <row r="41" spans="1:22" ht="16.5" x14ac:dyDescent="0.35">
      <c r="A41" s="1" t="s">
        <v>88</v>
      </c>
      <c r="C41" s="6">
        <f>'C-Phycocyanin production'!AC6</f>
        <v>3.1392596837237776</v>
      </c>
      <c r="D41" t="s">
        <v>57</v>
      </c>
      <c r="F41" s="1" t="s">
        <v>59</v>
      </c>
      <c r="G41">
        <v>35900</v>
      </c>
      <c r="H41" t="s">
        <v>58</v>
      </c>
      <c r="K41" s="7">
        <v>4.3333333329999997</v>
      </c>
      <c r="L41" s="7">
        <v>125.94063254871709</v>
      </c>
      <c r="M41" s="7">
        <v>125.94063254871709</v>
      </c>
      <c r="N41" s="7">
        <v>125.94063254871709</v>
      </c>
      <c r="O41" s="7">
        <f t="shared" si="10"/>
        <v>125.94063254871709</v>
      </c>
      <c r="Q41" t="s">
        <v>24</v>
      </c>
      <c r="R41">
        <f>_xlfn.STDEV.S(R38:R40)</f>
        <v>1.3582117085026545E-7</v>
      </c>
      <c r="U41" t="s">
        <v>24</v>
      </c>
      <c r="V41">
        <f>_xlfn.STDEV.S(V38:V40)</f>
        <v>2.7425880041424103E-6</v>
      </c>
    </row>
    <row r="42" spans="1:22" x14ac:dyDescent="0.35">
      <c r="K42" s="7">
        <v>5.8125</v>
      </c>
      <c r="L42" s="7">
        <v>211.84281285568866</v>
      </c>
      <c r="M42" s="7">
        <v>211.84281285568866</v>
      </c>
      <c r="N42" s="7">
        <v>211.84281285568866</v>
      </c>
      <c r="O42" s="7">
        <f t="shared" si="10"/>
        <v>211.84281285568866</v>
      </c>
      <c r="Q42" t="s">
        <v>22</v>
      </c>
      <c r="R42">
        <f>R41/SQRT(3)</f>
        <v>7.8416389552050918E-8</v>
      </c>
      <c r="U42" t="s">
        <v>22</v>
      </c>
      <c r="V42">
        <f>V41/SQRT(3)</f>
        <v>1.583433922467859E-6</v>
      </c>
    </row>
    <row r="43" spans="1:22" x14ac:dyDescent="0.35">
      <c r="A43" s="1" t="s">
        <v>53</v>
      </c>
      <c r="B43" s="1" t="s">
        <v>54</v>
      </c>
      <c r="C43" s="1" t="s">
        <v>55</v>
      </c>
      <c r="D43" s="1" t="s">
        <v>51</v>
      </c>
      <c r="E43" s="1" t="s">
        <v>52</v>
      </c>
      <c r="F43" s="1" t="s">
        <v>64</v>
      </c>
      <c r="G43" s="1" t="s">
        <v>60</v>
      </c>
      <c r="H43" s="1" t="s">
        <v>60</v>
      </c>
      <c r="K43" s="7">
        <v>6.875</v>
      </c>
      <c r="L43" s="7">
        <v>286.53018636288874</v>
      </c>
      <c r="M43" s="7">
        <v>286.53018636288874</v>
      </c>
      <c r="N43" s="7">
        <v>286.53018636288874</v>
      </c>
      <c r="O43" s="7">
        <f t="shared" si="10"/>
        <v>286.53018636288874</v>
      </c>
    </row>
    <row r="44" spans="1:22" x14ac:dyDescent="0.35">
      <c r="A44" s="28">
        <v>1.7152777779999999</v>
      </c>
      <c r="B44" s="7">
        <f>$B$37</f>
        <v>34.284037035816183</v>
      </c>
      <c r="C44" s="12">
        <f>1/B44</f>
        <v>2.9168093563640425E-2</v>
      </c>
      <c r="D44" s="6">
        <f>C$41*C44*1000</f>
        <v>91.566220175419389</v>
      </c>
      <c r="E44" s="13">
        <f>D44/$G$3</f>
        <v>2.550591091237309E-3</v>
      </c>
      <c r="F44" s="14">
        <f>E44/24</f>
        <v>1.0627462880155455E-4</v>
      </c>
      <c r="G44" s="15">
        <f>F44*3</f>
        <v>3.1882388640466362E-4</v>
      </c>
      <c r="H44" s="16">
        <f>G44/0.7397*0.9683</f>
        <v>4.1735456158663753E-4</v>
      </c>
      <c r="K44" s="7">
        <v>9.875</v>
      </c>
      <c r="L44" s="7">
        <v>529.31816571450565</v>
      </c>
      <c r="M44" s="7">
        <v>529.31816571450565</v>
      </c>
      <c r="N44" s="7">
        <v>529.31816571450565</v>
      </c>
      <c r="O44" s="7">
        <f t="shared" si="10"/>
        <v>529.31816571450565</v>
      </c>
    </row>
    <row r="45" spans="1:22" x14ac:dyDescent="0.35">
      <c r="A45">
        <v>4.5</v>
      </c>
      <c r="B45" s="7">
        <f>$B$38</f>
        <v>135.61975147372192</v>
      </c>
      <c r="C45" s="12">
        <f>1/B45</f>
        <v>7.3735572373008137E-3</v>
      </c>
      <c r="D45" s="6">
        <f t="shared" ref="D45:D46" si="11">C$41*C45*1000</f>
        <v>23.147510960688123</v>
      </c>
      <c r="E45" s="13">
        <f t="shared" ref="E45:E46" si="12">D45/$G$3</f>
        <v>6.4477746408602018E-4</v>
      </c>
      <c r="F45" s="14">
        <f>E45/24</f>
        <v>2.6865727670250842E-5</v>
      </c>
      <c r="G45" s="15">
        <f>F45*3</f>
        <v>8.0597183010752522E-5</v>
      </c>
      <c r="H45" s="16">
        <f>G45/0.7397*0.9683</f>
        <v>1.0550527552968997E-4</v>
      </c>
      <c r="K45" s="7">
        <v>10.83333333</v>
      </c>
      <c r="L45" s="7">
        <v>608.71168244221462</v>
      </c>
      <c r="M45" s="7">
        <v>608.71168244221462</v>
      </c>
      <c r="N45" s="7">
        <v>608.71168244221462</v>
      </c>
      <c r="O45" s="7">
        <f t="shared" si="10"/>
        <v>608.71168244221462</v>
      </c>
    </row>
    <row r="46" spans="1:22" x14ac:dyDescent="0.35">
      <c r="A46" s="28">
        <v>11.875</v>
      </c>
      <c r="B46" s="7">
        <f>$B$39</f>
        <v>692.28521679924722</v>
      </c>
      <c r="C46" s="12">
        <f>1/B46</f>
        <v>1.4444913393116491E-3</v>
      </c>
      <c r="D46" s="6">
        <f t="shared" si="11"/>
        <v>4.5346334249892228</v>
      </c>
      <c r="E46" s="13">
        <f t="shared" si="12"/>
        <v>1.2631290877407306E-4</v>
      </c>
      <c r="F46" s="14">
        <f>E46/24</f>
        <v>5.2630378655863779E-6</v>
      </c>
      <c r="G46" s="15">
        <f>F46*3</f>
        <v>1.5789113596759133E-5</v>
      </c>
      <c r="H46" s="16">
        <f>G46/0.7397*0.9683</f>
        <v>2.0668647689254927E-5</v>
      </c>
      <c r="K46" s="7">
        <v>11.875</v>
      </c>
      <c r="L46" s="7">
        <v>692.28521679924711</v>
      </c>
      <c r="M46" s="7">
        <v>692.28521679924711</v>
      </c>
      <c r="N46" s="7">
        <v>692.28521679924711</v>
      </c>
      <c r="O46" s="7">
        <f t="shared" si="10"/>
        <v>692.28521679924722</v>
      </c>
    </row>
    <row r="47" spans="1:22" x14ac:dyDescent="0.35">
      <c r="K47" s="7">
        <v>14.72916667</v>
      </c>
      <c r="L47" s="7">
        <v>895.1798300113602</v>
      </c>
      <c r="M47" s="7">
        <v>895.1798300113602</v>
      </c>
      <c r="N47" s="7">
        <v>895.1798300113602</v>
      </c>
      <c r="O47" s="7">
        <f t="shared" si="10"/>
        <v>895.1798300113602</v>
      </c>
    </row>
    <row r="48" spans="1:22" ht="16.5" x14ac:dyDescent="0.35">
      <c r="A48" s="1" t="s">
        <v>90</v>
      </c>
      <c r="C48" s="6">
        <f>'C-Phycocyanin production'!AC7</f>
        <v>2.9975772054362642</v>
      </c>
      <c r="D48" t="s">
        <v>57</v>
      </c>
      <c r="F48" s="1" t="s">
        <v>59</v>
      </c>
      <c r="G48">
        <v>35900</v>
      </c>
      <c r="H48" t="s">
        <v>58</v>
      </c>
      <c r="K48" s="7">
        <v>16.875</v>
      </c>
      <c r="L48" s="7">
        <v>1016.3779342400478</v>
      </c>
      <c r="M48" s="7">
        <v>1016.3779342400478</v>
      </c>
      <c r="N48" s="7">
        <v>1016.3779342400478</v>
      </c>
      <c r="O48" s="7">
        <f t="shared" si="10"/>
        <v>1016.3779342400479</v>
      </c>
    </row>
    <row r="49" spans="1:15" x14ac:dyDescent="0.35">
      <c r="K49" s="7">
        <v>17.833333329999999</v>
      </c>
      <c r="L49" s="7">
        <v>1061.6921222166759</v>
      </c>
      <c r="M49" s="7">
        <v>1061.6921222166759</v>
      </c>
      <c r="N49" s="7">
        <v>1061.6921222166759</v>
      </c>
      <c r="O49" s="7">
        <f t="shared" si="10"/>
        <v>1061.6921222166759</v>
      </c>
    </row>
    <row r="50" spans="1:15" x14ac:dyDescent="0.35">
      <c r="A50" s="1" t="s">
        <v>53</v>
      </c>
      <c r="B50" s="1" t="s">
        <v>54</v>
      </c>
      <c r="C50" s="1" t="s">
        <v>55</v>
      </c>
      <c r="D50" s="1" t="s">
        <v>51</v>
      </c>
      <c r="E50" s="1" t="s">
        <v>52</v>
      </c>
      <c r="F50" s="1" t="s">
        <v>64</v>
      </c>
      <c r="G50" s="1" t="s">
        <v>60</v>
      </c>
      <c r="H50" s="1" t="s">
        <v>60</v>
      </c>
      <c r="K50" s="7">
        <v>18.875</v>
      </c>
      <c r="L50" s="7">
        <v>1105.1905359172472</v>
      </c>
      <c r="M50" s="7">
        <v>1105.1905359172472</v>
      </c>
      <c r="N50" s="7">
        <v>1105.1905359172472</v>
      </c>
      <c r="O50" s="7">
        <f t="shared" si="10"/>
        <v>1105.1905359172472</v>
      </c>
    </row>
    <row r="51" spans="1:15" x14ac:dyDescent="0.35">
      <c r="A51" s="28">
        <v>1.7152777779999999</v>
      </c>
      <c r="B51" s="7">
        <f>$B$37</f>
        <v>34.284037035816183</v>
      </c>
      <c r="C51" s="12">
        <f>1/B51</f>
        <v>2.9168093563640425E-2</v>
      </c>
      <c r="D51" s="6">
        <f>C$48*C51*1000</f>
        <v>87.433612392400747</v>
      </c>
      <c r="E51" s="13">
        <f>D51/$G$3</f>
        <v>2.4354766683119984E-3</v>
      </c>
      <c r="F51" s="14">
        <f>E51/24</f>
        <v>1.0147819451299994E-4</v>
      </c>
      <c r="G51" s="15">
        <f>F51*3</f>
        <v>3.044345835389998E-4</v>
      </c>
      <c r="H51" s="16">
        <f>G51/0.7397*0.9683</f>
        <v>3.985183280259747E-4</v>
      </c>
      <c r="K51" s="7">
        <v>19.8125</v>
      </c>
      <c r="L51" s="7">
        <v>1139.5847203339249</v>
      </c>
      <c r="M51" s="7">
        <v>1139.5847203339249</v>
      </c>
      <c r="N51" s="7">
        <v>1139.5847203339249</v>
      </c>
      <c r="O51" s="7">
        <f t="shared" si="10"/>
        <v>1139.5847203339249</v>
      </c>
    </row>
    <row r="52" spans="1:15" x14ac:dyDescent="0.35">
      <c r="A52">
        <v>4.5</v>
      </c>
      <c r="B52" s="7">
        <f>$B$38</f>
        <v>135.61975147372192</v>
      </c>
      <c r="C52" s="12">
        <f>1/B52</f>
        <v>7.3735572373008137E-3</v>
      </c>
      <c r="D52" s="6">
        <f t="shared" ref="D52:D53" si="13">C$48*C52*1000</f>
        <v>22.102807097512514</v>
      </c>
      <c r="E52" s="13">
        <f t="shared" ref="E52:E53" si="14">D52/$G$3</f>
        <v>6.1567707792513967E-4</v>
      </c>
      <c r="F52" s="14">
        <f>E52/24</f>
        <v>2.5653211580214154E-5</v>
      </c>
      <c r="G52" s="15">
        <f>F52*3</f>
        <v>7.6959634740642459E-5</v>
      </c>
      <c r="H52" s="16">
        <f>G52/0.7397*0.9683</f>
        <v>1.0074356403861579E-4</v>
      </c>
      <c r="K52" s="7">
        <v>23.958333329999999</v>
      </c>
      <c r="L52" s="7">
        <v>1247.4980442739122</v>
      </c>
      <c r="M52" s="7">
        <v>1247.4980442739122</v>
      </c>
      <c r="N52" s="7">
        <v>1247.4980442739122</v>
      </c>
      <c r="O52" s="7">
        <f t="shared" si="10"/>
        <v>1247.4980442739122</v>
      </c>
    </row>
    <row r="53" spans="1:15" x14ac:dyDescent="0.35">
      <c r="A53" s="28">
        <v>11.875</v>
      </c>
      <c r="B53" s="7">
        <f>$B$39</f>
        <v>692.28521679924722</v>
      </c>
      <c r="C53" s="12">
        <f>1/B53</f>
        <v>1.4444913393116491E-3</v>
      </c>
      <c r="D53" s="6">
        <f t="shared" si="13"/>
        <v>4.3299743121706991</v>
      </c>
      <c r="E53" s="13">
        <f t="shared" si="14"/>
        <v>1.206120978320529E-4</v>
      </c>
      <c r="F53" s="14">
        <f>E53/24</f>
        <v>5.0255040763355372E-6</v>
      </c>
      <c r="G53" s="15">
        <f>F53*3</f>
        <v>1.5076512229006613E-5</v>
      </c>
      <c r="H53" s="16">
        <f>G53/0.7397*0.9683</f>
        <v>1.9735820996819119E-5</v>
      </c>
      <c r="K53" s="7">
        <v>24.8125</v>
      </c>
      <c r="L53" s="7">
        <v>1262.6446523516991</v>
      </c>
      <c r="M53" s="7">
        <v>1262.6446523516991</v>
      </c>
      <c r="N53" s="7">
        <v>1262.6446523516991</v>
      </c>
      <c r="O53" s="7">
        <f t="shared" si="10"/>
        <v>1262.6446523516991</v>
      </c>
    </row>
    <row r="54" spans="1:15" x14ac:dyDescent="0.35">
      <c r="K54" s="7">
        <v>25.864583329999999</v>
      </c>
      <c r="L54" s="7">
        <v>1278.7708770983406</v>
      </c>
      <c r="M54" s="7">
        <v>1278.7708770983406</v>
      </c>
      <c r="N54" s="7">
        <v>1278.7708770983406</v>
      </c>
      <c r="O54" s="7">
        <f t="shared" si="10"/>
        <v>1278.7708770983406</v>
      </c>
    </row>
    <row r="55" spans="1:15" ht="16.5" x14ac:dyDescent="0.35">
      <c r="A55" s="1" t="s">
        <v>91</v>
      </c>
      <c r="C55" s="6">
        <f>'C-Phycocyanin production'!AC8</f>
        <v>3.0003435398367935</v>
      </c>
      <c r="D55" t="s">
        <v>57</v>
      </c>
      <c r="F55" s="1" t="s">
        <v>59</v>
      </c>
      <c r="G55">
        <v>35900</v>
      </c>
      <c r="H55" t="s">
        <v>58</v>
      </c>
      <c r="K55" s="7">
        <v>27</v>
      </c>
      <c r="L55" s="7">
        <v>1293.4584282545668</v>
      </c>
      <c r="M55" s="7">
        <v>1293.4584282545668</v>
      </c>
      <c r="N55" s="7">
        <v>1293.4584282545668</v>
      </c>
      <c r="O55" s="7">
        <f t="shared" si="10"/>
        <v>1293.4584282545668</v>
      </c>
    </row>
    <row r="57" spans="1:15" x14ac:dyDescent="0.35">
      <c r="A57" s="1" t="s">
        <v>53</v>
      </c>
      <c r="B57" s="1" t="s">
        <v>54</v>
      </c>
      <c r="C57" s="1" t="s">
        <v>55</v>
      </c>
      <c r="D57" s="1" t="s">
        <v>51</v>
      </c>
      <c r="E57" s="1" t="s">
        <v>52</v>
      </c>
      <c r="F57" s="1" t="s">
        <v>64</v>
      </c>
      <c r="G57" s="1" t="s">
        <v>60</v>
      </c>
      <c r="H57" s="1" t="s">
        <v>60</v>
      </c>
    </row>
    <row r="58" spans="1:15" x14ac:dyDescent="0.35">
      <c r="A58" s="28">
        <v>1.7152777779999999</v>
      </c>
      <c r="B58" s="7">
        <f>$B$37</f>
        <v>34.284037035816183</v>
      </c>
      <c r="C58" s="12">
        <f>1/B58</f>
        <v>2.9168093563640425E-2</v>
      </c>
      <c r="D58" s="6">
        <f>C$55*C58*1000</f>
        <v>87.514301093023704</v>
      </c>
      <c r="E58" s="13">
        <f>D58/$G$3</f>
        <v>2.4377242644296297E-3</v>
      </c>
      <c r="F58" s="14">
        <f>E58/24</f>
        <v>1.0157184435123457E-4</v>
      </c>
      <c r="G58" s="15">
        <f>F58*3</f>
        <v>3.0471553305370372E-4</v>
      </c>
      <c r="H58" s="16">
        <f>G58/0.7397*0.9683</f>
        <v>3.9888610336068854E-4</v>
      </c>
    </row>
    <row r="59" spans="1:15" x14ac:dyDescent="0.35">
      <c r="A59">
        <v>4.5</v>
      </c>
      <c r="B59" s="7">
        <f>$B$38</f>
        <v>135.61975147372192</v>
      </c>
      <c r="C59" s="12">
        <f>1/B59</f>
        <v>7.3735572373008137E-3</v>
      </c>
      <c r="D59" s="6">
        <f t="shared" ref="D59:D60" si="15">C$55*C59*1000</f>
        <v>22.123204822552331</v>
      </c>
      <c r="E59" s="13">
        <f t="shared" ref="E59:E60" si="16">D59/$G$3</f>
        <v>6.1624525968112347E-4</v>
      </c>
      <c r="F59" s="14">
        <f>E59/24</f>
        <v>2.567688582004681E-5</v>
      </c>
      <c r="G59" s="15">
        <f>F59*3</f>
        <v>7.7030657460140433E-5</v>
      </c>
      <c r="H59" s="16">
        <f>G59/0.7397*0.9683</f>
        <v>1.0083653591814787E-4</v>
      </c>
    </row>
    <row r="60" spans="1:15" x14ac:dyDescent="0.35">
      <c r="A60" s="28">
        <v>11.875</v>
      </c>
      <c r="B60" s="7">
        <f>$B$39</f>
        <v>692.28521679924722</v>
      </c>
      <c r="C60" s="12">
        <f>1/B60</f>
        <v>1.4444913393116491E-3</v>
      </c>
      <c r="D60" s="6">
        <f t="shared" si="15"/>
        <v>4.3339702582539035</v>
      </c>
      <c r="E60" s="13">
        <f t="shared" si="16"/>
        <v>1.2072340552239285E-4</v>
      </c>
      <c r="F60" s="14">
        <f>E60/24</f>
        <v>5.030141896766369E-6</v>
      </c>
      <c r="G60" s="15">
        <f>F60*3</f>
        <v>1.5090425690299108E-5</v>
      </c>
      <c r="H60" s="16">
        <f>G60/0.7397*0.9683</f>
        <v>1.9754034332724924E-5</v>
      </c>
    </row>
    <row r="62" spans="1:15" x14ac:dyDescent="0.35">
      <c r="E62" s="1" t="s">
        <v>163</v>
      </c>
      <c r="F62" s="54">
        <v>0.15</v>
      </c>
    </row>
    <row r="64" spans="1:15" x14ac:dyDescent="0.35">
      <c r="E64" t="s">
        <v>371</v>
      </c>
      <c r="F64" s="14">
        <f>F39*(1-$F$62)</f>
        <v>4.3454152831813324E-6</v>
      </c>
    </row>
    <row r="65" spans="5:6" x14ac:dyDescent="0.35">
      <c r="E65" t="s">
        <v>372</v>
      </c>
      <c r="F65" s="14">
        <f>F37*(1-$F$62)</f>
        <v>8.7745406360903349E-5</v>
      </c>
    </row>
    <row r="67" spans="5:6" x14ac:dyDescent="0.35">
      <c r="E67" t="s">
        <v>373</v>
      </c>
      <c r="F67" s="14">
        <f>F39*$F$62</f>
        <v>7.6683799114964697E-7</v>
      </c>
    </row>
    <row r="68" spans="5:6" x14ac:dyDescent="0.35">
      <c r="E68" t="s">
        <v>374</v>
      </c>
      <c r="F68" s="14">
        <f>F37*F62</f>
        <v>1.5484483475453533E-5</v>
      </c>
    </row>
  </sheetData>
  <mergeCells count="2">
    <mergeCell ref="K4:O4"/>
    <mergeCell ref="K35:O35"/>
  </mergeCells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93"/>
  <sheetViews>
    <sheetView topLeftCell="D1" zoomScaleNormal="100" workbookViewId="0">
      <selection activeCell="L31" sqref="L31"/>
    </sheetView>
  </sheetViews>
  <sheetFormatPr defaultRowHeight="14.5" x14ac:dyDescent="0.35"/>
  <cols>
    <col min="1" max="3" width="12.1796875" customWidth="1"/>
    <col min="4" max="4" width="14.7265625" customWidth="1"/>
    <col min="5" max="5" width="14.453125" customWidth="1"/>
    <col min="6" max="6" width="10.453125" customWidth="1"/>
    <col min="7" max="7" width="13.1796875" customWidth="1"/>
    <col min="8" max="8" width="9.54296875" customWidth="1"/>
    <col min="9" max="9" width="25.453125" customWidth="1"/>
  </cols>
  <sheetData>
    <row r="1" spans="1:20" ht="21" x14ac:dyDescent="0.5">
      <c r="A1" s="2" t="s">
        <v>68</v>
      </c>
    </row>
    <row r="2" spans="1:20" ht="21" x14ac:dyDescent="0.5">
      <c r="A2" s="2"/>
    </row>
    <row r="3" spans="1:20" ht="16" customHeight="1" x14ac:dyDescent="0.5">
      <c r="A3" s="2"/>
      <c r="B3" s="55" t="s">
        <v>74</v>
      </c>
      <c r="C3" s="55"/>
      <c r="D3" s="55"/>
    </row>
    <row r="4" spans="1:20" ht="36" customHeight="1" x14ac:dyDescent="0.35">
      <c r="A4" s="19" t="s">
        <v>65</v>
      </c>
      <c r="B4" s="19" t="s">
        <v>1</v>
      </c>
      <c r="C4" s="19" t="s">
        <v>2</v>
      </c>
      <c r="D4" s="19" t="s">
        <v>3</v>
      </c>
      <c r="E4" s="19" t="s">
        <v>41</v>
      </c>
      <c r="F4" s="19" t="s">
        <v>75</v>
      </c>
      <c r="G4" s="20" t="s">
        <v>76</v>
      </c>
      <c r="H4" s="20" t="s">
        <v>71</v>
      </c>
      <c r="I4" s="20" t="s">
        <v>77</v>
      </c>
      <c r="K4" s="21" t="s">
        <v>70</v>
      </c>
    </row>
    <row r="5" spans="1:20" ht="16" customHeight="1" x14ac:dyDescent="0.35">
      <c r="A5" s="7">
        <v>0</v>
      </c>
      <c r="B5" s="7">
        <v>1203.0125</v>
      </c>
      <c r="C5" s="7">
        <v>1009.5691</v>
      </c>
      <c r="D5" s="7">
        <v>1150.0236</v>
      </c>
      <c r="E5" s="7">
        <f>AVERAGE(B5:D5)</f>
        <v>1120.8684000000001</v>
      </c>
      <c r="F5" s="6">
        <f>LN(E5)</f>
        <v>7.0218590209979341</v>
      </c>
      <c r="G5" s="7">
        <f>$E$5-E5</f>
        <v>0</v>
      </c>
      <c r="H5" s="7">
        <f>E23-$E$23</f>
        <v>0</v>
      </c>
      <c r="I5" s="7"/>
    </row>
    <row r="6" spans="1:20" ht="16" customHeight="1" x14ac:dyDescent="0.35">
      <c r="A6" s="7">
        <v>1</v>
      </c>
      <c r="B6" s="7">
        <v>1138.5023666666666</v>
      </c>
      <c r="C6" s="7">
        <v>908.72956666666664</v>
      </c>
      <c r="D6" s="7">
        <v>1053.5343000000003</v>
      </c>
      <c r="E6" s="7">
        <f t="shared" ref="E6:E19" si="0">AVERAGE(B6:D6)</f>
        <v>1033.5887444444445</v>
      </c>
      <c r="F6" s="6">
        <f t="shared" ref="F6:F19" si="1">LN(E6)</f>
        <v>6.940792243306162</v>
      </c>
      <c r="G6" s="7">
        <f t="shared" ref="G6:G19" si="2">$E$5-E6</f>
        <v>87.279655555555564</v>
      </c>
      <c r="H6" s="7">
        <f t="shared" ref="H6:H19" si="3">E24-$E$23</f>
        <v>25.465246402828001</v>
      </c>
      <c r="I6" s="7">
        <f>G6/H6*1000</f>
        <v>3427.4027501993014</v>
      </c>
      <c r="R6" s="3" t="s">
        <v>45</v>
      </c>
      <c r="S6" s="6">
        <f>SLOPE(F5:F19,A5:A19)</f>
        <v>-5.0357514850373278E-2</v>
      </c>
      <c r="T6" t="s">
        <v>14</v>
      </c>
    </row>
    <row r="7" spans="1:20" ht="16" customHeight="1" x14ac:dyDescent="0.45">
      <c r="A7" s="7">
        <v>2.1583333333328483</v>
      </c>
      <c r="B7" s="7">
        <v>756.74443333333329</v>
      </c>
      <c r="C7" s="7">
        <v>985.42886666667005</v>
      </c>
      <c r="D7" s="7">
        <v>972.75479999999993</v>
      </c>
      <c r="E7" s="7">
        <f t="shared" si="0"/>
        <v>904.97603333333439</v>
      </c>
      <c r="F7" s="6">
        <f t="shared" si="1"/>
        <v>6.8079084608446552</v>
      </c>
      <c r="G7" s="7">
        <f t="shared" si="2"/>
        <v>215.89236666666568</v>
      </c>
      <c r="H7" s="7">
        <f t="shared" si="3"/>
        <v>77.097367490172587</v>
      </c>
      <c r="I7" s="7">
        <f t="shared" ref="I7:I19" si="4">G7/H7*1000</f>
        <v>2800.2560099627913</v>
      </c>
      <c r="R7" s="3" t="s">
        <v>79</v>
      </c>
      <c r="S7" s="6">
        <f>INTERCEPT(F5:F19,A5:A19)</f>
        <v>6.975803060134993</v>
      </c>
      <c r="T7" t="s">
        <v>44</v>
      </c>
    </row>
    <row r="8" spans="1:20" ht="16" customHeight="1" x14ac:dyDescent="0.45">
      <c r="A8" s="7">
        <v>3.0916666666671517</v>
      </c>
      <c r="B8" s="7">
        <v>870.43410000000006</v>
      </c>
      <c r="C8" s="7">
        <v>864.45043333333342</v>
      </c>
      <c r="D8" s="7">
        <v>918.90179999999998</v>
      </c>
      <c r="E8" s="7">
        <f t="shared" si="0"/>
        <v>884.59544444444452</v>
      </c>
      <c r="F8" s="6">
        <f t="shared" si="1"/>
        <v>6.785130415572949</v>
      </c>
      <c r="G8" s="7">
        <f t="shared" si="2"/>
        <v>236.27295555555554</v>
      </c>
      <c r="H8" s="7">
        <f t="shared" si="3"/>
        <v>138.89158518184135</v>
      </c>
      <c r="I8" s="7">
        <f t="shared" si="4"/>
        <v>1701.1322553934376</v>
      </c>
      <c r="R8" s="3" t="s">
        <v>80</v>
      </c>
      <c r="S8">
        <f>EXP(S7)</f>
        <v>1070.4164529890525</v>
      </c>
      <c r="T8" t="s">
        <v>44</v>
      </c>
    </row>
    <row r="9" spans="1:20" ht="16" customHeight="1" x14ac:dyDescent="0.35">
      <c r="A9" s="7">
        <v>5.0499999999956344</v>
      </c>
      <c r="B9" s="7">
        <v>845.30270000000007</v>
      </c>
      <c r="C9" s="7">
        <v>932.06586666666681</v>
      </c>
      <c r="D9" s="7">
        <v>758.53953333333334</v>
      </c>
      <c r="E9" s="7">
        <f t="shared" si="0"/>
        <v>845.30270000000019</v>
      </c>
      <c r="F9" s="6">
        <f t="shared" si="1"/>
        <v>6.7396947880620415</v>
      </c>
      <c r="G9" s="7">
        <f t="shared" si="2"/>
        <v>275.56569999999988</v>
      </c>
      <c r="H9" s="7">
        <f t="shared" si="3"/>
        <v>324.23495110875058</v>
      </c>
      <c r="I9" s="7">
        <f t="shared" si="4"/>
        <v>849.89511173202698</v>
      </c>
    </row>
    <row r="10" spans="1:20" ht="16" customHeight="1" x14ac:dyDescent="0.35">
      <c r="A10" s="7">
        <v>7.1708333333299379</v>
      </c>
      <c r="B10" s="7">
        <v>705.88326666666683</v>
      </c>
      <c r="C10" s="7">
        <v>741.18690000000004</v>
      </c>
      <c r="D10" s="7">
        <v>728.02283333333344</v>
      </c>
      <c r="E10" s="7">
        <f t="shared" si="0"/>
        <v>725.03100000000006</v>
      </c>
      <c r="F10" s="6">
        <f t="shared" si="1"/>
        <v>6.5862144125612412</v>
      </c>
      <c r="G10" s="7">
        <f t="shared" si="2"/>
        <v>395.8374</v>
      </c>
      <c r="H10" s="7">
        <f t="shared" si="3"/>
        <v>578.64401827100949</v>
      </c>
      <c r="I10" s="7">
        <f t="shared" si="4"/>
        <v>684.07758051792121</v>
      </c>
    </row>
    <row r="11" spans="1:20" ht="16" customHeight="1" x14ac:dyDescent="0.35">
      <c r="A11" s="7">
        <v>7.8368055555547471</v>
      </c>
      <c r="B11" s="7">
        <v>637.07110000000011</v>
      </c>
      <c r="C11" s="7">
        <v>748.96566666666672</v>
      </c>
      <c r="D11" s="7">
        <v>731.0146666666667</v>
      </c>
      <c r="E11" s="7">
        <f t="shared" si="0"/>
        <v>705.68381111111114</v>
      </c>
      <c r="F11" s="6">
        <f t="shared" si="1"/>
        <v>6.5591672775581804</v>
      </c>
      <c r="G11" s="7">
        <f t="shared" si="2"/>
        <v>415.18458888888892</v>
      </c>
      <c r="H11" s="7">
        <f t="shared" si="3"/>
        <v>661.73237783958371</v>
      </c>
      <c r="I11" s="7">
        <f t="shared" si="4"/>
        <v>627.42069572653952</v>
      </c>
    </row>
    <row r="12" spans="1:20" ht="16" customHeight="1" x14ac:dyDescent="0.35">
      <c r="A12" s="7">
        <v>11.129166666665697</v>
      </c>
      <c r="B12" s="7">
        <v>530.03623333333303</v>
      </c>
      <c r="C12" s="7">
        <v>567.66056666666668</v>
      </c>
      <c r="D12" s="7">
        <v>599.97236666666663</v>
      </c>
      <c r="E12" s="7">
        <f t="shared" si="0"/>
        <v>565.88972222222208</v>
      </c>
      <c r="F12" s="6">
        <f t="shared" si="1"/>
        <v>6.3383992221567649</v>
      </c>
      <c r="G12" s="7">
        <f t="shared" si="2"/>
        <v>554.97867777777799</v>
      </c>
      <c r="H12" s="7">
        <f t="shared" si="3"/>
        <v>1035.8195776831249</v>
      </c>
      <c r="I12" s="7">
        <f t="shared" si="4"/>
        <v>535.78701323557675</v>
      </c>
    </row>
    <row r="13" spans="1:20" ht="16" customHeight="1" x14ac:dyDescent="0.35">
      <c r="A13" s="7">
        <v>12.162499999998545</v>
      </c>
      <c r="B13" s="7">
        <v>537.2894</v>
      </c>
      <c r="C13" s="7">
        <v>549.70956666666666</v>
      </c>
      <c r="D13" s="7">
        <v>586.20993333333342</v>
      </c>
      <c r="E13" s="7">
        <f t="shared" si="0"/>
        <v>557.73630000000003</v>
      </c>
      <c r="F13" s="6">
        <f t="shared" si="1"/>
        <v>6.3238862700347234</v>
      </c>
      <c r="G13" s="7">
        <f t="shared" si="2"/>
        <v>563.13210000000004</v>
      </c>
      <c r="H13" s="7">
        <f t="shared" si="3"/>
        <v>1131.7777824345908</v>
      </c>
      <c r="I13" s="7">
        <f t="shared" si="4"/>
        <v>497.56419390795497</v>
      </c>
    </row>
    <row r="14" spans="1:20" ht="16" customHeight="1" x14ac:dyDescent="0.35">
      <c r="A14" s="7">
        <v>14.047222222223354</v>
      </c>
      <c r="B14" s="7">
        <v>513.42750000000001</v>
      </c>
      <c r="C14" s="7">
        <v>527.56999999999994</v>
      </c>
      <c r="D14" s="7">
        <v>540.13570000000004</v>
      </c>
      <c r="E14" s="7">
        <f t="shared" si="0"/>
        <v>527.0444</v>
      </c>
      <c r="F14" s="6">
        <f t="shared" si="1"/>
        <v>6.2672847954668738</v>
      </c>
      <c r="G14" s="7">
        <f t="shared" si="2"/>
        <v>593.82400000000007</v>
      </c>
      <c r="H14" s="7">
        <f t="shared" si="3"/>
        <v>1276.6227535678811</v>
      </c>
      <c r="I14" s="7">
        <f t="shared" si="4"/>
        <v>465.15229212419405</v>
      </c>
    </row>
    <row r="15" spans="1:20" ht="16" customHeight="1" x14ac:dyDescent="0.35">
      <c r="A15" s="7">
        <v>16.088888888887595</v>
      </c>
      <c r="B15" s="7">
        <v>693.68140000000005</v>
      </c>
      <c r="C15" s="7">
        <v>603.08387333333337</v>
      </c>
      <c r="D15" s="7">
        <v>601.16910000000007</v>
      </c>
      <c r="E15" s="7">
        <f t="shared" si="0"/>
        <v>632.6447911111112</v>
      </c>
      <c r="F15" s="6">
        <f t="shared" si="1"/>
        <v>6.4499091131565205</v>
      </c>
      <c r="G15" s="7">
        <f t="shared" si="2"/>
        <v>488.22360888888886</v>
      </c>
      <c r="H15" s="7">
        <f t="shared" si="3"/>
        <v>1393.347841857209</v>
      </c>
      <c r="I15" s="7">
        <f t="shared" si="4"/>
        <v>350.39607068837176</v>
      </c>
    </row>
    <row r="16" spans="1:20" ht="16" customHeight="1" x14ac:dyDescent="0.35">
      <c r="A16" s="7">
        <v>18.084722222221899</v>
      </c>
      <c r="B16" s="7">
        <v>399.73783333333301</v>
      </c>
      <c r="C16" s="7">
        <v>366.60936666666669</v>
      </c>
      <c r="D16" s="7">
        <v>440.80683333333337</v>
      </c>
      <c r="E16" s="7">
        <f t="shared" si="0"/>
        <v>402.38467777777765</v>
      </c>
      <c r="F16" s="6">
        <f t="shared" si="1"/>
        <v>5.997408540967581</v>
      </c>
      <c r="G16" s="7">
        <f t="shared" si="2"/>
        <v>718.48372222222247</v>
      </c>
      <c r="H16" s="7">
        <f t="shared" si="3"/>
        <v>1474.5912556407347</v>
      </c>
      <c r="I16" s="7">
        <f t="shared" si="4"/>
        <v>487.24263044000571</v>
      </c>
    </row>
    <row r="17" spans="1:11" ht="16" customHeight="1" x14ac:dyDescent="0.35">
      <c r="A17" s="7">
        <v>26.190972222218988</v>
      </c>
      <c r="B17" s="7">
        <v>197.86996666666667</v>
      </c>
      <c r="C17" s="7">
        <v>325.92043333333334</v>
      </c>
      <c r="D17" s="7">
        <v>329.51063333333332</v>
      </c>
      <c r="E17" s="7">
        <f t="shared" si="0"/>
        <v>284.43367777777775</v>
      </c>
      <c r="F17" s="6">
        <f t="shared" si="1"/>
        <v>5.6505001078585</v>
      </c>
      <c r="G17" s="7">
        <f t="shared" si="2"/>
        <v>836.43472222222226</v>
      </c>
      <c r="H17" s="7">
        <f t="shared" si="3"/>
        <v>1615.7225188999064</v>
      </c>
      <c r="I17" s="7">
        <f t="shared" si="4"/>
        <v>517.68463485408608</v>
      </c>
    </row>
    <row r="18" spans="1:11" ht="16" customHeight="1" x14ac:dyDescent="0.35">
      <c r="A18" s="7">
        <v>28.178472222221899</v>
      </c>
      <c r="B18" s="7">
        <v>199.0667</v>
      </c>
      <c r="C18" s="7">
        <v>318.14166666666665</v>
      </c>
      <c r="D18" s="7">
        <v>336.69103333333334</v>
      </c>
      <c r="E18" s="7">
        <f t="shared" si="0"/>
        <v>284.63313333333332</v>
      </c>
      <c r="F18" s="6">
        <f t="shared" si="1"/>
        <v>5.6512010995868129</v>
      </c>
      <c r="G18" s="7">
        <f t="shared" si="2"/>
        <v>836.2352666666668</v>
      </c>
      <c r="H18" s="7">
        <f t="shared" si="3"/>
        <v>1627.4622921291211</v>
      </c>
      <c r="I18" s="7">
        <f t="shared" si="4"/>
        <v>513.82773703018654</v>
      </c>
    </row>
    <row r="19" spans="1:11" ht="16" customHeight="1" x14ac:dyDescent="0.35">
      <c r="A19" s="7">
        <v>32.662499999998545</v>
      </c>
      <c r="B19" s="7">
        <v>187.69773333333333</v>
      </c>
      <c r="C19" s="7">
        <v>181.71406666666667</v>
      </c>
      <c r="D19" s="7">
        <v>179.32060000000001</v>
      </c>
      <c r="E19" s="7">
        <f t="shared" si="0"/>
        <v>182.91079999999999</v>
      </c>
      <c r="F19" s="6">
        <f t="shared" si="1"/>
        <v>5.2089986023139865</v>
      </c>
      <c r="G19" s="7">
        <f t="shared" si="2"/>
        <v>937.95760000000007</v>
      </c>
      <c r="H19" s="7">
        <f t="shared" si="3"/>
        <v>1641.6813398039199</v>
      </c>
      <c r="I19" s="7">
        <f t="shared" si="4"/>
        <v>571.33962435854232</v>
      </c>
    </row>
    <row r="20" spans="1:11" ht="16" customHeight="1" x14ac:dyDescent="0.5">
      <c r="A20" s="2"/>
    </row>
    <row r="21" spans="1:11" ht="16" customHeight="1" x14ac:dyDescent="0.5">
      <c r="A21" s="2"/>
      <c r="B21" s="55" t="s">
        <v>69</v>
      </c>
      <c r="C21" s="55"/>
      <c r="D21" s="55"/>
    </row>
    <row r="22" spans="1:11" ht="16" customHeight="1" x14ac:dyDescent="0.35">
      <c r="A22" s="1" t="s">
        <v>65</v>
      </c>
      <c r="B22" s="10" t="s">
        <v>1</v>
      </c>
      <c r="C22" s="10" t="s">
        <v>2</v>
      </c>
      <c r="D22" s="10" t="s">
        <v>3</v>
      </c>
      <c r="E22" s="10" t="s">
        <v>41</v>
      </c>
      <c r="I22" s="1" t="s">
        <v>109</v>
      </c>
    </row>
    <row r="23" spans="1:11" ht="16" customHeight="1" x14ac:dyDescent="0.35">
      <c r="A23" s="7">
        <v>0</v>
      </c>
      <c r="B23" s="7">
        <v>20.399463391010336</v>
      </c>
      <c r="C23" s="7">
        <v>20.399463391010336</v>
      </c>
      <c r="D23" s="7">
        <v>20.399463391010336</v>
      </c>
      <c r="E23" s="7">
        <f>AVERAGE(B23:D23)</f>
        <v>20.399463391010336</v>
      </c>
    </row>
    <row r="24" spans="1:11" ht="16" customHeight="1" x14ac:dyDescent="0.35">
      <c r="A24" s="7">
        <v>1</v>
      </c>
      <c r="B24" s="7">
        <v>45.864709793838337</v>
      </c>
      <c r="C24" s="7">
        <v>45.864709793838337</v>
      </c>
      <c r="D24" s="7">
        <v>45.864709793838337</v>
      </c>
      <c r="E24" s="7">
        <f t="shared" ref="E24:E37" si="5">AVERAGE(B24:D24)</f>
        <v>45.864709793838337</v>
      </c>
      <c r="I24" t="s">
        <v>1</v>
      </c>
      <c r="J24" s="18">
        <f>ABS(N43)</f>
        <v>5.6605250351865026E-2</v>
      </c>
      <c r="K24" t="s">
        <v>14</v>
      </c>
    </row>
    <row r="25" spans="1:11" ht="16" customHeight="1" x14ac:dyDescent="0.35">
      <c r="A25" s="7">
        <v>2.1583333333328483</v>
      </c>
      <c r="B25" s="7">
        <v>97.496830881182944</v>
      </c>
      <c r="C25" s="7">
        <v>97.496830881182944</v>
      </c>
      <c r="D25" s="7">
        <v>97.496830881182944</v>
      </c>
      <c r="E25" s="7">
        <f t="shared" si="5"/>
        <v>97.49683088118293</v>
      </c>
      <c r="I25" t="s">
        <v>2</v>
      </c>
      <c r="J25" s="18">
        <f>ABS(N61)</f>
        <v>4.7781942144496423E-2</v>
      </c>
      <c r="K25" t="s">
        <v>14</v>
      </c>
    </row>
    <row r="26" spans="1:11" ht="16" customHeight="1" x14ac:dyDescent="0.35">
      <c r="A26" s="7">
        <v>3.0916666666671517</v>
      </c>
      <c r="B26" s="7">
        <v>159.29104857285168</v>
      </c>
      <c r="C26" s="7">
        <v>159.29104857285168</v>
      </c>
      <c r="D26" s="7">
        <v>159.29104857285168</v>
      </c>
      <c r="E26" s="7">
        <f t="shared" si="5"/>
        <v>159.29104857285168</v>
      </c>
      <c r="I26" t="s">
        <v>3</v>
      </c>
      <c r="J26" s="18">
        <f>ABS(N79)</f>
        <v>4.7929194698964568E-2</v>
      </c>
      <c r="K26" t="s">
        <v>14</v>
      </c>
    </row>
    <row r="27" spans="1:11" ht="16" customHeight="1" x14ac:dyDescent="0.35">
      <c r="A27" s="7">
        <v>5.0499999999956344</v>
      </c>
      <c r="B27" s="7">
        <v>344.63441449976091</v>
      </c>
      <c r="C27" s="7">
        <v>344.63441449976091</v>
      </c>
      <c r="D27" s="7">
        <v>344.63441449976091</v>
      </c>
      <c r="E27" s="7">
        <f t="shared" si="5"/>
        <v>344.63441449976091</v>
      </c>
      <c r="I27" t="s">
        <v>21</v>
      </c>
      <c r="J27" s="18">
        <f>ABS(S6)</f>
        <v>5.0357514850373278E-2</v>
      </c>
      <c r="K27" t="s">
        <v>14</v>
      </c>
    </row>
    <row r="28" spans="1:11" ht="16" customHeight="1" x14ac:dyDescent="0.35">
      <c r="A28" s="7">
        <v>7.1708333333299379</v>
      </c>
      <c r="B28" s="7">
        <v>599.04348166201987</v>
      </c>
      <c r="C28" s="7">
        <v>599.04348166201987</v>
      </c>
      <c r="D28" s="7">
        <v>599.04348166201987</v>
      </c>
      <c r="E28" s="7">
        <f t="shared" si="5"/>
        <v>599.04348166201987</v>
      </c>
      <c r="I28" t="s">
        <v>24</v>
      </c>
      <c r="J28" s="18">
        <f>_xlfn.STDEV.S(J24:J26)</f>
        <v>5.0521677315986764E-3</v>
      </c>
      <c r="K28" t="s">
        <v>14</v>
      </c>
    </row>
    <row r="29" spans="1:11" ht="16" customHeight="1" x14ac:dyDescent="0.35">
      <c r="A29" s="7">
        <v>7.8368055555547471</v>
      </c>
      <c r="B29" s="7">
        <v>682.13184123059409</v>
      </c>
      <c r="C29" s="7">
        <v>682.13184123059409</v>
      </c>
      <c r="D29" s="7">
        <v>682.13184123059409</v>
      </c>
      <c r="E29" s="7">
        <f t="shared" si="5"/>
        <v>682.13184123059409</v>
      </c>
      <c r="I29" t="s">
        <v>22</v>
      </c>
      <c r="J29" s="18">
        <f>J28/SQRT(3)</f>
        <v>2.9168703998296371E-3</v>
      </c>
      <c r="K29" t="s">
        <v>14</v>
      </c>
    </row>
    <row r="30" spans="1:11" ht="16" customHeight="1" x14ac:dyDescent="0.35">
      <c r="A30" s="7">
        <v>11.129166666665697</v>
      </c>
      <c r="B30" s="7">
        <v>1056.2190410741352</v>
      </c>
      <c r="C30" s="7">
        <v>1056.2190410741352</v>
      </c>
      <c r="D30" s="7">
        <v>1056.2190410741352</v>
      </c>
      <c r="E30" s="7">
        <f t="shared" si="5"/>
        <v>1056.2190410741352</v>
      </c>
    </row>
    <row r="31" spans="1:11" ht="16" customHeight="1" x14ac:dyDescent="0.35">
      <c r="A31" s="7">
        <v>12.162499999998545</v>
      </c>
      <c r="B31" s="7">
        <v>1152.1772458256012</v>
      </c>
      <c r="C31" s="7">
        <v>1152.1772458256012</v>
      </c>
      <c r="D31" s="7">
        <v>1152.1772458256012</v>
      </c>
      <c r="E31" s="7">
        <f t="shared" si="5"/>
        <v>1152.1772458256012</v>
      </c>
    </row>
    <row r="32" spans="1:11" ht="16" customHeight="1" x14ac:dyDescent="0.35">
      <c r="A32" s="7">
        <v>14.047222222223354</v>
      </c>
      <c r="B32" s="7">
        <v>1297.0222169588915</v>
      </c>
      <c r="C32" s="7">
        <v>1297.0222169588915</v>
      </c>
      <c r="D32" s="7">
        <v>1297.0222169588915</v>
      </c>
      <c r="E32" s="7">
        <f t="shared" si="5"/>
        <v>1297.0222169588915</v>
      </c>
    </row>
    <row r="33" spans="1:15" ht="16" customHeight="1" x14ac:dyDescent="0.35">
      <c r="A33" s="7">
        <v>16.088888888887595</v>
      </c>
      <c r="B33" s="7">
        <v>1413.7473052482196</v>
      </c>
      <c r="C33" s="7">
        <v>1413.7473052482196</v>
      </c>
      <c r="D33" s="7">
        <v>1413.7473052482196</v>
      </c>
      <c r="E33" s="7">
        <f t="shared" si="5"/>
        <v>1413.7473052482194</v>
      </c>
    </row>
    <row r="34" spans="1:15" ht="16" customHeight="1" x14ac:dyDescent="0.35">
      <c r="A34" s="7">
        <v>18.084722222221899</v>
      </c>
      <c r="B34" s="7">
        <v>1494.9907190317451</v>
      </c>
      <c r="C34" s="7">
        <v>1494.9907190317451</v>
      </c>
      <c r="D34" s="7">
        <v>1494.9907190317451</v>
      </c>
      <c r="E34" s="7">
        <f t="shared" si="5"/>
        <v>1494.9907190317451</v>
      </c>
    </row>
    <row r="35" spans="1:15" ht="16" customHeight="1" x14ac:dyDescent="0.35">
      <c r="A35" s="7">
        <v>26.190972222218988</v>
      </c>
      <c r="B35" s="7">
        <v>1636.1219822909168</v>
      </c>
      <c r="C35" s="7">
        <v>1636.1219822909168</v>
      </c>
      <c r="D35" s="7">
        <v>1636.1219822909168</v>
      </c>
      <c r="E35" s="7">
        <f t="shared" si="5"/>
        <v>1636.1219822909168</v>
      </c>
    </row>
    <row r="36" spans="1:15" ht="16" customHeight="1" x14ac:dyDescent="0.35">
      <c r="A36" s="7">
        <v>28.178472222221899</v>
      </c>
      <c r="B36" s="7">
        <v>1647.8617555201313</v>
      </c>
      <c r="C36" s="7">
        <v>1647.8617555201313</v>
      </c>
      <c r="D36" s="7">
        <v>1647.8617555201313</v>
      </c>
      <c r="E36" s="7">
        <f t="shared" si="5"/>
        <v>1647.8617555201315</v>
      </c>
    </row>
    <row r="37" spans="1:15" ht="16" customHeight="1" x14ac:dyDescent="0.35">
      <c r="A37" s="7">
        <v>32.662499999998545</v>
      </c>
      <c r="B37" s="7">
        <v>1662.0808031949305</v>
      </c>
      <c r="C37" s="7">
        <v>1662.0808031949305</v>
      </c>
      <c r="D37" s="7">
        <v>1662.0808031949305</v>
      </c>
      <c r="E37" s="7">
        <f t="shared" si="5"/>
        <v>1662.0808031949302</v>
      </c>
    </row>
    <row r="38" spans="1:15" ht="16" customHeight="1" x14ac:dyDescent="0.5">
      <c r="A38" s="2"/>
    </row>
    <row r="39" spans="1:15" ht="16" customHeight="1" x14ac:dyDescent="0.5">
      <c r="A39" s="2"/>
    </row>
    <row r="40" spans="1:15" ht="16" customHeight="1" x14ac:dyDescent="0.5">
      <c r="A40" s="2"/>
    </row>
    <row r="41" spans="1:15" ht="16" customHeight="1" x14ac:dyDescent="0.35">
      <c r="A41" s="55" t="s">
        <v>35</v>
      </c>
      <c r="B41" s="55"/>
      <c r="C41" s="55"/>
      <c r="D41" s="55"/>
      <c r="E41" s="55"/>
      <c r="F41" s="55"/>
      <c r="G41" s="55"/>
      <c r="H41" s="55"/>
      <c r="I41" s="55"/>
    </row>
    <row r="42" spans="1:15" ht="31" x14ac:dyDescent="0.35">
      <c r="A42" s="19" t="s">
        <v>65</v>
      </c>
      <c r="B42" s="19" t="s">
        <v>30</v>
      </c>
      <c r="C42" s="19" t="s">
        <v>66</v>
      </c>
      <c r="D42" s="19" t="s">
        <v>67</v>
      </c>
      <c r="E42" s="19" t="s">
        <v>78</v>
      </c>
      <c r="F42" s="19" t="s">
        <v>75</v>
      </c>
      <c r="G42" s="20" t="s">
        <v>76</v>
      </c>
      <c r="H42" s="20" t="s">
        <v>71</v>
      </c>
      <c r="I42" s="20" t="s">
        <v>77</v>
      </c>
    </row>
    <row r="43" spans="1:15" ht="16.5" x14ac:dyDescent="0.35">
      <c r="A43" s="7">
        <v>0</v>
      </c>
      <c r="B43" s="6">
        <f t="shared" ref="B43:B57" si="6">2.318*(1-EXP(-0.471*A43/2.318))</f>
        <v>0</v>
      </c>
      <c r="C43" s="6">
        <f>'Growth rates'!$G$6*EXP(B43)</f>
        <v>0.14940000000000003</v>
      </c>
      <c r="D43" s="7">
        <f t="shared" ref="D43:D57" si="7">EXP(6.6292056+1.9008173*LN(C43))</f>
        <v>20.399463391010336</v>
      </c>
      <c r="E43" s="7">
        <v>1203.0125</v>
      </c>
      <c r="F43" s="6">
        <f>LN(E43)</f>
        <v>7.0925841066106381</v>
      </c>
      <c r="G43" s="7">
        <f>$E$43-E43</f>
        <v>0</v>
      </c>
      <c r="H43" s="7">
        <f>D43-$D$43</f>
        <v>0</v>
      </c>
      <c r="I43" s="7"/>
      <c r="M43" s="3" t="s">
        <v>45</v>
      </c>
      <c r="N43" s="6">
        <f>SLOPE(F43:F57,A43:A57)</f>
        <v>-5.6605250351865026E-2</v>
      </c>
      <c r="O43" t="s">
        <v>14</v>
      </c>
    </row>
    <row r="44" spans="1:15" ht="17.5" x14ac:dyDescent="0.45">
      <c r="A44" s="7">
        <v>1</v>
      </c>
      <c r="B44" s="6">
        <f t="shared" si="6"/>
        <v>0.42623106144945755</v>
      </c>
      <c r="C44" s="6">
        <f>'Growth rates'!$G$6*EXP(B44)</f>
        <v>0.22880230508982274</v>
      </c>
      <c r="D44" s="7">
        <f t="shared" si="7"/>
        <v>45.864709793838337</v>
      </c>
      <c r="E44" s="7">
        <v>1138.5023666666666</v>
      </c>
      <c r="F44" s="6">
        <f t="shared" ref="F44:F57" si="8">LN(E44)</f>
        <v>7.0374689642602339</v>
      </c>
      <c r="G44" s="7">
        <f t="shared" ref="G44:G57" si="9">$E$43-E44</f>
        <v>64.510133333333442</v>
      </c>
      <c r="H44" s="7">
        <f t="shared" ref="H44:H57" si="10">D44-$D$43</f>
        <v>25.465246402828001</v>
      </c>
      <c r="I44" s="7">
        <f>G44/H44*1000</f>
        <v>2533.2616976433173</v>
      </c>
      <c r="M44" s="3" t="s">
        <v>79</v>
      </c>
      <c r="N44" s="6">
        <f>INTERCEPT(F43:F57,A43:A57)</f>
        <v>6.9931460506399405</v>
      </c>
      <c r="O44" t="s">
        <v>44</v>
      </c>
    </row>
    <row r="45" spans="1:15" ht="17.5" x14ac:dyDescent="0.45">
      <c r="A45" s="7">
        <v>2.1583333333328483</v>
      </c>
      <c r="B45" s="6">
        <f t="shared" si="6"/>
        <v>0.8229677189653295</v>
      </c>
      <c r="C45" s="6">
        <f>'Growth rates'!$G$6*EXP(B45)</f>
        <v>0.34022085888055764</v>
      </c>
      <c r="D45" s="7">
        <f t="shared" si="7"/>
        <v>97.496830881182944</v>
      </c>
      <c r="E45" s="7">
        <v>756.74443333333329</v>
      </c>
      <c r="F45" s="6">
        <f t="shared" si="8"/>
        <v>6.6290255918567125</v>
      </c>
      <c r="G45" s="7">
        <f t="shared" si="9"/>
        <v>446.26806666666675</v>
      </c>
      <c r="H45" s="7">
        <f t="shared" si="10"/>
        <v>77.097367490172616</v>
      </c>
      <c r="I45" s="7">
        <f t="shared" ref="I45:I57" si="11">G45/H45*1000</f>
        <v>5788.3697095565722</v>
      </c>
      <c r="M45" s="3" t="s">
        <v>80</v>
      </c>
      <c r="N45">
        <f>EXP(N44)</f>
        <v>1089.1425896071628</v>
      </c>
      <c r="O45" t="s">
        <v>44</v>
      </c>
    </row>
    <row r="46" spans="1:15" x14ac:dyDescent="0.35">
      <c r="A46" s="7">
        <v>3.0916666666671517</v>
      </c>
      <c r="B46" s="6">
        <f t="shared" si="6"/>
        <v>1.0812319663412016</v>
      </c>
      <c r="C46" s="6">
        <f>'Growth rates'!$G$6*EXP(B46)</f>
        <v>0.44047744418635826</v>
      </c>
      <c r="D46" s="7">
        <f t="shared" si="7"/>
        <v>159.29104857285168</v>
      </c>
      <c r="E46" s="7">
        <v>870.43410000000006</v>
      </c>
      <c r="F46" s="6">
        <f t="shared" si="8"/>
        <v>6.76899205272397</v>
      </c>
      <c r="G46" s="7">
        <f t="shared" si="9"/>
        <v>332.57839999999999</v>
      </c>
      <c r="H46" s="7">
        <f t="shared" si="10"/>
        <v>138.89158518184135</v>
      </c>
      <c r="I46" s="7">
        <f t="shared" si="11"/>
        <v>2394.51799448165</v>
      </c>
    </row>
    <row r="47" spans="1:15" x14ac:dyDescent="0.35">
      <c r="A47" s="7">
        <v>5.0499999999956344</v>
      </c>
      <c r="B47" s="6">
        <f t="shared" si="6"/>
        <v>1.4872421410135268</v>
      </c>
      <c r="C47" s="6">
        <f>'Growth rates'!$G$6*EXP(B47)</f>
        <v>0.66107639873659207</v>
      </c>
      <c r="D47" s="7">
        <f t="shared" si="7"/>
        <v>344.63441449976091</v>
      </c>
      <c r="E47" s="7">
        <v>845.30270000000007</v>
      </c>
      <c r="F47" s="6">
        <f t="shared" si="8"/>
        <v>6.7396947880620415</v>
      </c>
      <c r="G47" s="7">
        <f t="shared" si="9"/>
        <v>357.70979999999997</v>
      </c>
      <c r="H47" s="7">
        <f t="shared" si="10"/>
        <v>324.23495110875058</v>
      </c>
      <c r="I47" s="7">
        <f t="shared" si="11"/>
        <v>1103.2425677021529</v>
      </c>
    </row>
    <row r="48" spans="1:15" x14ac:dyDescent="0.35">
      <c r="A48" s="7">
        <v>7.1708333333299379</v>
      </c>
      <c r="B48" s="6">
        <f t="shared" si="6"/>
        <v>1.7780907137996165</v>
      </c>
      <c r="C48" s="6">
        <f>'Growth rates'!$G$6*EXP(B48)</f>
        <v>0.88423068678738492</v>
      </c>
      <c r="D48" s="7">
        <f t="shared" si="7"/>
        <v>599.04348166201987</v>
      </c>
      <c r="E48" s="7">
        <v>705.88326666666683</v>
      </c>
      <c r="F48" s="6">
        <f t="shared" si="8"/>
        <v>6.559449879157528</v>
      </c>
      <c r="G48" s="7">
        <f t="shared" si="9"/>
        <v>497.12923333333322</v>
      </c>
      <c r="H48" s="7">
        <f t="shared" si="10"/>
        <v>578.64401827100949</v>
      </c>
      <c r="I48" s="7">
        <f t="shared" si="11"/>
        <v>859.12792258486877</v>
      </c>
    </row>
    <row r="49" spans="1:15" x14ac:dyDescent="0.35">
      <c r="A49" s="7">
        <v>7.8368055555547471</v>
      </c>
      <c r="B49" s="6">
        <f t="shared" si="6"/>
        <v>1.8464238296893798</v>
      </c>
      <c r="C49" s="6">
        <f>'Growth rates'!$G$6*EXP(B49)</f>
        <v>0.94676518183188751</v>
      </c>
      <c r="D49" s="7">
        <f t="shared" si="7"/>
        <v>682.13184123059409</v>
      </c>
      <c r="E49" s="7">
        <v>637.07110000000011</v>
      </c>
      <c r="F49" s="6">
        <f t="shared" si="8"/>
        <v>6.4568812662979287</v>
      </c>
      <c r="G49" s="7">
        <f t="shared" si="9"/>
        <v>565.94139999999993</v>
      </c>
      <c r="H49" s="7">
        <f t="shared" si="10"/>
        <v>661.73237783958371</v>
      </c>
      <c r="I49" s="7">
        <f t="shared" si="11"/>
        <v>855.24211743677847</v>
      </c>
    </row>
    <row r="50" spans="1:15" x14ac:dyDescent="0.35">
      <c r="A50" s="7">
        <v>11.129166666665697</v>
      </c>
      <c r="B50" s="6">
        <f t="shared" si="6"/>
        <v>2.0764448386881753</v>
      </c>
      <c r="C50" s="6">
        <f>'Growth rates'!$G$6*EXP(B50)</f>
        <v>1.1916237018124374</v>
      </c>
      <c r="D50" s="7">
        <f t="shared" si="7"/>
        <v>1056.2190410741352</v>
      </c>
      <c r="E50" s="7">
        <v>530.03623333333303</v>
      </c>
      <c r="F50" s="6">
        <f t="shared" si="8"/>
        <v>6.2729453689892765</v>
      </c>
      <c r="G50" s="7">
        <f t="shared" si="9"/>
        <v>672.97626666666702</v>
      </c>
      <c r="H50" s="7">
        <f t="shared" si="10"/>
        <v>1035.8195776831249</v>
      </c>
      <c r="I50" s="7">
        <f t="shared" si="11"/>
        <v>649.7041387960154</v>
      </c>
    </row>
    <row r="51" spans="1:15" x14ac:dyDescent="0.35">
      <c r="A51" s="7">
        <v>12.162499999998545</v>
      </c>
      <c r="B51" s="6">
        <f t="shared" si="6"/>
        <v>2.1221924340137086</v>
      </c>
      <c r="C51" s="6">
        <f>'Growth rates'!$G$6*EXP(B51)</f>
        <v>1.2474037953704653</v>
      </c>
      <c r="D51" s="7">
        <f t="shared" si="7"/>
        <v>1152.1772458256012</v>
      </c>
      <c r="E51" s="7">
        <v>537.2894</v>
      </c>
      <c r="F51" s="6">
        <f t="shared" si="8"/>
        <v>6.2865368692691863</v>
      </c>
      <c r="G51" s="7">
        <f t="shared" si="9"/>
        <v>665.72310000000004</v>
      </c>
      <c r="H51" s="7">
        <f t="shared" si="10"/>
        <v>1131.7777824345908</v>
      </c>
      <c r="I51" s="7">
        <f t="shared" si="11"/>
        <v>588.21008004588066</v>
      </c>
    </row>
    <row r="52" spans="1:15" x14ac:dyDescent="0.35">
      <c r="A52" s="7">
        <v>14.047222222223354</v>
      </c>
      <c r="B52" s="6">
        <f t="shared" si="6"/>
        <v>2.18449070172381</v>
      </c>
      <c r="C52" s="6">
        <f>'Growth rates'!$G$6*EXP(B52)</f>
        <v>1.3275865841078238</v>
      </c>
      <c r="D52" s="7">
        <f t="shared" si="7"/>
        <v>1297.0222169588915</v>
      </c>
      <c r="E52" s="7">
        <v>513.42750000000001</v>
      </c>
      <c r="F52" s="6">
        <f t="shared" si="8"/>
        <v>6.2411088314746612</v>
      </c>
      <c r="G52" s="7">
        <f t="shared" si="9"/>
        <v>689.58500000000004</v>
      </c>
      <c r="H52" s="7">
        <f t="shared" si="10"/>
        <v>1276.6227535678811</v>
      </c>
      <c r="I52" s="7">
        <f t="shared" si="11"/>
        <v>540.16348844853428</v>
      </c>
    </row>
    <row r="53" spans="1:15" x14ac:dyDescent="0.35">
      <c r="A53" s="7">
        <v>16.088888888887595</v>
      </c>
      <c r="B53" s="6">
        <f t="shared" si="6"/>
        <v>2.229825309978235</v>
      </c>
      <c r="C53" s="6">
        <f>'Growth rates'!$G$6*EXP(B53)</f>
        <v>1.3891572991586072</v>
      </c>
      <c r="D53" s="7">
        <f t="shared" si="7"/>
        <v>1413.7473052482196</v>
      </c>
      <c r="E53" s="7">
        <v>693.68140000000005</v>
      </c>
      <c r="F53" s="6">
        <f t="shared" si="8"/>
        <v>6.5420127772885266</v>
      </c>
      <c r="G53" s="7">
        <f t="shared" si="9"/>
        <v>509.33109999999999</v>
      </c>
      <c r="H53" s="7">
        <f t="shared" si="10"/>
        <v>1393.3478418572092</v>
      </c>
      <c r="I53" s="7">
        <f t="shared" si="11"/>
        <v>365.54483001251629</v>
      </c>
    </row>
    <row r="54" spans="1:15" x14ac:dyDescent="0.35">
      <c r="A54" s="7">
        <v>18.084722222221899</v>
      </c>
      <c r="B54" s="6">
        <f t="shared" si="6"/>
        <v>2.2592211685247334</v>
      </c>
      <c r="C54" s="6">
        <f>'Growth rates'!$G$6*EXP(B54)</f>
        <v>1.4305988920710675</v>
      </c>
      <c r="D54" s="7">
        <f t="shared" si="7"/>
        <v>1494.9907190317451</v>
      </c>
      <c r="E54" s="7">
        <v>399.73783333333301</v>
      </c>
      <c r="F54" s="6">
        <f t="shared" si="8"/>
        <v>5.9908089155619155</v>
      </c>
      <c r="G54" s="7">
        <f t="shared" si="9"/>
        <v>803.27466666666703</v>
      </c>
      <c r="H54" s="7">
        <f t="shared" si="10"/>
        <v>1474.5912556407347</v>
      </c>
      <c r="I54" s="7">
        <f t="shared" si="11"/>
        <v>544.74395097211584</v>
      </c>
    </row>
    <row r="55" spans="1:15" x14ac:dyDescent="0.35">
      <c r="A55" s="7">
        <v>26.190972222218988</v>
      </c>
      <c r="B55" s="6">
        <f t="shared" si="6"/>
        <v>2.3066790688109196</v>
      </c>
      <c r="C55" s="6">
        <f>'Growth rates'!$G$6*EXP(B55)</f>
        <v>1.5001289371702833</v>
      </c>
      <c r="D55" s="7">
        <f t="shared" si="7"/>
        <v>1636.1219822909168</v>
      </c>
      <c r="E55" s="7">
        <v>197.86996666666667</v>
      </c>
      <c r="F55" s="6">
        <f t="shared" si="8"/>
        <v>5.2876100809435602</v>
      </c>
      <c r="G55" s="7">
        <f t="shared" si="9"/>
        <v>1005.1425333333334</v>
      </c>
      <c r="H55" s="7">
        <f t="shared" si="10"/>
        <v>1615.7225188999064</v>
      </c>
      <c r="I55" s="7">
        <f t="shared" si="11"/>
        <v>622.10096200039516</v>
      </c>
    </row>
    <row r="56" spans="1:15" x14ac:dyDescent="0.35">
      <c r="A56" s="7">
        <v>28.178472222221899</v>
      </c>
      <c r="B56" s="6">
        <f t="shared" si="6"/>
        <v>2.3104404745239289</v>
      </c>
      <c r="C56" s="6">
        <f>'Growth rates'!$G$6*EXP(B56)</f>
        <v>1.5057821560845417</v>
      </c>
      <c r="D56" s="7">
        <f t="shared" si="7"/>
        <v>1647.8617555201313</v>
      </c>
      <c r="E56" s="7">
        <v>199.0667</v>
      </c>
      <c r="F56" s="6">
        <f t="shared" si="8"/>
        <v>5.2936399444450029</v>
      </c>
      <c r="G56" s="7">
        <f t="shared" si="9"/>
        <v>1003.9458000000001</v>
      </c>
      <c r="H56" s="7">
        <f t="shared" si="10"/>
        <v>1627.4622921291209</v>
      </c>
      <c r="I56" s="7">
        <f t="shared" si="11"/>
        <v>616.87807137245079</v>
      </c>
    </row>
    <row r="57" spans="1:15" x14ac:dyDescent="0.35">
      <c r="A57" s="7">
        <v>32.662499999998545</v>
      </c>
      <c r="B57" s="6">
        <f t="shared" si="6"/>
        <v>2.3149605152157968</v>
      </c>
      <c r="C57" s="6">
        <f>'Growth rates'!$G$6*EXP(B57)</f>
        <v>1.5126037580481522</v>
      </c>
      <c r="D57" s="7">
        <f t="shared" si="7"/>
        <v>1662.0808031949305</v>
      </c>
      <c r="E57" s="7">
        <v>187.69773333333333</v>
      </c>
      <c r="F57" s="6">
        <f t="shared" si="8"/>
        <v>5.2348328675117335</v>
      </c>
      <c r="G57" s="7">
        <f t="shared" si="9"/>
        <v>1015.3147666666667</v>
      </c>
      <c r="H57" s="7">
        <f t="shared" si="10"/>
        <v>1641.6813398039201</v>
      </c>
      <c r="I57" s="7">
        <f t="shared" si="11"/>
        <v>618.46031994731356</v>
      </c>
    </row>
    <row r="58" spans="1:15" x14ac:dyDescent="0.35">
      <c r="A58" s="7"/>
      <c r="D58" s="7"/>
      <c r="E58" s="7"/>
    </row>
    <row r="59" spans="1:15" x14ac:dyDescent="0.35">
      <c r="A59" s="55" t="s">
        <v>36</v>
      </c>
      <c r="B59" s="55"/>
      <c r="C59" s="55"/>
      <c r="D59" s="55"/>
      <c r="E59" s="55"/>
      <c r="F59" s="55"/>
      <c r="G59" s="55"/>
      <c r="H59" s="55"/>
      <c r="I59" s="55"/>
    </row>
    <row r="60" spans="1:15" ht="31" x14ac:dyDescent="0.35">
      <c r="A60" s="19" t="s">
        <v>65</v>
      </c>
      <c r="B60" s="19" t="s">
        <v>30</v>
      </c>
      <c r="C60" s="19" t="s">
        <v>66</v>
      </c>
      <c r="D60" s="19" t="s">
        <v>67</v>
      </c>
      <c r="E60" s="19" t="s">
        <v>78</v>
      </c>
      <c r="F60" s="19" t="s">
        <v>75</v>
      </c>
      <c r="G60" s="20" t="s">
        <v>76</v>
      </c>
      <c r="H60" s="20" t="s">
        <v>71</v>
      </c>
      <c r="I60" s="20" t="s">
        <v>77</v>
      </c>
    </row>
    <row r="61" spans="1:15" ht="16.5" x14ac:dyDescent="0.35">
      <c r="A61" s="7">
        <v>0</v>
      </c>
      <c r="B61" s="6">
        <f t="shared" ref="B61:B75" si="12">2.318*(1-EXP(-0.471*A61/2.318))</f>
        <v>0</v>
      </c>
      <c r="C61" s="6">
        <f>'Growth rates'!$G$6*EXP(B61)</f>
        <v>0.14940000000000003</v>
      </c>
      <c r="D61" s="7">
        <f t="shared" ref="D61:D75" si="13">EXP(6.6292056+1.9008173*LN(C61))</f>
        <v>20.399463391010336</v>
      </c>
      <c r="E61" s="7">
        <v>1009.5691</v>
      </c>
      <c r="F61" s="6">
        <f>LN(E61)</f>
        <v>6.9172788851379048</v>
      </c>
      <c r="G61" s="7">
        <f>$E$61-E61</f>
        <v>0</v>
      </c>
      <c r="H61" s="7">
        <f>D61-$D$61</f>
        <v>0</v>
      </c>
      <c r="I61" s="7"/>
      <c r="M61" s="3" t="s">
        <v>45</v>
      </c>
      <c r="N61" s="6">
        <f>SLOPE(F61:F75,A61:A75)</f>
        <v>-4.7781942144496423E-2</v>
      </c>
      <c r="O61" t="s">
        <v>14</v>
      </c>
    </row>
    <row r="62" spans="1:15" ht="17.5" x14ac:dyDescent="0.45">
      <c r="A62" s="7">
        <v>1</v>
      </c>
      <c r="B62" s="6">
        <f t="shared" si="12"/>
        <v>0.42623106144945755</v>
      </c>
      <c r="C62" s="6">
        <f>'Growth rates'!$G$6*EXP(B62)</f>
        <v>0.22880230508982274</v>
      </c>
      <c r="D62" s="7">
        <f t="shared" si="13"/>
        <v>45.864709793838337</v>
      </c>
      <c r="E62" s="7">
        <v>908.72956666666664</v>
      </c>
      <c r="F62" s="6">
        <f t="shared" ref="F62:F75" si="14">LN(E62)</f>
        <v>6.812047543496357</v>
      </c>
      <c r="G62" s="7">
        <f t="shared" ref="G62:G75" si="15">$E$61-E62</f>
        <v>100.83953333333341</v>
      </c>
      <c r="H62" s="7">
        <f t="shared" ref="H62:H75" si="16">D62-$D$61</f>
        <v>25.465246402828001</v>
      </c>
      <c r="I62" s="7">
        <f>G62/H62*1000</f>
        <v>3959.8883803509884</v>
      </c>
      <c r="M62" s="3" t="s">
        <v>79</v>
      </c>
      <c r="N62" s="6">
        <f>INTERCEPT(F61:F75,A61:A75)</f>
        <v>6.9505714157093923</v>
      </c>
      <c r="O62" t="s">
        <v>44</v>
      </c>
    </row>
    <row r="63" spans="1:15" ht="17.5" x14ac:dyDescent="0.45">
      <c r="A63" s="7">
        <v>2.1583333333328483</v>
      </c>
      <c r="B63" s="6">
        <f t="shared" si="12"/>
        <v>0.8229677189653295</v>
      </c>
      <c r="C63" s="6">
        <f>'Growth rates'!$G$6*EXP(B63)</f>
        <v>0.34022085888055764</v>
      </c>
      <c r="D63" s="7">
        <f t="shared" si="13"/>
        <v>97.496830881182944</v>
      </c>
      <c r="E63" s="7">
        <v>985.42886666667005</v>
      </c>
      <c r="F63" s="6">
        <f t="shared" si="14"/>
        <v>6.8930769440451813</v>
      </c>
      <c r="G63" s="7">
        <f t="shared" si="15"/>
        <v>24.140233333330002</v>
      </c>
      <c r="H63" s="7">
        <f t="shared" si="16"/>
        <v>77.097367490172616</v>
      </c>
      <c r="I63" s="7">
        <f t="shared" ref="I63:I75" si="17">G63/H63*1000</f>
        <v>313.11358765144723</v>
      </c>
      <c r="M63" s="3" t="s">
        <v>80</v>
      </c>
      <c r="N63">
        <f>EXP(N62)</f>
        <v>1043.745970657169</v>
      </c>
      <c r="O63" t="s">
        <v>44</v>
      </c>
    </row>
    <row r="64" spans="1:15" x14ac:dyDescent="0.35">
      <c r="A64" s="7">
        <v>3.0916666666671517</v>
      </c>
      <c r="B64" s="6">
        <f t="shared" si="12"/>
        <v>1.0812319663412016</v>
      </c>
      <c r="C64" s="6">
        <f>'Growth rates'!$G$6*EXP(B64)</f>
        <v>0.44047744418635826</v>
      </c>
      <c r="D64" s="7">
        <f t="shared" si="13"/>
        <v>159.29104857285168</v>
      </c>
      <c r="E64" s="7">
        <v>864.45043333333342</v>
      </c>
      <c r="F64" s="6">
        <f t="shared" si="14"/>
        <v>6.7620939678327847</v>
      </c>
      <c r="G64" s="7">
        <f t="shared" si="15"/>
        <v>145.11866666666663</v>
      </c>
      <c r="H64" s="7">
        <f t="shared" si="16"/>
        <v>138.89158518184135</v>
      </c>
      <c r="I64" s="7">
        <f t="shared" si="17"/>
        <v>1044.8341163121768</v>
      </c>
    </row>
    <row r="65" spans="1:15" x14ac:dyDescent="0.35">
      <c r="A65" s="7">
        <v>5.0499999999956344</v>
      </c>
      <c r="B65" s="6">
        <f t="shared" si="12"/>
        <v>1.4872421410135268</v>
      </c>
      <c r="C65" s="6">
        <f>'Growth rates'!$G$6*EXP(B65)</f>
        <v>0.66107639873659207</v>
      </c>
      <c r="D65" s="7">
        <f t="shared" si="13"/>
        <v>344.63441449976091</v>
      </c>
      <c r="E65" s="7">
        <v>932.06586666666681</v>
      </c>
      <c r="F65" s="6">
        <f t="shared" si="14"/>
        <v>6.8374034845775427</v>
      </c>
      <c r="G65" s="7">
        <f t="shared" si="15"/>
        <v>77.503233333333242</v>
      </c>
      <c r="H65" s="7">
        <f t="shared" si="16"/>
        <v>324.23495110875058</v>
      </c>
      <c r="I65" s="7">
        <f t="shared" si="17"/>
        <v>239.0341728067994</v>
      </c>
    </row>
    <row r="66" spans="1:15" x14ac:dyDescent="0.35">
      <c r="A66" s="7">
        <v>7.1708333333299379</v>
      </c>
      <c r="B66" s="6">
        <f t="shared" si="12"/>
        <v>1.7780907137996165</v>
      </c>
      <c r="C66" s="6">
        <f>'Growth rates'!$G$6*EXP(B66)</f>
        <v>0.88423068678738492</v>
      </c>
      <c r="D66" s="7">
        <f t="shared" si="13"/>
        <v>599.04348166201987</v>
      </c>
      <c r="E66" s="7">
        <v>741.18690000000004</v>
      </c>
      <c r="F66" s="6">
        <f t="shared" si="14"/>
        <v>6.6082528202129227</v>
      </c>
      <c r="G66" s="7">
        <f t="shared" si="15"/>
        <v>268.38220000000001</v>
      </c>
      <c r="H66" s="7">
        <f t="shared" si="16"/>
        <v>578.64401827100949</v>
      </c>
      <c r="I66" s="7">
        <f t="shared" si="17"/>
        <v>463.81227754142702</v>
      </c>
    </row>
    <row r="67" spans="1:15" x14ac:dyDescent="0.35">
      <c r="A67" s="7">
        <v>7.8368055555547471</v>
      </c>
      <c r="B67" s="6">
        <f t="shared" si="12"/>
        <v>1.8464238296893798</v>
      </c>
      <c r="C67" s="6">
        <f>'Growth rates'!$G$6*EXP(B67)</f>
        <v>0.94676518183188751</v>
      </c>
      <c r="D67" s="7">
        <f t="shared" si="13"/>
        <v>682.13184123059409</v>
      </c>
      <c r="E67" s="7">
        <v>748.96566666666672</v>
      </c>
      <c r="F67" s="6">
        <f t="shared" si="14"/>
        <v>6.6186931435702787</v>
      </c>
      <c r="G67" s="7">
        <f t="shared" si="15"/>
        <v>260.60343333333333</v>
      </c>
      <c r="H67" s="7">
        <f t="shared" si="16"/>
        <v>661.73237783958371</v>
      </c>
      <c r="I67" s="7">
        <f t="shared" si="17"/>
        <v>393.81998230787565</v>
      </c>
    </row>
    <row r="68" spans="1:15" x14ac:dyDescent="0.35">
      <c r="A68" s="7">
        <v>11.129166666665697</v>
      </c>
      <c r="B68" s="6">
        <f t="shared" si="12"/>
        <v>2.0764448386881753</v>
      </c>
      <c r="C68" s="6">
        <f>'Growth rates'!$G$6*EXP(B68)</f>
        <v>1.1916237018124374</v>
      </c>
      <c r="D68" s="7">
        <f t="shared" si="13"/>
        <v>1056.2190410741352</v>
      </c>
      <c r="E68" s="7">
        <v>567.66056666666668</v>
      </c>
      <c r="F68" s="6">
        <f t="shared" si="14"/>
        <v>6.3415236461940356</v>
      </c>
      <c r="G68" s="7">
        <f t="shared" si="15"/>
        <v>441.90853333333337</v>
      </c>
      <c r="H68" s="7">
        <f t="shared" si="16"/>
        <v>1035.8195776831249</v>
      </c>
      <c r="I68" s="7">
        <f t="shared" si="17"/>
        <v>426.62693663482855</v>
      </c>
    </row>
    <row r="69" spans="1:15" x14ac:dyDescent="0.35">
      <c r="A69" s="7">
        <v>12.162499999998545</v>
      </c>
      <c r="B69" s="6">
        <f t="shared" si="12"/>
        <v>2.1221924340137086</v>
      </c>
      <c r="C69" s="6">
        <f>'Growth rates'!$G$6*EXP(B69)</f>
        <v>1.2474037953704653</v>
      </c>
      <c r="D69" s="7">
        <f t="shared" si="13"/>
        <v>1152.1772458256012</v>
      </c>
      <c r="E69" s="7">
        <v>549.70956666666666</v>
      </c>
      <c r="F69" s="6">
        <f t="shared" si="14"/>
        <v>6.3093900781473522</v>
      </c>
      <c r="G69" s="7">
        <f t="shared" si="15"/>
        <v>459.85953333333339</v>
      </c>
      <c r="H69" s="7">
        <f t="shared" si="16"/>
        <v>1131.7777824345908</v>
      </c>
      <c r="I69" s="7">
        <f t="shared" si="17"/>
        <v>406.31609885831114</v>
      </c>
    </row>
    <row r="70" spans="1:15" x14ac:dyDescent="0.35">
      <c r="A70" s="7">
        <v>14.047222222223354</v>
      </c>
      <c r="B70" s="6">
        <f t="shared" si="12"/>
        <v>2.18449070172381</v>
      </c>
      <c r="C70" s="6">
        <f>'Growth rates'!$G$6*EXP(B70)</f>
        <v>1.3275865841078238</v>
      </c>
      <c r="D70" s="7">
        <f t="shared" si="13"/>
        <v>1297.0222169588915</v>
      </c>
      <c r="E70" s="7">
        <v>527.56999999999994</v>
      </c>
      <c r="F70" s="6">
        <f t="shared" si="14"/>
        <v>6.2682815579679678</v>
      </c>
      <c r="G70" s="7">
        <f t="shared" si="15"/>
        <v>481.99910000000011</v>
      </c>
      <c r="H70" s="7">
        <f t="shared" si="16"/>
        <v>1276.6227535678811</v>
      </c>
      <c r="I70" s="7">
        <f t="shared" si="17"/>
        <v>377.55797368715082</v>
      </c>
    </row>
    <row r="71" spans="1:15" x14ac:dyDescent="0.35">
      <c r="A71" s="7">
        <v>16.088888888887595</v>
      </c>
      <c r="B71" s="6">
        <f t="shared" si="12"/>
        <v>2.229825309978235</v>
      </c>
      <c r="C71" s="6">
        <f>'Growth rates'!$G$6*EXP(B71)</f>
        <v>1.3891572991586072</v>
      </c>
      <c r="D71" s="7">
        <f t="shared" si="13"/>
        <v>1413.7473052482196</v>
      </c>
      <c r="E71" s="7">
        <v>603.08387333333337</v>
      </c>
      <c r="F71" s="6">
        <f t="shared" si="14"/>
        <v>6.4020562804763728</v>
      </c>
      <c r="G71" s="7">
        <f t="shared" si="15"/>
        <v>406.48522666666668</v>
      </c>
      <c r="H71" s="7">
        <f t="shared" si="16"/>
        <v>1393.3478418572092</v>
      </c>
      <c r="I71" s="7">
        <f t="shared" si="17"/>
        <v>291.732770852724</v>
      </c>
    </row>
    <row r="72" spans="1:15" x14ac:dyDescent="0.35">
      <c r="A72" s="7">
        <v>18.084722222221899</v>
      </c>
      <c r="B72" s="6">
        <f t="shared" si="12"/>
        <v>2.2592211685247334</v>
      </c>
      <c r="C72" s="6">
        <f>'Growth rates'!$G$6*EXP(B72)</f>
        <v>1.4305988920710675</v>
      </c>
      <c r="D72" s="7">
        <f t="shared" si="13"/>
        <v>1494.9907190317451</v>
      </c>
      <c r="E72" s="7">
        <v>366.60936666666669</v>
      </c>
      <c r="F72" s="6">
        <f t="shared" si="14"/>
        <v>5.9042968851792246</v>
      </c>
      <c r="G72" s="7">
        <f t="shared" si="15"/>
        <v>642.95973333333336</v>
      </c>
      <c r="H72" s="7">
        <f t="shared" si="16"/>
        <v>1474.5912556407347</v>
      </c>
      <c r="I72" s="7">
        <f t="shared" si="17"/>
        <v>436.02573314728937</v>
      </c>
    </row>
    <row r="73" spans="1:15" x14ac:dyDescent="0.35">
      <c r="A73" s="7">
        <v>26.190972222218988</v>
      </c>
      <c r="B73" s="6">
        <f t="shared" si="12"/>
        <v>2.3066790688109196</v>
      </c>
      <c r="C73" s="6">
        <f>'Growth rates'!$G$6*EXP(B73)</f>
        <v>1.5001289371702833</v>
      </c>
      <c r="D73" s="7">
        <f t="shared" si="13"/>
        <v>1636.1219822909168</v>
      </c>
      <c r="E73" s="7">
        <v>325.92043333333334</v>
      </c>
      <c r="F73" s="6">
        <f t="shared" si="14"/>
        <v>5.7866532820472401</v>
      </c>
      <c r="G73" s="7">
        <f t="shared" si="15"/>
        <v>683.64866666666671</v>
      </c>
      <c r="H73" s="7">
        <f t="shared" si="16"/>
        <v>1615.7225188999064</v>
      </c>
      <c r="I73" s="7">
        <f t="shared" si="17"/>
        <v>423.12257127674445</v>
      </c>
    </row>
    <row r="74" spans="1:15" x14ac:dyDescent="0.35">
      <c r="A74" s="7">
        <v>28.178472222221899</v>
      </c>
      <c r="B74" s="6">
        <f t="shared" si="12"/>
        <v>2.3104404745239289</v>
      </c>
      <c r="C74" s="6">
        <f>'Growth rates'!$G$6*EXP(B74)</f>
        <v>1.5057821560845417</v>
      </c>
      <c r="D74" s="7">
        <f t="shared" si="13"/>
        <v>1647.8617555201313</v>
      </c>
      <c r="E74" s="7">
        <v>318.14166666666665</v>
      </c>
      <c r="F74" s="6">
        <f t="shared" si="14"/>
        <v>5.7624967762402557</v>
      </c>
      <c r="G74" s="7">
        <f t="shared" si="15"/>
        <v>691.4274333333334</v>
      </c>
      <c r="H74" s="7">
        <f t="shared" si="16"/>
        <v>1627.4622921291209</v>
      </c>
      <c r="I74" s="7">
        <f t="shared" si="17"/>
        <v>424.8500482482923</v>
      </c>
    </row>
    <row r="75" spans="1:15" x14ac:dyDescent="0.35">
      <c r="A75" s="7">
        <v>32.662499999998545</v>
      </c>
      <c r="B75" s="6">
        <f t="shared" si="12"/>
        <v>2.3149605152157968</v>
      </c>
      <c r="C75" s="6">
        <f>'Growth rates'!$G$6*EXP(B75)</f>
        <v>1.5126037580481522</v>
      </c>
      <c r="D75" s="7">
        <f t="shared" si="13"/>
        <v>1662.0808031949305</v>
      </c>
      <c r="E75" s="7">
        <v>181.71406666666667</v>
      </c>
      <c r="F75" s="6">
        <f t="shared" si="14"/>
        <v>5.2024343893932938</v>
      </c>
      <c r="G75" s="7">
        <f t="shared" si="15"/>
        <v>827.85503333333338</v>
      </c>
      <c r="H75" s="7">
        <f t="shared" si="16"/>
        <v>1641.6813398039201</v>
      </c>
      <c r="I75" s="7">
        <f t="shared" si="17"/>
        <v>504.27267050023914</v>
      </c>
    </row>
    <row r="76" spans="1:15" x14ac:dyDescent="0.35">
      <c r="A76" s="7"/>
      <c r="D76" s="7"/>
      <c r="E76" s="7"/>
    </row>
    <row r="77" spans="1:15" x14ac:dyDescent="0.35">
      <c r="A77" s="55" t="s">
        <v>37</v>
      </c>
      <c r="B77" s="55"/>
      <c r="C77" s="55"/>
      <c r="D77" s="55"/>
      <c r="E77" s="55"/>
      <c r="F77" s="55"/>
      <c r="G77" s="55"/>
      <c r="H77" s="55"/>
      <c r="I77" s="55"/>
    </row>
    <row r="78" spans="1:15" ht="31" x14ac:dyDescent="0.35">
      <c r="A78" s="19" t="s">
        <v>65</v>
      </c>
      <c r="B78" s="19" t="s">
        <v>30</v>
      </c>
      <c r="C78" s="19" t="s">
        <v>66</v>
      </c>
      <c r="D78" s="19" t="s">
        <v>67</v>
      </c>
      <c r="E78" s="19" t="s">
        <v>78</v>
      </c>
      <c r="F78" s="19" t="s">
        <v>75</v>
      </c>
      <c r="G78" s="20" t="s">
        <v>76</v>
      </c>
      <c r="H78" s="20" t="s">
        <v>71</v>
      </c>
      <c r="I78" s="20" t="s">
        <v>77</v>
      </c>
    </row>
    <row r="79" spans="1:15" ht="16.5" x14ac:dyDescent="0.35">
      <c r="A79" s="7">
        <v>0</v>
      </c>
      <c r="B79" s="6">
        <f t="shared" ref="B79:B93" si="18">2.318*(1-EXP(-0.471*A79/2.318))</f>
        <v>0</v>
      </c>
      <c r="C79" s="6">
        <f>'Growth rates'!$G$6*EXP(B79)</f>
        <v>0.14940000000000003</v>
      </c>
      <c r="D79" s="7">
        <f t="shared" ref="D79:D93" si="19">EXP(6.6292056+1.9008173*LN(C79))</f>
        <v>20.399463391010336</v>
      </c>
      <c r="E79" s="7">
        <v>1150.0236</v>
      </c>
      <c r="F79" s="6">
        <f>LN(E79)</f>
        <v>7.0475377428858579</v>
      </c>
      <c r="G79" s="7">
        <f>$E$79-E79</f>
        <v>0</v>
      </c>
      <c r="H79" s="7">
        <f>D79-$D$79</f>
        <v>0</v>
      </c>
      <c r="I79" s="7"/>
      <c r="M79" s="3" t="s">
        <v>45</v>
      </c>
      <c r="N79" s="6">
        <f>SLOPE(F79:F93,A79:A93)</f>
        <v>-4.7929194698964568E-2</v>
      </c>
      <c r="O79" t="s">
        <v>14</v>
      </c>
    </row>
    <row r="80" spans="1:15" ht="17.5" x14ac:dyDescent="0.45">
      <c r="A80" s="7">
        <v>1</v>
      </c>
      <c r="B80" s="6">
        <f t="shared" si="18"/>
        <v>0.42623106144945755</v>
      </c>
      <c r="C80" s="6">
        <f>'Growth rates'!$G$6*EXP(B80)</f>
        <v>0.22880230508982274</v>
      </c>
      <c r="D80" s="7">
        <f t="shared" si="19"/>
        <v>45.864709793838337</v>
      </c>
      <c r="E80" s="7">
        <v>1053.5343000000003</v>
      </c>
      <c r="F80" s="6">
        <f t="shared" ref="F80:F93" si="20">LN(E80)</f>
        <v>6.9599057908537745</v>
      </c>
      <c r="G80" s="7">
        <f t="shared" ref="G80:G93" si="21">$E$79-E80</f>
        <v>96.48929999999973</v>
      </c>
      <c r="H80" s="7">
        <f t="shared" ref="H80:H93" si="22">D80-$D$79</f>
        <v>25.465246402828001</v>
      </c>
      <c r="I80" s="7">
        <f>G80/H80*1000</f>
        <v>3789.0581726035948</v>
      </c>
      <c r="M80" s="3" t="s">
        <v>79</v>
      </c>
      <c r="N80" s="6">
        <f>INTERCEPT(F79:F93,A79:A93)</f>
        <v>6.9828361178337763</v>
      </c>
      <c r="O80" t="s">
        <v>44</v>
      </c>
    </row>
    <row r="81" spans="1:15" ht="17.5" x14ac:dyDescent="0.45">
      <c r="A81" s="7">
        <v>2.1583333333328483</v>
      </c>
      <c r="B81" s="6">
        <f t="shared" si="18"/>
        <v>0.8229677189653295</v>
      </c>
      <c r="C81" s="6">
        <f>'Growth rates'!$G$6*EXP(B81)</f>
        <v>0.34022085888055764</v>
      </c>
      <c r="D81" s="7">
        <f t="shared" si="19"/>
        <v>97.496830881182944</v>
      </c>
      <c r="E81" s="7">
        <v>972.75479999999993</v>
      </c>
      <c r="F81" s="6">
        <f t="shared" si="20"/>
        <v>6.8801320463166364</v>
      </c>
      <c r="G81" s="7">
        <f t="shared" si="21"/>
        <v>177.26880000000006</v>
      </c>
      <c r="H81" s="7">
        <f t="shared" si="22"/>
        <v>77.097367490172616</v>
      </c>
      <c r="I81" s="7">
        <f t="shared" ref="I81:I93" si="23">G81/H81*1000</f>
        <v>2299.2847326803476</v>
      </c>
      <c r="M81" s="3" t="s">
        <v>80</v>
      </c>
      <c r="N81">
        <f>EXP(N80)</f>
        <v>1077.9712893236274</v>
      </c>
      <c r="O81" t="s">
        <v>44</v>
      </c>
    </row>
    <row r="82" spans="1:15" x14ac:dyDescent="0.35">
      <c r="A82" s="7">
        <v>3.0916666666671517</v>
      </c>
      <c r="B82" s="6">
        <f t="shared" si="18"/>
        <v>1.0812319663412016</v>
      </c>
      <c r="C82" s="6">
        <f>'Growth rates'!$G$6*EXP(B82)</f>
        <v>0.44047744418635826</v>
      </c>
      <c r="D82" s="7">
        <f t="shared" si="19"/>
        <v>159.29104857285168</v>
      </c>
      <c r="E82" s="7">
        <v>918.90179999999998</v>
      </c>
      <c r="F82" s="6">
        <f t="shared" si="20"/>
        <v>6.8231792613687796</v>
      </c>
      <c r="G82" s="7">
        <f t="shared" si="21"/>
        <v>231.12180000000001</v>
      </c>
      <c r="H82" s="7">
        <f t="shared" si="22"/>
        <v>138.89158518184135</v>
      </c>
      <c r="I82" s="7">
        <f t="shared" si="23"/>
        <v>1664.0446553864863</v>
      </c>
    </row>
    <row r="83" spans="1:15" x14ac:dyDescent="0.35">
      <c r="A83" s="7">
        <v>5.0499999999956344</v>
      </c>
      <c r="B83" s="6">
        <f t="shared" si="18"/>
        <v>1.4872421410135268</v>
      </c>
      <c r="C83" s="6">
        <f>'Growth rates'!$G$6*EXP(B83)</f>
        <v>0.66107639873659207</v>
      </c>
      <c r="D83" s="7">
        <f t="shared" si="19"/>
        <v>344.63441449976091</v>
      </c>
      <c r="E83" s="7">
        <v>758.53953333333334</v>
      </c>
      <c r="F83" s="6">
        <f t="shared" si="20"/>
        <v>6.631394917843461</v>
      </c>
      <c r="G83" s="7">
        <f t="shared" si="21"/>
        <v>391.48406666666665</v>
      </c>
      <c r="H83" s="7">
        <f t="shared" si="22"/>
        <v>324.23495110875058</v>
      </c>
      <c r="I83" s="7">
        <f t="shared" si="23"/>
        <v>1207.4085946871294</v>
      </c>
    </row>
    <row r="84" spans="1:15" x14ac:dyDescent="0.35">
      <c r="A84" s="7">
        <v>7.1708333333299379</v>
      </c>
      <c r="B84" s="6">
        <f t="shared" si="18"/>
        <v>1.7780907137996165</v>
      </c>
      <c r="C84" s="6">
        <f>'Growth rates'!$G$6*EXP(B84)</f>
        <v>0.88423068678738492</v>
      </c>
      <c r="D84" s="7">
        <f t="shared" si="19"/>
        <v>599.04348166201987</v>
      </c>
      <c r="E84" s="7">
        <v>728.02283333333344</v>
      </c>
      <c r="F84" s="6">
        <f t="shared" si="20"/>
        <v>6.5903324121736961</v>
      </c>
      <c r="G84" s="7">
        <f t="shared" si="21"/>
        <v>422.00076666666655</v>
      </c>
      <c r="H84" s="7">
        <f t="shared" si="22"/>
        <v>578.64401827100949</v>
      </c>
      <c r="I84" s="7">
        <f t="shared" si="23"/>
        <v>729.29254142746765</v>
      </c>
    </row>
    <row r="85" spans="1:15" x14ac:dyDescent="0.35">
      <c r="A85" s="7">
        <v>7.8368055555547471</v>
      </c>
      <c r="B85" s="6">
        <f t="shared" si="18"/>
        <v>1.8464238296893798</v>
      </c>
      <c r="C85" s="6">
        <f>'Growth rates'!$G$6*EXP(B85)</f>
        <v>0.94676518183188751</v>
      </c>
      <c r="D85" s="7">
        <f t="shared" si="19"/>
        <v>682.13184123059409</v>
      </c>
      <c r="E85" s="7">
        <v>731.0146666666667</v>
      </c>
      <c r="F85" s="6">
        <f t="shared" si="20"/>
        <v>6.594433523387992</v>
      </c>
      <c r="G85" s="7">
        <f t="shared" si="21"/>
        <v>419.00893333333329</v>
      </c>
      <c r="H85" s="7">
        <f t="shared" si="22"/>
        <v>661.73237783958371</v>
      </c>
      <c r="I85" s="7">
        <f t="shared" si="23"/>
        <v>633.1999874349641</v>
      </c>
    </row>
    <row r="86" spans="1:15" x14ac:dyDescent="0.35">
      <c r="A86" s="7">
        <v>11.129166666665697</v>
      </c>
      <c r="B86" s="6">
        <f t="shared" si="18"/>
        <v>2.0764448386881753</v>
      </c>
      <c r="C86" s="6">
        <f>'Growth rates'!$G$6*EXP(B86)</f>
        <v>1.1916237018124374</v>
      </c>
      <c r="D86" s="7">
        <f t="shared" si="19"/>
        <v>1056.2190410741352</v>
      </c>
      <c r="E86" s="7">
        <v>599.97236666666663</v>
      </c>
      <c r="F86" s="6">
        <f t="shared" si="20"/>
        <v>6.3968835986000014</v>
      </c>
      <c r="G86" s="7">
        <f t="shared" si="21"/>
        <v>550.05123333333336</v>
      </c>
      <c r="H86" s="7">
        <f t="shared" si="22"/>
        <v>1035.8195776831249</v>
      </c>
      <c r="I86" s="7">
        <f t="shared" si="23"/>
        <v>531.02996427588619</v>
      </c>
    </row>
    <row r="87" spans="1:15" x14ac:dyDescent="0.35">
      <c r="A87" s="7">
        <v>12.162499999998545</v>
      </c>
      <c r="B87" s="6">
        <f t="shared" si="18"/>
        <v>2.1221924340137086</v>
      </c>
      <c r="C87" s="6">
        <f>'Growth rates'!$G$6*EXP(B87)</f>
        <v>1.2474037953704653</v>
      </c>
      <c r="D87" s="7">
        <f t="shared" si="19"/>
        <v>1152.1772458256012</v>
      </c>
      <c r="E87" s="7">
        <v>586.20993333333342</v>
      </c>
      <c r="F87" s="6">
        <f t="shared" si="20"/>
        <v>6.3736779734306177</v>
      </c>
      <c r="G87" s="7">
        <f t="shared" si="21"/>
        <v>563.81366666666656</v>
      </c>
      <c r="H87" s="7">
        <f t="shared" si="22"/>
        <v>1131.7777824345908</v>
      </c>
      <c r="I87" s="7">
        <f t="shared" si="23"/>
        <v>498.16640281967301</v>
      </c>
    </row>
    <row r="88" spans="1:15" x14ac:dyDescent="0.35">
      <c r="A88" s="7">
        <v>14.047222222223354</v>
      </c>
      <c r="B88" s="6">
        <f t="shared" si="18"/>
        <v>2.18449070172381</v>
      </c>
      <c r="C88" s="6">
        <f>'Growth rates'!$G$6*EXP(B88)</f>
        <v>1.3275865841078238</v>
      </c>
      <c r="D88" s="7">
        <f t="shared" si="19"/>
        <v>1297.0222169588915</v>
      </c>
      <c r="E88" s="7">
        <v>540.13570000000004</v>
      </c>
      <c r="F88" s="6">
        <f t="shared" si="20"/>
        <v>6.2918204042849908</v>
      </c>
      <c r="G88" s="7">
        <f t="shared" si="21"/>
        <v>609.88789999999995</v>
      </c>
      <c r="H88" s="7">
        <f t="shared" si="22"/>
        <v>1276.6227535678811</v>
      </c>
      <c r="I88" s="7">
        <f t="shared" si="23"/>
        <v>477.73541423689716</v>
      </c>
    </row>
    <row r="89" spans="1:15" x14ac:dyDescent="0.35">
      <c r="A89" s="7">
        <v>16.088888888887595</v>
      </c>
      <c r="B89" s="6">
        <f t="shared" si="18"/>
        <v>2.229825309978235</v>
      </c>
      <c r="C89" s="6">
        <f>'Growth rates'!$G$6*EXP(B89)</f>
        <v>1.3891572991586072</v>
      </c>
      <c r="D89" s="7">
        <f t="shared" si="19"/>
        <v>1413.7473052482196</v>
      </c>
      <c r="E89" s="7">
        <v>601.16910000000007</v>
      </c>
      <c r="F89" s="6">
        <f t="shared" si="20"/>
        <v>6.3988762593523489</v>
      </c>
      <c r="G89" s="7">
        <f t="shared" si="21"/>
        <v>548.85449999999992</v>
      </c>
      <c r="H89" s="7">
        <f t="shared" si="22"/>
        <v>1393.3478418572092</v>
      </c>
      <c r="I89" s="7">
        <f t="shared" si="23"/>
        <v>393.91061119987489</v>
      </c>
    </row>
    <row r="90" spans="1:15" x14ac:dyDescent="0.35">
      <c r="A90" s="7">
        <v>18.084722222221899</v>
      </c>
      <c r="B90" s="6">
        <f t="shared" si="18"/>
        <v>2.2592211685247334</v>
      </c>
      <c r="C90" s="6">
        <f>'Growth rates'!$G$6*EXP(B90)</f>
        <v>1.4305988920710675</v>
      </c>
      <c r="D90" s="7">
        <f t="shared" si="19"/>
        <v>1494.9907190317451</v>
      </c>
      <c r="E90" s="7">
        <v>440.80683333333337</v>
      </c>
      <c r="F90" s="6">
        <f t="shared" si="20"/>
        <v>6.088606759835911</v>
      </c>
      <c r="G90" s="7">
        <f t="shared" si="21"/>
        <v>709.21676666666667</v>
      </c>
      <c r="H90" s="7">
        <f t="shared" si="22"/>
        <v>1474.5912556407347</v>
      </c>
      <c r="I90" s="7">
        <f t="shared" si="23"/>
        <v>480.9582072006117</v>
      </c>
    </row>
    <row r="91" spans="1:15" x14ac:dyDescent="0.35">
      <c r="A91" s="7">
        <v>26.190972222218988</v>
      </c>
      <c r="B91" s="6">
        <f t="shared" si="18"/>
        <v>2.3066790688109196</v>
      </c>
      <c r="C91" s="6">
        <f>'Growth rates'!$G$6*EXP(B91)</f>
        <v>1.5001289371702833</v>
      </c>
      <c r="D91" s="7">
        <f t="shared" si="19"/>
        <v>1636.1219822909168</v>
      </c>
      <c r="E91" s="7">
        <v>329.51063333333332</v>
      </c>
      <c r="F91" s="6">
        <f t="shared" si="20"/>
        <v>5.7976086245397163</v>
      </c>
      <c r="G91" s="7">
        <f t="shared" si="21"/>
        <v>820.51296666666667</v>
      </c>
      <c r="H91" s="7">
        <f t="shared" si="22"/>
        <v>1615.7225188999064</v>
      </c>
      <c r="I91" s="7">
        <f t="shared" si="23"/>
        <v>507.83037128511864</v>
      </c>
    </row>
    <row r="92" spans="1:15" x14ac:dyDescent="0.35">
      <c r="A92" s="7">
        <v>28.178472222221899</v>
      </c>
      <c r="B92" s="6">
        <f t="shared" si="18"/>
        <v>2.3104404745239289</v>
      </c>
      <c r="C92" s="6">
        <f>'Growth rates'!$G$6*EXP(B92)</f>
        <v>1.5057821560845417</v>
      </c>
      <c r="D92" s="7">
        <f t="shared" si="19"/>
        <v>1647.8617555201313</v>
      </c>
      <c r="E92" s="7">
        <v>336.69103333333334</v>
      </c>
      <c r="F92" s="6">
        <f t="shared" si="20"/>
        <v>5.8191656947857853</v>
      </c>
      <c r="G92" s="7">
        <f t="shared" si="21"/>
        <v>813.33256666666671</v>
      </c>
      <c r="H92" s="7">
        <f t="shared" si="22"/>
        <v>1627.4622921291209</v>
      </c>
      <c r="I92" s="7">
        <f t="shared" si="23"/>
        <v>499.75509146981688</v>
      </c>
    </row>
    <row r="93" spans="1:15" x14ac:dyDescent="0.35">
      <c r="A93" s="7">
        <v>32.662499999998545</v>
      </c>
      <c r="B93" s="6">
        <f t="shared" si="18"/>
        <v>2.3149605152157968</v>
      </c>
      <c r="C93" s="6">
        <f>'Growth rates'!$G$6*EXP(B93)</f>
        <v>1.5126037580481522</v>
      </c>
      <c r="D93" s="7">
        <f t="shared" si="19"/>
        <v>1662.0808031949305</v>
      </c>
      <c r="E93" s="7">
        <v>179.32060000000001</v>
      </c>
      <c r="F93" s="6">
        <f t="shared" si="20"/>
        <v>5.1891752652553196</v>
      </c>
      <c r="G93" s="7">
        <f t="shared" si="21"/>
        <v>970.70299999999997</v>
      </c>
      <c r="H93" s="7">
        <f t="shared" si="22"/>
        <v>1641.6813398039201</v>
      </c>
      <c r="I93" s="7">
        <f t="shared" si="23"/>
        <v>591.28588262807398</v>
      </c>
    </row>
  </sheetData>
  <mergeCells count="5">
    <mergeCell ref="B3:D3"/>
    <mergeCell ref="B21:D21"/>
    <mergeCell ref="A41:I41"/>
    <mergeCell ref="A59:I59"/>
    <mergeCell ref="A77:I77"/>
  </mergeCells>
  <pageMargins left="0.7" right="0.7" top="0.75" bottom="0.75" header="0.3" footer="0.3"/>
  <ignoredErrors>
    <ignoredError sqref="E5:E19 E23:E37" formulaRange="1"/>
  </ignoredError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33"/>
  <sheetViews>
    <sheetView workbookViewId="0">
      <selection activeCell="E18" sqref="E18"/>
    </sheetView>
  </sheetViews>
  <sheetFormatPr defaultRowHeight="14.5" x14ac:dyDescent="0.35"/>
  <cols>
    <col min="2" max="2" width="27.26953125" customWidth="1"/>
    <col min="3" max="3" width="20.7265625" customWidth="1"/>
    <col min="4" max="4" width="18.7265625" customWidth="1"/>
    <col min="5" max="5" width="23.453125" customWidth="1"/>
    <col min="8" max="8" width="17.1796875" customWidth="1"/>
    <col min="12" max="12" width="17.1796875" customWidth="1"/>
  </cols>
  <sheetData>
    <row r="1" spans="1:13" ht="21" x14ac:dyDescent="0.5">
      <c r="A1" s="2" t="s">
        <v>72</v>
      </c>
    </row>
    <row r="3" spans="1:13" ht="16.5" x14ac:dyDescent="0.35">
      <c r="A3" s="1" t="s">
        <v>97</v>
      </c>
      <c r="C3" s="12">
        <f>ABS('Nitrate consumption BG11'!S6)</f>
        <v>5.0357514850373278E-2</v>
      </c>
      <c r="D3" s="23" t="s">
        <v>14</v>
      </c>
    </row>
    <row r="4" spans="1:13" x14ac:dyDescent="0.35">
      <c r="A4" s="1" t="s">
        <v>96</v>
      </c>
      <c r="C4" s="23">
        <v>84.994699999999995</v>
      </c>
      <c r="D4" t="s">
        <v>73</v>
      </c>
      <c r="F4" s="1"/>
    </row>
    <row r="6" spans="1:13" ht="31" x14ac:dyDescent="0.35">
      <c r="A6" s="22" t="s">
        <v>53</v>
      </c>
      <c r="B6" s="20" t="s">
        <v>77</v>
      </c>
      <c r="C6" s="20" t="s">
        <v>81</v>
      </c>
      <c r="D6" s="20" t="s">
        <v>82</v>
      </c>
      <c r="E6" s="20" t="s">
        <v>83</v>
      </c>
      <c r="H6" s="22" t="s">
        <v>101</v>
      </c>
      <c r="I6" s="29"/>
      <c r="J6" s="29"/>
      <c r="K6" s="29"/>
      <c r="L6" s="22" t="s">
        <v>102</v>
      </c>
    </row>
    <row r="7" spans="1:13" x14ac:dyDescent="0.35">
      <c r="A7">
        <v>1.25</v>
      </c>
      <c r="B7" s="24">
        <f>('Nitrate consumption BG11'!I7-'Nitrate consumption BG11'!I6)/('Nitrate consumption BG11'!A7-'Nitrate consumption BG11'!A6)*('Nitrate flux'!A7-'Nitrate consumption BG11'!A6)+'Nitrate consumption BG11'!I6</f>
        <v>3292.0473386374078</v>
      </c>
      <c r="C7" s="24">
        <f>B7*$C$3</f>
        <v>165.7793227435651</v>
      </c>
      <c r="D7" s="24">
        <f>C7/24</f>
        <v>6.9074717809818793</v>
      </c>
      <c r="E7" s="25">
        <f>D7/C4</f>
        <v>8.1269441282596208E-2</v>
      </c>
      <c r="F7" s="26">
        <f>E7*3</f>
        <v>0.24380832384778861</v>
      </c>
      <c r="H7" t="s">
        <v>7</v>
      </c>
      <c r="I7" s="18">
        <f>E9</f>
        <v>1.2888129796543088E-2</v>
      </c>
      <c r="L7" t="s">
        <v>7</v>
      </c>
      <c r="M7" s="18">
        <f>F7</f>
        <v>0.24380832384778861</v>
      </c>
    </row>
    <row r="8" spans="1:13" x14ac:dyDescent="0.35">
      <c r="A8">
        <v>5.05</v>
      </c>
      <c r="B8" s="24">
        <f>'Nitrate consumption BG11'!I9</f>
        <v>849.89511173202698</v>
      </c>
      <c r="C8" s="24">
        <f>B8*$C$3</f>
        <v>42.798605710305203</v>
      </c>
      <c r="D8" s="24">
        <f>C8/24</f>
        <v>1.7832752379293835</v>
      </c>
      <c r="E8" s="25">
        <f>D8/$C$4</f>
        <v>2.0981016909635348E-2</v>
      </c>
      <c r="F8" s="18">
        <f>_xlfn.STDEV.S(E15,E23,E31)</f>
        <v>7.7431235673364376E-3</v>
      </c>
      <c r="H8" t="s">
        <v>1</v>
      </c>
      <c r="I8" s="18">
        <f>E17</f>
        <v>1.7416515525763031E-2</v>
      </c>
      <c r="L8" t="s">
        <v>1</v>
      </c>
      <c r="M8" s="18">
        <f>F15</f>
        <v>0.26937479429807581</v>
      </c>
    </row>
    <row r="9" spans="1:13" x14ac:dyDescent="0.35">
      <c r="A9">
        <v>11.5</v>
      </c>
      <c r="B9" s="24">
        <f>('Nitrate consumption BG11'!I13-'Nitrate consumption BG11'!I12)/('Nitrate consumption BG11'!A13-'Nitrate consumption BG11'!A12)*('Nitrate flux'!A9-'Nitrate consumption BG11'!A12)+'Nitrate consumption BG11'!I12</f>
        <v>522.06995307360569</v>
      </c>
      <c r="C9" s="24">
        <f>B9*$C$3</f>
        <v>26.290145414837777</v>
      </c>
      <c r="D9" s="24">
        <f>C9/24</f>
        <v>1.0954227256182407</v>
      </c>
      <c r="E9" s="25">
        <f>D9/$C$4</f>
        <v>1.2888129796543088E-2</v>
      </c>
      <c r="H9" t="s">
        <v>2</v>
      </c>
      <c r="I9" s="18">
        <f>E25</f>
        <v>9.8225646522315177E-3</v>
      </c>
      <c r="L9" t="s">
        <v>2</v>
      </c>
      <c r="M9" s="18">
        <f>F23</f>
        <v>0.22295985465878704</v>
      </c>
    </row>
    <row r="10" spans="1:13" x14ac:dyDescent="0.35">
      <c r="H10" t="s">
        <v>3</v>
      </c>
      <c r="I10" s="18">
        <f>E33</f>
        <v>1.2200060838016436E-2</v>
      </c>
      <c r="L10" t="s">
        <v>3</v>
      </c>
      <c r="M10" s="18">
        <f>F31</f>
        <v>0.24442060660052689</v>
      </c>
    </row>
    <row r="11" spans="1:13" ht="16.5" x14ac:dyDescent="0.35">
      <c r="A11" s="1" t="s">
        <v>98</v>
      </c>
      <c r="C11" s="12">
        <f>ABS('Nitrate consumption BG11'!N43)</f>
        <v>5.6605250351865026E-2</v>
      </c>
      <c r="D11" s="23" t="s">
        <v>14</v>
      </c>
      <c r="H11" t="s">
        <v>24</v>
      </c>
      <c r="I11" s="18">
        <f>_xlfn.STDEV.S(I8:I10)</f>
        <v>3.8844128147496044E-3</v>
      </c>
      <c r="L11" t="s">
        <v>24</v>
      </c>
      <c r="M11" s="18">
        <f>_xlfn.STDEV.S(M8:M10)</f>
        <v>2.3229370702009318E-2</v>
      </c>
    </row>
    <row r="12" spans="1:13" x14ac:dyDescent="0.35">
      <c r="A12" s="1" t="s">
        <v>96</v>
      </c>
      <c r="C12" s="23">
        <v>84.994699999999995</v>
      </c>
      <c r="D12" t="s">
        <v>73</v>
      </c>
      <c r="F12" s="1"/>
      <c r="H12" t="s">
        <v>22</v>
      </c>
      <c r="I12" s="18">
        <f>I11/SQRT(3)</f>
        <v>2.2426667842393162E-3</v>
      </c>
      <c r="L12" t="s">
        <v>22</v>
      </c>
      <c r="M12" s="18">
        <f>M11/SQRT(3)</f>
        <v>1.3411483427910686E-2</v>
      </c>
    </row>
    <row r="14" spans="1:13" ht="31" x14ac:dyDescent="0.35">
      <c r="A14" s="22" t="s">
        <v>53</v>
      </c>
      <c r="B14" s="20" t="s">
        <v>77</v>
      </c>
      <c r="C14" s="20" t="s">
        <v>81</v>
      </c>
      <c r="D14" s="20" t="s">
        <v>82</v>
      </c>
      <c r="E14" s="20" t="s">
        <v>83</v>
      </c>
    </row>
    <row r="15" spans="1:13" ht="16.5" x14ac:dyDescent="0.35">
      <c r="A15">
        <v>1.25</v>
      </c>
      <c r="B15" s="24">
        <f>('Nitrate consumption BG11'!I45-'Nitrate consumption BG11'!I44)/('Nitrate consumption BG11'!A45-'Nitrate consumption BG11'!A44)*('Nitrate flux'!A15-'Nitrate consumption BG11'!A44)+'Nitrate consumption BG11'!I44</f>
        <v>3235.8029951788462</v>
      </c>
      <c r="C15" s="24">
        <f>B15*$C$11</f>
        <v>183.1634386314133</v>
      </c>
      <c r="D15" s="24">
        <f>C15/24</f>
        <v>7.6318099429755542</v>
      </c>
      <c r="E15" s="25">
        <f>D15/C12</f>
        <v>8.9791598099358605E-2</v>
      </c>
      <c r="F15" s="26">
        <f>E15*3</f>
        <v>0.26937479429807581</v>
      </c>
      <c r="H15" s="21" t="s">
        <v>124</v>
      </c>
      <c r="L15" s="21" t="s">
        <v>125</v>
      </c>
    </row>
    <row r="16" spans="1:13" x14ac:dyDescent="0.35">
      <c r="A16">
        <v>5.05</v>
      </c>
      <c r="B16" s="24">
        <f>'Nitrate consumption BG11'!I47</f>
        <v>1103.2425677021529</v>
      </c>
      <c r="C16" s="24">
        <f t="shared" ref="C16:C17" si="0">B16*$C$11</f>
        <v>62.449321743614767</v>
      </c>
      <c r="D16" s="24">
        <f>C16/24</f>
        <v>2.6020550726506153</v>
      </c>
      <c r="E16" s="25">
        <f>D16/$C$4</f>
        <v>3.0614321512407425E-2</v>
      </c>
      <c r="H16" t="s">
        <v>7</v>
      </c>
      <c r="I16" s="7">
        <f>B9</f>
        <v>522.06995307360569</v>
      </c>
      <c r="L16" t="s">
        <v>7</v>
      </c>
      <c r="M16" s="7">
        <f>B7</f>
        <v>3292.0473386374078</v>
      </c>
    </row>
    <row r="17" spans="1:13" x14ac:dyDescent="0.35">
      <c r="A17">
        <v>11.5</v>
      </c>
      <c r="B17" s="24">
        <f>('Nitrate consumption BG11'!I51-'Nitrate consumption BG11'!I50)/('Nitrate consumption BG11'!A51-'Nitrate consumption BG11'!A50)*('Nitrate flux'!A17-'Nitrate consumption BG11'!A50)+'Nitrate consumption BG11'!I50</f>
        <v>627.635706421907</v>
      </c>
      <c r="C17" s="24">
        <f t="shared" si="0"/>
        <v>35.527476291781703</v>
      </c>
      <c r="D17" s="24">
        <f>C17/24</f>
        <v>1.480311512157571</v>
      </c>
      <c r="E17" s="25">
        <f>D17/$C$4</f>
        <v>1.7416515525763031E-2</v>
      </c>
      <c r="H17" t="s">
        <v>1</v>
      </c>
      <c r="I17" s="7">
        <f>B17</f>
        <v>627.635706421907</v>
      </c>
      <c r="L17" t="s">
        <v>1</v>
      </c>
      <c r="M17" s="7">
        <f>B15</f>
        <v>3235.8029951788462</v>
      </c>
    </row>
    <row r="18" spans="1:13" x14ac:dyDescent="0.35">
      <c r="H18" t="s">
        <v>2</v>
      </c>
      <c r="I18" s="7">
        <f>B25</f>
        <v>419.33796662629777</v>
      </c>
      <c r="L18" t="s">
        <v>2</v>
      </c>
      <c r="M18" s="7">
        <f>B23</f>
        <v>3172.8146840845707</v>
      </c>
    </row>
    <row r="19" spans="1:13" ht="16.5" x14ac:dyDescent="0.35">
      <c r="A19" s="1" t="s">
        <v>99</v>
      </c>
      <c r="C19" s="12">
        <f>ABS('Nitrate consumption BG11'!N61)</f>
        <v>4.7781942144496423E-2</v>
      </c>
      <c r="D19" s="23" t="s">
        <v>14</v>
      </c>
      <c r="H19" t="s">
        <v>3</v>
      </c>
      <c r="I19" s="7">
        <f>B33</f>
        <v>519.23618617261195</v>
      </c>
      <c r="L19" t="s">
        <v>3</v>
      </c>
      <c r="M19" s="7">
        <f>B31</f>
        <v>3467.5243366488025</v>
      </c>
    </row>
    <row r="20" spans="1:13" x14ac:dyDescent="0.35">
      <c r="A20" s="1" t="s">
        <v>96</v>
      </c>
      <c r="C20" s="23">
        <v>84.994699999999995</v>
      </c>
      <c r="D20" t="s">
        <v>73</v>
      </c>
      <c r="F20" s="1"/>
      <c r="H20" t="s">
        <v>24</v>
      </c>
      <c r="I20" s="18">
        <f>_xlfn.STDEV.S(I17:I19)</f>
        <v>104.17777967074677</v>
      </c>
      <c r="L20" t="s">
        <v>24</v>
      </c>
      <c r="M20" s="18">
        <f>_xlfn.STDEV.S(M17:M19)</f>
        <v>155.19669602458015</v>
      </c>
    </row>
    <row r="21" spans="1:13" x14ac:dyDescent="0.35">
      <c r="H21" t="s">
        <v>22</v>
      </c>
      <c r="I21" s="18">
        <f>I20/SQRT(3)</f>
        <v>60.147069136483175</v>
      </c>
      <c r="L21" t="s">
        <v>22</v>
      </c>
      <c r="M21" s="18">
        <f>M20/SQRT(3)</f>
        <v>89.602854227131871</v>
      </c>
    </row>
    <row r="22" spans="1:13" ht="31" x14ac:dyDescent="0.35">
      <c r="A22" s="22" t="s">
        <v>53</v>
      </c>
      <c r="B22" s="20" t="s">
        <v>77</v>
      </c>
      <c r="C22" s="20" t="s">
        <v>81</v>
      </c>
      <c r="D22" s="20" t="s">
        <v>82</v>
      </c>
      <c r="E22" s="20" t="s">
        <v>83</v>
      </c>
    </row>
    <row r="23" spans="1:13" x14ac:dyDescent="0.35">
      <c r="A23">
        <v>1.25</v>
      </c>
      <c r="B23" s="24">
        <f>('Nitrate consumption BG11'!I63-'Nitrate consumption BG11'!I62)/('Nitrate consumption BG11'!A63-'Nitrate consumption BG11'!A62)*('Nitrate flux'!A23-'Nitrate consumption BG11'!A62)+'Nitrate consumption BG11'!I62</f>
        <v>3172.8146840845707</v>
      </c>
      <c r="C23" s="24">
        <f>B23*$C$19</f>
        <v>151.60324767013765</v>
      </c>
      <c r="D23" s="24">
        <f>C23/24</f>
        <v>6.3168019862557356</v>
      </c>
      <c r="E23" s="25">
        <f>D23/C20</f>
        <v>7.4319951552929017E-2</v>
      </c>
      <c r="F23" s="26">
        <f>E23*3</f>
        <v>0.22295985465878704</v>
      </c>
    </row>
    <row r="24" spans="1:13" x14ac:dyDescent="0.35">
      <c r="A24">
        <v>5.05</v>
      </c>
      <c r="B24" s="24">
        <f>'Nitrate consumption BG11'!I65</f>
        <v>239.0341728067994</v>
      </c>
      <c r="C24" s="24">
        <f t="shared" ref="C24:C25" si="1">B24*$C$19</f>
        <v>11.42151701561205</v>
      </c>
      <c r="D24" s="24">
        <f>C24/24</f>
        <v>0.47589654231716877</v>
      </c>
      <c r="E24" s="25">
        <f>D24/$C$4</f>
        <v>5.5991319731367815E-3</v>
      </c>
    </row>
    <row r="25" spans="1:13" x14ac:dyDescent="0.35">
      <c r="A25">
        <v>11.5</v>
      </c>
      <c r="B25" s="24">
        <f>('Nitrate consumption BG11'!I69-'Nitrate consumption BG11'!I68)/('Nitrate consumption BG11'!A69-'Nitrate consumption BG11'!A68)*('Nitrate flux'!A25-'Nitrate consumption BG11'!A68)+'Nitrate consumption BG11'!I68</f>
        <v>419.33796662629777</v>
      </c>
      <c r="C25" s="24">
        <f t="shared" si="1"/>
        <v>20.036782460328531</v>
      </c>
      <c r="D25" s="24">
        <f>C25/24</f>
        <v>0.83486593584702218</v>
      </c>
      <c r="E25" s="25">
        <f>D25/$C$4</f>
        <v>9.8225646522315177E-3</v>
      </c>
    </row>
    <row r="27" spans="1:13" ht="16.5" x14ac:dyDescent="0.35">
      <c r="A27" s="1" t="s">
        <v>100</v>
      </c>
      <c r="C27" s="12">
        <f>ABS('Nitrate consumption BG11'!N79)</f>
        <v>4.7929194698964568E-2</v>
      </c>
      <c r="D27" s="23" t="s">
        <v>14</v>
      </c>
    </row>
    <row r="28" spans="1:13" x14ac:dyDescent="0.35">
      <c r="A28" s="1" t="s">
        <v>96</v>
      </c>
      <c r="C28" s="23">
        <v>84.994699999999995</v>
      </c>
      <c r="D28" t="s">
        <v>73</v>
      </c>
      <c r="F28" s="1"/>
    </row>
    <row r="30" spans="1:13" ht="31" x14ac:dyDescent="0.35">
      <c r="A30" s="22" t="s">
        <v>53</v>
      </c>
      <c r="B30" s="20" t="s">
        <v>77</v>
      </c>
      <c r="C30" s="20" t="s">
        <v>81</v>
      </c>
      <c r="D30" s="20" t="s">
        <v>82</v>
      </c>
      <c r="E30" s="20" t="s">
        <v>83</v>
      </c>
    </row>
    <row r="31" spans="1:13" x14ac:dyDescent="0.35">
      <c r="A31">
        <v>1.25</v>
      </c>
      <c r="B31" s="24">
        <f>('Nitrate consumption BG11'!I81-'Nitrate consumption BG11'!I80)/('Nitrate consumption BG11'!A81-'Nitrate consumption BG11'!A80)*('Nitrate flux'!A31-'Nitrate consumption BG11'!A80)+'Nitrate consumption BG11'!I80</f>
        <v>3467.5243366488025</v>
      </c>
      <c r="C31" s="24">
        <f>B31*$C$27</f>
        <v>166.19564905463841</v>
      </c>
      <c r="D31" s="24">
        <f>C31/24</f>
        <v>6.9248187106099337</v>
      </c>
      <c r="E31" s="25">
        <f>D31/C28</f>
        <v>8.1473535533508959E-2</v>
      </c>
      <c r="F31" s="26">
        <f>E31*3</f>
        <v>0.24442060660052689</v>
      </c>
    </row>
    <row r="32" spans="1:13" x14ac:dyDescent="0.35">
      <c r="A32">
        <v>5.05</v>
      </c>
      <c r="B32" s="24">
        <f>'Nitrate consumption BG11'!I83</f>
        <v>1207.4085946871294</v>
      </c>
      <c r="C32" s="24">
        <f>B32*$C$27</f>
        <v>57.870121615962617</v>
      </c>
      <c r="D32" s="24">
        <f>C32/24</f>
        <v>2.4112550673317759</v>
      </c>
      <c r="E32" s="25">
        <f>D32/$C$4</f>
        <v>2.8369475594734447E-2</v>
      </c>
    </row>
    <row r="33" spans="1:5" x14ac:dyDescent="0.35">
      <c r="A33">
        <v>11.5</v>
      </c>
      <c r="B33" s="24">
        <f>('Nitrate consumption BG11'!I87-'Nitrate consumption BG11'!I86)/('Nitrate consumption BG11'!A87-'Nitrate consumption BG11'!A86)*('Nitrate flux'!A33-'Nitrate consumption BG11'!A86)+'Nitrate consumption BG11'!I86</f>
        <v>519.23618617261195</v>
      </c>
      <c r="C33" s="24">
        <f>B33*$C$27</f>
        <v>24.886572261814933</v>
      </c>
      <c r="D33" s="24">
        <f>C33/24</f>
        <v>1.0369405109089556</v>
      </c>
      <c r="E33" s="25">
        <f>D33/$C$4</f>
        <v>1.2200060838016436E-2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67"/>
  <sheetViews>
    <sheetView topLeftCell="F13" zoomScale="110" zoomScaleNormal="110" workbookViewId="0">
      <selection activeCell="M30" sqref="M30"/>
    </sheetView>
  </sheetViews>
  <sheetFormatPr defaultRowHeight="14.5" x14ac:dyDescent="0.35"/>
  <cols>
    <col min="1" max="1" width="10.26953125" customWidth="1"/>
    <col min="2" max="2" width="11.81640625" customWidth="1"/>
    <col min="3" max="3" width="12.453125" bestFit="1" customWidth="1"/>
    <col min="4" max="4" width="9.7265625" customWidth="1"/>
    <col min="6" max="6" width="11.1796875" customWidth="1"/>
    <col min="7" max="7" width="14.453125" customWidth="1"/>
    <col min="8" max="8" width="10.6328125" customWidth="1"/>
    <col min="9" max="9" width="17.26953125" customWidth="1"/>
    <col min="16" max="16" width="9.54296875" customWidth="1"/>
  </cols>
  <sheetData>
    <row r="1" spans="1:20" ht="24" x14ac:dyDescent="0.65">
      <c r="A1" s="2" t="s">
        <v>108</v>
      </c>
    </row>
    <row r="2" spans="1:20" ht="21" x14ac:dyDescent="0.5">
      <c r="A2" s="2"/>
    </row>
    <row r="3" spans="1:20" ht="16.5" x14ac:dyDescent="0.45">
      <c r="B3" s="55" t="s">
        <v>105</v>
      </c>
      <c r="C3" s="55"/>
      <c r="D3" s="55"/>
      <c r="K3" s="21" t="s">
        <v>70</v>
      </c>
    </row>
    <row r="4" spans="1:20" ht="33" x14ac:dyDescent="0.35">
      <c r="A4" s="19" t="s">
        <v>65</v>
      </c>
      <c r="B4" s="19" t="s">
        <v>1</v>
      </c>
      <c r="C4" s="19" t="s">
        <v>2</v>
      </c>
      <c r="D4" s="19" t="s">
        <v>3</v>
      </c>
      <c r="E4" s="19" t="s">
        <v>41</v>
      </c>
      <c r="F4" s="19" t="s">
        <v>104</v>
      </c>
      <c r="G4" s="20" t="s">
        <v>106</v>
      </c>
      <c r="H4" s="20" t="s">
        <v>71</v>
      </c>
      <c r="I4" s="20" t="s">
        <v>107</v>
      </c>
    </row>
    <row r="5" spans="1:20" ht="16.5" x14ac:dyDescent="0.35">
      <c r="A5" s="7">
        <v>0</v>
      </c>
      <c r="B5" s="7">
        <v>3.5057800274383366</v>
      </c>
      <c r="C5" s="7">
        <v>2.0521639185004901</v>
      </c>
      <c r="D5" s="7">
        <v>3.5601934646713045</v>
      </c>
      <c r="E5" s="7">
        <f>AVERAGE(B5:D5)</f>
        <v>3.039379136870044</v>
      </c>
      <c r="F5" s="7">
        <f>LN(E5)</f>
        <v>1.1116532632673313</v>
      </c>
      <c r="G5" s="7">
        <f>E5-$E$5</f>
        <v>0</v>
      </c>
      <c r="H5" s="7">
        <f>E17-$E$17</f>
        <v>0</v>
      </c>
      <c r="R5" s="3" t="s">
        <v>45</v>
      </c>
      <c r="S5" s="18">
        <f>SLOPE(F6:F11,A6:A11)</f>
        <v>0.22846242878363116</v>
      </c>
      <c r="T5" t="s">
        <v>14</v>
      </c>
    </row>
    <row r="6" spans="1:20" ht="17.5" x14ac:dyDescent="0.45">
      <c r="A6" s="7">
        <v>2.1701388888832298</v>
      </c>
      <c r="B6" s="7">
        <v>3.7437357081821201</v>
      </c>
      <c r="C6" s="7">
        <v>2.8311352304671829</v>
      </c>
      <c r="D6" s="7">
        <v>3.9275864468908899</v>
      </c>
      <c r="E6" s="7">
        <f t="shared" ref="E6:E13" si="0">AVERAGE(B6:D6)</f>
        <v>3.5008191285133976</v>
      </c>
      <c r="F6" s="7">
        <f t="shared" ref="F6:F13" si="1">LN(E6)</f>
        <v>1.2529969778311612</v>
      </c>
      <c r="G6" s="7">
        <f t="shared" ref="G6:G13" si="2">E6-$E$5</f>
        <v>0.46143999164335359</v>
      </c>
      <c r="H6" s="7">
        <f t="shared" ref="H6:H13" si="3">E18-$E$17</f>
        <v>34.697102415600739</v>
      </c>
      <c r="I6" s="24">
        <f>G6/H6*1000</f>
        <v>13.29909299388291</v>
      </c>
      <c r="R6" s="3" t="s">
        <v>111</v>
      </c>
      <c r="S6" s="18">
        <f>INTERCEPT(F6:F11,A6:A11)</f>
        <v>0.91160219383254071</v>
      </c>
      <c r="T6" t="s">
        <v>44</v>
      </c>
    </row>
    <row r="7" spans="1:20" ht="17.5" x14ac:dyDescent="0.45">
      <c r="A7" s="7">
        <v>3.2118055555547471</v>
      </c>
      <c r="B7" s="7">
        <v>4.5821841880393723</v>
      </c>
      <c r="C7" s="7">
        <v>4.1326000000000001</v>
      </c>
      <c r="D7" s="7">
        <v>5.8831971985719784</v>
      </c>
      <c r="E7" s="7">
        <f t="shared" si="0"/>
        <v>4.8659937955371175</v>
      </c>
      <c r="F7" s="7">
        <f t="shared" si="1"/>
        <v>1.5822709692962182</v>
      </c>
      <c r="G7" s="7">
        <f t="shared" si="2"/>
        <v>1.8266146586670735</v>
      </c>
      <c r="H7" s="7">
        <f t="shared" si="3"/>
        <v>67.094050347283968</v>
      </c>
      <c r="I7" s="24">
        <f t="shared" ref="I7:I13" si="4">G7/H7*1000</f>
        <v>27.224689062776438</v>
      </c>
      <c r="R7" s="3" t="s">
        <v>112</v>
      </c>
      <c r="S7">
        <f>EXP(S6)</f>
        <v>2.4883060899886011</v>
      </c>
      <c r="T7" t="s">
        <v>44</v>
      </c>
    </row>
    <row r="8" spans="1:20" x14ac:dyDescent="0.35">
      <c r="A8" s="7">
        <v>4.3784722222189885</v>
      </c>
      <c r="B8" s="7">
        <v>7.9942749137758318</v>
      </c>
      <c r="C8" s="7">
        <v>6.9423000000000004</v>
      </c>
      <c r="D8" s="7">
        <v>8.9107117513837064</v>
      </c>
      <c r="E8" s="7">
        <f t="shared" si="0"/>
        <v>7.9490955550531792</v>
      </c>
      <c r="F8" s="7">
        <f t="shared" si="1"/>
        <v>2.0730581555343459</v>
      </c>
      <c r="G8" s="7">
        <f t="shared" si="2"/>
        <v>4.9097164181831356</v>
      </c>
      <c r="H8" s="7">
        <f t="shared" si="3"/>
        <v>118.09395353004123</v>
      </c>
      <c r="I8" s="24">
        <f t="shared" si="4"/>
        <v>41.574663828442169</v>
      </c>
    </row>
    <row r="9" spans="1:20" x14ac:dyDescent="0.35">
      <c r="A9" s="7">
        <v>6.7465277777810115</v>
      </c>
      <c r="B9" s="7">
        <v>14.186360421452255</v>
      </c>
      <c r="C9" s="7">
        <v>14.015346761577211</v>
      </c>
      <c r="D9" s="7">
        <v>14.186360421452255</v>
      </c>
      <c r="E9" s="7">
        <f t="shared" si="0"/>
        <v>14.129355868160573</v>
      </c>
      <c r="F9" s="7">
        <f t="shared" si="1"/>
        <v>2.6482546095399173</v>
      </c>
      <c r="G9" s="7">
        <f t="shared" si="2"/>
        <v>11.089976731290529</v>
      </c>
      <c r="H9" s="7">
        <f t="shared" si="3"/>
        <v>267.03236375673191</v>
      </c>
      <c r="I9" s="24">
        <f t="shared" si="4"/>
        <v>41.530459361823141</v>
      </c>
    </row>
    <row r="10" spans="1:20" x14ac:dyDescent="0.35">
      <c r="A10" s="7">
        <v>7.7465277777810115</v>
      </c>
      <c r="B10" s="7">
        <v>15.072522113532008</v>
      </c>
      <c r="C10" s="7">
        <v>15.305722558816157</v>
      </c>
      <c r="D10" s="7">
        <v>15.664662401480248</v>
      </c>
      <c r="E10" s="7">
        <f t="shared" si="0"/>
        <v>15.347635691276139</v>
      </c>
      <c r="F10" s="7">
        <f t="shared" si="1"/>
        <v>2.7309614355429255</v>
      </c>
      <c r="G10" s="7">
        <f t="shared" si="2"/>
        <v>12.308256554406094</v>
      </c>
      <c r="H10" s="7">
        <f t="shared" si="3"/>
        <v>343.87132754130852</v>
      </c>
      <c r="I10" s="24">
        <f t="shared" si="4"/>
        <v>35.793203935933072</v>
      </c>
    </row>
    <row r="11" spans="1:20" x14ac:dyDescent="0.35">
      <c r="A11" s="7">
        <v>9.9166666666642413</v>
      </c>
      <c r="B11" s="7">
        <v>20.104333125022741</v>
      </c>
      <c r="C11" s="7">
        <v>17.65777406748029</v>
      </c>
      <c r="D11" s="7">
        <v>21.815287970949587</v>
      </c>
      <c r="E11" s="7">
        <f t="shared" si="0"/>
        <v>19.859131721150874</v>
      </c>
      <c r="F11" s="7">
        <f t="shared" si="1"/>
        <v>2.9886639376789477</v>
      </c>
      <c r="G11" s="7">
        <f t="shared" si="2"/>
        <v>16.819752584280831</v>
      </c>
      <c r="H11" s="7">
        <f t="shared" si="3"/>
        <v>523.14096373854954</v>
      </c>
      <c r="I11" s="24">
        <f t="shared" si="4"/>
        <v>32.151473025704121</v>
      </c>
    </row>
    <row r="12" spans="1:20" x14ac:dyDescent="0.35">
      <c r="A12" s="7">
        <v>13.989583333335759</v>
      </c>
      <c r="B12" s="7">
        <v>23.870744999999999</v>
      </c>
      <c r="C12" s="7">
        <v>26.032139999999998</v>
      </c>
      <c r="D12" s="7">
        <v>24.059640000000002</v>
      </c>
      <c r="E12" s="7">
        <f t="shared" si="0"/>
        <v>24.654174999999999</v>
      </c>
      <c r="F12" s="7">
        <f t="shared" si="1"/>
        <v>3.2049462573437717</v>
      </c>
      <c r="G12" s="7">
        <f t="shared" si="2"/>
        <v>21.614795863129956</v>
      </c>
      <c r="H12" s="7">
        <f t="shared" si="3"/>
        <v>837.89185526449546</v>
      </c>
      <c r="I12" s="24">
        <f t="shared" si="4"/>
        <v>25.796641568149461</v>
      </c>
    </row>
    <row r="13" spans="1:20" x14ac:dyDescent="0.35">
      <c r="A13" s="7">
        <v>19.916666666664241</v>
      </c>
      <c r="B13" s="7">
        <v>27.654136000000001</v>
      </c>
      <c r="C13" s="7">
        <v>32.05489</v>
      </c>
      <c r="D13" s="7">
        <v>29.21489</v>
      </c>
      <c r="E13" s="7">
        <f t="shared" si="0"/>
        <v>29.641305333333335</v>
      </c>
      <c r="F13" s="7">
        <f t="shared" si="1"/>
        <v>3.3891688390443169</v>
      </c>
      <c r="G13" s="7">
        <f t="shared" si="2"/>
        <v>26.601926196463292</v>
      </c>
      <c r="H13" s="7">
        <f t="shared" si="3"/>
        <v>1134.8247818369011</v>
      </c>
      <c r="I13" s="24">
        <f t="shared" si="4"/>
        <v>23.441439262018658</v>
      </c>
    </row>
    <row r="14" spans="1:20" x14ac:dyDescent="0.35">
      <c r="G14" s="7"/>
    </row>
    <row r="15" spans="1:20" ht="21" x14ac:dyDescent="0.5">
      <c r="A15" s="2"/>
      <c r="B15" s="55" t="s">
        <v>69</v>
      </c>
      <c r="C15" s="55"/>
      <c r="D15" s="55"/>
    </row>
    <row r="16" spans="1:20" x14ac:dyDescent="0.35">
      <c r="A16" s="1" t="s">
        <v>65</v>
      </c>
      <c r="B16" s="17" t="s">
        <v>1</v>
      </c>
      <c r="C16" s="17" t="s">
        <v>2</v>
      </c>
      <c r="D16" s="17" t="s">
        <v>3</v>
      </c>
      <c r="E16" s="17" t="s">
        <v>41</v>
      </c>
      <c r="I16" s="1" t="s">
        <v>113</v>
      </c>
    </row>
    <row r="17" spans="1:14" x14ac:dyDescent="0.35">
      <c r="A17" s="7">
        <v>0</v>
      </c>
      <c r="B17" s="24">
        <v>10.153341341929345</v>
      </c>
      <c r="C17" s="24">
        <v>10.153341341929345</v>
      </c>
      <c r="D17" s="24">
        <v>10.153341341929345</v>
      </c>
      <c r="E17" s="7">
        <f>AVERAGE(B17:D17)</f>
        <v>10.153341341929345</v>
      </c>
      <c r="G17">
        <f>E5/E17</f>
        <v>0.29934767624905823</v>
      </c>
    </row>
    <row r="18" spans="1:14" ht="16.5" x14ac:dyDescent="0.35">
      <c r="A18" s="7">
        <v>2.1701388888832298</v>
      </c>
      <c r="B18" s="24">
        <v>44.850443757530073</v>
      </c>
      <c r="C18" s="24">
        <v>44.850443757530073</v>
      </c>
      <c r="D18" s="24">
        <v>44.850443757530073</v>
      </c>
      <c r="E18" s="7">
        <f t="shared" ref="E18:E25" si="5">AVERAGE(B18:D18)</f>
        <v>44.85044375753008</v>
      </c>
      <c r="G18">
        <f t="shared" ref="G18:G25" si="6">E6/E18</f>
        <v>7.8055395559506233E-2</v>
      </c>
      <c r="I18" t="s">
        <v>1</v>
      </c>
      <c r="J18" s="6">
        <f>M30</f>
        <v>0.20404032112659107</v>
      </c>
      <c r="K18" t="s">
        <v>14</v>
      </c>
    </row>
    <row r="19" spans="1:14" ht="16.5" x14ac:dyDescent="0.35">
      <c r="A19" s="7">
        <v>3.2118055555547471</v>
      </c>
      <c r="B19" s="24">
        <v>77.247391689213316</v>
      </c>
      <c r="C19" s="24">
        <v>77.247391689213316</v>
      </c>
      <c r="D19" s="24">
        <v>77.247391689213316</v>
      </c>
      <c r="E19" s="7">
        <f t="shared" si="5"/>
        <v>77.247391689213316</v>
      </c>
      <c r="G19">
        <f t="shared" si="6"/>
        <v>6.2992337852833882E-2</v>
      </c>
      <c r="I19" t="s">
        <v>2</v>
      </c>
      <c r="J19" s="6">
        <f>M42</f>
        <v>0.24590123558757515</v>
      </c>
      <c r="K19" t="s">
        <v>14</v>
      </c>
    </row>
    <row r="20" spans="1:14" ht="16.5" x14ac:dyDescent="0.35">
      <c r="A20" s="7">
        <v>4.3784722222189885</v>
      </c>
      <c r="B20" s="24">
        <v>128.24729487197058</v>
      </c>
      <c r="C20" s="24">
        <v>128.24729487197058</v>
      </c>
      <c r="D20" s="24">
        <v>128.24729487197058</v>
      </c>
      <c r="E20" s="7">
        <f t="shared" si="5"/>
        <v>128.24729487197058</v>
      </c>
      <c r="G20">
        <f t="shared" si="6"/>
        <v>6.1982559265587399E-2</v>
      </c>
      <c r="I20" t="s">
        <v>3</v>
      </c>
      <c r="J20" s="6">
        <f>M54</f>
        <v>0.20185987459125848</v>
      </c>
      <c r="K20" t="s">
        <v>14</v>
      </c>
    </row>
    <row r="21" spans="1:14" ht="16.5" x14ac:dyDescent="0.35">
      <c r="A21" s="7">
        <v>6.7465277777810115</v>
      </c>
      <c r="B21" s="24">
        <v>277.18570509866123</v>
      </c>
      <c r="C21" s="24">
        <v>277.18570509866123</v>
      </c>
      <c r="D21" s="24">
        <v>277.18570509866123</v>
      </c>
      <c r="E21" s="7">
        <f t="shared" si="5"/>
        <v>277.18570509866123</v>
      </c>
      <c r="G21">
        <f t="shared" si="6"/>
        <v>5.0974330956682572E-2</v>
      </c>
      <c r="I21" t="s">
        <v>21</v>
      </c>
      <c r="J21" s="6">
        <f>S5</f>
        <v>0.22846242878363116</v>
      </c>
      <c r="K21" t="s">
        <v>14</v>
      </c>
    </row>
    <row r="22" spans="1:14" ht="16.5" x14ac:dyDescent="0.35">
      <c r="A22" s="7">
        <v>7.7465277777810115</v>
      </c>
      <c r="B22" s="24">
        <v>354.02466888323784</v>
      </c>
      <c r="C22" s="24">
        <v>354.02466888323784</v>
      </c>
      <c r="D22" s="24">
        <v>354.02466888323784</v>
      </c>
      <c r="E22" s="7">
        <f t="shared" si="5"/>
        <v>354.02466888323784</v>
      </c>
      <c r="G22">
        <f t="shared" si="6"/>
        <v>4.3351882058642641E-2</v>
      </c>
      <c r="I22" t="s">
        <v>24</v>
      </c>
      <c r="J22" s="18">
        <f>_xlfn.STDEV.S(J18:J20)</f>
        <v>2.4821804880021496E-2</v>
      </c>
      <c r="K22" t="s">
        <v>14</v>
      </c>
    </row>
    <row r="23" spans="1:14" ht="16.5" x14ac:dyDescent="0.35">
      <c r="A23" s="7">
        <v>9.9166666666642413</v>
      </c>
      <c r="B23" s="24">
        <v>533.29430508047892</v>
      </c>
      <c r="C23" s="24">
        <v>533.29430508047892</v>
      </c>
      <c r="D23" s="24">
        <v>533.29430508047892</v>
      </c>
      <c r="E23" s="7">
        <f t="shared" si="5"/>
        <v>533.29430508047892</v>
      </c>
      <c r="G23">
        <f t="shared" si="6"/>
        <v>3.7238597022246377E-2</v>
      </c>
      <c r="I23" t="s">
        <v>22</v>
      </c>
      <c r="J23" s="6">
        <f>J22/SQRT(3)</f>
        <v>1.4330875729252778E-2</v>
      </c>
      <c r="K23" t="s">
        <v>14</v>
      </c>
    </row>
    <row r="24" spans="1:14" x14ac:dyDescent="0.35">
      <c r="A24" s="7">
        <v>13.989583333335759</v>
      </c>
      <c r="B24" s="24">
        <v>848.04519660642484</v>
      </c>
      <c r="C24" s="24">
        <v>848.04519660642484</v>
      </c>
      <c r="D24" s="24">
        <v>848.04519660642484</v>
      </c>
      <c r="E24" s="7">
        <f t="shared" si="5"/>
        <v>848.04519660642484</v>
      </c>
      <c r="G24">
        <f t="shared" si="6"/>
        <v>2.9071770111613434E-2</v>
      </c>
    </row>
    <row r="25" spans="1:14" x14ac:dyDescent="0.35">
      <c r="A25" s="7">
        <v>19.916666666664241</v>
      </c>
      <c r="B25" s="24">
        <v>1144.9781231788304</v>
      </c>
      <c r="C25" s="24">
        <v>1144.9781231788304</v>
      </c>
      <c r="D25" s="24">
        <v>1144.9781231788304</v>
      </c>
      <c r="E25" s="7">
        <f t="shared" si="5"/>
        <v>1144.9781231788304</v>
      </c>
      <c r="G25">
        <f t="shared" si="6"/>
        <v>2.5888097539400547E-2</v>
      </c>
    </row>
    <row r="28" spans="1:14" x14ac:dyDescent="0.35">
      <c r="A28" s="55" t="s">
        <v>35</v>
      </c>
      <c r="B28" s="55"/>
      <c r="C28" s="55"/>
      <c r="D28" s="55"/>
      <c r="E28" s="55"/>
      <c r="F28" s="55"/>
      <c r="G28" s="55"/>
      <c r="H28" s="55"/>
      <c r="I28" s="55"/>
    </row>
    <row r="29" spans="1:14" ht="33" x14ac:dyDescent="0.35">
      <c r="A29" s="19" t="s">
        <v>65</v>
      </c>
      <c r="B29" s="19" t="s">
        <v>30</v>
      </c>
      <c r="C29" s="19" t="s">
        <v>66</v>
      </c>
      <c r="D29" s="20" t="s">
        <v>67</v>
      </c>
      <c r="E29" s="20" t="s">
        <v>110</v>
      </c>
      <c r="F29" s="19" t="s">
        <v>104</v>
      </c>
      <c r="G29" s="20" t="s">
        <v>106</v>
      </c>
      <c r="H29" s="20" t="s">
        <v>71</v>
      </c>
      <c r="I29" s="20" t="s">
        <v>107</v>
      </c>
    </row>
    <row r="30" spans="1:14" ht="16.5" x14ac:dyDescent="0.35">
      <c r="A30">
        <v>0</v>
      </c>
      <c r="B30" s="6">
        <f t="shared" ref="B30:B38" si="7">2.58*(1-EXP(-0.429*A30/2.58))</f>
        <v>0</v>
      </c>
      <c r="C30" s="6">
        <f>'Growth rates'!$R$6*EXP(B30)</f>
        <v>0.10350000000000001</v>
      </c>
      <c r="D30" s="7">
        <f t="shared" ref="D30:D38" si="8">EXP(6.6292056+1.9008173*LN(C30))</f>
        <v>10.153341341929345</v>
      </c>
      <c r="E30" s="7">
        <v>3.5057800274383366</v>
      </c>
      <c r="F30" s="7">
        <f>LN(E30)</f>
        <v>1.2544130427846436</v>
      </c>
      <c r="G30" s="7">
        <f>E30-$E$30</f>
        <v>0</v>
      </c>
      <c r="H30" s="7">
        <f>D30-$D$30</f>
        <v>0</v>
      </c>
      <c r="L30" s="3" t="s">
        <v>45</v>
      </c>
      <c r="M30" s="6">
        <f>SLOPE(F30:F36,A30:A36)</f>
        <v>0.20404032112659107</v>
      </c>
      <c r="N30" t="s">
        <v>14</v>
      </c>
    </row>
    <row r="31" spans="1:14" ht="17.5" x14ac:dyDescent="0.45">
      <c r="A31">
        <v>2.1701388888832298</v>
      </c>
      <c r="B31" s="6">
        <f t="shared" si="7"/>
        <v>0.78152205114682549</v>
      </c>
      <c r="C31" s="6">
        <f>'Growth rates'!$R$6*EXP(B31)</f>
        <v>0.22612629346963106</v>
      </c>
      <c r="D31" s="7">
        <f t="shared" si="8"/>
        <v>44.850443757530073</v>
      </c>
      <c r="E31" s="7">
        <v>3.7437357081821201</v>
      </c>
      <c r="F31" s="7">
        <f t="shared" ref="F31:F38" si="9">LN(E31)</f>
        <v>1.3200839653603778</v>
      </c>
      <c r="G31" s="7">
        <f t="shared" ref="G31:G38" si="10">E31-$E$30</f>
        <v>0.23795568074378348</v>
      </c>
      <c r="H31" s="7">
        <f t="shared" ref="H31:H38" si="11">D31-$D$30</f>
        <v>34.697102415600725</v>
      </c>
      <c r="I31" s="24">
        <f>G31/H31*1000</f>
        <v>6.8580850900331196</v>
      </c>
      <c r="L31" s="3" t="s">
        <v>111</v>
      </c>
      <c r="M31" s="6">
        <f>INTERCEPT(F30:F36,A30:A36)</f>
        <v>1.0813431464917072</v>
      </c>
      <c r="N31" t="s">
        <v>44</v>
      </c>
    </row>
    <row r="32" spans="1:14" ht="17.5" x14ac:dyDescent="0.45">
      <c r="A32">
        <v>3.2118055555547471</v>
      </c>
      <c r="B32" s="6">
        <f t="shared" si="7"/>
        <v>1.0675462092559318</v>
      </c>
      <c r="C32" s="6">
        <f>'Growth rates'!$R$6*EXP(B32)</f>
        <v>0.30100227472955177</v>
      </c>
      <c r="D32" s="7">
        <f t="shared" si="8"/>
        <v>77.247391689213316</v>
      </c>
      <c r="E32" s="7">
        <v>4.5821841880393723</v>
      </c>
      <c r="F32" s="7">
        <f t="shared" si="9"/>
        <v>1.5221757813987111</v>
      </c>
      <c r="G32" s="7">
        <f t="shared" si="10"/>
        <v>1.0764041606010357</v>
      </c>
      <c r="H32" s="7">
        <f t="shared" si="11"/>
        <v>67.094050347283968</v>
      </c>
      <c r="I32" s="24">
        <f t="shared" ref="I32:I38" si="12">G32/H32*1000</f>
        <v>16.043213295806186</v>
      </c>
      <c r="L32" s="3" t="s">
        <v>112</v>
      </c>
      <c r="M32" s="6">
        <f>EXP(M31)</f>
        <v>2.9486373444268712</v>
      </c>
      <c r="N32" t="s">
        <v>44</v>
      </c>
    </row>
    <row r="33" spans="1:16" x14ac:dyDescent="0.35">
      <c r="A33">
        <v>4.3784722222189885</v>
      </c>
      <c r="B33" s="6">
        <f t="shared" si="7"/>
        <v>1.3342458234404833</v>
      </c>
      <c r="C33" s="6">
        <f>'Growth rates'!$R$6*EXP(B33)</f>
        <v>0.39300307495275144</v>
      </c>
      <c r="D33" s="7">
        <f t="shared" si="8"/>
        <v>128.24729487197058</v>
      </c>
      <c r="E33" s="7">
        <v>7.9942749137758318</v>
      </c>
      <c r="F33" s="7">
        <f t="shared" si="9"/>
        <v>2.0787256497122986</v>
      </c>
      <c r="G33" s="7">
        <f t="shared" si="10"/>
        <v>4.4884948863374952</v>
      </c>
      <c r="H33" s="7">
        <f t="shared" si="11"/>
        <v>118.09395353004123</v>
      </c>
      <c r="I33" s="24">
        <f t="shared" si="12"/>
        <v>38.007829801342815</v>
      </c>
    </row>
    <row r="34" spans="1:16" x14ac:dyDescent="0.35">
      <c r="A34">
        <v>6.7465277777810115</v>
      </c>
      <c r="B34" s="6">
        <f t="shared" si="7"/>
        <v>1.739717357114795</v>
      </c>
      <c r="C34" s="6">
        <f>'Growth rates'!$R$6*EXP(B34)</f>
        <v>0.58950840034217833</v>
      </c>
      <c r="D34" s="7">
        <f t="shared" si="8"/>
        <v>277.18570509866123</v>
      </c>
      <c r="E34" s="7">
        <v>14.186360421452255</v>
      </c>
      <c r="F34" s="7">
        <f t="shared" si="9"/>
        <v>2.6522809692985576</v>
      </c>
      <c r="G34" s="7">
        <f t="shared" si="10"/>
        <v>10.680580394013919</v>
      </c>
      <c r="H34" s="7">
        <f t="shared" si="11"/>
        <v>267.03236375673191</v>
      </c>
      <c r="I34" s="24">
        <f t="shared" si="12"/>
        <v>39.9973255816437</v>
      </c>
      <c r="P34" s="7"/>
    </row>
    <row r="35" spans="1:16" x14ac:dyDescent="0.35">
      <c r="A35">
        <v>7.7465277777810115</v>
      </c>
      <c r="B35" s="6">
        <f t="shared" si="7"/>
        <v>1.8684403541849366</v>
      </c>
      <c r="C35" s="6">
        <f>'Growth rates'!$R$6*EXP(B35)</f>
        <v>0.67049213117123818</v>
      </c>
      <c r="D35" s="7">
        <f t="shared" si="8"/>
        <v>354.02466888323784</v>
      </c>
      <c r="E35" s="7">
        <v>15.072522113532008</v>
      </c>
      <c r="F35" s="7">
        <f t="shared" si="9"/>
        <v>2.7128733585246172</v>
      </c>
      <c r="G35" s="7">
        <f t="shared" si="10"/>
        <v>11.566742086093672</v>
      </c>
      <c r="H35" s="7">
        <f t="shared" si="11"/>
        <v>343.87132754130852</v>
      </c>
      <c r="I35" s="24">
        <f t="shared" si="12"/>
        <v>33.636832034808677</v>
      </c>
    </row>
    <row r="36" spans="1:16" x14ac:dyDescent="0.35">
      <c r="A36">
        <v>9.9166666666642413</v>
      </c>
      <c r="B36" s="6">
        <f t="shared" si="7"/>
        <v>2.0839828169410208</v>
      </c>
      <c r="C36" s="6">
        <f>'Growth rates'!$R$6*EXP(B36)</f>
        <v>0.83176872685234582</v>
      </c>
      <c r="D36" s="7">
        <f t="shared" si="8"/>
        <v>533.29430508047892</v>
      </c>
      <c r="E36" s="7">
        <v>20.104333125022741</v>
      </c>
      <c r="F36" s="7">
        <f t="shared" si="9"/>
        <v>3.0009353701906951</v>
      </c>
      <c r="G36" s="7">
        <f t="shared" si="10"/>
        <v>16.598553097584404</v>
      </c>
      <c r="H36" s="7">
        <f t="shared" si="11"/>
        <v>523.14096373854954</v>
      </c>
      <c r="I36" s="24">
        <f t="shared" si="12"/>
        <v>31.728643421393151</v>
      </c>
    </row>
    <row r="37" spans="1:16" x14ac:dyDescent="0.35">
      <c r="A37">
        <v>13.989583333335759</v>
      </c>
      <c r="B37" s="6">
        <f t="shared" si="7"/>
        <v>2.3280149463563697</v>
      </c>
      <c r="C37" s="6">
        <f>'Growth rates'!$R$6*EXP(B37)</f>
        <v>1.0616574086802968</v>
      </c>
      <c r="D37" s="7">
        <f t="shared" si="8"/>
        <v>848.04519660642484</v>
      </c>
      <c r="E37" s="7">
        <v>23.870744999999999</v>
      </c>
      <c r="F37" s="7">
        <f t="shared" si="9"/>
        <v>3.1726536505884533</v>
      </c>
      <c r="G37" s="7">
        <f t="shared" si="10"/>
        <v>20.364964972561662</v>
      </c>
      <c r="H37" s="7">
        <f t="shared" si="11"/>
        <v>837.89185526449546</v>
      </c>
      <c r="I37" s="24">
        <f t="shared" si="12"/>
        <v>24.305004094034423</v>
      </c>
    </row>
    <row r="38" spans="1:16" x14ac:dyDescent="0.35">
      <c r="A38">
        <v>19.916666666664241</v>
      </c>
      <c r="B38" s="6">
        <f t="shared" si="7"/>
        <v>2.4859506286311577</v>
      </c>
      <c r="C38" s="6">
        <f>'Growth rates'!$R$6*EXP(B38)</f>
        <v>1.2432972987816158</v>
      </c>
      <c r="D38" s="7">
        <f t="shared" si="8"/>
        <v>1144.9781231788304</v>
      </c>
      <c r="E38" s="7">
        <v>27.654136000000001</v>
      </c>
      <c r="F38" s="7">
        <f t="shared" si="9"/>
        <v>3.3197753008685593</v>
      </c>
      <c r="G38" s="7">
        <f t="shared" si="10"/>
        <v>24.148355972561664</v>
      </c>
      <c r="H38" s="7">
        <f t="shared" si="11"/>
        <v>1134.8247818369011</v>
      </c>
      <c r="I38" s="24">
        <f t="shared" si="12"/>
        <v>21.279369607591374</v>
      </c>
    </row>
    <row r="40" spans="1:16" x14ac:dyDescent="0.35">
      <c r="A40" s="55" t="s">
        <v>36</v>
      </c>
      <c r="B40" s="55"/>
      <c r="C40" s="55"/>
      <c r="D40" s="55"/>
      <c r="E40" s="55"/>
      <c r="F40" s="55"/>
      <c r="G40" s="55"/>
      <c r="H40" s="55"/>
      <c r="I40" s="55"/>
    </row>
    <row r="41" spans="1:16" ht="33" x14ac:dyDescent="0.35">
      <c r="A41" s="19" t="s">
        <v>65</v>
      </c>
      <c r="B41" s="19" t="s">
        <v>30</v>
      </c>
      <c r="C41" s="19" t="s">
        <v>66</v>
      </c>
      <c r="D41" s="20" t="s">
        <v>67</v>
      </c>
      <c r="E41" s="20" t="s">
        <v>110</v>
      </c>
      <c r="F41" s="19" t="s">
        <v>104</v>
      </c>
      <c r="G41" s="20" t="s">
        <v>106</v>
      </c>
      <c r="H41" s="20" t="s">
        <v>71</v>
      </c>
      <c r="I41" s="20" t="s">
        <v>107</v>
      </c>
    </row>
    <row r="42" spans="1:16" ht="16.5" x14ac:dyDescent="0.35">
      <c r="A42">
        <v>0</v>
      </c>
      <c r="B42" s="6">
        <f t="shared" ref="B42:B50" si="13">2.58*(1-EXP(-0.429*A42/2.58))</f>
        <v>0</v>
      </c>
      <c r="C42" s="6">
        <f>'Growth rates'!$R$6*EXP(B42)</f>
        <v>0.10350000000000001</v>
      </c>
      <c r="D42" s="7">
        <f t="shared" ref="D42:D50" si="14">EXP(6.6292056+1.9008173*LN(C42))</f>
        <v>10.153341341929345</v>
      </c>
      <c r="E42" s="7">
        <v>2.0521639185004901</v>
      </c>
      <c r="F42" s="7">
        <f>LN(E42)</f>
        <v>0.71889480642828163</v>
      </c>
      <c r="G42" s="7">
        <f>E42-$E$42</f>
        <v>0</v>
      </c>
      <c r="H42" s="7">
        <f>D42-$D$42</f>
        <v>0</v>
      </c>
      <c r="L42" s="3" t="s">
        <v>45</v>
      </c>
      <c r="M42" s="6">
        <f>SLOPE(F42:F48,A42:A48)</f>
        <v>0.24590123558757515</v>
      </c>
      <c r="N42" t="s">
        <v>14</v>
      </c>
    </row>
    <row r="43" spans="1:16" ht="17.5" x14ac:dyDescent="0.45">
      <c r="A43">
        <v>2.1701388888832298</v>
      </c>
      <c r="B43" s="6">
        <f t="shared" si="13"/>
        <v>0.78152205114682549</v>
      </c>
      <c r="C43" s="6">
        <f>'Growth rates'!$R$6*EXP(B43)</f>
        <v>0.22612629346963106</v>
      </c>
      <c r="D43" s="7">
        <f t="shared" si="14"/>
        <v>44.850443757530073</v>
      </c>
      <c r="E43" s="7">
        <v>2.8311352304671829</v>
      </c>
      <c r="F43" s="7">
        <f t="shared" ref="F43:F50" si="15">LN(E43)</f>
        <v>1.04067777272724</v>
      </c>
      <c r="G43" s="7">
        <f t="shared" ref="G43:G50" si="16">E43-$E$42</f>
        <v>0.77897131196669278</v>
      </c>
      <c r="H43" s="7">
        <f t="shared" ref="H43:H50" si="17">D43-$D$42</f>
        <v>34.697102415600725</v>
      </c>
      <c r="I43" s="24">
        <f>G43/H43*1000</f>
        <v>22.450615692232759</v>
      </c>
      <c r="L43" s="3" t="s">
        <v>111</v>
      </c>
      <c r="M43" s="6">
        <f>INTERCEPT(F42:F48,A42:A48)</f>
        <v>0.70759841980557403</v>
      </c>
      <c r="N43" t="s">
        <v>44</v>
      </c>
    </row>
    <row r="44" spans="1:16" ht="17.5" x14ac:dyDescent="0.45">
      <c r="A44">
        <v>3.2118055555547471</v>
      </c>
      <c r="B44" s="6">
        <f t="shared" si="13"/>
        <v>1.0675462092559318</v>
      </c>
      <c r="C44" s="6">
        <f>'Growth rates'!$R$6*EXP(B44)</f>
        <v>0.30100227472955177</v>
      </c>
      <c r="D44" s="7">
        <f t="shared" si="14"/>
        <v>77.247391689213316</v>
      </c>
      <c r="E44" s="7">
        <v>4.1326000000000001</v>
      </c>
      <c r="F44" s="7">
        <f t="shared" si="15"/>
        <v>1.4189067488473672</v>
      </c>
      <c r="G44" s="7">
        <f t="shared" si="16"/>
        <v>2.08043608149951</v>
      </c>
      <c r="H44" s="7">
        <f t="shared" si="17"/>
        <v>67.094050347283968</v>
      </c>
      <c r="I44" s="24">
        <f t="shared" ref="I44:I50" si="18">G44/H44*1000</f>
        <v>31.007758075880243</v>
      </c>
      <c r="L44" s="3" t="s">
        <v>112</v>
      </c>
      <c r="M44" s="6">
        <f>EXP(M43)</f>
        <v>2.0291123264427968</v>
      </c>
      <c r="N44" t="s">
        <v>44</v>
      </c>
    </row>
    <row r="45" spans="1:16" x14ac:dyDescent="0.35">
      <c r="A45">
        <v>4.3784722222189885</v>
      </c>
      <c r="B45" s="6">
        <f t="shared" si="13"/>
        <v>1.3342458234404833</v>
      </c>
      <c r="C45" s="6">
        <f>'Growth rates'!$R$6*EXP(B45)</f>
        <v>0.39300307495275144</v>
      </c>
      <c r="D45" s="7">
        <f t="shared" si="14"/>
        <v>128.24729487197058</v>
      </c>
      <c r="E45" s="7">
        <v>6.9423000000000004</v>
      </c>
      <c r="F45" s="7">
        <f t="shared" si="15"/>
        <v>1.9376331317175988</v>
      </c>
      <c r="G45" s="7">
        <f t="shared" si="16"/>
        <v>4.8901360814995103</v>
      </c>
      <c r="H45" s="7">
        <f t="shared" si="17"/>
        <v>118.09395353004123</v>
      </c>
      <c r="I45" s="24">
        <f t="shared" si="18"/>
        <v>41.408860786894877</v>
      </c>
    </row>
    <row r="46" spans="1:16" x14ac:dyDescent="0.35">
      <c r="A46">
        <v>6.7465277777810115</v>
      </c>
      <c r="B46" s="6">
        <f t="shared" si="13"/>
        <v>1.739717357114795</v>
      </c>
      <c r="C46" s="6">
        <f>'Growth rates'!$R$6*EXP(B46)</f>
        <v>0.58950840034217833</v>
      </c>
      <c r="D46" s="7">
        <f t="shared" si="14"/>
        <v>277.18570509866123</v>
      </c>
      <c r="E46" s="7">
        <v>14.015346761577211</v>
      </c>
      <c r="F46" s="7">
        <f t="shared" si="15"/>
        <v>2.6401529264852828</v>
      </c>
      <c r="G46" s="7">
        <f t="shared" si="16"/>
        <v>11.963182843076721</v>
      </c>
      <c r="H46" s="7">
        <f t="shared" si="17"/>
        <v>267.03236375673191</v>
      </c>
      <c r="I46" s="24">
        <f t="shared" si="18"/>
        <v>44.800497867648929</v>
      </c>
    </row>
    <row r="47" spans="1:16" x14ac:dyDescent="0.35">
      <c r="A47">
        <v>7.7465277777810115</v>
      </c>
      <c r="B47" s="6">
        <f t="shared" si="13"/>
        <v>1.8684403541849366</v>
      </c>
      <c r="C47" s="6">
        <f>'Growth rates'!$R$6*EXP(B47)</f>
        <v>0.67049213117123818</v>
      </c>
      <c r="D47" s="7">
        <f t="shared" si="14"/>
        <v>354.02466888323784</v>
      </c>
      <c r="E47" s="7">
        <v>15.305722558816157</v>
      </c>
      <c r="F47" s="7">
        <f t="shared" si="15"/>
        <v>2.7282267819210912</v>
      </c>
      <c r="G47" s="7">
        <f t="shared" si="16"/>
        <v>13.253558640315667</v>
      </c>
      <c r="H47" s="7">
        <f t="shared" si="17"/>
        <v>343.87132754130852</v>
      </c>
      <c r="I47" s="24">
        <f t="shared" si="18"/>
        <v>38.542203373218271</v>
      </c>
    </row>
    <row r="48" spans="1:16" x14ac:dyDescent="0.35">
      <c r="A48">
        <v>9.9166666666642413</v>
      </c>
      <c r="B48" s="6">
        <f t="shared" si="13"/>
        <v>2.0839828169410208</v>
      </c>
      <c r="C48" s="6">
        <f>'Growth rates'!$R$6*EXP(B48)</f>
        <v>0.83176872685234582</v>
      </c>
      <c r="D48" s="7">
        <f t="shared" si="14"/>
        <v>533.29430508047892</v>
      </c>
      <c r="E48" s="7">
        <v>17.65777406748029</v>
      </c>
      <c r="F48" s="7">
        <f t="shared" si="15"/>
        <v>2.8711761434875958</v>
      </c>
      <c r="G48" s="7">
        <f t="shared" si="16"/>
        <v>15.6056101489798</v>
      </c>
      <c r="H48" s="7">
        <f t="shared" si="17"/>
        <v>523.14096373854954</v>
      </c>
      <c r="I48" s="24">
        <f t="shared" si="18"/>
        <v>29.830602515728486</v>
      </c>
    </row>
    <row r="49" spans="1:14" x14ac:dyDescent="0.35">
      <c r="A49">
        <v>13.989583333335759</v>
      </c>
      <c r="B49" s="6">
        <f t="shared" si="13"/>
        <v>2.3280149463563697</v>
      </c>
      <c r="C49" s="6">
        <f>'Growth rates'!$R$6*EXP(B49)</f>
        <v>1.0616574086802968</v>
      </c>
      <c r="D49" s="7">
        <f t="shared" si="14"/>
        <v>848.04519660642484</v>
      </c>
      <c r="E49" s="7">
        <v>26.032139999999998</v>
      </c>
      <c r="F49" s="7">
        <f t="shared" si="15"/>
        <v>3.2593319284585327</v>
      </c>
      <c r="G49" s="7">
        <f t="shared" si="16"/>
        <v>23.979976081499508</v>
      </c>
      <c r="H49" s="7">
        <f t="shared" si="17"/>
        <v>837.89185526449546</v>
      </c>
      <c r="I49" s="24">
        <f t="shared" si="18"/>
        <v>28.619416611860732</v>
      </c>
    </row>
    <row r="50" spans="1:14" x14ac:dyDescent="0.35">
      <c r="A50">
        <v>19.916666666664241</v>
      </c>
      <c r="B50" s="6">
        <f t="shared" si="13"/>
        <v>2.4859506286311577</v>
      </c>
      <c r="C50" s="6">
        <f>'Growth rates'!$R$6*EXP(B50)</f>
        <v>1.2432972987816158</v>
      </c>
      <c r="D50" s="7">
        <f t="shared" si="14"/>
        <v>1144.9781231788304</v>
      </c>
      <c r="E50" s="7">
        <v>32.05489</v>
      </c>
      <c r="F50" s="7">
        <f t="shared" si="15"/>
        <v>3.4674497458313986</v>
      </c>
      <c r="G50" s="7">
        <f t="shared" si="16"/>
        <v>30.00272608149951</v>
      </c>
      <c r="H50" s="7">
        <f t="shared" si="17"/>
        <v>1134.8247818369011</v>
      </c>
      <c r="I50" s="24">
        <f t="shared" si="18"/>
        <v>26.438201352049386</v>
      </c>
    </row>
    <row r="52" spans="1:14" x14ac:dyDescent="0.35">
      <c r="A52" s="55" t="s">
        <v>37</v>
      </c>
      <c r="B52" s="55"/>
      <c r="C52" s="55"/>
      <c r="D52" s="55"/>
      <c r="E52" s="55"/>
      <c r="F52" s="55"/>
      <c r="G52" s="55"/>
      <c r="H52" s="55"/>
      <c r="I52" s="55"/>
    </row>
    <row r="53" spans="1:14" ht="33" x14ac:dyDescent="0.35">
      <c r="A53" s="19" t="s">
        <v>65</v>
      </c>
      <c r="B53" s="19" t="s">
        <v>30</v>
      </c>
      <c r="C53" s="19" t="s">
        <v>66</v>
      </c>
      <c r="D53" s="20" t="s">
        <v>67</v>
      </c>
      <c r="E53" s="20" t="s">
        <v>110</v>
      </c>
      <c r="F53" s="19" t="s">
        <v>104</v>
      </c>
      <c r="G53" s="20" t="s">
        <v>106</v>
      </c>
      <c r="H53" s="20" t="s">
        <v>71</v>
      </c>
      <c r="I53" s="20" t="s">
        <v>107</v>
      </c>
    </row>
    <row r="54" spans="1:14" ht="16.5" x14ac:dyDescent="0.35">
      <c r="A54">
        <v>0</v>
      </c>
      <c r="B54" s="6">
        <f t="shared" ref="B54:B62" si="19">2.58*(1-EXP(-0.429*A54/2.58))</f>
        <v>0</v>
      </c>
      <c r="C54" s="6">
        <f>'Growth rates'!$R$6*EXP(B54)</f>
        <v>0.10350000000000001</v>
      </c>
      <c r="D54" s="7">
        <f t="shared" ref="D54:D62" si="20">EXP(6.6292056+1.9008173*LN(C54))</f>
        <v>10.153341341929345</v>
      </c>
      <c r="E54" s="7">
        <v>3.5601934646713045</v>
      </c>
      <c r="F54" s="7">
        <f>LN(E54)</f>
        <v>1.2698148873961503</v>
      </c>
      <c r="G54" s="7">
        <f>E54-$E$54</f>
        <v>0</v>
      </c>
      <c r="H54" s="7">
        <f>D54-$D$54</f>
        <v>0</v>
      </c>
      <c r="L54" s="3" t="s">
        <v>45</v>
      </c>
      <c r="M54" s="6">
        <f>SLOPE(F54:F60,A54:A60)</f>
        <v>0.20185987459125848</v>
      </c>
      <c r="N54" t="s">
        <v>14</v>
      </c>
    </row>
    <row r="55" spans="1:14" ht="17.5" x14ac:dyDescent="0.45">
      <c r="A55">
        <v>2.1701388888832298</v>
      </c>
      <c r="B55" s="6">
        <f t="shared" si="19"/>
        <v>0.78152205114682549</v>
      </c>
      <c r="C55" s="6">
        <f>'Growth rates'!$R$6*EXP(B55)</f>
        <v>0.22612629346963106</v>
      </c>
      <c r="D55" s="7">
        <f t="shared" si="20"/>
        <v>44.850443757530073</v>
      </c>
      <c r="E55" s="7">
        <v>3.9275864468908899</v>
      </c>
      <c r="F55" s="7">
        <f t="shared" ref="F55:F62" si="21">LN(E55)</f>
        <v>1.3680251015714526</v>
      </c>
      <c r="G55" s="7">
        <f t="shared" ref="G55:G62" si="22">E55-$E$54</f>
        <v>0.36739298221958538</v>
      </c>
      <c r="H55" s="7">
        <f t="shared" ref="H55:H62" si="23">D55-$D$54</f>
        <v>34.697102415600725</v>
      </c>
      <c r="I55" s="24">
        <f>G55/H55*1000</f>
        <v>10.588578199382894</v>
      </c>
      <c r="L55" s="3" t="s">
        <v>111</v>
      </c>
      <c r="M55" s="6">
        <f>INTERCEPT(F54:F60,A54:A60)</f>
        <v>1.1694162662147098</v>
      </c>
      <c r="N55" t="s">
        <v>44</v>
      </c>
    </row>
    <row r="56" spans="1:14" ht="17.5" x14ac:dyDescent="0.45">
      <c r="A56">
        <v>3.2118055555547471</v>
      </c>
      <c r="B56" s="6">
        <f t="shared" si="19"/>
        <v>1.0675462092559318</v>
      </c>
      <c r="C56" s="6">
        <f>'Growth rates'!$R$6*EXP(B56)</f>
        <v>0.30100227472955177</v>
      </c>
      <c r="D56" s="7">
        <f t="shared" si="20"/>
        <v>77.247391689213316</v>
      </c>
      <c r="E56" s="7">
        <v>5.8831971985719784</v>
      </c>
      <c r="F56" s="7">
        <f t="shared" si="21"/>
        <v>1.7721003553905625</v>
      </c>
      <c r="G56" s="7">
        <f t="shared" si="22"/>
        <v>2.3230037339006739</v>
      </c>
      <c r="H56" s="7">
        <f t="shared" si="23"/>
        <v>67.094050347283968</v>
      </c>
      <c r="I56" s="24">
        <f t="shared" ref="I56:I62" si="24">G56/H56*1000</f>
        <v>34.623095816642874</v>
      </c>
      <c r="L56" s="3" t="s">
        <v>112</v>
      </c>
      <c r="M56" s="6">
        <f>EXP(M55)</f>
        <v>3.2201124014017926</v>
      </c>
      <c r="N56" t="s">
        <v>44</v>
      </c>
    </row>
    <row r="57" spans="1:14" x14ac:dyDescent="0.35">
      <c r="A57">
        <v>4.3784722222189885</v>
      </c>
      <c r="B57" s="6">
        <f t="shared" si="19"/>
        <v>1.3342458234404833</v>
      </c>
      <c r="C57" s="6">
        <f>'Growth rates'!$R$6*EXP(B57)</f>
        <v>0.39300307495275144</v>
      </c>
      <c r="D57" s="7">
        <f t="shared" si="20"/>
        <v>128.24729487197058</v>
      </c>
      <c r="E57" s="7">
        <v>8.9107117513837064</v>
      </c>
      <c r="F57" s="7">
        <f t="shared" si="21"/>
        <v>2.1872541206024763</v>
      </c>
      <c r="G57" s="7">
        <f t="shared" si="22"/>
        <v>5.3505182867124024</v>
      </c>
      <c r="H57" s="7">
        <f t="shared" si="23"/>
        <v>118.09395353004123</v>
      </c>
      <c r="I57" s="24">
        <f t="shared" si="24"/>
        <v>45.307300897088822</v>
      </c>
    </row>
    <row r="58" spans="1:14" x14ac:dyDescent="0.35">
      <c r="A58">
        <v>6.7465277777810115</v>
      </c>
      <c r="B58" s="6">
        <f t="shared" si="19"/>
        <v>1.739717357114795</v>
      </c>
      <c r="C58" s="6">
        <f>'Growth rates'!$R$6*EXP(B58)</f>
        <v>0.58950840034217833</v>
      </c>
      <c r="D58" s="7">
        <f t="shared" si="20"/>
        <v>277.18570509866123</v>
      </c>
      <c r="E58" s="7">
        <v>14.186360421452255</v>
      </c>
      <c r="F58" s="7">
        <f t="shared" si="21"/>
        <v>2.6522809692985576</v>
      </c>
      <c r="G58" s="7">
        <f t="shared" si="22"/>
        <v>10.626166956780951</v>
      </c>
      <c r="H58" s="7">
        <f t="shared" si="23"/>
        <v>267.03236375673191</v>
      </c>
      <c r="I58" s="24">
        <f t="shared" si="24"/>
        <v>39.793554636176808</v>
      </c>
    </row>
    <row r="59" spans="1:14" x14ac:dyDescent="0.35">
      <c r="A59">
        <v>7.7465277777810115</v>
      </c>
      <c r="B59" s="6">
        <f t="shared" si="19"/>
        <v>1.8684403541849366</v>
      </c>
      <c r="C59" s="6">
        <f>'Growth rates'!$R$6*EXP(B59)</f>
        <v>0.67049213117123818</v>
      </c>
      <c r="D59" s="7">
        <f t="shared" si="20"/>
        <v>354.02466888323784</v>
      </c>
      <c r="E59" s="7">
        <v>15.664662401480248</v>
      </c>
      <c r="F59" s="7">
        <f t="shared" si="21"/>
        <v>2.7514073730375657</v>
      </c>
      <c r="G59" s="7">
        <f t="shared" si="22"/>
        <v>12.104468936808944</v>
      </c>
      <c r="H59" s="7">
        <f t="shared" si="23"/>
        <v>343.87132754130852</v>
      </c>
      <c r="I59" s="24">
        <f t="shared" si="24"/>
        <v>35.200576399772267</v>
      </c>
    </row>
    <row r="60" spans="1:14" x14ac:dyDescent="0.35">
      <c r="A60">
        <v>9.9166666666642413</v>
      </c>
      <c r="B60" s="6">
        <f t="shared" si="19"/>
        <v>2.0839828169410208</v>
      </c>
      <c r="C60" s="6">
        <f>'Growth rates'!$R$6*EXP(B60)</f>
        <v>0.83176872685234582</v>
      </c>
      <c r="D60" s="7">
        <f t="shared" si="20"/>
        <v>533.29430508047892</v>
      </c>
      <c r="E60" s="7">
        <v>21.815287970949587</v>
      </c>
      <c r="F60" s="7">
        <f t="shared" si="21"/>
        <v>3.0826110070820554</v>
      </c>
      <c r="G60" s="7">
        <f t="shared" si="22"/>
        <v>18.255094506278283</v>
      </c>
      <c r="H60" s="7">
        <f t="shared" si="23"/>
        <v>523.14096373854954</v>
      </c>
      <c r="I60" s="24">
        <f t="shared" si="24"/>
        <v>34.895173139990703</v>
      </c>
    </row>
    <row r="61" spans="1:14" x14ac:dyDescent="0.35">
      <c r="A61">
        <v>13.989583333335759</v>
      </c>
      <c r="B61" s="6">
        <f t="shared" si="19"/>
        <v>2.3280149463563697</v>
      </c>
      <c r="C61" s="6">
        <f>'Growth rates'!$R$6*EXP(B61)</f>
        <v>1.0616574086802968</v>
      </c>
      <c r="D61" s="7">
        <f t="shared" si="20"/>
        <v>848.04519660642484</v>
      </c>
      <c r="E61" s="7">
        <v>24.059640000000002</v>
      </c>
      <c r="F61" s="7">
        <f t="shared" si="21"/>
        <v>3.1805357478410761</v>
      </c>
      <c r="G61" s="7">
        <f t="shared" si="22"/>
        <v>20.499446535328698</v>
      </c>
      <c r="H61" s="7">
        <f t="shared" si="23"/>
        <v>837.89185526449546</v>
      </c>
      <c r="I61" s="24">
        <f t="shared" si="24"/>
        <v>24.465503998553228</v>
      </c>
    </row>
    <row r="62" spans="1:14" x14ac:dyDescent="0.35">
      <c r="A62">
        <v>19.916666666664241</v>
      </c>
      <c r="B62" s="6">
        <f t="shared" si="19"/>
        <v>2.4859506286311577</v>
      </c>
      <c r="C62" s="6">
        <f>'Growth rates'!$R$6*EXP(B62)</f>
        <v>1.2432972987816158</v>
      </c>
      <c r="D62" s="7">
        <f t="shared" si="20"/>
        <v>1144.9781231788304</v>
      </c>
      <c r="E62" s="7">
        <v>29.21489</v>
      </c>
      <c r="F62" s="7">
        <f t="shared" si="21"/>
        <v>3.3746785108101967</v>
      </c>
      <c r="G62" s="7">
        <f t="shared" si="22"/>
        <v>25.654696535328696</v>
      </c>
      <c r="H62" s="7">
        <f t="shared" si="23"/>
        <v>1134.8247818369011</v>
      </c>
      <c r="I62" s="24">
        <f t="shared" si="24"/>
        <v>22.606746826415208</v>
      </c>
    </row>
    <row r="67" spans="5:5" x14ac:dyDescent="0.35">
      <c r="E67" s="7"/>
    </row>
  </sheetData>
  <mergeCells count="5">
    <mergeCell ref="B3:D3"/>
    <mergeCell ref="B15:D15"/>
    <mergeCell ref="A28:I28"/>
    <mergeCell ref="A40:I40"/>
    <mergeCell ref="A52:I52"/>
  </mergeCells>
  <pageMargins left="0.7" right="0.7" top="0.75" bottom="0.75" header="0.3" footer="0.3"/>
  <ignoredErrors>
    <ignoredError sqref="E5:E13 E17:E25" formulaRange="1"/>
  </ignoredError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33"/>
  <sheetViews>
    <sheetView workbookViewId="0">
      <selection activeCell="H3" sqref="H3"/>
    </sheetView>
  </sheetViews>
  <sheetFormatPr defaultRowHeight="14.5" x14ac:dyDescent="0.35"/>
  <cols>
    <col min="2" max="2" width="27.26953125" customWidth="1"/>
    <col min="3" max="3" width="20.7265625" customWidth="1"/>
    <col min="4" max="4" width="18.7265625" customWidth="1"/>
    <col min="5" max="5" width="23.453125" customWidth="1"/>
    <col min="8" max="8" width="18.1796875" customWidth="1"/>
    <col min="12" max="12" width="19.453125" customWidth="1"/>
  </cols>
  <sheetData>
    <row r="1" spans="1:13" ht="24" x14ac:dyDescent="0.65">
      <c r="A1" s="2" t="s">
        <v>114</v>
      </c>
    </row>
    <row r="3" spans="1:13" ht="17.5" x14ac:dyDescent="0.45">
      <c r="A3" s="1" t="s">
        <v>115</v>
      </c>
      <c r="C3" s="12">
        <f>'N2 Fixation'!S5</f>
        <v>0.22846242878363116</v>
      </c>
      <c r="D3" s="23" t="s">
        <v>14</v>
      </c>
    </row>
    <row r="4" spans="1:13" ht="16.5" x14ac:dyDescent="0.45">
      <c r="A4" s="1" t="s">
        <v>116</v>
      </c>
      <c r="C4" s="23">
        <v>28.013400000000001</v>
      </c>
      <c r="D4" s="23" t="s">
        <v>73</v>
      </c>
    </row>
    <row r="6" spans="1:13" ht="33" x14ac:dyDescent="0.35">
      <c r="A6" s="22" t="s">
        <v>53</v>
      </c>
      <c r="B6" s="20" t="s">
        <v>117</v>
      </c>
      <c r="C6" s="20" t="s">
        <v>118</v>
      </c>
      <c r="D6" s="20" t="s">
        <v>119</v>
      </c>
      <c r="E6" s="20" t="s">
        <v>120</v>
      </c>
      <c r="H6" s="22" t="s">
        <v>184</v>
      </c>
      <c r="I6" s="29"/>
      <c r="J6" s="29"/>
      <c r="K6" s="29"/>
      <c r="L6" s="22" t="s">
        <v>185</v>
      </c>
    </row>
    <row r="7" spans="1:13" x14ac:dyDescent="0.35">
      <c r="A7">
        <v>4</v>
      </c>
      <c r="B7" s="24">
        <f>('N2 Fixation'!I8-'N2 Fixation'!I7)/('N2 Fixation'!A8-'N2 Fixation'!A7)*('N2 flux'!A7-'N2 Fixation'!A7)+'N2 Fixation'!I7</f>
        <v>36.919463681277136</v>
      </c>
      <c r="C7" s="24">
        <f>B7*$C$3</f>
        <v>8.4347103420136342</v>
      </c>
      <c r="D7" s="24">
        <f>C7/24</f>
        <v>0.35144626425056807</v>
      </c>
      <c r="E7" s="25">
        <f>D7/C4</f>
        <v>1.2545648305831068E-2</v>
      </c>
      <c r="F7" s="27">
        <f>E7*10</f>
        <v>0.1254564830583107</v>
      </c>
      <c r="H7" t="s">
        <v>7</v>
      </c>
      <c r="I7" s="18">
        <f>E9</f>
        <v>1.0351052821011274E-2</v>
      </c>
      <c r="L7" t="s">
        <v>7</v>
      </c>
      <c r="M7" s="18">
        <f>F7</f>
        <v>0.1254564830583107</v>
      </c>
    </row>
    <row r="8" spans="1:13" x14ac:dyDescent="0.35">
      <c r="A8" s="7">
        <v>6.7465277777810115</v>
      </c>
      <c r="B8" s="24">
        <f>'N2 Fixation'!I9</f>
        <v>41.530459361823141</v>
      </c>
      <c r="C8" s="24">
        <f>B8*$C$3</f>
        <v>9.4881496143020065</v>
      </c>
      <c r="D8" s="24">
        <f>C8/24</f>
        <v>0.39533956726258362</v>
      </c>
      <c r="E8" s="25">
        <f>D8/$C$4</f>
        <v>1.4112516412237843E-2</v>
      </c>
      <c r="F8">
        <f>_xlfn.STDEV.S(E15,E23,E31)</f>
        <v>1.6885706071585868E-3</v>
      </c>
      <c r="H8" t="s">
        <v>1</v>
      </c>
      <c r="I8" s="18">
        <f>E17</f>
        <v>9.029949134932911E-3</v>
      </c>
      <c r="L8" t="s">
        <v>1</v>
      </c>
      <c r="M8" s="18">
        <f>F15</f>
        <v>9.3723830239516887E-2</v>
      </c>
    </row>
    <row r="9" spans="1:13" x14ac:dyDescent="0.35">
      <c r="A9">
        <v>11</v>
      </c>
      <c r="B9" s="24">
        <f>('N2 Fixation'!I12-'N2 Fixation'!I11)/('N2 Fixation'!A12-'N2 Fixation'!A11)*('N2 flux'!A9-'N2 Fixation'!A11)+'N2 Fixation'!I11</f>
        <v>30.461185374588066</v>
      </c>
      <c r="C9" s="24">
        <f>B9*$C$3</f>
        <v>6.9592363943068127</v>
      </c>
      <c r="D9" s="24">
        <f>C9/24</f>
        <v>0.28996818309611722</v>
      </c>
      <c r="E9" s="25">
        <f>D9/$C$4</f>
        <v>1.0351052821011274E-2</v>
      </c>
      <c r="H9" t="s">
        <v>2</v>
      </c>
      <c r="I9" s="18">
        <f>E25</f>
        <v>8.955405756162162E-3</v>
      </c>
      <c r="L9" t="s">
        <v>2</v>
      </c>
      <c r="M9" s="18">
        <f>F23</f>
        <v>0.11543004246073947</v>
      </c>
    </row>
    <row r="10" spans="1:13" x14ac:dyDescent="0.35">
      <c r="H10" t="s">
        <v>3</v>
      </c>
      <c r="I10" s="18">
        <f>E33</f>
        <v>9.7482924246875841E-3</v>
      </c>
      <c r="L10" t="s">
        <v>3</v>
      </c>
      <c r="M10" s="18">
        <f>F31</f>
        <v>0.12698254885823451</v>
      </c>
    </row>
    <row r="11" spans="1:13" ht="17.5" x14ac:dyDescent="0.45">
      <c r="A11" s="1" t="s">
        <v>121</v>
      </c>
      <c r="C11" s="12">
        <f>'N2 Fixation'!J18</f>
        <v>0.20404032112659107</v>
      </c>
      <c r="D11" s="23" t="s">
        <v>14</v>
      </c>
      <c r="H11" t="s">
        <v>24</v>
      </c>
      <c r="I11" s="18">
        <f>_xlfn.STDEV.S(I8:I10)</f>
        <v>4.3784378233556242E-4</v>
      </c>
      <c r="L11" t="s">
        <v>24</v>
      </c>
      <c r="M11" s="18">
        <f>_xlfn.STDEV.S(M8:M10)</f>
        <v>1.6885706071585849E-2</v>
      </c>
    </row>
    <row r="12" spans="1:13" ht="16.5" x14ac:dyDescent="0.45">
      <c r="A12" s="1" t="s">
        <v>116</v>
      </c>
      <c r="C12" s="23">
        <f>C4</f>
        <v>28.013400000000001</v>
      </c>
      <c r="D12" t="s">
        <v>73</v>
      </c>
      <c r="F12" s="1"/>
      <c r="H12" t="s">
        <v>22</v>
      </c>
      <c r="I12" s="18">
        <f>I11/SQRT(3)</f>
        <v>2.5278922559444087E-4</v>
      </c>
      <c r="L12" t="s">
        <v>22</v>
      </c>
      <c r="M12" s="18">
        <f>M11/SQRT(3)</f>
        <v>9.7489669458869881E-3</v>
      </c>
    </row>
    <row r="14" spans="1:13" ht="33" x14ac:dyDescent="0.35">
      <c r="A14" s="22" t="s">
        <v>53</v>
      </c>
      <c r="B14" s="20" t="s">
        <v>117</v>
      </c>
      <c r="C14" s="20" t="s">
        <v>118</v>
      </c>
      <c r="D14" s="20" t="s">
        <v>119</v>
      </c>
      <c r="E14" s="20" t="s">
        <v>120</v>
      </c>
    </row>
    <row r="15" spans="1:13" ht="16.5" x14ac:dyDescent="0.35">
      <c r="A15">
        <v>4</v>
      </c>
      <c r="B15" s="24">
        <f>('N2 Fixation'!I33-'N2 Fixation'!I32)/('N2 Fixation'!A33-'N2 Fixation'!A32)*('N2 flux'!A15-'N2 Fixation'!A32)+'N2 Fixation'!I32</f>
        <v>30.88240361358087</v>
      </c>
      <c r="C15" s="24">
        <f>B15*$C$11</f>
        <v>6.3012555504760375</v>
      </c>
      <c r="D15" s="24">
        <f>C15/24</f>
        <v>0.26255231460316825</v>
      </c>
      <c r="E15" s="25">
        <f>D15/C12</f>
        <v>9.3723830239516893E-3</v>
      </c>
      <c r="F15" s="26">
        <f>E15*10</f>
        <v>9.3723830239516887E-2</v>
      </c>
      <c r="H15" s="21" t="s">
        <v>126</v>
      </c>
      <c r="L15" s="21" t="s">
        <v>127</v>
      </c>
    </row>
    <row r="16" spans="1:13" x14ac:dyDescent="0.35">
      <c r="A16" s="7">
        <v>6.7465277777810115</v>
      </c>
      <c r="B16" s="24">
        <f>'N2 Fixation'!I34</f>
        <v>39.9973255816437</v>
      </c>
      <c r="C16" s="24">
        <f t="shared" ref="C16:C17" si="0">B16*$C$11</f>
        <v>8.161067155883396</v>
      </c>
      <c r="D16" s="24">
        <f>C16/24</f>
        <v>0.34004446482847484</v>
      </c>
      <c r="E16" s="25">
        <f>D16/$C$4</f>
        <v>1.2138635968089373E-2</v>
      </c>
      <c r="H16" t="s">
        <v>7</v>
      </c>
      <c r="I16" s="7">
        <f>B9</f>
        <v>30.461185374588066</v>
      </c>
      <c r="L16" t="s">
        <v>7</v>
      </c>
      <c r="M16" s="7">
        <f>B7</f>
        <v>36.919463681277136</v>
      </c>
    </row>
    <row r="17" spans="1:13" x14ac:dyDescent="0.35">
      <c r="A17">
        <v>11</v>
      </c>
      <c r="B17" s="24">
        <f>('N2 Fixation'!I37-'N2 Fixation'!I36)/('N2 Fixation'!A37-'N2 Fixation'!A36)*('N2 flux'!A17-'N2 Fixation'!A36)+'N2 Fixation'!I36</f>
        <v>29.7540692780527</v>
      </c>
      <c r="C17" s="24">
        <f t="shared" si="0"/>
        <v>6.0710298503167106</v>
      </c>
      <c r="D17" s="24">
        <f>C17/24</f>
        <v>0.25295957709652961</v>
      </c>
      <c r="E17" s="25">
        <f>D17/$C$4</f>
        <v>9.029949134932911E-3</v>
      </c>
      <c r="H17" t="s">
        <v>1</v>
      </c>
      <c r="I17" s="7">
        <f>B17</f>
        <v>29.7540692780527</v>
      </c>
      <c r="L17" t="s">
        <v>1</v>
      </c>
      <c r="M17" s="7">
        <f>B15</f>
        <v>30.88240361358087</v>
      </c>
    </row>
    <row r="18" spans="1:13" x14ac:dyDescent="0.35">
      <c r="H18" t="s">
        <v>2</v>
      </c>
      <c r="I18" s="7">
        <f>B25</f>
        <v>29.508445651272275</v>
      </c>
      <c r="L18" t="s">
        <v>2</v>
      </c>
      <c r="M18" s="7">
        <f>B23</f>
        <v>38.034693538403019</v>
      </c>
    </row>
    <row r="19" spans="1:13" ht="17.5" x14ac:dyDescent="0.45">
      <c r="A19" s="1" t="s">
        <v>122</v>
      </c>
      <c r="C19" s="12">
        <f>'N2 Fixation'!J26</f>
        <v>0</v>
      </c>
      <c r="D19" s="23" t="s">
        <v>14</v>
      </c>
      <c r="H19" t="s">
        <v>3</v>
      </c>
      <c r="I19" s="7">
        <f>B33</f>
        <v>32.121041194439208</v>
      </c>
      <c r="L19" t="s">
        <v>3</v>
      </c>
      <c r="M19" s="7">
        <f>B31</f>
        <v>41.841293891847513</v>
      </c>
    </row>
    <row r="20" spans="1:13" ht="16.5" x14ac:dyDescent="0.45">
      <c r="A20" s="1" t="s">
        <v>116</v>
      </c>
      <c r="C20" s="23">
        <f>C12</f>
        <v>28.013400000000001</v>
      </c>
      <c r="D20" t="s">
        <v>73</v>
      </c>
      <c r="F20" s="1"/>
      <c r="H20" t="s">
        <v>24</v>
      </c>
      <c r="I20" s="18">
        <f>_xlfn.STDEV.S(I17:I19)</f>
        <v>1.4427140217411363</v>
      </c>
      <c r="L20" t="s">
        <v>24</v>
      </c>
      <c r="M20" s="18">
        <f>_xlfn.STDEV.S(M17:M19)</f>
        <v>5.5639124955772719</v>
      </c>
    </row>
    <row r="21" spans="1:13" x14ac:dyDescent="0.35">
      <c r="H21" t="s">
        <v>22</v>
      </c>
      <c r="I21" s="18">
        <f>I20/SQRT(3)</f>
        <v>0.83295132881589262</v>
      </c>
      <c r="L21" t="s">
        <v>22</v>
      </c>
      <c r="M21" s="18">
        <f>M20/SQRT(3)</f>
        <v>3.2123263770690604</v>
      </c>
    </row>
    <row r="22" spans="1:13" ht="33" x14ac:dyDescent="0.35">
      <c r="A22" s="22" t="s">
        <v>53</v>
      </c>
      <c r="B22" s="20" t="s">
        <v>117</v>
      </c>
      <c r="C22" s="20" t="s">
        <v>118</v>
      </c>
      <c r="D22" s="20" t="s">
        <v>119</v>
      </c>
      <c r="E22" s="20" t="s">
        <v>120</v>
      </c>
    </row>
    <row r="23" spans="1:13" x14ac:dyDescent="0.35">
      <c r="A23">
        <v>4</v>
      </c>
      <c r="B23" s="24">
        <f>('N2 Fixation'!I45-'N2 Fixation'!I44)/('N2 Fixation'!A45-'N2 Fixation'!A44)*('N2 flux'!A23-'N2 Fixation'!A44)+'N2 Fixation'!I44</f>
        <v>38.034693538403019</v>
      </c>
      <c r="C23" s="24">
        <f>B23*$C$11</f>
        <v>7.7606110835272304</v>
      </c>
      <c r="D23" s="24">
        <f>C23/24</f>
        <v>0.32335879514696791</v>
      </c>
      <c r="E23" s="25">
        <f>D23/C20</f>
        <v>1.1543004246073947E-2</v>
      </c>
      <c r="F23" s="26">
        <f>E23*10</f>
        <v>0.11543004246073947</v>
      </c>
    </row>
    <row r="24" spans="1:13" x14ac:dyDescent="0.35">
      <c r="A24" s="7">
        <v>6.7465277777810115</v>
      </c>
      <c r="B24" s="24">
        <f>'N2 Fixation'!I46</f>
        <v>44.800497867648929</v>
      </c>
      <c r="C24" s="24">
        <f t="shared" ref="C24:C25" si="1">B24*$C$11</f>
        <v>9.141107971546246</v>
      </c>
      <c r="D24" s="24">
        <f>C24/24</f>
        <v>0.3808794988144269</v>
      </c>
      <c r="E24" s="25">
        <f>D24/$C$4</f>
        <v>1.3596332427139401E-2</v>
      </c>
    </row>
    <row r="25" spans="1:13" x14ac:dyDescent="0.35">
      <c r="A25">
        <v>11</v>
      </c>
      <c r="B25" s="24">
        <f>('N2 Fixation'!I49-'N2 Fixation'!I48)/('N2 Fixation'!A49-'N2 Fixation'!A48)*('N2 flux'!A25-'N2 Fixation'!A48)+'N2 Fixation'!I48</f>
        <v>29.508445651272275</v>
      </c>
      <c r="C25" s="24">
        <f t="shared" si="1"/>
        <v>6.0209127266321545</v>
      </c>
      <c r="D25" s="24">
        <f>C25/24</f>
        <v>0.2508713636096731</v>
      </c>
      <c r="E25" s="25">
        <f>D25/$C$4</f>
        <v>8.955405756162162E-3</v>
      </c>
    </row>
    <row r="27" spans="1:13" ht="17.5" x14ac:dyDescent="0.45">
      <c r="A27" s="1" t="s">
        <v>123</v>
      </c>
      <c r="C27" s="12">
        <f>'N2 Fixation'!J34</f>
        <v>0</v>
      </c>
      <c r="D27" s="23" t="s">
        <v>14</v>
      </c>
    </row>
    <row r="28" spans="1:13" ht="16.5" x14ac:dyDescent="0.45">
      <c r="A28" s="1" t="s">
        <v>116</v>
      </c>
      <c r="C28" s="23">
        <f>C20</f>
        <v>28.013400000000001</v>
      </c>
      <c r="D28" t="s">
        <v>73</v>
      </c>
      <c r="F28" s="1"/>
    </row>
    <row r="30" spans="1:13" ht="33" x14ac:dyDescent="0.35">
      <c r="A30" s="22" t="s">
        <v>53</v>
      </c>
      <c r="B30" s="20" t="s">
        <v>117</v>
      </c>
      <c r="C30" s="20" t="s">
        <v>118</v>
      </c>
      <c r="D30" s="20" t="s">
        <v>119</v>
      </c>
      <c r="E30" s="20" t="s">
        <v>120</v>
      </c>
    </row>
    <row r="31" spans="1:13" x14ac:dyDescent="0.35">
      <c r="A31">
        <v>4</v>
      </c>
      <c r="B31" s="24">
        <f>('N2 Fixation'!I57-'N2 Fixation'!I56)/('N2 Fixation'!A57-'N2 Fixation'!A56)*('N2 flux'!A31-'N2 Fixation'!A56)+'N2 Fixation'!I56</f>
        <v>41.841293891847513</v>
      </c>
      <c r="C31" s="24">
        <f>B31*$C$11</f>
        <v>8.5373110420446405</v>
      </c>
      <c r="D31" s="24">
        <f>C31/24</f>
        <v>0.35572129341852671</v>
      </c>
      <c r="E31" s="25">
        <f>D31/C28</f>
        <v>1.2698254885823452E-2</v>
      </c>
      <c r="F31" s="26">
        <f>E31*10</f>
        <v>0.12698254885823451</v>
      </c>
    </row>
    <row r="32" spans="1:13" x14ac:dyDescent="0.35">
      <c r="A32" s="7">
        <v>6.7465277777810115</v>
      </c>
      <c r="B32" s="24">
        <f>'N2 Fixation'!I58</f>
        <v>39.793554636176808</v>
      </c>
      <c r="C32" s="24">
        <f t="shared" ref="C32:C33" si="2">B32*$C$11</f>
        <v>8.1194896667340632</v>
      </c>
      <c r="D32" s="24">
        <f>C32/24</f>
        <v>0.33831206944725262</v>
      </c>
      <c r="E32" s="25">
        <f>D32/$C$4</f>
        <v>1.2076794300129675E-2</v>
      </c>
    </row>
    <row r="33" spans="1:5" x14ac:dyDescent="0.35">
      <c r="A33">
        <v>11</v>
      </c>
      <c r="B33" s="24">
        <f>('N2 Fixation'!I61-'N2 Fixation'!I60)/('N2 Fixation'!A61-'N2 Fixation'!A60)*('N2 flux'!A33-'N2 Fixation'!A60)+'N2 Fixation'!I60</f>
        <v>32.121041194439208</v>
      </c>
      <c r="C33" s="24">
        <f t="shared" si="2"/>
        <v>6.5539875602338364</v>
      </c>
      <c r="D33" s="24">
        <f>C33/24</f>
        <v>0.27308281500974319</v>
      </c>
      <c r="E33" s="25">
        <f>D33/$C$4</f>
        <v>9.7482924246875841E-3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X198"/>
  <sheetViews>
    <sheetView topLeftCell="A16" workbookViewId="0">
      <selection activeCell="T20" sqref="T20"/>
    </sheetView>
  </sheetViews>
  <sheetFormatPr defaultRowHeight="14.5" x14ac:dyDescent="0.35"/>
  <cols>
    <col min="1" max="1" width="15.1796875" customWidth="1"/>
    <col min="2" max="2" width="10.81640625" customWidth="1"/>
    <col min="6" max="6" width="14.26953125" customWidth="1"/>
    <col min="7" max="7" width="10.7265625" customWidth="1"/>
    <col min="12" max="12" width="15.453125" customWidth="1"/>
    <col min="14" max="14" width="13" customWidth="1"/>
    <col min="15" max="15" width="10.1796875" customWidth="1"/>
    <col min="17" max="17" width="15.453125" customWidth="1"/>
    <col min="18" max="20" width="11.54296875" customWidth="1"/>
    <col min="21" max="21" width="14.81640625" customWidth="1"/>
    <col min="22" max="24" width="11.54296875" customWidth="1"/>
  </cols>
  <sheetData>
    <row r="1" spans="1:24" ht="21" x14ac:dyDescent="0.5">
      <c r="A1" s="2" t="s">
        <v>128</v>
      </c>
    </row>
    <row r="2" spans="1:24" x14ac:dyDescent="0.35">
      <c r="K2" s="1" t="s">
        <v>131</v>
      </c>
      <c r="L2" s="1" t="s">
        <v>132</v>
      </c>
      <c r="M2" s="1"/>
      <c r="N2" s="1" t="s">
        <v>136</v>
      </c>
      <c r="O2" s="1" t="s">
        <v>135</v>
      </c>
      <c r="P2" s="1"/>
      <c r="Q2" s="1" t="s">
        <v>136</v>
      </c>
      <c r="R2" s="1" t="s">
        <v>135</v>
      </c>
      <c r="S2" s="1"/>
      <c r="T2" s="1"/>
      <c r="U2" s="1" t="s">
        <v>163</v>
      </c>
      <c r="V2" s="1"/>
      <c r="W2" s="1"/>
      <c r="X2" s="1"/>
    </row>
    <row r="3" spans="1:24" x14ac:dyDescent="0.35">
      <c r="A3" s="1" t="s">
        <v>138</v>
      </c>
      <c r="F3" s="1" t="s">
        <v>139</v>
      </c>
      <c r="K3">
        <v>1</v>
      </c>
      <c r="L3" s="28">
        <v>8816.1645171599994</v>
      </c>
      <c r="M3" s="28"/>
      <c r="N3">
        <v>2.12</v>
      </c>
      <c r="O3" t="s">
        <v>129</v>
      </c>
      <c r="Q3">
        <v>5.28</v>
      </c>
      <c r="R3" t="s">
        <v>130</v>
      </c>
    </row>
    <row r="4" spans="1:24" x14ac:dyDescent="0.35">
      <c r="A4" t="s">
        <v>140</v>
      </c>
      <c r="B4">
        <v>5.09</v>
      </c>
      <c r="F4" t="s">
        <v>140</v>
      </c>
      <c r="G4" s="7">
        <v>7.6592622250897113</v>
      </c>
      <c r="K4">
        <v>2</v>
      </c>
      <c r="L4" s="28">
        <v>8525.5217308799984</v>
      </c>
      <c r="M4" s="28"/>
      <c r="N4">
        <v>1.9</v>
      </c>
      <c r="O4" t="s">
        <v>129</v>
      </c>
      <c r="Q4">
        <v>6.65</v>
      </c>
      <c r="R4" t="s">
        <v>130</v>
      </c>
      <c r="U4" t="s">
        <v>164</v>
      </c>
      <c r="V4" t="s">
        <v>165</v>
      </c>
      <c r="W4" t="s">
        <v>166</v>
      </c>
    </row>
    <row r="5" spans="1:24" x14ac:dyDescent="0.35">
      <c r="A5" t="s">
        <v>103</v>
      </c>
      <c r="B5" s="7">
        <f>2.318*(1-EXP(-0.471*B4/2.318))</f>
        <v>1.4939669230698949</v>
      </c>
      <c r="F5" t="s">
        <v>103</v>
      </c>
      <c r="G5" s="7">
        <f>2.58*(1-EXP(-0.429*G4/2.58))</f>
        <v>1.8580400401938286</v>
      </c>
      <c r="K5">
        <v>3</v>
      </c>
      <c r="L5" s="28">
        <v>8234.8789445999992</v>
      </c>
      <c r="M5" s="28"/>
      <c r="N5">
        <v>2.9</v>
      </c>
      <c r="O5" t="s">
        <v>129</v>
      </c>
      <c r="Q5">
        <v>4.97</v>
      </c>
      <c r="R5" t="s">
        <v>130</v>
      </c>
    </row>
    <row r="6" spans="1:24" x14ac:dyDescent="0.35">
      <c r="A6" t="s">
        <v>66</v>
      </c>
      <c r="B6" s="6">
        <f>'[1]Growth rates'!$G$4*EXP(B5)</f>
        <v>0.66553697483182128</v>
      </c>
      <c r="F6" t="s">
        <v>66</v>
      </c>
      <c r="G6" s="6">
        <f>'[1]Growth rates'!$B$45*EXP(G5)</f>
        <v>0.66355493949519784</v>
      </c>
      <c r="K6">
        <v>4</v>
      </c>
      <c r="L6" s="28">
        <v>8525.5217308799984</v>
      </c>
      <c r="M6" s="28"/>
      <c r="N6">
        <v>3.29</v>
      </c>
      <c r="O6" t="s">
        <v>129</v>
      </c>
      <c r="Q6">
        <v>6.09</v>
      </c>
      <c r="R6" t="s">
        <v>130</v>
      </c>
      <c r="U6" s="23">
        <v>13.4</v>
      </c>
      <c r="V6" s="23">
        <v>91.2</v>
      </c>
      <c r="W6" s="31">
        <f>U6/V6</f>
        <v>0.14692982456140352</v>
      </c>
      <c r="X6" s="31"/>
    </row>
    <row r="7" spans="1:24" x14ac:dyDescent="0.35">
      <c r="A7" t="s">
        <v>141</v>
      </c>
      <c r="B7" s="13">
        <v>2.8399999999999999E-6</v>
      </c>
      <c r="C7" t="s">
        <v>142</v>
      </c>
      <c r="F7" t="s">
        <v>141</v>
      </c>
      <c r="G7" s="13">
        <f>O169*(1-W14)+R197*W14</f>
        <v>3.0799306428464662E-6</v>
      </c>
      <c r="H7" t="s">
        <v>142</v>
      </c>
      <c r="K7">
        <v>5</v>
      </c>
      <c r="L7" s="28">
        <v>7653.6013065959996</v>
      </c>
      <c r="M7" s="28"/>
      <c r="N7">
        <v>3.04</v>
      </c>
      <c r="O7" t="s">
        <v>129</v>
      </c>
      <c r="Q7">
        <v>3.85</v>
      </c>
      <c r="R7" t="s">
        <v>130</v>
      </c>
      <c r="U7" s="23">
        <v>11.1</v>
      </c>
      <c r="V7" s="23">
        <v>89.9</v>
      </c>
      <c r="W7" s="31">
        <f t="shared" ref="W7:W13" si="0">U7/V7</f>
        <v>0.12347052280311456</v>
      </c>
      <c r="X7" s="31"/>
    </row>
    <row r="8" spans="1:24" x14ac:dyDescent="0.35">
      <c r="A8" t="s">
        <v>143</v>
      </c>
      <c r="B8" s="13">
        <f>B7/2</f>
        <v>1.42E-6</v>
      </c>
      <c r="C8" t="s">
        <v>142</v>
      </c>
      <c r="F8" t="s">
        <v>143</v>
      </c>
      <c r="G8" s="13">
        <f>G7/2</f>
        <v>1.5399653214232331E-6</v>
      </c>
      <c r="H8" t="s">
        <v>142</v>
      </c>
      <c r="K8">
        <v>6</v>
      </c>
      <c r="L8" s="28">
        <v>8331.7598733599989</v>
      </c>
      <c r="M8" s="28"/>
      <c r="N8">
        <v>2.93</v>
      </c>
      <c r="O8" t="s">
        <v>129</v>
      </c>
      <c r="Q8">
        <v>4.51</v>
      </c>
      <c r="R8" t="s">
        <v>130</v>
      </c>
      <c r="U8" s="23">
        <v>14.7</v>
      </c>
      <c r="V8" s="23">
        <v>91.3</v>
      </c>
      <c r="W8" s="31">
        <f t="shared" si="0"/>
        <v>0.16100766703176342</v>
      </c>
      <c r="X8" s="31"/>
    </row>
    <row r="9" spans="1:24" x14ac:dyDescent="0.35">
      <c r="A9" t="s">
        <v>144</v>
      </c>
      <c r="B9" s="13">
        <f>4*PI()*B8^2</f>
        <v>2.5338829706793831E-11</v>
      </c>
      <c r="C9" t="s">
        <v>145</v>
      </c>
      <c r="F9" t="s">
        <v>144</v>
      </c>
      <c r="G9" s="13">
        <f>4*PI()*G8^2</f>
        <v>2.9801062349874641E-11</v>
      </c>
      <c r="H9" t="s">
        <v>145</v>
      </c>
      <c r="K9">
        <v>7</v>
      </c>
      <c r="L9" s="28">
        <v>8137.9980158399994</v>
      </c>
      <c r="M9" s="28"/>
      <c r="N9">
        <v>2.92</v>
      </c>
      <c r="O9" t="s">
        <v>129</v>
      </c>
      <c r="Q9">
        <v>5.53</v>
      </c>
      <c r="R9" t="s">
        <v>130</v>
      </c>
      <c r="U9" s="23">
        <v>14.2</v>
      </c>
      <c r="V9" s="23">
        <v>91.6</v>
      </c>
      <c r="W9" s="31">
        <f t="shared" si="0"/>
        <v>0.15502183406113537</v>
      </c>
      <c r="X9" s="31"/>
    </row>
    <row r="10" spans="1:24" x14ac:dyDescent="0.35">
      <c r="A10" t="s">
        <v>146</v>
      </c>
      <c r="B10" s="7">
        <f>EXP(13.439799+2.3719851*B6)</f>
        <v>3329866.5557328044</v>
      </c>
      <c r="C10" t="s">
        <v>147</v>
      </c>
      <c r="F10" t="s">
        <v>146</v>
      </c>
      <c r="G10" s="7">
        <f>EXP(13.439799+2.3719851*G6)</f>
        <v>3314248.4020444099</v>
      </c>
      <c r="H10" t="s">
        <v>147</v>
      </c>
      <c r="K10">
        <v>8</v>
      </c>
      <c r="L10" s="28">
        <v>8719.2835883999996</v>
      </c>
      <c r="M10" s="28"/>
      <c r="N10">
        <v>2.76</v>
      </c>
      <c r="O10" t="s">
        <v>129</v>
      </c>
      <c r="Q10">
        <v>4.29</v>
      </c>
      <c r="R10" t="s">
        <v>130</v>
      </c>
      <c r="U10" s="23">
        <v>15.6</v>
      </c>
      <c r="V10" s="23">
        <v>87.8</v>
      </c>
      <c r="W10" s="31">
        <f t="shared" si="0"/>
        <v>0.1776765375854214</v>
      </c>
      <c r="X10" s="31"/>
    </row>
    <row r="11" spans="1:24" x14ac:dyDescent="0.35">
      <c r="A11" t="s">
        <v>148</v>
      </c>
      <c r="B11" s="7">
        <f>EXP(6.6292056+1.9008173*LN(B6))</f>
        <v>349.06800820693945</v>
      </c>
      <c r="C11" t="s">
        <v>149</v>
      </c>
      <c r="F11" t="s">
        <v>148</v>
      </c>
      <c r="G11" s="7">
        <f>EXP(6.6292056+1.9008173*LN(G6))</f>
        <v>347.0946467836456</v>
      </c>
      <c r="H11" t="s">
        <v>149</v>
      </c>
      <c r="K11">
        <v>9</v>
      </c>
      <c r="L11" s="28">
        <v>8816.1645171599994</v>
      </c>
      <c r="M11" s="28"/>
      <c r="N11">
        <v>3.38</v>
      </c>
      <c r="O11" t="s">
        <v>129</v>
      </c>
      <c r="Q11">
        <v>4.21</v>
      </c>
      <c r="R11" t="s">
        <v>130</v>
      </c>
      <c r="U11" s="23">
        <v>12.8</v>
      </c>
      <c r="V11" s="23">
        <v>91.7</v>
      </c>
      <c r="W11" s="31">
        <f t="shared" si="0"/>
        <v>0.1395856052344602</v>
      </c>
      <c r="X11" s="31"/>
    </row>
    <row r="12" spans="1:24" x14ac:dyDescent="0.35">
      <c r="A12" t="s">
        <v>150</v>
      </c>
      <c r="B12" s="13">
        <f>B11/B10</f>
        <v>1.0482942855652063E-4</v>
      </c>
      <c r="C12" t="s">
        <v>151</v>
      </c>
      <c r="F12" t="s">
        <v>150</v>
      </c>
      <c r="G12" s="13">
        <f>G11/G10</f>
        <v>1.0472801210963506E-4</v>
      </c>
      <c r="H12" t="s">
        <v>151</v>
      </c>
      <c r="K12">
        <v>10</v>
      </c>
      <c r="L12" s="28">
        <v>8428.6408021200004</v>
      </c>
      <c r="M12" s="28"/>
      <c r="N12">
        <v>3.36</v>
      </c>
      <c r="O12" t="s">
        <v>129</v>
      </c>
      <c r="Q12">
        <v>5.2</v>
      </c>
      <c r="R12" t="s">
        <v>130</v>
      </c>
      <c r="U12" s="23">
        <v>13.7</v>
      </c>
      <c r="V12" s="23">
        <v>92.4</v>
      </c>
      <c r="W12" s="31">
        <f t="shared" si="0"/>
        <v>0.14826839826839824</v>
      </c>
      <c r="X12" s="31"/>
    </row>
    <row r="13" spans="1:24" x14ac:dyDescent="0.35">
      <c r="A13" t="s">
        <v>150</v>
      </c>
      <c r="B13" s="13">
        <f>B12/1000000</f>
        <v>1.0482942855652064E-10</v>
      </c>
      <c r="C13" t="s">
        <v>152</v>
      </c>
      <c r="F13" t="s">
        <v>150</v>
      </c>
      <c r="G13" s="13">
        <f>G12/1000000</f>
        <v>1.0472801210963506E-10</v>
      </c>
      <c r="H13" t="s">
        <v>152</v>
      </c>
      <c r="K13">
        <v>11</v>
      </c>
      <c r="L13" s="28">
        <v>8234.8789445999992</v>
      </c>
      <c r="M13" s="28"/>
      <c r="N13">
        <v>3.02</v>
      </c>
      <c r="O13" t="s">
        <v>129</v>
      </c>
      <c r="Q13">
        <v>5.46</v>
      </c>
      <c r="R13" t="s">
        <v>130</v>
      </c>
      <c r="U13" s="23">
        <v>14.2</v>
      </c>
      <c r="V13" s="23">
        <v>90.7</v>
      </c>
      <c r="W13" s="31">
        <f t="shared" si="0"/>
        <v>0.15656008820286657</v>
      </c>
      <c r="X13" s="31"/>
    </row>
    <row r="14" spans="1:24" x14ac:dyDescent="0.35">
      <c r="A14" t="s">
        <v>153</v>
      </c>
      <c r="B14" s="7">
        <f>B9/B13</f>
        <v>0.24171485102708495</v>
      </c>
      <c r="C14" t="s">
        <v>154</v>
      </c>
      <c r="F14" t="s">
        <v>153</v>
      </c>
      <c r="G14" s="7">
        <f>G9/G13</f>
        <v>0.28455674608506121</v>
      </c>
      <c r="H14" t="s">
        <v>155</v>
      </c>
      <c r="K14">
        <v>12</v>
      </c>
      <c r="L14" s="28">
        <v>8041.1170870799997</v>
      </c>
      <c r="M14" s="28"/>
      <c r="N14">
        <v>3.08</v>
      </c>
      <c r="O14" t="s">
        <v>129</v>
      </c>
      <c r="Q14">
        <v>4.6100000000000003</v>
      </c>
      <c r="R14" t="s">
        <v>130</v>
      </c>
      <c r="T14" t="s">
        <v>7</v>
      </c>
      <c r="U14" s="32">
        <f>AVERAGE(U6:U13)</f>
        <v>13.7125</v>
      </c>
      <c r="V14" s="32">
        <f>AVERAGE(V6:V13)</f>
        <v>90.825000000000003</v>
      </c>
      <c r="W14" s="33">
        <f>AVERAGE(W6:W13)</f>
        <v>0.15106505971857043</v>
      </c>
      <c r="X14" s="33"/>
    </row>
    <row r="15" spans="1:24" x14ac:dyDescent="0.35">
      <c r="K15">
        <v>13</v>
      </c>
      <c r="L15" s="28">
        <v>8913.0454459199991</v>
      </c>
      <c r="M15" s="28"/>
      <c r="N15">
        <v>3.21</v>
      </c>
      <c r="O15" t="s">
        <v>129</v>
      </c>
      <c r="Q15">
        <v>4.59</v>
      </c>
      <c r="R15" t="s">
        <v>130</v>
      </c>
      <c r="T15" t="s">
        <v>137</v>
      </c>
      <c r="U15" s="32">
        <f>_xlfn.STDEV.S(U6:U13)</f>
        <v>1.3505951069277358</v>
      </c>
      <c r="V15" s="32">
        <f t="shared" ref="V15:W15" si="1">_xlfn.STDEV.S(V6:V13)</f>
        <v>1.4260334598358593</v>
      </c>
      <c r="W15" s="33">
        <f t="shared" si="1"/>
        <v>1.5906132795635002E-2</v>
      </c>
      <c r="X15" s="33"/>
    </row>
    <row r="16" spans="1:24" x14ac:dyDescent="0.35">
      <c r="K16">
        <v>14</v>
      </c>
      <c r="L16" s="28">
        <v>8622.4026596399981</v>
      </c>
      <c r="M16" s="28"/>
      <c r="N16">
        <v>3.4</v>
      </c>
      <c r="O16" t="s">
        <v>129</v>
      </c>
      <c r="Q16">
        <v>4.97</v>
      </c>
      <c r="R16" t="s">
        <v>130</v>
      </c>
    </row>
    <row r="17" spans="1:24" x14ac:dyDescent="0.35">
      <c r="A17" t="s">
        <v>134</v>
      </c>
      <c r="B17" s="7">
        <f>$L$128</f>
        <v>100.08601948918776</v>
      </c>
      <c r="C17" t="s">
        <v>156</v>
      </c>
      <c r="F17" t="s">
        <v>134</v>
      </c>
      <c r="G17" s="7">
        <f>$L$128</f>
        <v>100.08601948918776</v>
      </c>
      <c r="H17" t="s">
        <v>156</v>
      </c>
      <c r="K17">
        <v>15</v>
      </c>
      <c r="L17" s="28">
        <v>7750.4822353559994</v>
      </c>
      <c r="M17" s="28"/>
      <c r="N17">
        <v>3.41</v>
      </c>
      <c r="O17" t="s">
        <v>129</v>
      </c>
      <c r="Q17">
        <v>4.7</v>
      </c>
      <c r="R17" t="s">
        <v>130</v>
      </c>
      <c r="V17" t="s">
        <v>375</v>
      </c>
      <c r="W17" t="s">
        <v>130</v>
      </c>
    </row>
    <row r="18" spans="1:24" x14ac:dyDescent="0.35">
      <c r="A18" t="s">
        <v>160</v>
      </c>
      <c r="B18" s="7">
        <f>B17/1000</f>
        <v>0.10008601948918776</v>
      </c>
      <c r="C18" t="s">
        <v>157</v>
      </c>
      <c r="F18" t="s">
        <v>160</v>
      </c>
      <c r="G18" s="7">
        <f>G17/1000</f>
        <v>0.10008601948918776</v>
      </c>
      <c r="H18" t="s">
        <v>157</v>
      </c>
      <c r="K18">
        <v>16</v>
      </c>
      <c r="L18" s="28">
        <v>7847.363164116</v>
      </c>
      <c r="M18" s="28"/>
      <c r="N18">
        <v>3.59</v>
      </c>
      <c r="O18" t="s">
        <v>129</v>
      </c>
      <c r="Q18">
        <v>4.83</v>
      </c>
      <c r="R18" t="s">
        <v>130</v>
      </c>
      <c r="U18" t="s">
        <v>376</v>
      </c>
      <c r="V18" s="13">
        <v>2.8399999999999999E-6</v>
      </c>
      <c r="W18">
        <v>3.0799306428464662E-6</v>
      </c>
    </row>
    <row r="19" spans="1:24" x14ac:dyDescent="0.35">
      <c r="B19" s="7">
        <f>B18*3600</f>
        <v>360.30967016107593</v>
      </c>
      <c r="C19" t="s">
        <v>158</v>
      </c>
      <c r="G19" s="7">
        <f>G18*3600</f>
        <v>360.30967016107593</v>
      </c>
      <c r="H19" t="s">
        <v>158</v>
      </c>
      <c r="K19">
        <v>17</v>
      </c>
      <c r="L19" s="28">
        <v>7266.0775915559998</v>
      </c>
      <c r="M19" s="28"/>
      <c r="N19">
        <v>3.21</v>
      </c>
      <c r="O19" t="s">
        <v>129</v>
      </c>
      <c r="Q19">
        <v>4.72</v>
      </c>
      <c r="R19" t="s">
        <v>130</v>
      </c>
      <c r="U19" t="s">
        <v>377</v>
      </c>
      <c r="V19" s="13">
        <f>V18/2</f>
        <v>1.42E-6</v>
      </c>
      <c r="W19" s="13">
        <f>W18/2</f>
        <v>1.5399653214232331E-6</v>
      </c>
      <c r="X19" s="13"/>
    </row>
    <row r="20" spans="1:24" x14ac:dyDescent="0.35">
      <c r="B20" s="7">
        <f>B19*B14</f>
        <v>87.092198246602578</v>
      </c>
      <c r="C20" t="s">
        <v>159</v>
      </c>
      <c r="G20" s="7">
        <f>G19*G14</f>
        <v>102.52854732401744</v>
      </c>
      <c r="H20" t="s">
        <v>159</v>
      </c>
      <c r="K20">
        <v>18</v>
      </c>
      <c r="L20" s="28">
        <v>7653.6013065959996</v>
      </c>
      <c r="M20" s="28"/>
      <c r="N20">
        <v>3.17</v>
      </c>
      <c r="O20" t="s">
        <v>129</v>
      </c>
      <c r="Q20">
        <v>4.45</v>
      </c>
      <c r="R20" t="s">
        <v>130</v>
      </c>
      <c r="U20" t="s">
        <v>378</v>
      </c>
      <c r="V20" s="13">
        <f>4*PI()*V19^2</f>
        <v>2.5338829706793831E-11</v>
      </c>
      <c r="W20" s="13">
        <f>4*PI()*W19^2</f>
        <v>2.9801062349874641E-11</v>
      </c>
      <c r="X20" s="13"/>
    </row>
    <row r="21" spans="1:24" x14ac:dyDescent="0.35">
      <c r="K21">
        <v>19</v>
      </c>
      <c r="L21" s="28">
        <v>7847.363164116</v>
      </c>
      <c r="M21" s="28"/>
      <c r="N21">
        <v>3.48</v>
      </c>
      <c r="O21" t="s">
        <v>129</v>
      </c>
      <c r="Q21">
        <v>4.18</v>
      </c>
      <c r="R21" t="s">
        <v>130</v>
      </c>
      <c r="U21" t="s">
        <v>379</v>
      </c>
      <c r="V21" s="30">
        <f>1-W21</f>
        <v>0.84893494028142957</v>
      </c>
      <c r="W21" s="30">
        <f>W14</f>
        <v>0.15106505971857043</v>
      </c>
      <c r="X21" s="30"/>
    </row>
    <row r="22" spans="1:24" x14ac:dyDescent="0.35">
      <c r="B22" s="30"/>
      <c r="G22" s="30"/>
      <c r="K22">
        <v>20</v>
      </c>
      <c r="L22" s="28">
        <v>8331.7598733599989</v>
      </c>
      <c r="M22" s="28"/>
      <c r="N22">
        <v>3.27</v>
      </c>
      <c r="O22" t="s">
        <v>129</v>
      </c>
      <c r="Q22">
        <v>4.17</v>
      </c>
      <c r="R22" t="s">
        <v>130</v>
      </c>
      <c r="U22" t="s">
        <v>380</v>
      </c>
      <c r="V22" s="13">
        <f>V20*V21</f>
        <v>2.1511017883938335E-11</v>
      </c>
      <c r="W22" s="13">
        <f>W20*W21</f>
        <v>4.5018992635606536E-12</v>
      </c>
      <c r="X22" s="13">
        <f>V22+W22</f>
        <v>2.6012917147498988E-11</v>
      </c>
    </row>
    <row r="23" spans="1:24" x14ac:dyDescent="0.35">
      <c r="A23" t="s">
        <v>134</v>
      </c>
      <c r="B23" s="7">
        <f>$L$128-$L$129</f>
        <v>89.372951879246799</v>
      </c>
      <c r="C23" t="s">
        <v>156</v>
      </c>
      <c r="F23" t="s">
        <v>134</v>
      </c>
      <c r="G23" s="7">
        <f>$L$128-$L$129</f>
        <v>89.372951879246799</v>
      </c>
      <c r="H23" t="s">
        <v>156</v>
      </c>
      <c r="K23">
        <v>21</v>
      </c>
      <c r="L23" s="28">
        <v>8622.4026596399981</v>
      </c>
      <c r="M23" s="28"/>
      <c r="N23">
        <v>3.15</v>
      </c>
      <c r="O23" t="s">
        <v>129</v>
      </c>
      <c r="Q23">
        <v>5.03</v>
      </c>
      <c r="R23" t="s">
        <v>130</v>
      </c>
      <c r="V23" s="30">
        <f>1-W23</f>
        <v>0.8269360088284643</v>
      </c>
      <c r="W23" s="31">
        <f>W22/X22</f>
        <v>0.17306399117153567</v>
      </c>
    </row>
    <row r="24" spans="1:24" x14ac:dyDescent="0.35">
      <c r="A24" t="s">
        <v>162</v>
      </c>
      <c r="B24" s="7">
        <f>B23/1000</f>
        <v>8.9372951879246793E-2</v>
      </c>
      <c r="C24" t="s">
        <v>157</v>
      </c>
      <c r="F24" t="s">
        <v>162</v>
      </c>
      <c r="G24" s="7">
        <f>G23/1000</f>
        <v>8.9372951879246793E-2</v>
      </c>
      <c r="H24" t="s">
        <v>157</v>
      </c>
      <c r="K24">
        <v>22</v>
      </c>
      <c r="L24" s="28">
        <v>7459.8394490759993</v>
      </c>
      <c r="M24" s="28"/>
      <c r="N24">
        <v>3.38</v>
      </c>
      <c r="O24" t="s">
        <v>129</v>
      </c>
      <c r="Q24">
        <v>4.2300000000000004</v>
      </c>
      <c r="R24" t="s">
        <v>130</v>
      </c>
    </row>
    <row r="25" spans="1:24" x14ac:dyDescent="0.35">
      <c r="B25" s="7">
        <f>B24*3600</f>
        <v>321.74262676528843</v>
      </c>
      <c r="C25" t="s">
        <v>158</v>
      </c>
      <c r="G25" s="7">
        <f>G24*3600</f>
        <v>321.74262676528843</v>
      </c>
      <c r="H25" t="s">
        <v>158</v>
      </c>
      <c r="K25">
        <v>23</v>
      </c>
      <c r="L25" s="28">
        <v>7556.7203778359999</v>
      </c>
      <c r="M25" s="28"/>
      <c r="N25">
        <v>3.59</v>
      </c>
      <c r="O25" t="s">
        <v>129</v>
      </c>
      <c r="Q25">
        <v>5.09</v>
      </c>
      <c r="R25" t="s">
        <v>130</v>
      </c>
    </row>
    <row r="26" spans="1:24" x14ac:dyDescent="0.35">
      <c r="B26" s="7">
        <f>B25*B14</f>
        <v>77.769971097634695</v>
      </c>
      <c r="C26" t="s">
        <v>159</v>
      </c>
      <c r="G26" s="7">
        <f>G25*G14</f>
        <v>91.554034949190793</v>
      </c>
      <c r="H26" t="s">
        <v>159</v>
      </c>
      <c r="K26">
        <v>24</v>
      </c>
      <c r="L26" s="28">
        <v>8331.7598733599989</v>
      </c>
      <c r="M26" s="28"/>
      <c r="N26">
        <v>3.17</v>
      </c>
      <c r="O26" t="s">
        <v>129</v>
      </c>
      <c r="Q26">
        <v>5.62</v>
      </c>
      <c r="R26" t="s">
        <v>130</v>
      </c>
    </row>
    <row r="27" spans="1:24" x14ac:dyDescent="0.35">
      <c r="B27" s="13"/>
      <c r="G27" s="13"/>
      <c r="K27">
        <v>25</v>
      </c>
      <c r="L27" s="28">
        <v>8913.0454459199991</v>
      </c>
      <c r="M27" s="28"/>
      <c r="N27">
        <v>3.47</v>
      </c>
      <c r="O27" t="s">
        <v>129</v>
      </c>
      <c r="Q27">
        <v>4.6100000000000003</v>
      </c>
      <c r="R27" t="s">
        <v>130</v>
      </c>
    </row>
    <row r="28" spans="1:24" x14ac:dyDescent="0.35">
      <c r="B28" s="13"/>
      <c r="G28" s="13"/>
      <c r="K28">
        <v>26</v>
      </c>
      <c r="L28" s="28">
        <v>7556.7203778359999</v>
      </c>
      <c r="M28" s="28"/>
      <c r="N28">
        <v>3.59</v>
      </c>
      <c r="O28" t="s">
        <v>129</v>
      </c>
      <c r="Q28">
        <v>4.4400000000000004</v>
      </c>
      <c r="R28" t="s">
        <v>130</v>
      </c>
    </row>
    <row r="29" spans="1:24" x14ac:dyDescent="0.35">
      <c r="A29" t="s">
        <v>134</v>
      </c>
      <c r="B29" s="7">
        <f>$L$128+$L$129</f>
        <v>110.79908709912873</v>
      </c>
      <c r="C29" t="s">
        <v>156</v>
      </c>
      <c r="F29" t="s">
        <v>134</v>
      </c>
      <c r="G29" s="7">
        <f>$L$128+$L$129</f>
        <v>110.79908709912873</v>
      </c>
      <c r="H29" t="s">
        <v>156</v>
      </c>
      <c r="K29">
        <v>27</v>
      </c>
      <c r="L29" s="28">
        <v>7653.6013065959996</v>
      </c>
      <c r="M29" s="28"/>
      <c r="N29">
        <v>2.78</v>
      </c>
      <c r="O29" t="s">
        <v>129</v>
      </c>
      <c r="Q29">
        <v>4.18</v>
      </c>
      <c r="R29" t="s">
        <v>130</v>
      </c>
    </row>
    <row r="30" spans="1:24" x14ac:dyDescent="0.35">
      <c r="A30" t="s">
        <v>161</v>
      </c>
      <c r="B30" s="7">
        <f>B29/1000</f>
        <v>0.11079908709912872</v>
      </c>
      <c r="C30" t="s">
        <v>157</v>
      </c>
      <c r="F30" t="s">
        <v>161</v>
      </c>
      <c r="G30" s="7">
        <f>G29/1000</f>
        <v>0.11079908709912872</v>
      </c>
      <c r="H30" t="s">
        <v>157</v>
      </c>
      <c r="K30">
        <v>28</v>
      </c>
      <c r="L30" s="28">
        <v>8913.0454459199991</v>
      </c>
      <c r="M30" s="28"/>
      <c r="N30">
        <v>2.54</v>
      </c>
      <c r="O30" t="s">
        <v>129</v>
      </c>
      <c r="Q30">
        <v>5.2</v>
      </c>
      <c r="R30" t="s">
        <v>130</v>
      </c>
    </row>
    <row r="31" spans="1:24" x14ac:dyDescent="0.35">
      <c r="B31" s="7">
        <f>B30*3600</f>
        <v>398.87671355686342</v>
      </c>
      <c r="C31" t="s">
        <v>158</v>
      </c>
      <c r="G31" s="7">
        <f>G30*3600</f>
        <v>398.87671355686342</v>
      </c>
      <c r="H31" t="s">
        <v>158</v>
      </c>
      <c r="K31">
        <v>29</v>
      </c>
      <c r="L31" s="28">
        <v>8622.4026596399981</v>
      </c>
      <c r="M31" s="28"/>
      <c r="N31">
        <v>2.87</v>
      </c>
      <c r="O31" t="s">
        <v>129</v>
      </c>
      <c r="Q31">
        <v>5.4</v>
      </c>
      <c r="R31" t="s">
        <v>130</v>
      </c>
    </row>
    <row r="32" spans="1:24" x14ac:dyDescent="0.35">
      <c r="B32" s="7">
        <f>B31*B14</f>
        <v>96.414425395570476</v>
      </c>
      <c r="C32" t="s">
        <v>159</v>
      </c>
      <c r="G32" s="7">
        <f>G31*G14</f>
        <v>113.50305969884407</v>
      </c>
      <c r="H32" t="s">
        <v>159</v>
      </c>
      <c r="K32">
        <v>30</v>
      </c>
      <c r="L32" s="28">
        <v>7556.7203778359999</v>
      </c>
      <c r="M32" s="28"/>
      <c r="N32">
        <v>2.4500000000000002</v>
      </c>
      <c r="O32" t="s">
        <v>129</v>
      </c>
      <c r="Q32">
        <v>4.74</v>
      </c>
      <c r="R32" t="s">
        <v>130</v>
      </c>
    </row>
    <row r="33" spans="1:18" x14ac:dyDescent="0.35">
      <c r="B33" s="13"/>
      <c r="K33">
        <v>31</v>
      </c>
      <c r="L33" s="28">
        <v>7847.363164116</v>
      </c>
      <c r="M33" s="28"/>
      <c r="N33">
        <v>3.59</v>
      </c>
      <c r="O33" t="s">
        <v>129</v>
      </c>
      <c r="Q33">
        <v>4.74</v>
      </c>
      <c r="R33" t="s">
        <v>130</v>
      </c>
    </row>
    <row r="34" spans="1:18" x14ac:dyDescent="0.35">
      <c r="B34" s="7"/>
      <c r="K34">
        <v>32</v>
      </c>
      <c r="L34" s="28">
        <v>7944.23615832</v>
      </c>
      <c r="M34" s="28"/>
      <c r="N34">
        <v>3.13</v>
      </c>
      <c r="O34" t="s">
        <v>129</v>
      </c>
      <c r="Q34">
        <v>4.87</v>
      </c>
      <c r="R34" t="s">
        <v>130</v>
      </c>
    </row>
    <row r="35" spans="1:18" x14ac:dyDescent="0.35">
      <c r="K35">
        <v>33</v>
      </c>
      <c r="L35" s="28">
        <v>7556.7203778359999</v>
      </c>
      <c r="M35" s="28"/>
      <c r="N35">
        <v>3.08</v>
      </c>
      <c r="O35" t="s">
        <v>129</v>
      </c>
      <c r="Q35">
        <v>4.21</v>
      </c>
      <c r="R35" t="s">
        <v>130</v>
      </c>
    </row>
    <row r="36" spans="1:18" x14ac:dyDescent="0.35">
      <c r="B36" s="7">
        <f>B20-B26</f>
        <v>9.3222271489678832</v>
      </c>
      <c r="G36" s="7">
        <f>G20-G26</f>
        <v>10.974512374826645</v>
      </c>
      <c r="K36">
        <v>34</v>
      </c>
      <c r="L36" s="28">
        <v>7653.6013065959996</v>
      </c>
      <c r="M36" s="28"/>
      <c r="N36">
        <v>2.92</v>
      </c>
      <c r="O36" t="s">
        <v>129</v>
      </c>
      <c r="Q36">
        <v>5.48</v>
      </c>
      <c r="R36" t="s">
        <v>130</v>
      </c>
    </row>
    <row r="37" spans="1:18" x14ac:dyDescent="0.35">
      <c r="B37" s="7">
        <f>B32-B20</f>
        <v>9.3222271489678974</v>
      </c>
      <c r="G37" s="7">
        <f>G32-G20</f>
        <v>10.974512374826631</v>
      </c>
      <c r="K37">
        <v>35</v>
      </c>
      <c r="L37" s="28">
        <v>7556.7203778359999</v>
      </c>
      <c r="M37" s="28"/>
      <c r="N37">
        <v>3.33</v>
      </c>
      <c r="O37" t="s">
        <v>129</v>
      </c>
      <c r="Q37">
        <v>6.55</v>
      </c>
      <c r="R37" t="s">
        <v>130</v>
      </c>
    </row>
    <row r="38" spans="1:18" x14ac:dyDescent="0.35">
      <c r="K38">
        <v>36</v>
      </c>
      <c r="L38" s="28">
        <v>7847.363164116</v>
      </c>
      <c r="M38" s="28"/>
      <c r="N38">
        <v>3.04</v>
      </c>
      <c r="O38" t="s">
        <v>129</v>
      </c>
      <c r="Q38">
        <v>4.59</v>
      </c>
      <c r="R38" t="s">
        <v>130</v>
      </c>
    </row>
    <row r="39" spans="1:18" x14ac:dyDescent="0.35">
      <c r="A39" t="s">
        <v>219</v>
      </c>
      <c r="B39" s="44">
        <v>5.4884365031932884E-2</v>
      </c>
      <c r="F39" t="s">
        <v>219</v>
      </c>
      <c r="G39" s="44">
        <v>3.8525855511411376E-2</v>
      </c>
      <c r="K39">
        <v>37</v>
      </c>
      <c r="L39" s="28">
        <v>8234.8789445999992</v>
      </c>
      <c r="M39" s="28"/>
      <c r="N39">
        <v>3.07</v>
      </c>
      <c r="O39" t="s">
        <v>129</v>
      </c>
      <c r="Q39">
        <v>4.24</v>
      </c>
      <c r="R39" t="s">
        <v>130</v>
      </c>
    </row>
    <row r="40" spans="1:18" x14ac:dyDescent="0.35">
      <c r="B40" s="7">
        <f>B20*B39</f>
        <v>4.7800000000000011</v>
      </c>
      <c r="G40" s="7">
        <f>G20*G39</f>
        <v>3.9499999999999993</v>
      </c>
      <c r="K40">
        <v>38</v>
      </c>
      <c r="L40" s="28">
        <v>8622.4026596399981</v>
      </c>
      <c r="M40" s="28"/>
      <c r="N40">
        <v>3.16</v>
      </c>
      <c r="O40" t="s">
        <v>129</v>
      </c>
      <c r="Q40">
        <v>4.18</v>
      </c>
      <c r="R40" t="s">
        <v>130</v>
      </c>
    </row>
    <row r="41" spans="1:18" x14ac:dyDescent="0.35">
      <c r="K41">
        <v>39</v>
      </c>
      <c r="L41" s="28">
        <v>8137.9980158399994</v>
      </c>
      <c r="M41" s="28"/>
      <c r="N41">
        <v>3.38</v>
      </c>
      <c r="O41" t="s">
        <v>129</v>
      </c>
      <c r="Q41">
        <v>4.97</v>
      </c>
      <c r="R41" t="s">
        <v>130</v>
      </c>
    </row>
    <row r="42" spans="1:18" x14ac:dyDescent="0.35">
      <c r="A42" s="1"/>
      <c r="K42">
        <v>40</v>
      </c>
      <c r="L42" s="28">
        <v>7750.4822353559994</v>
      </c>
      <c r="M42" s="28"/>
      <c r="N42">
        <v>3.08</v>
      </c>
      <c r="O42" t="s">
        <v>129</v>
      </c>
      <c r="Q42">
        <v>3.35</v>
      </c>
      <c r="R42" t="s">
        <v>130</v>
      </c>
    </row>
    <row r="43" spans="1:18" x14ac:dyDescent="0.35">
      <c r="K43">
        <v>41</v>
      </c>
      <c r="L43" s="28">
        <v>8719.2835883999996</v>
      </c>
      <c r="M43" s="28"/>
      <c r="N43">
        <v>3.17</v>
      </c>
      <c r="O43" t="s">
        <v>129</v>
      </c>
      <c r="Q43">
        <v>5.98</v>
      </c>
      <c r="R43" t="s">
        <v>130</v>
      </c>
    </row>
    <row r="44" spans="1:18" x14ac:dyDescent="0.35">
      <c r="B44" s="7"/>
      <c r="K44">
        <v>42</v>
      </c>
      <c r="L44" s="28">
        <v>8234.8789445999992</v>
      </c>
      <c r="M44" s="28"/>
      <c r="N44">
        <v>3.66</v>
      </c>
      <c r="O44" t="s">
        <v>129</v>
      </c>
      <c r="Q44">
        <v>4.45</v>
      </c>
      <c r="R44" t="s">
        <v>130</v>
      </c>
    </row>
    <row r="45" spans="1:18" x14ac:dyDescent="0.35">
      <c r="B45" s="6"/>
      <c r="K45">
        <v>43</v>
      </c>
      <c r="L45" s="28">
        <v>7459.8394490759993</v>
      </c>
      <c r="M45" s="28"/>
      <c r="N45">
        <v>3.48</v>
      </c>
      <c r="O45" t="s">
        <v>129</v>
      </c>
      <c r="Q45">
        <v>3.46</v>
      </c>
      <c r="R45" t="s">
        <v>130</v>
      </c>
    </row>
    <row r="46" spans="1:18" x14ac:dyDescent="0.35">
      <c r="B46" s="13"/>
      <c r="K46">
        <v>44</v>
      </c>
      <c r="L46" s="28">
        <v>7847.363164116</v>
      </c>
      <c r="M46" s="28"/>
      <c r="N46">
        <v>2.59</v>
      </c>
      <c r="O46" t="s">
        <v>129</v>
      </c>
      <c r="Q46">
        <v>4.72</v>
      </c>
      <c r="R46" t="s">
        <v>130</v>
      </c>
    </row>
    <row r="47" spans="1:18" x14ac:dyDescent="0.35">
      <c r="B47" s="13"/>
      <c r="K47">
        <v>45</v>
      </c>
      <c r="L47" s="28">
        <v>8428.6408021200004</v>
      </c>
      <c r="M47" s="28"/>
      <c r="N47">
        <v>2.98</v>
      </c>
      <c r="O47" t="s">
        <v>129</v>
      </c>
      <c r="Q47">
        <v>5.1100000000000003</v>
      </c>
      <c r="R47" t="s">
        <v>130</v>
      </c>
    </row>
    <row r="48" spans="1:18" x14ac:dyDescent="0.35">
      <c r="B48" s="13"/>
      <c r="K48">
        <v>46</v>
      </c>
      <c r="L48" s="28">
        <v>7750.4822353559994</v>
      </c>
      <c r="M48" s="28"/>
      <c r="N48">
        <v>2.69</v>
      </c>
      <c r="O48" t="s">
        <v>129</v>
      </c>
      <c r="Q48">
        <v>4.04</v>
      </c>
      <c r="R48" t="s">
        <v>130</v>
      </c>
    </row>
    <row r="49" spans="2:18" x14ac:dyDescent="0.35">
      <c r="B49" s="7"/>
      <c r="K49">
        <v>47</v>
      </c>
      <c r="L49" s="28">
        <v>7653.6013065959996</v>
      </c>
      <c r="M49" s="28"/>
      <c r="N49">
        <v>2.54</v>
      </c>
      <c r="O49" t="s">
        <v>129</v>
      </c>
      <c r="Q49">
        <v>4.78</v>
      </c>
      <c r="R49" t="s">
        <v>130</v>
      </c>
    </row>
    <row r="50" spans="2:18" x14ac:dyDescent="0.35">
      <c r="B50" s="7"/>
      <c r="K50">
        <v>48</v>
      </c>
      <c r="L50" s="28">
        <v>7459.8394490759993</v>
      </c>
      <c r="M50" s="28"/>
      <c r="N50">
        <v>2.69</v>
      </c>
      <c r="O50" t="s">
        <v>129</v>
      </c>
      <c r="Q50">
        <v>4.88</v>
      </c>
      <c r="R50" t="s">
        <v>130</v>
      </c>
    </row>
    <row r="51" spans="2:18" x14ac:dyDescent="0.35">
      <c r="B51" s="13"/>
      <c r="K51">
        <v>49</v>
      </c>
      <c r="L51" s="28">
        <v>7556.7203778359999</v>
      </c>
      <c r="M51" s="28"/>
      <c r="N51">
        <v>2.84</v>
      </c>
      <c r="O51" t="s">
        <v>129</v>
      </c>
      <c r="Q51">
        <v>4.78</v>
      </c>
      <c r="R51" t="s">
        <v>130</v>
      </c>
    </row>
    <row r="52" spans="2:18" x14ac:dyDescent="0.35">
      <c r="B52" s="13"/>
      <c r="K52">
        <v>50</v>
      </c>
      <c r="L52" s="28">
        <v>7944.23615832</v>
      </c>
      <c r="M52" s="28"/>
      <c r="N52">
        <v>2.41</v>
      </c>
      <c r="O52" t="s">
        <v>129</v>
      </c>
      <c r="Q52">
        <v>4.37</v>
      </c>
      <c r="R52" t="s">
        <v>130</v>
      </c>
    </row>
    <row r="53" spans="2:18" x14ac:dyDescent="0.35">
      <c r="B53" s="7"/>
      <c r="K53">
        <v>51</v>
      </c>
      <c r="L53" s="28">
        <v>7556.7203778359999</v>
      </c>
      <c r="M53" s="28"/>
      <c r="N53">
        <v>2.74</v>
      </c>
      <c r="O53" t="s">
        <v>129</v>
      </c>
      <c r="Q53">
        <v>3.85</v>
      </c>
      <c r="R53" t="s">
        <v>130</v>
      </c>
    </row>
    <row r="54" spans="2:18" x14ac:dyDescent="0.35">
      <c r="K54">
        <v>52</v>
      </c>
      <c r="L54" s="28">
        <v>8428.6408021200004</v>
      </c>
      <c r="M54" s="28"/>
      <c r="N54">
        <v>3.02</v>
      </c>
      <c r="O54" t="s">
        <v>129</v>
      </c>
      <c r="Q54">
        <v>4.41</v>
      </c>
      <c r="R54" t="s">
        <v>130</v>
      </c>
    </row>
    <row r="55" spans="2:18" x14ac:dyDescent="0.35">
      <c r="K55">
        <v>53</v>
      </c>
      <c r="L55" s="28">
        <v>7653.6013065959996</v>
      </c>
      <c r="M55" s="28"/>
      <c r="N55">
        <v>2.83</v>
      </c>
      <c r="O55" t="s">
        <v>129</v>
      </c>
      <c r="Q55">
        <v>5.18</v>
      </c>
      <c r="R55" t="s">
        <v>130</v>
      </c>
    </row>
    <row r="56" spans="2:18" x14ac:dyDescent="0.35">
      <c r="K56">
        <v>54</v>
      </c>
      <c r="L56" s="28">
        <v>7362.9585203159995</v>
      </c>
      <c r="M56" s="28"/>
      <c r="N56">
        <v>2.85</v>
      </c>
      <c r="O56" t="s">
        <v>129</v>
      </c>
      <c r="Q56">
        <v>3.48</v>
      </c>
      <c r="R56" t="s">
        <v>130</v>
      </c>
    </row>
    <row r="57" spans="2:18" x14ac:dyDescent="0.35">
      <c r="K57">
        <v>55</v>
      </c>
      <c r="L57" s="28">
        <v>7556.7203778359999</v>
      </c>
      <c r="M57" s="28"/>
      <c r="N57">
        <v>2.77</v>
      </c>
      <c r="O57" t="s">
        <v>129</v>
      </c>
      <c r="Q57">
        <v>4.59</v>
      </c>
      <c r="R57" t="s">
        <v>130</v>
      </c>
    </row>
    <row r="58" spans="2:18" x14ac:dyDescent="0.35">
      <c r="K58">
        <v>56</v>
      </c>
      <c r="L58" s="28">
        <v>8719.2835883999996</v>
      </c>
      <c r="M58" s="28"/>
      <c r="N58">
        <v>2.83</v>
      </c>
      <c r="O58" t="s">
        <v>129</v>
      </c>
      <c r="Q58">
        <v>4.45</v>
      </c>
      <c r="R58" t="s">
        <v>130</v>
      </c>
    </row>
    <row r="59" spans="2:18" x14ac:dyDescent="0.35">
      <c r="B59" s="7"/>
      <c r="K59">
        <v>57</v>
      </c>
      <c r="L59" s="28">
        <v>7266.0775915559998</v>
      </c>
      <c r="M59" s="28"/>
      <c r="N59">
        <v>2.8</v>
      </c>
      <c r="O59" t="s">
        <v>129</v>
      </c>
      <c r="Q59">
        <v>4.59</v>
      </c>
      <c r="R59" t="s">
        <v>130</v>
      </c>
    </row>
    <row r="60" spans="2:18" x14ac:dyDescent="0.35">
      <c r="K60">
        <v>58</v>
      </c>
      <c r="L60" s="28">
        <v>7944.23615832</v>
      </c>
      <c r="M60" s="28"/>
      <c r="N60">
        <v>2.4300000000000002</v>
      </c>
      <c r="O60" t="s">
        <v>129</v>
      </c>
      <c r="Q60">
        <v>4.41</v>
      </c>
      <c r="R60" t="s">
        <v>130</v>
      </c>
    </row>
    <row r="61" spans="2:18" x14ac:dyDescent="0.35">
      <c r="K61">
        <v>59</v>
      </c>
      <c r="L61" s="28">
        <v>7459.8394490759993</v>
      </c>
      <c r="M61" s="28"/>
      <c r="N61">
        <v>2.64</v>
      </c>
      <c r="O61" t="s">
        <v>129</v>
      </c>
      <c r="Q61">
        <v>4.4400000000000004</v>
      </c>
      <c r="R61" t="s">
        <v>130</v>
      </c>
    </row>
    <row r="62" spans="2:18" x14ac:dyDescent="0.35">
      <c r="K62">
        <v>60</v>
      </c>
      <c r="L62" s="28">
        <v>8041.1170870799997</v>
      </c>
      <c r="M62" s="28"/>
      <c r="N62">
        <v>2.54</v>
      </c>
      <c r="O62" t="s">
        <v>129</v>
      </c>
      <c r="Q62">
        <v>5.38</v>
      </c>
      <c r="R62" t="s">
        <v>130</v>
      </c>
    </row>
    <row r="63" spans="2:18" x14ac:dyDescent="0.35">
      <c r="K63">
        <v>61</v>
      </c>
      <c r="L63" s="28">
        <v>7944.23615832</v>
      </c>
      <c r="M63" s="28"/>
      <c r="N63">
        <v>2.62</v>
      </c>
      <c r="O63" t="s">
        <v>129</v>
      </c>
      <c r="Q63">
        <v>4.7</v>
      </c>
      <c r="R63" t="s">
        <v>130</v>
      </c>
    </row>
    <row r="64" spans="2:18" x14ac:dyDescent="0.35">
      <c r="K64">
        <v>62</v>
      </c>
      <c r="L64" s="28">
        <v>7653.6013065959996</v>
      </c>
      <c r="N64">
        <v>2.76</v>
      </c>
      <c r="O64" t="s">
        <v>129</v>
      </c>
      <c r="Q64">
        <v>4.7699999999999996</v>
      </c>
      <c r="R64" t="s">
        <v>130</v>
      </c>
    </row>
    <row r="65" spans="11:18" x14ac:dyDescent="0.35">
      <c r="K65">
        <v>63</v>
      </c>
      <c r="L65" s="28">
        <v>6297.2683039559997</v>
      </c>
      <c r="N65">
        <v>2.77</v>
      </c>
      <c r="O65" t="s">
        <v>129</v>
      </c>
      <c r="Q65">
        <v>3.89</v>
      </c>
      <c r="R65" t="s">
        <v>130</v>
      </c>
    </row>
    <row r="66" spans="11:18" x14ac:dyDescent="0.35">
      <c r="K66">
        <v>64</v>
      </c>
      <c r="L66" s="28">
        <v>6975.4348052759997</v>
      </c>
      <c r="N66">
        <v>2.99</v>
      </c>
      <c r="O66" t="s">
        <v>129</v>
      </c>
      <c r="Q66">
        <v>5.4</v>
      </c>
      <c r="R66" t="s">
        <v>130</v>
      </c>
    </row>
    <row r="67" spans="11:18" x14ac:dyDescent="0.35">
      <c r="K67">
        <v>65</v>
      </c>
      <c r="L67" s="28">
        <v>6878.5538765159999</v>
      </c>
      <c r="N67">
        <v>3.1</v>
      </c>
      <c r="O67" t="s">
        <v>129</v>
      </c>
      <c r="Q67">
        <v>4.21</v>
      </c>
      <c r="R67" t="s">
        <v>130</v>
      </c>
    </row>
    <row r="68" spans="11:18" x14ac:dyDescent="0.35">
      <c r="K68">
        <v>66</v>
      </c>
      <c r="L68" s="28">
        <v>6491.0301614759992</v>
      </c>
      <c r="N68">
        <v>2.84</v>
      </c>
      <c r="O68" t="s">
        <v>129</v>
      </c>
      <c r="Q68">
        <v>4.97</v>
      </c>
      <c r="R68" t="s">
        <v>130</v>
      </c>
    </row>
    <row r="69" spans="11:18" x14ac:dyDescent="0.35">
      <c r="K69">
        <v>67</v>
      </c>
      <c r="L69" s="28">
        <v>6394.1492327159995</v>
      </c>
      <c r="N69">
        <v>2.99</v>
      </c>
      <c r="O69" t="s">
        <v>129</v>
      </c>
      <c r="Q69">
        <v>4.0199999999999996</v>
      </c>
      <c r="R69" t="s">
        <v>130</v>
      </c>
    </row>
    <row r="70" spans="11:18" x14ac:dyDescent="0.35">
      <c r="K70">
        <v>68</v>
      </c>
      <c r="L70" s="28">
        <v>6491.0301614759992</v>
      </c>
      <c r="N70">
        <v>2.84</v>
      </c>
      <c r="O70" t="s">
        <v>129</v>
      </c>
      <c r="Q70">
        <v>4.51</v>
      </c>
      <c r="R70" t="s">
        <v>130</v>
      </c>
    </row>
    <row r="71" spans="11:18" x14ac:dyDescent="0.35">
      <c r="K71">
        <v>69</v>
      </c>
      <c r="L71" s="28">
        <v>7556.7203778359999</v>
      </c>
      <c r="N71">
        <v>2.2799999999999998</v>
      </c>
      <c r="O71" t="s">
        <v>129</v>
      </c>
      <c r="Q71">
        <v>4.1100000000000003</v>
      </c>
      <c r="R71" t="s">
        <v>130</v>
      </c>
    </row>
    <row r="72" spans="11:18" x14ac:dyDescent="0.35">
      <c r="K72">
        <v>70</v>
      </c>
      <c r="L72" s="28">
        <v>7459.8394490759993</v>
      </c>
      <c r="N72">
        <v>2.81</v>
      </c>
      <c r="O72" t="s">
        <v>129</v>
      </c>
      <c r="Q72">
        <v>4.1100000000000003</v>
      </c>
      <c r="R72" t="s">
        <v>130</v>
      </c>
    </row>
    <row r="73" spans="11:18" x14ac:dyDescent="0.35">
      <c r="K73">
        <v>71</v>
      </c>
      <c r="L73" s="28">
        <v>6491.0301614759992</v>
      </c>
      <c r="N73">
        <v>2.87</v>
      </c>
      <c r="O73" t="s">
        <v>129</v>
      </c>
      <c r="Q73">
        <v>3.6</v>
      </c>
      <c r="R73" t="s">
        <v>130</v>
      </c>
    </row>
    <row r="74" spans="11:18" x14ac:dyDescent="0.35">
      <c r="K74">
        <v>72</v>
      </c>
      <c r="L74" s="28">
        <v>7750.4822353559994</v>
      </c>
      <c r="N74">
        <v>2.84</v>
      </c>
      <c r="O74" t="s">
        <v>129</v>
      </c>
      <c r="Q74">
        <v>3.41</v>
      </c>
      <c r="R74" t="s">
        <v>130</v>
      </c>
    </row>
    <row r="75" spans="11:18" x14ac:dyDescent="0.35">
      <c r="K75">
        <v>73</v>
      </c>
      <c r="L75" s="28">
        <v>7556.7203778359999</v>
      </c>
      <c r="N75">
        <v>2.84</v>
      </c>
      <c r="O75" t="s">
        <v>129</v>
      </c>
      <c r="Q75">
        <v>4.3099999999999996</v>
      </c>
      <c r="R75" t="s">
        <v>130</v>
      </c>
    </row>
    <row r="76" spans="11:18" x14ac:dyDescent="0.35">
      <c r="K76">
        <v>74</v>
      </c>
      <c r="L76" s="28">
        <v>6394.1492327159995</v>
      </c>
      <c r="N76">
        <v>2.84</v>
      </c>
      <c r="O76" t="s">
        <v>129</v>
      </c>
      <c r="Q76">
        <v>3.7</v>
      </c>
      <c r="R76" t="s">
        <v>130</v>
      </c>
    </row>
    <row r="77" spans="11:18" x14ac:dyDescent="0.35">
      <c r="K77">
        <v>75</v>
      </c>
      <c r="L77" s="28">
        <v>7362.9585203159995</v>
      </c>
      <c r="N77">
        <v>2.77</v>
      </c>
      <c r="O77" t="s">
        <v>129</v>
      </c>
      <c r="Q77">
        <v>4.7699999999999996</v>
      </c>
      <c r="R77" t="s">
        <v>130</v>
      </c>
    </row>
    <row r="78" spans="11:18" x14ac:dyDescent="0.35">
      <c r="K78">
        <v>76</v>
      </c>
      <c r="L78" s="28">
        <v>6781.6729477559993</v>
      </c>
      <c r="N78">
        <v>2.74</v>
      </c>
      <c r="O78" t="s">
        <v>129</v>
      </c>
      <c r="Q78">
        <v>5.03</v>
      </c>
      <c r="R78" t="s">
        <v>130</v>
      </c>
    </row>
    <row r="79" spans="11:18" x14ac:dyDescent="0.35">
      <c r="K79">
        <v>77</v>
      </c>
      <c r="L79" s="28">
        <v>6394.1492327159995</v>
      </c>
      <c r="N79">
        <v>3.12</v>
      </c>
      <c r="O79" t="s">
        <v>129</v>
      </c>
      <c r="Q79">
        <v>3.19</v>
      </c>
      <c r="R79" t="s">
        <v>130</v>
      </c>
    </row>
    <row r="80" spans="11:18" x14ac:dyDescent="0.35">
      <c r="K80">
        <v>78</v>
      </c>
      <c r="L80" s="28">
        <v>6587.9110902359998</v>
      </c>
      <c r="N80">
        <v>3.25</v>
      </c>
      <c r="O80" t="s">
        <v>129</v>
      </c>
      <c r="Q80">
        <v>4.29</v>
      </c>
      <c r="R80" t="s">
        <v>130</v>
      </c>
    </row>
    <row r="81" spans="11:18" x14ac:dyDescent="0.35">
      <c r="K81">
        <v>79</v>
      </c>
      <c r="L81" s="28">
        <v>7556.7203778359999</v>
      </c>
      <c r="N81">
        <v>2.67</v>
      </c>
      <c r="O81" t="s">
        <v>129</v>
      </c>
      <c r="Q81">
        <v>4.7300000000000004</v>
      </c>
      <c r="R81" t="s">
        <v>130</v>
      </c>
    </row>
    <row r="82" spans="11:18" x14ac:dyDescent="0.35">
      <c r="K82">
        <v>80</v>
      </c>
      <c r="L82" s="28">
        <v>7169.1966627959991</v>
      </c>
      <c r="N82">
        <v>2.61</v>
      </c>
      <c r="O82" t="s">
        <v>129</v>
      </c>
      <c r="Q82">
        <v>4.3099999999999996</v>
      </c>
      <c r="R82" t="s">
        <v>130</v>
      </c>
    </row>
    <row r="83" spans="11:18" x14ac:dyDescent="0.35">
      <c r="K83">
        <v>81</v>
      </c>
      <c r="L83" s="28">
        <v>6491.0301614759992</v>
      </c>
      <c r="N83">
        <v>2.88</v>
      </c>
      <c r="O83" t="s">
        <v>129</v>
      </c>
      <c r="Q83">
        <v>5.0599999999999996</v>
      </c>
      <c r="R83" t="s">
        <v>130</v>
      </c>
    </row>
    <row r="84" spans="11:18" x14ac:dyDescent="0.35">
      <c r="K84">
        <v>82</v>
      </c>
      <c r="L84" s="28">
        <v>6297.2683039559997</v>
      </c>
      <c r="N84">
        <v>3.12</v>
      </c>
      <c r="O84" t="s">
        <v>129</v>
      </c>
      <c r="Q84">
        <v>3.85</v>
      </c>
      <c r="R84" t="s">
        <v>130</v>
      </c>
    </row>
    <row r="85" spans="11:18" x14ac:dyDescent="0.35">
      <c r="K85">
        <v>83</v>
      </c>
      <c r="L85" s="28">
        <v>6684.7920189959996</v>
      </c>
      <c r="N85">
        <v>2.48</v>
      </c>
      <c r="O85" t="s">
        <v>129</v>
      </c>
      <c r="Q85">
        <v>4.68</v>
      </c>
      <c r="R85" t="s">
        <v>130</v>
      </c>
    </row>
    <row r="86" spans="11:18" x14ac:dyDescent="0.35">
      <c r="K86">
        <v>84</v>
      </c>
      <c r="L86" s="28">
        <v>7556.7203778359999</v>
      </c>
      <c r="N86">
        <v>1.98</v>
      </c>
      <c r="O86" t="s">
        <v>129</v>
      </c>
      <c r="Q86">
        <v>3.65</v>
      </c>
      <c r="R86" t="s">
        <v>130</v>
      </c>
    </row>
    <row r="87" spans="11:18" x14ac:dyDescent="0.35">
      <c r="K87">
        <v>85</v>
      </c>
      <c r="L87" s="28">
        <v>6200.3873751959991</v>
      </c>
      <c r="N87">
        <v>1.67</v>
      </c>
      <c r="O87" t="s">
        <v>129</v>
      </c>
      <c r="Q87">
        <v>5.69</v>
      </c>
      <c r="R87" t="s">
        <v>130</v>
      </c>
    </row>
    <row r="88" spans="11:18" x14ac:dyDescent="0.35">
      <c r="K88">
        <v>86</v>
      </c>
      <c r="L88" s="28">
        <v>6587.9110902359998</v>
      </c>
      <c r="N88">
        <v>1.47</v>
      </c>
      <c r="O88" t="s">
        <v>129</v>
      </c>
      <c r="Q88">
        <v>2.93</v>
      </c>
      <c r="R88" t="s">
        <v>130</v>
      </c>
    </row>
    <row r="89" spans="11:18" x14ac:dyDescent="0.35">
      <c r="K89">
        <v>87</v>
      </c>
      <c r="L89" s="28">
        <v>7556.7203778359999</v>
      </c>
      <c r="N89">
        <v>2.34</v>
      </c>
      <c r="O89" t="s">
        <v>129</v>
      </c>
      <c r="Q89">
        <v>5.24</v>
      </c>
      <c r="R89" t="s">
        <v>130</v>
      </c>
    </row>
    <row r="90" spans="11:18" x14ac:dyDescent="0.35">
      <c r="K90">
        <v>88</v>
      </c>
      <c r="L90" s="28">
        <v>6491.0301614759992</v>
      </c>
      <c r="N90">
        <v>1.64</v>
      </c>
      <c r="O90" t="s">
        <v>129</v>
      </c>
      <c r="Q90">
        <v>5.1100000000000003</v>
      </c>
      <c r="R90" t="s">
        <v>130</v>
      </c>
    </row>
    <row r="91" spans="11:18" x14ac:dyDescent="0.35">
      <c r="K91">
        <v>89</v>
      </c>
      <c r="L91" s="28">
        <v>6297.2683039559997</v>
      </c>
      <c r="N91">
        <v>1.84</v>
      </c>
      <c r="O91" t="s">
        <v>129</v>
      </c>
      <c r="Q91">
        <v>4.43</v>
      </c>
      <c r="R91" t="s">
        <v>130</v>
      </c>
    </row>
    <row r="92" spans="11:18" x14ac:dyDescent="0.35">
      <c r="K92">
        <v>90</v>
      </c>
      <c r="L92" s="28">
        <v>6297.2683039559997</v>
      </c>
      <c r="N92">
        <v>2.17</v>
      </c>
      <c r="O92" t="s">
        <v>129</v>
      </c>
      <c r="Q92">
        <v>3.37</v>
      </c>
      <c r="R92" t="s">
        <v>130</v>
      </c>
    </row>
    <row r="93" spans="11:18" x14ac:dyDescent="0.35">
      <c r="K93">
        <v>91</v>
      </c>
      <c r="L93" s="28">
        <v>7072.3157340359994</v>
      </c>
      <c r="N93">
        <v>1.95</v>
      </c>
      <c r="O93" t="s">
        <v>129</v>
      </c>
      <c r="Q93">
        <v>3.65</v>
      </c>
      <c r="R93" t="s">
        <v>130</v>
      </c>
    </row>
    <row r="94" spans="11:18" x14ac:dyDescent="0.35">
      <c r="K94">
        <v>92</v>
      </c>
      <c r="L94" s="28">
        <v>7556.7203778359999</v>
      </c>
      <c r="N94">
        <v>2.36</v>
      </c>
      <c r="O94" t="s">
        <v>129</v>
      </c>
      <c r="Q94">
        <v>4.12</v>
      </c>
      <c r="R94" t="s">
        <v>130</v>
      </c>
    </row>
    <row r="95" spans="11:18" x14ac:dyDescent="0.35">
      <c r="K95">
        <v>93</v>
      </c>
      <c r="L95" s="28">
        <v>7266.0775915559998</v>
      </c>
      <c r="N95">
        <v>2.69</v>
      </c>
      <c r="O95" t="s">
        <v>129</v>
      </c>
      <c r="Q95">
        <v>3.7</v>
      </c>
      <c r="R95" t="s">
        <v>130</v>
      </c>
    </row>
    <row r="96" spans="11:18" x14ac:dyDescent="0.35">
      <c r="K96">
        <v>94</v>
      </c>
      <c r="L96" s="28">
        <v>6394.1492327159995</v>
      </c>
      <c r="N96">
        <v>2.31</v>
      </c>
      <c r="O96" t="s">
        <v>129</v>
      </c>
      <c r="Q96">
        <v>4.78</v>
      </c>
      <c r="R96" t="s">
        <v>130</v>
      </c>
    </row>
    <row r="97" spans="11:18" x14ac:dyDescent="0.35">
      <c r="K97">
        <v>95</v>
      </c>
      <c r="L97" s="28">
        <v>6297.2683039559997</v>
      </c>
      <c r="N97">
        <v>2.9</v>
      </c>
      <c r="O97" t="s">
        <v>129</v>
      </c>
      <c r="Q97">
        <v>3.51</v>
      </c>
      <c r="R97" t="s">
        <v>130</v>
      </c>
    </row>
    <row r="98" spans="11:18" x14ac:dyDescent="0.35">
      <c r="K98">
        <v>96</v>
      </c>
      <c r="L98" s="28">
        <v>6200.3873751959991</v>
      </c>
      <c r="N98">
        <v>2.3199999999999998</v>
      </c>
      <c r="O98" t="s">
        <v>129</v>
      </c>
      <c r="Q98">
        <v>4.1100000000000003</v>
      </c>
      <c r="R98" t="s">
        <v>130</v>
      </c>
    </row>
    <row r="99" spans="11:18" x14ac:dyDescent="0.35">
      <c r="K99">
        <v>97</v>
      </c>
      <c r="L99" s="28">
        <v>7072.3157340359994</v>
      </c>
      <c r="N99">
        <v>3.02</v>
      </c>
      <c r="O99" t="s">
        <v>129</v>
      </c>
      <c r="Q99">
        <v>3.7</v>
      </c>
      <c r="R99" t="s">
        <v>130</v>
      </c>
    </row>
    <row r="100" spans="11:18" x14ac:dyDescent="0.35">
      <c r="K100">
        <v>98</v>
      </c>
      <c r="L100" s="28">
        <v>7362.9585203159995</v>
      </c>
      <c r="N100">
        <v>3.02</v>
      </c>
      <c r="O100" t="s">
        <v>129</v>
      </c>
      <c r="Q100">
        <v>3.91</v>
      </c>
      <c r="R100" t="s">
        <v>130</v>
      </c>
    </row>
    <row r="101" spans="11:18" x14ac:dyDescent="0.35">
      <c r="K101">
        <v>99</v>
      </c>
      <c r="L101" s="28">
        <v>6878.5538765159999</v>
      </c>
      <c r="N101">
        <v>2.59</v>
      </c>
      <c r="O101" t="s">
        <v>129</v>
      </c>
      <c r="Q101">
        <v>3.14</v>
      </c>
      <c r="R101" t="s">
        <v>130</v>
      </c>
    </row>
    <row r="102" spans="11:18" x14ac:dyDescent="0.35">
      <c r="K102">
        <v>100</v>
      </c>
      <c r="L102" s="28">
        <v>6200.3873751959991</v>
      </c>
      <c r="N102">
        <v>3.05</v>
      </c>
      <c r="O102" t="s">
        <v>129</v>
      </c>
      <c r="Q102">
        <v>4.3099999999999996</v>
      </c>
      <c r="R102" t="s">
        <v>130</v>
      </c>
    </row>
    <row r="103" spans="11:18" x14ac:dyDescent="0.35">
      <c r="K103">
        <v>101</v>
      </c>
      <c r="L103" s="28">
        <v>6103.5064464359994</v>
      </c>
      <c r="N103">
        <v>2.46</v>
      </c>
      <c r="O103" t="s">
        <v>129</v>
      </c>
      <c r="Q103">
        <v>4.3499999999999996</v>
      </c>
      <c r="R103" t="s">
        <v>130</v>
      </c>
    </row>
    <row r="104" spans="11:18" x14ac:dyDescent="0.35">
      <c r="K104">
        <v>102</v>
      </c>
      <c r="L104" s="28">
        <v>6781.6729477559993</v>
      </c>
      <c r="N104">
        <v>2.68</v>
      </c>
      <c r="O104" t="s">
        <v>129</v>
      </c>
      <c r="Q104">
        <v>3.79</v>
      </c>
      <c r="R104" t="s">
        <v>130</v>
      </c>
    </row>
    <row r="105" spans="11:18" x14ac:dyDescent="0.35">
      <c r="K105">
        <v>103</v>
      </c>
      <c r="L105" s="28">
        <v>7072.3157340359994</v>
      </c>
      <c r="N105">
        <v>2.9</v>
      </c>
      <c r="O105" t="s">
        <v>129</v>
      </c>
      <c r="Q105">
        <v>4.21</v>
      </c>
      <c r="R105" t="s">
        <v>130</v>
      </c>
    </row>
    <row r="106" spans="11:18" x14ac:dyDescent="0.35">
      <c r="K106">
        <v>104</v>
      </c>
      <c r="L106" s="28">
        <v>6781.6729477559993</v>
      </c>
      <c r="N106">
        <v>2.62</v>
      </c>
      <c r="O106" t="s">
        <v>129</v>
      </c>
      <c r="Q106">
        <v>4.6500000000000004</v>
      </c>
      <c r="R106" t="s">
        <v>130</v>
      </c>
    </row>
    <row r="107" spans="11:18" x14ac:dyDescent="0.35">
      <c r="K107">
        <v>105</v>
      </c>
      <c r="L107" s="28">
        <v>6878.5538765159999</v>
      </c>
      <c r="N107">
        <v>2.3199999999999998</v>
      </c>
      <c r="O107" t="s">
        <v>129</v>
      </c>
      <c r="Q107">
        <v>5.48</v>
      </c>
      <c r="R107" t="s">
        <v>130</v>
      </c>
    </row>
    <row r="108" spans="11:18" x14ac:dyDescent="0.35">
      <c r="K108">
        <v>106</v>
      </c>
      <c r="L108" s="28">
        <v>6297.2683039559997</v>
      </c>
      <c r="N108">
        <v>2.25</v>
      </c>
      <c r="O108" t="s">
        <v>129</v>
      </c>
      <c r="Q108">
        <v>4.59</v>
      </c>
      <c r="R108" t="s">
        <v>130</v>
      </c>
    </row>
    <row r="109" spans="11:18" x14ac:dyDescent="0.35">
      <c r="K109">
        <v>107</v>
      </c>
      <c r="L109" s="28">
        <v>6684.7920189959996</v>
      </c>
      <c r="N109">
        <v>2.77</v>
      </c>
      <c r="O109" t="s">
        <v>129</v>
      </c>
      <c r="Q109">
        <v>4.7699999999999996</v>
      </c>
      <c r="R109" t="s">
        <v>130</v>
      </c>
    </row>
    <row r="110" spans="11:18" x14ac:dyDescent="0.35">
      <c r="K110">
        <v>108</v>
      </c>
      <c r="L110" s="28">
        <v>7072.3157340359994</v>
      </c>
      <c r="N110">
        <v>2.59</v>
      </c>
      <c r="O110" t="s">
        <v>129</v>
      </c>
      <c r="Q110">
        <v>3.45</v>
      </c>
      <c r="R110" t="s">
        <v>130</v>
      </c>
    </row>
    <row r="111" spans="11:18" x14ac:dyDescent="0.35">
      <c r="K111">
        <v>109</v>
      </c>
      <c r="L111" s="28">
        <v>6491.0301614759992</v>
      </c>
      <c r="N111">
        <v>2.91</v>
      </c>
      <c r="O111" t="s">
        <v>129</v>
      </c>
      <c r="Q111">
        <v>4.18</v>
      </c>
      <c r="R111" t="s">
        <v>130</v>
      </c>
    </row>
    <row r="112" spans="11:18" x14ac:dyDescent="0.35">
      <c r="K112">
        <v>110</v>
      </c>
      <c r="L112" s="28">
        <v>7266.0775915559998</v>
      </c>
      <c r="N112">
        <v>1.85</v>
      </c>
      <c r="O112" t="s">
        <v>129</v>
      </c>
      <c r="Q112">
        <v>5.23</v>
      </c>
      <c r="R112" t="s">
        <v>130</v>
      </c>
    </row>
    <row r="113" spans="11:18" x14ac:dyDescent="0.35">
      <c r="K113">
        <v>111</v>
      </c>
      <c r="L113" s="28">
        <v>7459.8394490759993</v>
      </c>
      <c r="N113">
        <v>2.77</v>
      </c>
      <c r="O113" t="s">
        <v>129</v>
      </c>
      <c r="Q113">
        <v>5.04</v>
      </c>
      <c r="R113" t="s">
        <v>130</v>
      </c>
    </row>
    <row r="114" spans="11:18" x14ac:dyDescent="0.35">
      <c r="K114">
        <v>112</v>
      </c>
      <c r="L114" s="28">
        <v>6975.4348052759997</v>
      </c>
      <c r="N114">
        <v>2.0699999999999998</v>
      </c>
      <c r="O114" t="s">
        <v>129</v>
      </c>
      <c r="Q114">
        <v>4.24</v>
      </c>
      <c r="R114" t="s">
        <v>130</v>
      </c>
    </row>
    <row r="115" spans="11:18" x14ac:dyDescent="0.35">
      <c r="K115">
        <v>113</v>
      </c>
      <c r="L115" s="28">
        <v>6103.5064464359994</v>
      </c>
      <c r="N115">
        <v>2.31</v>
      </c>
      <c r="O115" t="s">
        <v>129</v>
      </c>
      <c r="Q115">
        <v>3.91</v>
      </c>
      <c r="R115" t="s">
        <v>130</v>
      </c>
    </row>
    <row r="116" spans="11:18" x14ac:dyDescent="0.35">
      <c r="K116">
        <v>114</v>
      </c>
      <c r="L116" s="28">
        <v>6103.5064464359994</v>
      </c>
      <c r="N116">
        <v>2.36</v>
      </c>
      <c r="O116" t="s">
        <v>129</v>
      </c>
      <c r="Q116">
        <v>3.77</v>
      </c>
      <c r="R116" t="s">
        <v>130</v>
      </c>
    </row>
    <row r="117" spans="11:18" x14ac:dyDescent="0.35">
      <c r="K117">
        <v>115</v>
      </c>
      <c r="L117" s="28">
        <v>7362.9585203159995</v>
      </c>
      <c r="N117">
        <v>2.23</v>
      </c>
      <c r="O117" t="s">
        <v>129</v>
      </c>
      <c r="Q117">
        <v>4.4000000000000004</v>
      </c>
      <c r="R117" t="s">
        <v>130</v>
      </c>
    </row>
    <row r="118" spans="11:18" x14ac:dyDescent="0.35">
      <c r="K118">
        <v>116</v>
      </c>
      <c r="L118" s="28">
        <v>6297.2683039559997</v>
      </c>
      <c r="N118">
        <v>2.3199999999999998</v>
      </c>
      <c r="O118" t="s">
        <v>129</v>
      </c>
      <c r="Q118">
        <v>3.85</v>
      </c>
      <c r="R118" t="s">
        <v>130</v>
      </c>
    </row>
    <row r="119" spans="11:18" x14ac:dyDescent="0.35">
      <c r="K119">
        <v>117</v>
      </c>
      <c r="L119" s="28">
        <v>7362.9585203159995</v>
      </c>
      <c r="N119">
        <v>2.69</v>
      </c>
      <c r="O119" t="s">
        <v>129</v>
      </c>
      <c r="Q119">
        <v>4.2300000000000004</v>
      </c>
      <c r="R119" t="s">
        <v>130</v>
      </c>
    </row>
    <row r="120" spans="11:18" x14ac:dyDescent="0.35">
      <c r="K120">
        <v>118</v>
      </c>
      <c r="L120" s="28">
        <v>6200.3873751959991</v>
      </c>
      <c r="N120">
        <v>2.86</v>
      </c>
      <c r="O120" t="s">
        <v>129</v>
      </c>
      <c r="Q120">
        <v>4.99</v>
      </c>
      <c r="R120" t="s">
        <v>130</v>
      </c>
    </row>
    <row r="121" spans="11:18" x14ac:dyDescent="0.35">
      <c r="K121">
        <v>119</v>
      </c>
      <c r="L121" s="28">
        <v>7362.9585203159995</v>
      </c>
      <c r="N121">
        <v>2.69</v>
      </c>
      <c r="O121" t="s">
        <v>129</v>
      </c>
      <c r="Q121">
        <v>4.04</v>
      </c>
      <c r="R121" t="s">
        <v>130</v>
      </c>
    </row>
    <row r="122" spans="11:18" x14ac:dyDescent="0.35">
      <c r="K122">
        <v>120</v>
      </c>
      <c r="L122" s="28">
        <v>6587.9110902359998</v>
      </c>
      <c r="N122">
        <v>3.2</v>
      </c>
      <c r="O122" t="s">
        <v>129</v>
      </c>
      <c r="Q122">
        <v>4.3099999999999996</v>
      </c>
      <c r="R122" t="s">
        <v>130</v>
      </c>
    </row>
    <row r="123" spans="11:18" x14ac:dyDescent="0.35">
      <c r="K123">
        <v>121</v>
      </c>
      <c r="L123" s="28">
        <v>6297.2683039559997</v>
      </c>
      <c r="N123">
        <v>2.87</v>
      </c>
      <c r="O123" t="s">
        <v>129</v>
      </c>
      <c r="Q123">
        <v>4.47</v>
      </c>
      <c r="R123" t="s">
        <v>130</v>
      </c>
    </row>
    <row r="124" spans="11:18" x14ac:dyDescent="0.35">
      <c r="K124">
        <v>122</v>
      </c>
      <c r="L124" s="28">
        <v>5909.7445889159999</v>
      </c>
      <c r="N124">
        <v>2.4300000000000002</v>
      </c>
      <c r="O124" t="s">
        <v>129</v>
      </c>
      <c r="Q124">
        <v>3.57</v>
      </c>
      <c r="R124" t="s">
        <v>130</v>
      </c>
    </row>
    <row r="125" spans="11:18" x14ac:dyDescent="0.35">
      <c r="K125" s="1" t="s">
        <v>7</v>
      </c>
      <c r="L125" s="28">
        <f>AVERAGE(L3:L124)</f>
        <v>7413.7792214213159</v>
      </c>
      <c r="M125" t="s">
        <v>133</v>
      </c>
      <c r="N125">
        <v>2.79</v>
      </c>
      <c r="O125" t="s">
        <v>129</v>
      </c>
      <c r="Q125">
        <v>5.44</v>
      </c>
      <c r="R125" t="s">
        <v>130</v>
      </c>
    </row>
    <row r="126" spans="11:18" x14ac:dyDescent="0.35">
      <c r="K126" s="1" t="s">
        <v>137</v>
      </c>
      <c r="L126" s="7">
        <f>_xlfn.STDEV.S(L3:L124)</f>
        <v>793.5605636993306</v>
      </c>
      <c r="M126" t="s">
        <v>133</v>
      </c>
      <c r="N126">
        <v>2.85</v>
      </c>
      <c r="O126" t="s">
        <v>129</v>
      </c>
      <c r="Q126">
        <v>4.12</v>
      </c>
      <c r="R126" t="s">
        <v>130</v>
      </c>
    </row>
    <row r="127" spans="11:18" x14ac:dyDescent="0.35">
      <c r="N127">
        <v>2.3199999999999998</v>
      </c>
      <c r="O127" t="s">
        <v>129</v>
      </c>
      <c r="Q127">
        <v>4.5199999999999996</v>
      </c>
      <c r="R127" t="s">
        <v>130</v>
      </c>
    </row>
    <row r="128" spans="11:18" x14ac:dyDescent="0.35">
      <c r="K128" s="1" t="s">
        <v>7</v>
      </c>
      <c r="L128" s="7">
        <f>L125*0.0135</f>
        <v>100.08601948918776</v>
      </c>
      <c r="M128" t="s">
        <v>134</v>
      </c>
      <c r="N128">
        <v>2.54</v>
      </c>
      <c r="O128" t="s">
        <v>129</v>
      </c>
      <c r="Q128">
        <v>4.41</v>
      </c>
      <c r="R128" t="s">
        <v>130</v>
      </c>
    </row>
    <row r="129" spans="11:18" x14ac:dyDescent="0.35">
      <c r="K129" s="1" t="s">
        <v>137</v>
      </c>
      <c r="L129" s="7">
        <f>L126*0.0135</f>
        <v>10.713067609940962</v>
      </c>
      <c r="M129" t="s">
        <v>134</v>
      </c>
      <c r="N129">
        <v>2.95</v>
      </c>
      <c r="O129" t="s">
        <v>129</v>
      </c>
      <c r="Q129">
        <v>4.5999999999999996</v>
      </c>
      <c r="R129" t="s">
        <v>130</v>
      </c>
    </row>
    <row r="130" spans="11:18" x14ac:dyDescent="0.35">
      <c r="N130">
        <v>3.13</v>
      </c>
      <c r="O130" t="s">
        <v>129</v>
      </c>
      <c r="Q130">
        <v>4.51</v>
      </c>
      <c r="R130" t="s">
        <v>130</v>
      </c>
    </row>
    <row r="131" spans="11:18" x14ac:dyDescent="0.35">
      <c r="N131">
        <v>3.21</v>
      </c>
      <c r="O131" t="s">
        <v>129</v>
      </c>
      <c r="Q131">
        <v>4.3099999999999996</v>
      </c>
      <c r="R131" t="s">
        <v>130</v>
      </c>
    </row>
    <row r="132" spans="11:18" x14ac:dyDescent="0.35">
      <c r="N132">
        <v>3.3</v>
      </c>
      <c r="O132" t="s">
        <v>129</v>
      </c>
      <c r="Q132">
        <v>4.1100000000000003</v>
      </c>
      <c r="R132" t="s">
        <v>130</v>
      </c>
    </row>
    <row r="133" spans="11:18" x14ac:dyDescent="0.35">
      <c r="L133" s="7"/>
      <c r="N133">
        <v>2.52</v>
      </c>
      <c r="O133" t="s">
        <v>129</v>
      </c>
      <c r="Q133">
        <v>3.61</v>
      </c>
      <c r="R133" t="s">
        <v>130</v>
      </c>
    </row>
    <row r="134" spans="11:18" x14ac:dyDescent="0.35">
      <c r="N134">
        <v>3.17</v>
      </c>
      <c r="O134" t="s">
        <v>129</v>
      </c>
      <c r="Q134">
        <v>3.66</v>
      </c>
      <c r="R134" t="s">
        <v>130</v>
      </c>
    </row>
    <row r="135" spans="11:18" x14ac:dyDescent="0.35">
      <c r="N135">
        <v>3.48</v>
      </c>
      <c r="O135" t="s">
        <v>129</v>
      </c>
      <c r="Q135">
        <v>4.3099999999999996</v>
      </c>
      <c r="R135" t="s">
        <v>130</v>
      </c>
    </row>
    <row r="136" spans="11:18" x14ac:dyDescent="0.35">
      <c r="N136">
        <v>3.07</v>
      </c>
      <c r="O136" t="s">
        <v>129</v>
      </c>
      <c r="Q136">
        <v>3.91</v>
      </c>
      <c r="R136" t="s">
        <v>130</v>
      </c>
    </row>
    <row r="137" spans="11:18" x14ac:dyDescent="0.35">
      <c r="N137">
        <v>2.66</v>
      </c>
      <c r="O137" t="s">
        <v>129</v>
      </c>
      <c r="Q137">
        <v>4.24</v>
      </c>
      <c r="R137" t="s">
        <v>130</v>
      </c>
    </row>
    <row r="138" spans="11:18" x14ac:dyDescent="0.35">
      <c r="N138">
        <v>3.11</v>
      </c>
      <c r="O138" t="s">
        <v>129</v>
      </c>
      <c r="Q138">
        <v>3.56</v>
      </c>
      <c r="R138" t="s">
        <v>130</v>
      </c>
    </row>
    <row r="139" spans="11:18" x14ac:dyDescent="0.35">
      <c r="N139">
        <v>2.94</v>
      </c>
      <c r="O139" t="s">
        <v>129</v>
      </c>
      <c r="Q139">
        <v>3.77</v>
      </c>
      <c r="R139" t="s">
        <v>130</v>
      </c>
    </row>
    <row r="140" spans="11:18" x14ac:dyDescent="0.35">
      <c r="N140">
        <v>4.3</v>
      </c>
      <c r="O140" t="s">
        <v>129</v>
      </c>
      <c r="Q140">
        <v>4.1900000000000004</v>
      </c>
      <c r="R140" t="s">
        <v>130</v>
      </c>
    </row>
    <row r="141" spans="11:18" x14ac:dyDescent="0.35">
      <c r="N141">
        <v>2.4900000000000002</v>
      </c>
      <c r="O141" t="s">
        <v>129</v>
      </c>
      <c r="Q141">
        <v>3.74</v>
      </c>
      <c r="R141" t="s">
        <v>130</v>
      </c>
    </row>
    <row r="142" spans="11:18" x14ac:dyDescent="0.35">
      <c r="N142">
        <v>2.5499999999999998</v>
      </c>
      <c r="O142" t="s">
        <v>129</v>
      </c>
      <c r="Q142">
        <v>4.57</v>
      </c>
      <c r="R142" t="s">
        <v>130</v>
      </c>
    </row>
    <row r="143" spans="11:18" x14ac:dyDescent="0.35">
      <c r="N143">
        <v>3.42</v>
      </c>
      <c r="O143" t="s">
        <v>129</v>
      </c>
      <c r="Q143">
        <v>3.77</v>
      </c>
      <c r="R143" t="s">
        <v>130</v>
      </c>
    </row>
    <row r="144" spans="11:18" x14ac:dyDescent="0.35">
      <c r="N144">
        <v>2.91</v>
      </c>
      <c r="O144" t="s">
        <v>129</v>
      </c>
      <c r="Q144">
        <v>3.86</v>
      </c>
      <c r="R144" t="s">
        <v>130</v>
      </c>
    </row>
    <row r="145" spans="14:18" x14ac:dyDescent="0.35">
      <c r="N145">
        <v>2.41</v>
      </c>
      <c r="O145" t="s">
        <v>129</v>
      </c>
      <c r="Q145">
        <v>4.82</v>
      </c>
      <c r="R145" t="s">
        <v>130</v>
      </c>
    </row>
    <row r="146" spans="14:18" x14ac:dyDescent="0.35">
      <c r="N146">
        <v>3.1</v>
      </c>
      <c r="O146" t="s">
        <v>129</v>
      </c>
      <c r="Q146">
        <v>5.03</v>
      </c>
      <c r="R146" t="s">
        <v>130</v>
      </c>
    </row>
    <row r="147" spans="14:18" x14ac:dyDescent="0.35">
      <c r="N147">
        <v>3.04</v>
      </c>
      <c r="O147" t="s">
        <v>129</v>
      </c>
      <c r="Q147">
        <v>4.3499999999999996</v>
      </c>
      <c r="R147" t="s">
        <v>130</v>
      </c>
    </row>
    <row r="148" spans="14:18" x14ac:dyDescent="0.35">
      <c r="N148">
        <v>3.51</v>
      </c>
      <c r="O148" t="s">
        <v>129</v>
      </c>
      <c r="Q148">
        <v>4.4800000000000004</v>
      </c>
      <c r="R148" t="s">
        <v>130</v>
      </c>
    </row>
    <row r="149" spans="14:18" x14ac:dyDescent="0.35">
      <c r="N149">
        <v>3.95</v>
      </c>
      <c r="O149" t="s">
        <v>129</v>
      </c>
      <c r="Q149">
        <v>4.7699999999999996</v>
      </c>
      <c r="R149" t="s">
        <v>130</v>
      </c>
    </row>
    <row r="150" spans="14:18" x14ac:dyDescent="0.35">
      <c r="N150">
        <v>2.85</v>
      </c>
      <c r="O150" t="s">
        <v>129</v>
      </c>
      <c r="Q150">
        <v>4.04</v>
      </c>
      <c r="R150" t="s">
        <v>130</v>
      </c>
    </row>
    <row r="151" spans="14:18" x14ac:dyDescent="0.35">
      <c r="N151">
        <v>2.88</v>
      </c>
      <c r="O151" t="s">
        <v>129</v>
      </c>
      <c r="Q151">
        <v>3.72</v>
      </c>
      <c r="R151" t="s">
        <v>130</v>
      </c>
    </row>
    <row r="152" spans="14:18" x14ac:dyDescent="0.35">
      <c r="N152">
        <v>2.92</v>
      </c>
      <c r="O152" t="s">
        <v>129</v>
      </c>
      <c r="Q152">
        <v>4.18</v>
      </c>
      <c r="R152" t="s">
        <v>130</v>
      </c>
    </row>
    <row r="153" spans="14:18" x14ac:dyDescent="0.35">
      <c r="N153">
        <v>3.3</v>
      </c>
      <c r="O153" t="s">
        <v>129</v>
      </c>
      <c r="Q153">
        <v>4.24</v>
      </c>
      <c r="R153" t="s">
        <v>130</v>
      </c>
    </row>
    <row r="154" spans="14:18" x14ac:dyDescent="0.35">
      <c r="N154">
        <v>2.54</v>
      </c>
      <c r="O154" t="s">
        <v>129</v>
      </c>
      <c r="Q154">
        <v>4.59</v>
      </c>
      <c r="R154" t="s">
        <v>130</v>
      </c>
    </row>
    <row r="155" spans="14:18" x14ac:dyDescent="0.35">
      <c r="N155">
        <v>2.75</v>
      </c>
      <c r="O155" t="s">
        <v>129</v>
      </c>
      <c r="Q155">
        <v>5.23</v>
      </c>
      <c r="R155" t="s">
        <v>130</v>
      </c>
    </row>
    <row r="156" spans="14:18" x14ac:dyDescent="0.35">
      <c r="N156">
        <v>2.9</v>
      </c>
      <c r="O156" t="s">
        <v>129</v>
      </c>
      <c r="Q156">
        <v>4.3499999999999996</v>
      </c>
      <c r="R156" t="s">
        <v>130</v>
      </c>
    </row>
    <row r="157" spans="14:18" x14ac:dyDescent="0.35">
      <c r="N157">
        <v>3.39</v>
      </c>
      <c r="O157" t="s">
        <v>129</v>
      </c>
      <c r="Q157">
        <v>4.3499999999999996</v>
      </c>
      <c r="R157" t="s">
        <v>130</v>
      </c>
    </row>
    <row r="158" spans="14:18" x14ac:dyDescent="0.35">
      <c r="N158">
        <v>2.39</v>
      </c>
      <c r="O158" t="s">
        <v>129</v>
      </c>
      <c r="Q158">
        <v>4.62</v>
      </c>
      <c r="R158" t="s">
        <v>130</v>
      </c>
    </row>
    <row r="159" spans="14:18" x14ac:dyDescent="0.35">
      <c r="N159">
        <v>2.5499999999999998</v>
      </c>
      <c r="O159" t="s">
        <v>129</v>
      </c>
      <c r="Q159">
        <v>4.78</v>
      </c>
      <c r="R159" t="s">
        <v>130</v>
      </c>
    </row>
    <row r="160" spans="14:18" x14ac:dyDescent="0.35">
      <c r="N160">
        <v>3.31</v>
      </c>
      <c r="O160" t="s">
        <v>129</v>
      </c>
      <c r="Q160">
        <v>4.7699999999999996</v>
      </c>
      <c r="R160" t="s">
        <v>130</v>
      </c>
    </row>
    <row r="161" spans="14:18" x14ac:dyDescent="0.35">
      <c r="N161">
        <v>2.74</v>
      </c>
      <c r="O161" t="s">
        <v>129</v>
      </c>
      <c r="Q161">
        <v>4.88</v>
      </c>
      <c r="R161" t="s">
        <v>130</v>
      </c>
    </row>
    <row r="162" spans="14:18" x14ac:dyDescent="0.35">
      <c r="N162">
        <v>2.4700000000000002</v>
      </c>
      <c r="O162" t="s">
        <v>129</v>
      </c>
      <c r="Q162">
        <v>4.6100000000000003</v>
      </c>
      <c r="R162" t="s">
        <v>130</v>
      </c>
    </row>
    <row r="163" spans="14:18" x14ac:dyDescent="0.35">
      <c r="N163">
        <v>2.59</v>
      </c>
      <c r="O163" t="s">
        <v>129</v>
      </c>
      <c r="Q163">
        <v>4.3099999999999996</v>
      </c>
      <c r="R163" t="s">
        <v>130</v>
      </c>
    </row>
    <row r="164" spans="14:18" x14ac:dyDescent="0.35">
      <c r="N164">
        <v>3.07</v>
      </c>
      <c r="O164" t="s">
        <v>129</v>
      </c>
      <c r="Q164">
        <v>3.84</v>
      </c>
      <c r="R164" t="s">
        <v>130</v>
      </c>
    </row>
    <row r="165" spans="14:18" x14ac:dyDescent="0.35">
      <c r="N165">
        <v>2.98</v>
      </c>
      <c r="O165" t="s">
        <v>129</v>
      </c>
      <c r="Q165">
        <v>3.65</v>
      </c>
      <c r="R165" t="s">
        <v>130</v>
      </c>
    </row>
    <row r="166" spans="14:18" x14ac:dyDescent="0.35">
      <c r="N166">
        <v>3.3</v>
      </c>
      <c r="O166" t="s">
        <v>129</v>
      </c>
      <c r="Q166">
        <v>3.56</v>
      </c>
      <c r="R166" t="s">
        <v>130</v>
      </c>
    </row>
    <row r="167" spans="14:18" x14ac:dyDescent="0.35">
      <c r="N167">
        <v>3.48</v>
      </c>
      <c r="O167" t="s">
        <v>129</v>
      </c>
      <c r="Q167">
        <v>4.1500000000000004</v>
      </c>
      <c r="R167" t="s">
        <v>130</v>
      </c>
    </row>
    <row r="168" spans="14:18" x14ac:dyDescent="0.35">
      <c r="Q168">
        <v>4.21</v>
      </c>
      <c r="R168" t="s">
        <v>130</v>
      </c>
    </row>
    <row r="169" spans="14:18" x14ac:dyDescent="0.35">
      <c r="N169" s="17" t="s">
        <v>7</v>
      </c>
      <c r="O169" s="34">
        <f>AVERAGE(N3:N167)*0.000001</f>
        <v>2.8444848484848498E-6</v>
      </c>
      <c r="Q169">
        <v>4.0599999999999996</v>
      </c>
      <c r="R169" t="s">
        <v>130</v>
      </c>
    </row>
    <row r="170" spans="14:18" x14ac:dyDescent="0.35">
      <c r="N170" s="17" t="s">
        <v>137</v>
      </c>
      <c r="O170" s="34">
        <f>_xlfn.STDEV.S(N3:N167)*0.000001</f>
        <v>4.4451454208235597E-7</v>
      </c>
      <c r="Q170">
        <v>5.04</v>
      </c>
      <c r="R170" t="s">
        <v>130</v>
      </c>
    </row>
    <row r="171" spans="14:18" x14ac:dyDescent="0.35">
      <c r="Q171">
        <v>4.51</v>
      </c>
      <c r="R171" t="s">
        <v>130</v>
      </c>
    </row>
    <row r="172" spans="14:18" x14ac:dyDescent="0.35">
      <c r="Q172">
        <v>4.21</v>
      </c>
      <c r="R172" t="s">
        <v>130</v>
      </c>
    </row>
    <row r="173" spans="14:18" x14ac:dyDescent="0.35">
      <c r="Q173">
        <v>3.72</v>
      </c>
      <c r="R173" t="s">
        <v>130</v>
      </c>
    </row>
    <row r="174" spans="14:18" x14ac:dyDescent="0.35">
      <c r="Q174">
        <v>4.4000000000000004</v>
      </c>
      <c r="R174" t="s">
        <v>130</v>
      </c>
    </row>
    <row r="175" spans="14:18" x14ac:dyDescent="0.35">
      <c r="O175" s="34"/>
      <c r="Q175">
        <v>4.1500000000000004</v>
      </c>
      <c r="R175" t="s">
        <v>130</v>
      </c>
    </row>
    <row r="176" spans="14:18" x14ac:dyDescent="0.35">
      <c r="Q176">
        <v>3.56</v>
      </c>
      <c r="R176" t="s">
        <v>130</v>
      </c>
    </row>
    <row r="177" spans="17:18" x14ac:dyDescent="0.35">
      <c r="Q177">
        <v>3.85</v>
      </c>
      <c r="R177" t="s">
        <v>130</v>
      </c>
    </row>
    <row r="178" spans="17:18" x14ac:dyDescent="0.35">
      <c r="Q178">
        <v>4.4000000000000004</v>
      </c>
      <c r="R178" t="s">
        <v>130</v>
      </c>
    </row>
    <row r="179" spans="17:18" x14ac:dyDescent="0.35">
      <c r="Q179">
        <v>4.68</v>
      </c>
      <c r="R179" t="s">
        <v>130</v>
      </c>
    </row>
    <row r="180" spans="17:18" x14ac:dyDescent="0.35">
      <c r="Q180">
        <v>4.0199999999999996</v>
      </c>
      <c r="R180" t="s">
        <v>130</v>
      </c>
    </row>
    <row r="181" spans="17:18" x14ac:dyDescent="0.35">
      <c r="Q181">
        <v>4.6500000000000004</v>
      </c>
      <c r="R181" t="s">
        <v>130</v>
      </c>
    </row>
    <row r="182" spans="17:18" x14ac:dyDescent="0.35">
      <c r="Q182">
        <v>4.74</v>
      </c>
      <c r="R182" t="s">
        <v>130</v>
      </c>
    </row>
    <row r="183" spans="17:18" x14ac:dyDescent="0.35">
      <c r="Q183">
        <v>4.4800000000000004</v>
      </c>
      <c r="R183" t="s">
        <v>130</v>
      </c>
    </row>
    <row r="184" spans="17:18" x14ac:dyDescent="0.35">
      <c r="Q184">
        <v>3.97</v>
      </c>
      <c r="R184" t="s">
        <v>130</v>
      </c>
    </row>
    <row r="185" spans="17:18" x14ac:dyDescent="0.35">
      <c r="Q185">
        <v>4.45</v>
      </c>
      <c r="R185" t="s">
        <v>130</v>
      </c>
    </row>
    <row r="186" spans="17:18" x14ac:dyDescent="0.35">
      <c r="Q186">
        <v>3.86</v>
      </c>
      <c r="R186" t="s">
        <v>130</v>
      </c>
    </row>
    <row r="187" spans="17:18" x14ac:dyDescent="0.35">
      <c r="Q187">
        <v>3.77</v>
      </c>
      <c r="R187" t="s">
        <v>130</v>
      </c>
    </row>
    <row r="188" spans="17:18" x14ac:dyDescent="0.35">
      <c r="Q188">
        <v>4.1500000000000004</v>
      </c>
      <c r="R188" t="s">
        <v>130</v>
      </c>
    </row>
    <row r="189" spans="17:18" x14ac:dyDescent="0.35">
      <c r="Q189">
        <v>3.91</v>
      </c>
      <c r="R189" t="s">
        <v>130</v>
      </c>
    </row>
    <row r="190" spans="17:18" x14ac:dyDescent="0.35">
      <c r="Q190">
        <v>4.4800000000000004</v>
      </c>
      <c r="R190" t="s">
        <v>130</v>
      </c>
    </row>
    <row r="191" spans="17:18" x14ac:dyDescent="0.35">
      <c r="Q191">
        <v>3.37</v>
      </c>
      <c r="R191" t="s">
        <v>130</v>
      </c>
    </row>
    <row r="192" spans="17:18" x14ac:dyDescent="0.35">
      <c r="Q192">
        <v>4.5199999999999996</v>
      </c>
      <c r="R192" t="s">
        <v>130</v>
      </c>
    </row>
    <row r="193" spans="17:24" x14ac:dyDescent="0.35">
      <c r="Q193">
        <v>3.6</v>
      </c>
      <c r="R193" t="s">
        <v>130</v>
      </c>
    </row>
    <row r="194" spans="17:24" x14ac:dyDescent="0.35">
      <c r="Q194">
        <v>3.77</v>
      </c>
      <c r="R194" t="s">
        <v>130</v>
      </c>
    </row>
    <row r="195" spans="17:24" x14ac:dyDescent="0.35">
      <c r="Q195">
        <v>3.91</v>
      </c>
      <c r="R195" t="s">
        <v>130</v>
      </c>
    </row>
    <row r="197" spans="17:24" x14ac:dyDescent="0.35">
      <c r="Q197" s="17" t="s">
        <v>7</v>
      </c>
      <c r="R197" s="34">
        <f>AVERAGE(Q3:Q195)*0.000001</f>
        <v>4.4030569948186513E-6</v>
      </c>
      <c r="S197" s="24"/>
      <c r="T197" s="24"/>
      <c r="U197" s="24"/>
      <c r="V197" s="24"/>
      <c r="W197" s="24"/>
      <c r="X197" s="24"/>
    </row>
    <row r="198" spans="17:24" x14ac:dyDescent="0.35">
      <c r="Q198" s="17" t="s">
        <v>137</v>
      </c>
      <c r="R198" s="34">
        <f>_xlfn.STDEV.S(Q3:Q195)*0.000001</f>
        <v>6.149453582308794E-7</v>
      </c>
      <c r="S198" s="24"/>
      <c r="T198" s="24"/>
      <c r="U198" s="24"/>
      <c r="V198" s="24"/>
      <c r="W198" s="24"/>
      <c r="X198" s="24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F89F3198EAFE942B705DFF6F8FC8454" ma:contentTypeVersion="13" ma:contentTypeDescription="Create a new document." ma:contentTypeScope="" ma:versionID="c33e03523d3fa7deb555571fb3dc586a">
  <xsd:schema xmlns:xsd="http://www.w3.org/2001/XMLSchema" xmlns:xs="http://www.w3.org/2001/XMLSchema" xmlns:p="http://schemas.microsoft.com/office/2006/metadata/properties" xmlns:ns3="2019869c-af10-4316-8d1e-74f9d4aa256a" xmlns:ns4="07279010-abbb-4bfa-8753-87a4e935e5ff" targetNamespace="http://schemas.microsoft.com/office/2006/metadata/properties" ma:root="true" ma:fieldsID="e61566773f6353b752b14fcde82b5f4d" ns3:_="" ns4:_="">
    <xsd:import namespace="2019869c-af10-4316-8d1e-74f9d4aa256a"/>
    <xsd:import namespace="07279010-abbb-4bfa-8753-87a4e935e5ff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DateTaken" minOccurs="0"/>
                <xsd:element ref="ns4:MediaServiceLocation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019869c-af10-4316-8d1e-74f9d4aa256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79010-abbb-4bfa-8753-87a4e935e5f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CA06FE8-1995-4EF7-85BE-0EAF0973BBC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019869c-af10-4316-8d1e-74f9d4aa256a"/>
    <ds:schemaRef ds:uri="07279010-abbb-4bfa-8753-87a4e935e5f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3003E52-CE23-4DFA-A831-80EC866B39AE}">
  <ds:schemaRefs>
    <ds:schemaRef ds:uri="http://purl.org/dc/terms/"/>
    <ds:schemaRef ds:uri="2019869c-af10-4316-8d1e-74f9d4aa256a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07279010-abbb-4bfa-8753-87a4e935e5ff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4EE34223-D32D-4643-A402-4A8D33BE477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FBA Constraints</vt:lpstr>
      <vt:lpstr>Growth rates</vt:lpstr>
      <vt:lpstr>C-Phycocyanin production</vt:lpstr>
      <vt:lpstr>CPC metabolic flux</vt:lpstr>
      <vt:lpstr>Nitrate consumption BG11</vt:lpstr>
      <vt:lpstr>Nitrate flux</vt:lpstr>
      <vt:lpstr>N2 Fixation</vt:lpstr>
      <vt:lpstr>N2 flux</vt:lpstr>
      <vt:lpstr>Light uptake</vt:lpstr>
      <vt:lpstr>Ci uptake rates</vt:lpstr>
      <vt:lpstr>CPC to ChlA</vt:lpstr>
      <vt:lpstr>Biomass vs OD</vt:lpstr>
      <vt:lpstr>Cell count vs 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Caro</dc:creator>
  <cp:lastModifiedBy>Daniel Caro</cp:lastModifiedBy>
  <dcterms:created xsi:type="dcterms:W3CDTF">2019-08-20T14:52:17Z</dcterms:created>
  <dcterms:modified xsi:type="dcterms:W3CDTF">2021-02-07T05:04:36Z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0x0101008F89F3198EAFE942B705DFF6F8FC8454</vt:lpwstr>
  </property>
</Properties>
</file>