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nna\Google Drive\ChemE Activity Javascript\"/>
    </mc:Choice>
  </mc:AlternateContent>
  <xr:revisionPtr revIDLastSave="0" documentId="13_ncr:1_{E5693121-FD81-49AC-BC0C-EAC0E3C0C0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R4" i="1" l="1"/>
  <c r="R9" i="1"/>
  <c r="R8" i="1"/>
  <c r="R7" i="1"/>
  <c r="R6" i="1"/>
  <c r="R5" i="1"/>
  <c r="C30" i="1"/>
  <c r="C33" i="1"/>
  <c r="C35" i="1"/>
  <c r="C21" i="1" l="1"/>
  <c r="C28" i="1" l="1"/>
  <c r="C26" i="1" l="1"/>
  <c r="C29" i="1" s="1"/>
  <c r="B9" i="1"/>
  <c r="D9" i="1" s="1"/>
  <c r="B8" i="1"/>
  <c r="C8" i="1" s="1"/>
  <c r="B7" i="1"/>
  <c r="C7" i="1" s="1"/>
  <c r="B6" i="1"/>
  <c r="C6" i="1" s="1"/>
  <c r="B5" i="1"/>
  <c r="D5" i="1" s="1"/>
  <c r="B4" i="1"/>
  <c r="D4" i="1" s="1"/>
  <c r="D6" i="1" l="1"/>
  <c r="D8" i="1"/>
  <c r="C9" i="1"/>
  <c r="F7" i="1"/>
  <c r="C5" i="1"/>
  <c r="C4" i="1"/>
  <c r="D7" i="1"/>
  <c r="E8" i="1"/>
  <c r="I8" i="1" s="1"/>
  <c r="G6" i="1"/>
  <c r="H6" i="1" s="1"/>
  <c r="G5" i="1"/>
  <c r="H5" i="1" s="1"/>
  <c r="E7" i="1"/>
  <c r="I7" i="1" s="1"/>
  <c r="F9" i="1"/>
  <c r="G7" i="1"/>
  <c r="H7" i="1" s="1"/>
  <c r="E9" i="1"/>
  <c r="I9" i="1" s="1"/>
  <c r="E4" i="1" l="1"/>
  <c r="I4" i="1" s="1"/>
  <c r="G4" i="1"/>
  <c r="H4" i="1" s="1"/>
  <c r="F4" i="1"/>
  <c r="H9" i="1"/>
  <c r="G9" i="1"/>
  <c r="J7" i="1"/>
  <c r="K7" i="1" s="1"/>
  <c r="M7" i="1"/>
  <c r="J9" i="1"/>
  <c r="K9" i="1" s="1"/>
  <c r="M9" i="1"/>
  <c r="F8" i="1"/>
  <c r="G8" i="1"/>
  <c r="H8" i="1" s="1"/>
  <c r="E5" i="1"/>
  <c r="I5" i="1" s="1"/>
  <c r="F5" i="1"/>
  <c r="E6" i="1"/>
  <c r="I6" i="1" s="1"/>
  <c r="F6" i="1"/>
  <c r="J6" i="1" l="1"/>
  <c r="K6" i="1" s="1"/>
  <c r="M6" i="1"/>
  <c r="Q7" i="1"/>
  <c r="S7" i="1" s="1"/>
  <c r="N7" i="1"/>
  <c r="J4" i="1"/>
  <c r="K4" i="1" s="1"/>
  <c r="M4" i="1"/>
  <c r="J8" i="1"/>
  <c r="K8" i="1" s="1"/>
  <c r="M8" i="1"/>
  <c r="Q8" i="1" s="1"/>
  <c r="S8" i="1" s="1"/>
  <c r="J5" i="1"/>
  <c r="K5" i="1" s="1"/>
  <c r="M5" i="1"/>
  <c r="Q9" i="1"/>
  <c r="S9" i="1" s="1"/>
  <c r="N9" i="1"/>
  <c r="Q6" i="1"/>
  <c r="S6" i="1" s="1"/>
  <c r="N6" i="1"/>
  <c r="N8" i="1"/>
  <c r="Q5" i="1"/>
  <c r="S5" i="1" s="1"/>
  <c r="N5" i="1"/>
  <c r="O9" i="1" l="1"/>
  <c r="P9" i="1"/>
  <c r="Q4" i="1"/>
  <c r="S4" i="1" s="1"/>
  <c r="N4" i="1"/>
  <c r="P7" i="1"/>
  <c r="O7" i="1"/>
  <c r="P6" i="1"/>
  <c r="O6" i="1"/>
  <c r="P5" i="1"/>
  <c r="O5" i="1"/>
  <c r="P8" i="1"/>
  <c r="O8" i="1"/>
  <c r="P4" i="1" l="1"/>
</calcChain>
</file>

<file path=xl/sharedStrings.xml><?xml version="1.0" encoding="utf-8"?>
<sst xmlns="http://schemas.openxmlformats.org/spreadsheetml/2006/main" count="58" uniqueCount="48">
  <si>
    <t>Methane reforming reactor: conversion vs. temperature</t>
  </si>
  <si>
    <t>Conversion</t>
  </si>
  <si>
    <t>Reaction rate</t>
  </si>
  <si>
    <t>mol</t>
  </si>
  <si>
    <t>kg</t>
  </si>
  <si>
    <t>g/mol</t>
  </si>
  <si>
    <t>Methane molar mass:</t>
  </si>
  <si>
    <r>
      <t>Moles of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formed in 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reforming reactor</t>
    </r>
  </si>
  <si>
    <t>Information</t>
  </si>
  <si>
    <t xml:space="preserve">1 ton = </t>
  </si>
  <si>
    <r>
      <t>Moles of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(total) formed after CO conversion (WGS)</t>
    </r>
  </si>
  <si>
    <r>
      <t>Moles of 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formed after CO conversion (WGS)</t>
    </r>
  </si>
  <si>
    <r>
      <t>Tons of 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formed in HB reactor</t>
    </r>
  </si>
  <si>
    <t>Ammonia molar mass:</t>
  </si>
  <si>
    <r>
      <t>Value ($) of 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formed in HB reactor</t>
    </r>
  </si>
  <si>
    <t>Value of ammonia ($/ton)</t>
  </si>
  <si>
    <t>$</t>
  </si>
  <si>
    <t>Value of methane ($/ton)</t>
  </si>
  <si>
    <t xml:space="preserve">Starting moles of 1 ton methane: </t>
  </si>
  <si>
    <t>Temperature (K)</t>
  </si>
  <si>
    <r>
      <t>kg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formed in CH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reforming reactor</t>
    </r>
  </si>
  <si>
    <t xml:space="preserve">CSS cost per kg H2: </t>
  </si>
  <si>
    <t xml:space="preserve">CSS cost per mol H2: </t>
  </si>
  <si>
    <t>$/kg</t>
  </si>
  <si>
    <t>$/mol</t>
  </si>
  <si>
    <r>
      <t>Moles 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formed w/ iron catalyst (given k</t>
    </r>
    <r>
      <rPr>
        <sz val="10"/>
        <color theme="1"/>
        <rFont val="Calibri"/>
        <family val="2"/>
      </rPr>
      <t>τ)</t>
    </r>
  </si>
  <si>
    <t xml:space="preserve">Conversion: </t>
  </si>
  <si>
    <r>
      <t>Moles 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formed w/ osmium catalyst (given k</t>
    </r>
    <r>
      <rPr>
        <sz val="10"/>
        <color theme="1"/>
        <rFont val="Calibri"/>
        <family val="2"/>
      </rPr>
      <t>τ)</t>
    </r>
  </si>
  <si>
    <r>
      <t>Moles urea formed w/ iron catalyst (given k</t>
    </r>
    <r>
      <rPr>
        <sz val="10"/>
        <color theme="1"/>
        <rFont val="Calibri"/>
        <family val="2"/>
      </rPr>
      <t>τ)</t>
    </r>
  </si>
  <si>
    <r>
      <t>Moles urea formed w/ osmium catalyst (given k</t>
    </r>
    <r>
      <rPr>
        <sz val="10"/>
        <color theme="1"/>
        <rFont val="Calibri"/>
        <family val="2"/>
      </rPr>
      <t>τ)</t>
    </r>
  </si>
  <si>
    <r>
      <t>kg of CO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formed after CO conversion (WGS)</t>
    </r>
  </si>
  <si>
    <t xml:space="preserve">CO2 molar mass: </t>
  </si>
  <si>
    <r>
      <t>Tons 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formed w/ iron catalyst (given k</t>
    </r>
    <r>
      <rPr>
        <sz val="10"/>
        <color theme="1"/>
        <rFont val="Calibri"/>
        <family val="2"/>
      </rPr>
      <t>τ)</t>
    </r>
  </si>
  <si>
    <t>Moles of CO2 in 5 tons:</t>
  </si>
  <si>
    <r>
      <t>kg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(total) formed after CO conversion (WGS)</t>
    </r>
  </si>
  <si>
    <r>
      <t>tons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(total) formed after CO conversion (WGS)</t>
    </r>
  </si>
  <si>
    <t xml:space="preserve">CSS cost per ton CO2: </t>
  </si>
  <si>
    <t>$/ton</t>
  </si>
  <si>
    <t>Value of ammonia ($/mol)</t>
  </si>
  <si>
    <t xml:space="preserve">H2 molar mass: </t>
  </si>
  <si>
    <t>Value of urea ($/ton)</t>
  </si>
  <si>
    <t>Value of urea ($/mol)</t>
  </si>
  <si>
    <t>Urea molar mass:</t>
  </si>
  <si>
    <t>Value of urea ($/mol N)</t>
  </si>
  <si>
    <t>= Value of ammonia ($/mol N)</t>
  </si>
  <si>
    <t xml:space="preserve">$ </t>
  </si>
  <si>
    <t>CO2 capture from the industry sector, Ammonia: zero-carbon fertiliser, fuel and energy store</t>
  </si>
  <si>
    <t xml:space="preserve">From CO2 capture from the industry sector: $5 -70 per ton CO2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</si>
</sst>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&quot;$&quot;#,##0.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66" fontId="0" fillId="0" borderId="0" xfId="0" applyNumberFormat="1" applyAlignment="1">
      <alignment horizontal="center"/>
    </xf>
    <xf numFmtId="0" fontId="1" fillId="0" borderId="1" xfId="0" applyFont="1" applyBorder="1"/>
    <xf numFmtId="165" fontId="0" fillId="2" borderId="0" xfId="0" applyNumberForma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0" fillId="2" borderId="0" xfId="0" applyFill="1" applyBorder="1"/>
    <xf numFmtId="0" fontId="2" fillId="0" borderId="0" xfId="0" applyFont="1" applyBorder="1" applyAlignment="1">
      <alignment vertic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quotePrefix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Sheet1!$D$4:$D$12</c:f>
              <c:numCache>
                <c:formatCode>0.00E+00</c:formatCode>
                <c:ptCount val="9"/>
                <c:pt idx="0">
                  <c:v>1.6230983454872014E-4</c:v>
                </c:pt>
                <c:pt idx="1">
                  <c:v>5.9353136060525302E-4</c:v>
                </c:pt>
                <c:pt idx="2">
                  <c:v>1.5518534255049548E-3</c:v>
                </c:pt>
                <c:pt idx="3">
                  <c:v>3.2556059483574719E-3</c:v>
                </c:pt>
                <c:pt idx="4">
                  <c:v>5.8650390078711628E-3</c:v>
                </c:pt>
                <c:pt idx="5">
                  <c:v>9.4680505714806792E-3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6-400C-A413-75EEFC82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5840"/>
        <c:axId val="605467480"/>
      </c:scatterChart>
      <c:valAx>
        <c:axId val="6054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7480"/>
        <c:crosses val="autoZero"/>
        <c:crossBetween val="midCat"/>
      </c:valAx>
      <c:valAx>
        <c:axId val="6054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Sheet1!$C$4:$C$12</c:f>
              <c:numCache>
                <c:formatCode>0.0000</c:formatCode>
                <c:ptCount val="9"/>
                <c:pt idx="0">
                  <c:v>3.976521684696499E-2</c:v>
                </c:pt>
                <c:pt idx="1">
                  <c:v>0.13789899512277071</c:v>
                </c:pt>
                <c:pt idx="2">
                  <c:v>0.32156279679375788</c:v>
                </c:pt>
                <c:pt idx="3">
                  <c:v>0.55687416045175375</c:v>
                </c:pt>
                <c:pt idx="4">
                  <c:v>0.76921292619661719</c:v>
                </c:pt>
                <c:pt idx="5">
                  <c:v>0.90623959586697012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6-447E-8A8F-83C885C73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65840"/>
        <c:axId val="605467480"/>
      </c:scatterChart>
      <c:valAx>
        <c:axId val="6054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7480"/>
        <c:crosses val="autoZero"/>
        <c:crossBetween val="midCat"/>
      </c:valAx>
      <c:valAx>
        <c:axId val="6054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561975</xdr:colOff>
      <xdr:row>15</xdr:row>
      <xdr:rowOff>85726</xdr:rowOff>
    </xdr:from>
    <xdr:to>
      <xdr:col>35</xdr:col>
      <xdr:colOff>128586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0641E-6373-4661-9693-F8215D2D9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57150</xdr:colOff>
      <xdr:row>15</xdr:row>
      <xdr:rowOff>104775</xdr:rowOff>
    </xdr:from>
    <xdr:to>
      <xdr:col>37</xdr:col>
      <xdr:colOff>233361</xdr:colOff>
      <xdr:row>29</xdr:row>
      <xdr:rowOff>119061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05BAAB-EFC1-44D6-8C8E-35439A96F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workbookViewId="0">
      <selection activeCell="H14" sqref="H14"/>
    </sheetView>
  </sheetViews>
  <sheetFormatPr defaultRowHeight="15" x14ac:dyDescent="0.25"/>
  <cols>
    <col min="1" max="1" width="19.85546875" customWidth="1"/>
    <col min="2" max="2" width="12.85546875" customWidth="1"/>
    <col min="3" max="3" width="11.7109375" customWidth="1"/>
    <col min="4" max="4" width="13" customWidth="1"/>
    <col min="5" max="5" width="20.28515625" customWidth="1"/>
    <col min="6" max="6" width="22.85546875" customWidth="1"/>
    <col min="7" max="10" width="22.140625" customWidth="1"/>
    <col min="11" max="11" width="23.7109375" customWidth="1"/>
    <col min="12" max="12" width="19.28515625" customWidth="1"/>
    <col min="13" max="13" width="23.140625" customWidth="1"/>
    <col min="14" max="16" width="19.28515625" customWidth="1"/>
    <col min="17" max="19" width="23.140625" customWidth="1"/>
    <col min="20" max="20" width="16.28515625" customWidth="1"/>
    <col min="21" max="21" width="18.5703125" customWidth="1"/>
  </cols>
  <sheetData>
    <row r="1" spans="1:21" ht="15.75" thickBot="1" x14ac:dyDescent="0.3">
      <c r="I1" s="1"/>
      <c r="J1" s="17"/>
      <c r="K1" s="17"/>
      <c r="M1" s="1"/>
      <c r="N1" s="1"/>
      <c r="O1" s="1"/>
      <c r="P1" s="1"/>
      <c r="Q1" s="1"/>
      <c r="R1" s="1"/>
      <c r="S1" s="1"/>
      <c r="T1" s="1"/>
      <c r="U1" s="1"/>
    </row>
    <row r="2" spans="1:21" ht="15.75" thickBot="1" x14ac:dyDescent="0.3">
      <c r="A2" s="17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17"/>
      <c r="M2" s="1"/>
      <c r="N2" s="1"/>
      <c r="O2" s="1"/>
      <c r="P2" s="1"/>
      <c r="Q2" s="1"/>
      <c r="R2" s="1"/>
      <c r="S2" s="2"/>
    </row>
    <row r="3" spans="1:21" s="5" customFormat="1" ht="29.25" thickBot="1" x14ac:dyDescent="0.3">
      <c r="A3" s="20"/>
      <c r="B3" s="3" t="s">
        <v>19</v>
      </c>
      <c r="C3" s="3" t="s">
        <v>1</v>
      </c>
      <c r="D3" s="3" t="s">
        <v>2</v>
      </c>
      <c r="E3" s="4" t="s">
        <v>7</v>
      </c>
      <c r="F3" s="4" t="s">
        <v>10</v>
      </c>
      <c r="G3" s="4" t="s">
        <v>11</v>
      </c>
      <c r="H3" s="4" t="s">
        <v>30</v>
      </c>
      <c r="I3" s="4" t="s">
        <v>20</v>
      </c>
      <c r="J3" s="4" t="s">
        <v>34</v>
      </c>
      <c r="K3" s="4" t="s">
        <v>35</v>
      </c>
      <c r="L3" s="18"/>
      <c r="M3" s="4" t="s">
        <v>10</v>
      </c>
      <c r="N3" s="25" t="s">
        <v>25</v>
      </c>
      <c r="O3" s="25" t="s">
        <v>32</v>
      </c>
      <c r="P3" s="25" t="s">
        <v>28</v>
      </c>
      <c r="Q3" s="25" t="s">
        <v>27</v>
      </c>
      <c r="R3" s="25" t="s">
        <v>32</v>
      </c>
      <c r="S3" s="25" t="s">
        <v>29</v>
      </c>
      <c r="T3" s="4" t="s">
        <v>12</v>
      </c>
      <c r="U3" s="4" t="s">
        <v>14</v>
      </c>
    </row>
    <row r="4" spans="1:21" x14ac:dyDescent="0.25">
      <c r="A4" s="17"/>
      <c r="B4" s="19">
        <f>300+273</f>
        <v>573</v>
      </c>
      <c r="C4" s="24">
        <f>1-EXP(-250*EXP(-5000/B4))</f>
        <v>3.976521684696499E-2</v>
      </c>
      <c r="D4" s="12">
        <f>EXP(-5000/B4)</f>
        <v>1.6230983454872014E-4</v>
      </c>
      <c r="E4" s="13">
        <f>$C$21*$C4*3</f>
        <v>6747.0838364053507</v>
      </c>
      <c r="F4" s="13">
        <f>$C$21*$C4*(3+1)</f>
        <v>8996.1117818738003</v>
      </c>
      <c r="G4" s="13">
        <f>$C$21*$C4*(1)</f>
        <v>2249.0279454684501</v>
      </c>
      <c r="H4" s="30">
        <f>G4*$C$27*(1/1000)*(1/$C$20)</f>
        <v>0.1091064335059183</v>
      </c>
      <c r="I4" s="13">
        <f>E4*$C$31*(1/1000)</f>
        <v>13.629109349538808</v>
      </c>
      <c r="J4" s="13">
        <f>F4*$C$31*(1/1000)</f>
        <v>18.172145799385078</v>
      </c>
      <c r="K4" s="31">
        <f>J4*(1/$C$20)</f>
        <v>2.0031356117423765E-2</v>
      </c>
      <c r="L4" s="13"/>
      <c r="M4" s="13">
        <f>F4</f>
        <v>8996.1117818738003</v>
      </c>
      <c r="N4" s="13">
        <f>(2/3)*N$10*M4</f>
        <v>1715.2586464106043</v>
      </c>
      <c r="O4" s="31">
        <f>N4*$C$22*(1/1000)*(1/$C$20)</f>
        <v>3.220133711097406E-2</v>
      </c>
      <c r="P4" s="13">
        <f>(1/2)*P$10*N4</f>
        <v>857.62932320530217</v>
      </c>
      <c r="Q4" s="13">
        <f>(2/3)*Q$10*M4</f>
        <v>2398.9631418330132</v>
      </c>
      <c r="R4" s="31">
        <f>Q4*$C$22*(1/1000)*(1/$C$20)</f>
        <v>4.5036835120243444E-2</v>
      </c>
      <c r="S4" s="13">
        <f>(1/2)*S$10*Q4</f>
        <v>1199.4815709165066</v>
      </c>
      <c r="T4" s="6"/>
      <c r="U4" s="9"/>
    </row>
    <row r="5" spans="1:21" x14ac:dyDescent="0.25">
      <c r="A5" s="17"/>
      <c r="B5" s="19">
        <f>400+273</f>
        <v>673</v>
      </c>
      <c r="C5" s="11">
        <f t="shared" ref="C5:C9" si="0">1-EXP(-250*EXP(-5000/B5))</f>
        <v>0.13789899512277071</v>
      </c>
      <c r="D5" s="12">
        <f t="shared" ref="D5:D9" si="1">EXP(-5000/B5)</f>
        <v>5.9353136060525302E-4</v>
      </c>
      <c r="E5" s="13">
        <f t="shared" ref="E5:E9" si="2">$C$21*$C5*3</f>
        <v>23397.736887241412</v>
      </c>
      <c r="F5" s="13">
        <f t="shared" ref="F5:F9" si="3">$C$21*$C5*(3+1)</f>
        <v>31196.982516321881</v>
      </c>
      <c r="G5" s="13">
        <f t="shared" ref="G5:G8" si="4">$C$21*$C5*(1)</f>
        <v>7799.2456290804703</v>
      </c>
      <c r="H5" s="30">
        <f t="shared" ref="H5:H9" si="5">G5*$C$27*(1/1000)*(1/$C$20)</f>
        <v>0.37836251716665459</v>
      </c>
      <c r="I5" s="13">
        <f t="shared" ref="I5:J9" si="6">E5*$C$31*(1/1000)</f>
        <v>47.263428512227648</v>
      </c>
      <c r="J5" s="13">
        <f t="shared" si="6"/>
        <v>63.017904682970197</v>
      </c>
      <c r="K5" s="31">
        <f t="shared" ref="K5:K9" si="7">J5*(1/$C$20)</f>
        <v>6.9465329213964297E-2</v>
      </c>
      <c r="L5" s="13"/>
      <c r="M5" s="13">
        <f t="shared" ref="M5:M8" si="8">F5</f>
        <v>31196.982516321881</v>
      </c>
      <c r="N5" s="13">
        <f t="shared" ref="N5:N8" si="9">(2/3)*N$10*M5</f>
        <v>5948.2246664453714</v>
      </c>
      <c r="O5" s="31">
        <f t="shared" ref="O5:O8" si="10">N5*$C$22*(1/1000)*(1/$C$20)</f>
        <v>0.11166874925647043</v>
      </c>
      <c r="P5" s="13">
        <f t="shared" ref="P5:P9" si="11">(1/2)*P$10*N5</f>
        <v>2974.1123332226857</v>
      </c>
      <c r="Q5" s="13">
        <f t="shared" ref="Q5:Q9" si="12">(2/3)*Q$10*M5</f>
        <v>8319.1953376858346</v>
      </c>
      <c r="R5" s="31">
        <f t="shared" ref="R5:R8" si="13">Q5*$C$22*(1/1000)*(1/$C$20)</f>
        <v>0.15618006889016847</v>
      </c>
      <c r="S5" s="13">
        <f t="shared" ref="S5:S9" si="14">(1/2)*S$10*Q5</f>
        <v>4159.5976688429173</v>
      </c>
      <c r="T5" s="6"/>
      <c r="U5" s="9"/>
    </row>
    <row r="6" spans="1:21" x14ac:dyDescent="0.25">
      <c r="A6" s="17"/>
      <c r="B6" s="19">
        <f>500+273</f>
        <v>773</v>
      </c>
      <c r="C6" s="11">
        <f t="shared" si="0"/>
        <v>0.32156279679375788</v>
      </c>
      <c r="D6" s="12">
        <f t="shared" si="1"/>
        <v>1.5518534255049548E-3</v>
      </c>
      <c r="E6" s="13">
        <f t="shared" si="2"/>
        <v>54560.526024191757</v>
      </c>
      <c r="F6" s="13">
        <f t="shared" si="3"/>
        <v>72747.368032255676</v>
      </c>
      <c r="G6" s="13">
        <f t="shared" si="4"/>
        <v>18186.842008063919</v>
      </c>
      <c r="H6" s="30">
        <f t="shared" si="5"/>
        <v>0.88229293559185085</v>
      </c>
      <c r="I6" s="13">
        <f t="shared" si="6"/>
        <v>110.21226256886735</v>
      </c>
      <c r="J6" s="13">
        <f t="shared" si="6"/>
        <v>146.94968342515645</v>
      </c>
      <c r="K6" s="31">
        <f t="shared" si="7"/>
        <v>0.16198425175146908</v>
      </c>
      <c r="L6" s="13"/>
      <c r="M6" s="13">
        <f t="shared" si="8"/>
        <v>72747.368032255676</v>
      </c>
      <c r="N6" s="13">
        <f t="shared" si="9"/>
        <v>13870.498171483414</v>
      </c>
      <c r="O6" s="31">
        <f t="shared" si="10"/>
        <v>0.2603972225715086</v>
      </c>
      <c r="P6" s="13">
        <f t="shared" si="11"/>
        <v>6935.2490857417069</v>
      </c>
      <c r="Q6" s="13">
        <f t="shared" si="12"/>
        <v>19399.298141934847</v>
      </c>
      <c r="R6" s="31">
        <f t="shared" si="13"/>
        <v>0.36419191968043169</v>
      </c>
      <c r="S6" s="13">
        <f t="shared" si="14"/>
        <v>9699.6490709674235</v>
      </c>
      <c r="T6" s="26"/>
      <c r="U6" s="27"/>
    </row>
    <row r="7" spans="1:21" x14ac:dyDescent="0.25">
      <c r="A7" s="17"/>
      <c r="B7" s="19">
        <f>600+273</f>
        <v>873</v>
      </c>
      <c r="C7" s="11">
        <f t="shared" si="0"/>
        <v>0.55687416045175375</v>
      </c>
      <c r="D7" s="12">
        <f t="shared" si="1"/>
        <v>3.2556059483574719E-3</v>
      </c>
      <c r="E7" s="13">
        <f t="shared" si="2"/>
        <v>94486.512203757651</v>
      </c>
      <c r="F7" s="13">
        <f t="shared" si="3"/>
        <v>125982.01627167687</v>
      </c>
      <c r="G7" s="13">
        <f t="shared" si="4"/>
        <v>31495.504067919217</v>
      </c>
      <c r="H7" s="30">
        <f t="shared" si="5"/>
        <v>1.5279321571996061</v>
      </c>
      <c r="I7" s="13">
        <f t="shared" si="6"/>
        <v>190.86275465159045</v>
      </c>
      <c r="J7" s="13">
        <f t="shared" si="6"/>
        <v>254.48367286878729</v>
      </c>
      <c r="K7" s="31">
        <f t="shared" si="7"/>
        <v>0.28052015065150693</v>
      </c>
      <c r="L7" s="13"/>
      <c r="M7" s="13">
        <f t="shared" si="8"/>
        <v>125982.01627167687</v>
      </c>
      <c r="N7" s="13">
        <f t="shared" si="9"/>
        <v>24020.571102466387</v>
      </c>
      <c r="O7" s="31">
        <f t="shared" si="10"/>
        <v>0.45094919608029793</v>
      </c>
      <c r="P7" s="13">
        <f t="shared" si="11"/>
        <v>12010.285551233193</v>
      </c>
      <c r="Q7" s="13">
        <f t="shared" si="12"/>
        <v>33595.204339113829</v>
      </c>
      <c r="R7" s="31">
        <f t="shared" si="13"/>
        <v>0.63069817633608105</v>
      </c>
      <c r="S7" s="13">
        <f t="shared" si="14"/>
        <v>16797.602169556914</v>
      </c>
      <c r="T7" s="26"/>
      <c r="U7" s="27"/>
    </row>
    <row r="8" spans="1:21" x14ac:dyDescent="0.25">
      <c r="A8" s="17"/>
      <c r="B8" s="19">
        <f>700+273</f>
        <v>973</v>
      </c>
      <c r="C8" s="11">
        <f t="shared" si="0"/>
        <v>0.76921292619661719</v>
      </c>
      <c r="D8" s="12">
        <f t="shared" si="1"/>
        <v>5.8650390078711628E-3</v>
      </c>
      <c r="E8" s="13">
        <f t="shared" si="2"/>
        <v>130514.66866303209</v>
      </c>
      <c r="F8" s="13">
        <f t="shared" si="3"/>
        <v>174019.55821737612</v>
      </c>
      <c r="G8" s="13">
        <f t="shared" si="4"/>
        <v>43504.88955434403</v>
      </c>
      <c r="H8" s="30">
        <f t="shared" si="5"/>
        <v>2.1105399552314918</v>
      </c>
      <c r="I8" s="13">
        <f t="shared" si="6"/>
        <v>263.63963069932481</v>
      </c>
      <c r="J8" s="13">
        <f t="shared" si="6"/>
        <v>351.51950759909977</v>
      </c>
      <c r="K8" s="31">
        <f t="shared" si="7"/>
        <v>0.38748381818383221</v>
      </c>
      <c r="L8" s="13"/>
      <c r="M8" s="13">
        <f t="shared" si="8"/>
        <v>174019.55821737612</v>
      </c>
      <c r="N8" s="13">
        <f t="shared" si="9"/>
        <v>33179.729100113043</v>
      </c>
      <c r="O8" s="31">
        <f t="shared" si="10"/>
        <v>0.62289826915571267</v>
      </c>
      <c r="P8" s="13">
        <f t="shared" si="11"/>
        <v>16589.864550056522</v>
      </c>
      <c r="Q8" s="13">
        <f t="shared" si="12"/>
        <v>46405.215524633633</v>
      </c>
      <c r="R8" s="31">
        <f t="shared" si="13"/>
        <v>0.8711863904275704</v>
      </c>
      <c r="S8" s="13">
        <f t="shared" si="14"/>
        <v>23202.607762316817</v>
      </c>
      <c r="T8" s="26"/>
      <c r="U8" s="27"/>
    </row>
    <row r="9" spans="1:21" ht="15.75" thickBot="1" x14ac:dyDescent="0.3">
      <c r="A9" s="17"/>
      <c r="B9" s="21">
        <f>800+273</f>
        <v>1073</v>
      </c>
      <c r="C9" s="22">
        <f t="shared" si="0"/>
        <v>0.90623959586697012</v>
      </c>
      <c r="D9" s="23">
        <f t="shared" si="1"/>
        <v>9.4680505714806792E-3</v>
      </c>
      <c r="E9" s="16">
        <f t="shared" si="2"/>
        <v>153764.39546943468</v>
      </c>
      <c r="F9" s="16">
        <f t="shared" si="3"/>
        <v>205019.19395924621</v>
      </c>
      <c r="G9" s="16">
        <f>$C$21*$C9*(1)</f>
        <v>51254.798489811554</v>
      </c>
      <c r="H9" s="33">
        <f t="shared" si="5"/>
        <v>2.48650901584198</v>
      </c>
      <c r="I9" s="16">
        <f t="shared" si="6"/>
        <v>310.6040788482581</v>
      </c>
      <c r="J9" s="16">
        <f t="shared" si="6"/>
        <v>414.13877179767741</v>
      </c>
      <c r="K9" s="32">
        <f t="shared" si="7"/>
        <v>0.45650972160879805</v>
      </c>
      <c r="L9" s="13"/>
      <c r="M9" s="16">
        <f>F9</f>
        <v>205019.19395924621</v>
      </c>
      <c r="N9" s="16">
        <f>(2/3)*N$10*M9</f>
        <v>39090.326314896272</v>
      </c>
      <c r="O9" s="32">
        <f>N9*$C$22*(1/1000)*(1/$C$20)</f>
        <v>0.73386062100784133</v>
      </c>
      <c r="P9" s="16">
        <f t="shared" si="11"/>
        <v>19545.163157448136</v>
      </c>
      <c r="Q9" s="16">
        <f t="shared" si="12"/>
        <v>54671.785055798988</v>
      </c>
      <c r="R9" s="32">
        <f>Q9*$C$22*(1/1000)*(1/$C$20)</f>
        <v>1.0263784909200577</v>
      </c>
      <c r="S9" s="16">
        <f t="shared" si="14"/>
        <v>27335.892527899494</v>
      </c>
      <c r="T9" s="28"/>
      <c r="U9" s="29"/>
    </row>
    <row r="10" spans="1:21" x14ac:dyDescent="0.25">
      <c r="A10" s="17"/>
      <c r="B10" s="17"/>
      <c r="C10" s="14"/>
      <c r="D10" s="15"/>
      <c r="E10" s="13"/>
      <c r="F10" s="13"/>
      <c r="G10" s="13"/>
      <c r="H10" s="13"/>
      <c r="I10" s="13"/>
      <c r="J10" s="13"/>
      <c r="K10" s="13"/>
      <c r="L10" s="13"/>
      <c r="M10" s="13" t="s">
        <v>26</v>
      </c>
      <c r="N10" s="31">
        <v>0.28599999999999998</v>
      </c>
      <c r="O10" s="31"/>
      <c r="P10" s="31">
        <v>1</v>
      </c>
      <c r="Q10" s="31">
        <v>0.4</v>
      </c>
      <c r="R10" s="31"/>
      <c r="S10" s="31">
        <v>1</v>
      </c>
      <c r="T10" s="6"/>
      <c r="U10" s="9"/>
    </row>
    <row r="11" spans="1:21" x14ac:dyDescent="0.25">
      <c r="A11" s="17"/>
      <c r="B11" s="17"/>
      <c r="C11" s="14"/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6"/>
      <c r="U11" s="9"/>
    </row>
    <row r="12" spans="1:21" x14ac:dyDescent="0.25">
      <c r="A12" s="17"/>
      <c r="B12" s="17"/>
      <c r="C12" s="14"/>
      <c r="D12" s="1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6"/>
      <c r="U12" s="9"/>
    </row>
    <row r="13" spans="1:21" x14ac:dyDescent="0.25">
      <c r="A13" s="17"/>
      <c r="B13" s="17"/>
      <c r="C13" s="14"/>
      <c r="D13" s="1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6"/>
      <c r="U13" s="9"/>
    </row>
    <row r="14" spans="1:21" x14ac:dyDescent="0.25">
      <c r="A14" s="17"/>
      <c r="B14" s="17"/>
      <c r="C14" s="14"/>
      <c r="D14" s="15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6"/>
      <c r="U14" s="9"/>
    </row>
    <row r="15" spans="1:21" x14ac:dyDescent="0.25">
      <c r="A15" s="17"/>
      <c r="B15" s="17"/>
      <c r="C15" s="14"/>
      <c r="D15" s="1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6"/>
      <c r="U15" s="9"/>
    </row>
    <row r="16" spans="1:21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5" ht="15.75" thickBot="1" x14ac:dyDescent="0.3">
      <c r="A17" s="1"/>
      <c r="B17" s="1"/>
      <c r="C17" s="1"/>
      <c r="D17" s="1"/>
    </row>
    <row r="18" spans="1:5" ht="15.75" thickBot="1" x14ac:dyDescent="0.3">
      <c r="A18" s="1"/>
      <c r="B18" s="10" t="s">
        <v>8</v>
      </c>
      <c r="C18" s="1"/>
      <c r="D18" s="1"/>
    </row>
    <row r="19" spans="1:5" x14ac:dyDescent="0.25">
      <c r="B19" s="7" t="s">
        <v>6</v>
      </c>
      <c r="C19">
        <v>16.04</v>
      </c>
      <c r="D19" t="s">
        <v>5</v>
      </c>
    </row>
    <row r="20" spans="1:5" x14ac:dyDescent="0.25">
      <c r="B20" s="7" t="s">
        <v>9</v>
      </c>
      <c r="C20">
        <v>907.18499999999995</v>
      </c>
      <c r="D20" t="s">
        <v>4</v>
      </c>
    </row>
    <row r="21" spans="1:5" x14ac:dyDescent="0.25">
      <c r="B21" s="7" t="s">
        <v>18</v>
      </c>
      <c r="C21" s="8">
        <f>C20*1000/C19</f>
        <v>56557.668329177061</v>
      </c>
      <c r="D21" t="s">
        <v>3</v>
      </c>
    </row>
    <row r="22" spans="1:5" x14ac:dyDescent="0.25">
      <c r="B22" s="7" t="s">
        <v>13</v>
      </c>
      <c r="C22">
        <v>17.030999999999999</v>
      </c>
      <c r="D22" t="s">
        <v>5</v>
      </c>
    </row>
    <row r="23" spans="1:5" x14ac:dyDescent="0.25">
      <c r="B23" s="7" t="s">
        <v>15</v>
      </c>
      <c r="C23">
        <v>107</v>
      </c>
      <c r="D23" t="s">
        <v>45</v>
      </c>
    </row>
    <row r="24" spans="1:5" x14ac:dyDescent="0.25">
      <c r="B24" s="7" t="s">
        <v>17</v>
      </c>
      <c r="C24">
        <v>54.06</v>
      </c>
      <c r="D24" t="s">
        <v>16</v>
      </c>
    </row>
    <row r="25" spans="1:5" x14ac:dyDescent="0.25">
      <c r="B25" s="7" t="s">
        <v>21</v>
      </c>
      <c r="C25">
        <v>9.0050000000000005E-2</v>
      </c>
      <c r="D25" t="s">
        <v>23</v>
      </c>
      <c r="E25" t="s">
        <v>46</v>
      </c>
    </row>
    <row r="26" spans="1:5" x14ac:dyDescent="0.25">
      <c r="B26" s="7" t="s">
        <v>22</v>
      </c>
      <c r="C26">
        <f>C25*(1/1000)*(2.02/1)</f>
        <v>1.8190100000000002E-4</v>
      </c>
      <c r="D26" t="s">
        <v>24</v>
      </c>
    </row>
    <row r="27" spans="1:5" x14ac:dyDescent="0.25">
      <c r="B27" s="7" t="s">
        <v>31</v>
      </c>
      <c r="C27">
        <v>44.01</v>
      </c>
      <c r="D27" t="s">
        <v>5</v>
      </c>
    </row>
    <row r="28" spans="1:5" x14ac:dyDescent="0.25">
      <c r="B28" s="7" t="s">
        <v>33</v>
      </c>
      <c r="C28" s="8">
        <f>5*C20*(1000/1)*(1/C27)</f>
        <v>103065.78050443079</v>
      </c>
    </row>
    <row r="29" spans="1:5" x14ac:dyDescent="0.25">
      <c r="B29" s="7" t="s">
        <v>36</v>
      </c>
      <c r="C29" s="34">
        <f>4*C26*(1/C27)*(1000/1)*(C20/1)</f>
        <v>14.998214831629177</v>
      </c>
      <c r="D29" t="s">
        <v>37</v>
      </c>
      <c r="E29" t="s">
        <v>47</v>
      </c>
    </row>
    <row r="30" spans="1:5" x14ac:dyDescent="0.25">
      <c r="B30" s="7" t="s">
        <v>38</v>
      </c>
      <c r="C30" s="36">
        <f>$C$23*(1/$C$20)*(1/1000)*$C$22</f>
        <v>2.008760065477273E-3</v>
      </c>
      <c r="D30" t="s">
        <v>24</v>
      </c>
      <c r="E30" s="35" t="s">
        <v>44</v>
      </c>
    </row>
    <row r="31" spans="1:5" x14ac:dyDescent="0.25">
      <c r="B31" s="7" t="s">
        <v>39</v>
      </c>
      <c r="C31">
        <v>2.02</v>
      </c>
      <c r="D31" t="s">
        <v>5</v>
      </c>
    </row>
    <row r="32" spans="1:5" x14ac:dyDescent="0.25">
      <c r="B32" s="7" t="s">
        <v>40</v>
      </c>
      <c r="C32">
        <v>125</v>
      </c>
      <c r="D32" t="s">
        <v>16</v>
      </c>
    </row>
    <row r="33" spans="2:4" x14ac:dyDescent="0.25">
      <c r="B33" s="7" t="s">
        <v>41</v>
      </c>
      <c r="C33" s="36">
        <f>$C$32*(1/$C$20)*(1/1000)*$C$34</f>
        <v>8.2755997949701555E-3</v>
      </c>
      <c r="D33" t="s">
        <v>24</v>
      </c>
    </row>
    <row r="34" spans="2:4" x14ac:dyDescent="0.25">
      <c r="B34" s="7" t="s">
        <v>42</v>
      </c>
      <c r="C34">
        <v>60.06</v>
      </c>
      <c r="D34" t="s">
        <v>5</v>
      </c>
    </row>
    <row r="35" spans="2:4" x14ac:dyDescent="0.25">
      <c r="B35" s="7" t="s">
        <v>43</v>
      </c>
      <c r="C35">
        <f>$C$32*(1/$C$20)*(1/1000)*$C$34/2</f>
        <v>4.1377998974850777E-3</v>
      </c>
      <c r="D35" t="s">
        <v>24</v>
      </c>
    </row>
  </sheetData>
  <pageMargins left="0.7" right="0.7" top="0.75" bottom="0.75" header="0.3" footer="0.3"/>
  <pageSetup orientation="portrait" verticalDpi="0" r:id="rId1"/>
  <ignoredErrors>
    <ignoredError sqref="G5:G8 Q5:Q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Danna</dc:creator>
  <cp:lastModifiedBy>Danna</cp:lastModifiedBy>
  <dcterms:created xsi:type="dcterms:W3CDTF">2015-06-05T18:17:20Z</dcterms:created>
  <dcterms:modified xsi:type="dcterms:W3CDTF">2020-10-11T22:02:32Z</dcterms:modified>
</cp:coreProperties>
</file>