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aleb/00-briefCase_SyncThingNM/[00.01] nmDesktop/"/>
    </mc:Choice>
  </mc:AlternateContent>
  <xr:revisionPtr revIDLastSave="0" documentId="13_ncr:1_{3729FEA6-CACB-4243-BCCA-1C59F48B5B99}" xr6:coauthVersionLast="47" xr6:coauthVersionMax="47" xr10:uidLastSave="{00000000-0000-0000-0000-000000000000}"/>
  <bookViews>
    <workbookView xWindow="55960" yWindow="4480" windowWidth="26840" windowHeight="22340" xr2:uid="{1441336A-815C-5D41-9E2D-90DDEBA50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D59" i="1"/>
  <c r="D60" i="1"/>
  <c r="D65" i="1"/>
  <c r="E65" i="1" s="1"/>
  <c r="F66" i="1" s="1"/>
  <c r="H66" i="1" s="1"/>
  <c r="E59" i="1"/>
  <c r="D63" i="1"/>
  <c r="E63" i="1" s="1"/>
  <c r="D62" i="1"/>
  <c r="E62" i="1" s="1"/>
  <c r="F64" i="1" s="1"/>
  <c r="H64" i="1" s="1"/>
  <c r="E60" i="1"/>
  <c r="E57" i="1"/>
  <c r="F58" i="1" s="1"/>
  <c r="H58" i="1" s="1"/>
  <c r="D49" i="1"/>
  <c r="D48" i="1"/>
  <c r="E48" i="1" s="1"/>
  <c r="D47" i="1"/>
  <c r="E47" i="1" s="1"/>
  <c r="D45" i="1"/>
  <c r="E45" i="1" s="1"/>
  <c r="D44" i="1"/>
  <c r="E44" i="1" s="1"/>
  <c r="D43" i="1"/>
  <c r="E43" i="1" s="1"/>
  <c r="D42" i="1"/>
  <c r="E42" i="1" s="1"/>
  <c r="E49" i="1"/>
  <c r="F51" i="1" s="1"/>
  <c r="E40" i="1"/>
  <c r="F41" i="1" s="1"/>
  <c r="H41" i="1" s="1"/>
  <c r="D31" i="1"/>
  <c r="E31" i="1" s="1"/>
  <c r="D30" i="1"/>
  <c r="E30" i="1" s="1"/>
  <c r="E33" i="1"/>
  <c r="F34" i="1" s="1"/>
  <c r="H34" i="1" s="1"/>
  <c r="E28" i="1"/>
  <c r="E27" i="1"/>
  <c r="F29" i="1" s="1"/>
  <c r="H29" i="1" s="1"/>
  <c r="E25" i="1"/>
  <c r="F26" i="1" s="1"/>
  <c r="H26" i="1" s="1"/>
  <c r="F61" i="1" l="1"/>
  <c r="H61" i="1" s="1"/>
  <c r="F50" i="1"/>
  <c r="H50" i="1" s="1"/>
  <c r="F46" i="1"/>
  <c r="H46" i="1" s="1"/>
  <c r="F32" i="1"/>
  <c r="H32" i="1" s="1"/>
</calcChain>
</file>

<file path=xl/sharedStrings.xml><?xml version="1.0" encoding="utf-8"?>
<sst xmlns="http://schemas.openxmlformats.org/spreadsheetml/2006/main" count="77" uniqueCount="46">
  <si>
    <t>Test Case for Joint Appointment Indirect Cost Distribution</t>
  </si>
  <si>
    <t>N. Murray</t>
  </si>
  <si>
    <t>Sample scenario:</t>
  </si>
  <si>
    <t>Direct Costs</t>
  </si>
  <si>
    <t>Indirect Costs</t>
  </si>
  <si>
    <t>PI</t>
  </si>
  <si>
    <t>CLA (School)</t>
  </si>
  <si>
    <t>Dept. (Phys)</t>
  </si>
  <si>
    <t>NCPA</t>
  </si>
  <si>
    <t>(a)</t>
  </si>
  <si>
    <t>(b)</t>
  </si>
  <si>
    <t>(d)</t>
  </si>
  <si>
    <t>(e)</t>
  </si>
  <si>
    <t>(g) = d+e+f</t>
  </si>
  <si>
    <t>(h)</t>
  </si>
  <si>
    <t>(i) = h</t>
  </si>
  <si>
    <t>(c) = b</t>
  </si>
  <si>
    <t>Subtotal PI</t>
  </si>
  <si>
    <t>ORSP</t>
  </si>
  <si>
    <t>UM E&amp;G</t>
  </si>
  <si>
    <t>Subtotal "Central Admin"</t>
  </si>
  <si>
    <t>Subtotal CLA Distribution</t>
  </si>
  <si>
    <t>Subtotal NCPA Distribution</t>
  </si>
  <si>
    <t>Subtotal CLA/Phy Distribution</t>
  </si>
  <si>
    <t>Subtotal Central Admin</t>
  </si>
  <si>
    <t>Method 1:</t>
  </si>
  <si>
    <t>Method 2:</t>
  </si>
  <si>
    <t>Method 2: (same as above but shows central admin together)</t>
  </si>
  <si>
    <t>(j)</t>
  </si>
  <si>
    <t>(k)</t>
  </si>
  <si>
    <t>(l)</t>
  </si>
  <si>
    <t>(m)</t>
  </si>
  <si>
    <t>(n) = j+k+l+m</t>
  </si>
  <si>
    <t>(o)</t>
  </si>
  <si>
    <t>(p)</t>
  </si>
  <si>
    <t>(q)</t>
  </si>
  <si>
    <t>(r) = o + p + q</t>
  </si>
  <si>
    <t>(s) = l+m+p+q</t>
  </si>
  <si>
    <t>(t)</t>
  </si>
  <si>
    <t>(u)</t>
  </si>
  <si>
    <t>(v) = t + u</t>
  </si>
  <si>
    <t>(w)</t>
  </si>
  <si>
    <t>(x)</t>
  </si>
  <si>
    <t>(y) = w + x</t>
  </si>
  <si>
    <t>(z) = o</t>
  </si>
  <si>
    <t>Subtotal NCPA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</si>
</sst>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0.0%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Display"/>
      <scheme val="major"/>
    </font>
    <font>
      <sz val="22"/>
      <color theme="1"/>
      <name val="Aptos Display"/>
      <scheme val="major"/>
    </font>
    <font>
      <b/>
      <i/>
      <sz val="12"/>
      <color theme="1"/>
      <name val="Aptos Narrow"/>
      <scheme val="minor"/>
    </font>
    <font>
      <b/>
      <sz val="12"/>
      <color theme="3" tint="0.249977111117893"/>
      <name val="Aptos Narrow"/>
      <scheme val="minor"/>
    </font>
    <font>
      <sz val="12"/>
      <color rgb="FFC00000"/>
      <name val="Aptos Narrow"/>
      <family val="2"/>
      <scheme val="minor"/>
    </font>
    <font>
      <b/>
      <i/>
      <sz val="12"/>
      <color theme="0" tint="-0.499984740745262"/>
      <name val="Aptos Narrow"/>
      <scheme val="minor"/>
    </font>
    <font>
      <i/>
      <sz val="12"/>
      <color theme="0" tint="-0.499984740745262"/>
      <name val="Aptos Narrow"/>
      <scheme val="minor"/>
    </font>
    <font>
      <b/>
      <sz val="12"/>
      <color theme="8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44" fontId="0" fillId="0" borderId="0" xfId="0" applyNumberFormat="1"/>
    <xf numFmtId="165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4" fillId="0" borderId="0" xfId="0" applyFont="1" applyAlignment="1">
      <alignment horizontal="right"/>
    </xf>
    <xf numFmtId="0" fontId="0" fillId="0" borderId="0" xfId="0" quotePrefix="1"/>
    <xf numFmtId="165" fontId="5" fillId="0" borderId="0" xfId="2" applyNumberFormat="1" applyFont="1"/>
    <xf numFmtId="10" fontId="5" fillId="0" borderId="0" xfId="0" applyNumberFormat="1" applyFont="1"/>
    <xf numFmtId="44" fontId="5" fillId="0" borderId="0" xfId="0" applyNumberFormat="1" applyFont="1"/>
    <xf numFmtId="0" fontId="6" fillId="0" borderId="0" xfId="0" applyFont="1"/>
    <xf numFmtId="10" fontId="6" fillId="0" borderId="0" xfId="0" applyNumberFormat="1" applyFont="1"/>
    <xf numFmtId="44" fontId="6" fillId="0" borderId="0" xfId="0" applyNumberFormat="1" applyFont="1"/>
    <xf numFmtId="0" fontId="5" fillId="0" borderId="0" xfId="0" applyFont="1"/>
    <xf numFmtId="0" fontId="7" fillId="0" borderId="0" xfId="0" applyFont="1" applyAlignment="1">
      <alignment horizontal="right"/>
    </xf>
    <xf numFmtId="44" fontId="8" fillId="0" borderId="0" xfId="0" applyNumberFormat="1" applyFont="1"/>
    <xf numFmtId="0" fontId="9" fillId="0" borderId="0" xfId="0" applyFont="1"/>
    <xf numFmtId="165" fontId="9" fillId="0" borderId="0" xfId="0" applyNumberFormat="1" applyFont="1"/>
    <xf numFmtId="44" fontId="9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A829A1-ED30-8192-7243-F9811D059530}"/>
            </a:ext>
          </a:extLst>
        </xdr:cNvPr>
        <xdr:cNvSpPr txBox="1"/>
      </xdr:nvSpPr>
      <xdr:spPr>
        <a:xfrm>
          <a:off x="825500" y="1587500"/>
          <a:ext cx="74295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Dr. Han (School of Engineering) is submitting a proposal with Dr. Zhang (co-PI,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joint appointment Dept. of Physics and NCPA)</a:t>
          </a:r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ORSP budget is broken into two tabs based on (PI) Han and (Co-PI) Zhang.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 Han's budget is $102,814 Direct and $40,694 F&amp;A.</a:t>
          </a:r>
        </a:p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F&amp;A will be distributed according to SoE policy of 45% Central Admin, 20% ME Department, 25% SoE Dean, and 10% PI Han.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Co-PI Zhang's budget is $92,214 Direct and $35,765 F&amp;A.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F&amp;A be distributed due to the Joint Appointment between Dept. of Physics and NCPA?</a:t>
          </a:r>
        </a:p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Dept. of Physics typically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follows: 10% PI, 45% Central Admin, 10% CLA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Dean, 35% Dept. of Physics.</a:t>
          </a:r>
        </a:p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Joint Appointment language only states "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any funded research occurring within the NCPA and/or utilizing NCPA resources, the primary unit and NCPA will evenly split the F&amp;A Recoveries." The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definition of "the F&amp;A Recoveries" is ambiguous in this case and can be interpretted in one of two ways.</a:t>
          </a:r>
        </a:p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NCPA cost recovery split with "central admin" depends on operational budget re-payment, so the "NCPA standard distribution" is not a fixed distribution relative to "central admin."</a:t>
          </a:r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2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2B29-B8BA-2241-B204-07450BFCC6F8}">
  <dimension ref="A1:J68"/>
  <sheetViews>
    <sheetView tabSelected="1" topLeftCell="A20" workbookViewId="0">
      <selection activeCell="J44" sqref="J44"/>
    </sheetView>
  </sheetViews>
  <sheetFormatPr baseColWidth="10" defaultRowHeight="16" x14ac:dyDescent="0.2"/>
  <cols>
    <col min="3" max="3" width="14" customWidth="1"/>
    <col min="5" max="5" width="14.33203125" customWidth="1"/>
    <col min="6" max="6" width="14.83203125" customWidth="1"/>
    <col min="7" max="7" width="13.83203125" customWidth="1"/>
  </cols>
  <sheetData>
    <row r="1" spans="1:1" ht="29" x14ac:dyDescent="0.35">
      <c r="A1" s="4" t="s">
        <v>0</v>
      </c>
    </row>
    <row r="2" spans="1:1" x14ac:dyDescent="0.2">
      <c r="A2" s="1" t="s">
        <v>1</v>
      </c>
    </row>
    <row r="3" spans="1:1" x14ac:dyDescent="0.2">
      <c r="A3" s="2">
        <v>45581</v>
      </c>
    </row>
    <row r="6" spans="1:1" x14ac:dyDescent="0.2">
      <c r="A6" t="s">
        <v>2</v>
      </c>
    </row>
    <row r="21" spans="3:8" ht="20" x14ac:dyDescent="0.25">
      <c r="C21" s="3" t="s">
        <v>25</v>
      </c>
    </row>
    <row r="22" spans="3:8" x14ac:dyDescent="0.2">
      <c r="C22" t="s">
        <v>3</v>
      </c>
      <c r="E22" s="5">
        <v>92214</v>
      </c>
    </row>
    <row r="23" spans="3:8" x14ac:dyDescent="0.2">
      <c r="C23" t="s">
        <v>4</v>
      </c>
      <c r="F23" s="5">
        <v>35765</v>
      </c>
      <c r="G23" t="s">
        <v>9</v>
      </c>
    </row>
    <row r="25" spans="3:8" x14ac:dyDescent="0.2">
      <c r="C25" t="s">
        <v>5</v>
      </c>
      <c r="D25" s="8">
        <v>0.1</v>
      </c>
      <c r="E25" s="6">
        <f>D25*$F$23</f>
        <v>3576.5</v>
      </c>
      <c r="G25" t="s">
        <v>10</v>
      </c>
    </row>
    <row r="26" spans="3:8" x14ac:dyDescent="0.2">
      <c r="D26" s="8"/>
      <c r="E26" s="10" t="s">
        <v>17</v>
      </c>
      <c r="F26" s="6">
        <f>E25</f>
        <v>3576.5</v>
      </c>
      <c r="G26" s="11" t="s">
        <v>16</v>
      </c>
      <c r="H26" s="9">
        <f>F26/$F$23</f>
        <v>0.1</v>
      </c>
    </row>
    <row r="27" spans="3:8" x14ac:dyDescent="0.2">
      <c r="C27" s="15" t="s">
        <v>6</v>
      </c>
      <c r="D27" s="16">
        <v>0.1</v>
      </c>
      <c r="E27" s="17">
        <f>D27*$F$23</f>
        <v>3576.5</v>
      </c>
      <c r="G27" t="s">
        <v>11</v>
      </c>
    </row>
    <row r="28" spans="3:8" x14ac:dyDescent="0.2">
      <c r="C28" s="18" t="s">
        <v>7</v>
      </c>
      <c r="D28" s="13">
        <v>0.17499999999999999</v>
      </c>
      <c r="E28" s="14">
        <f>D28*$F$23</f>
        <v>6258.875</v>
      </c>
      <c r="G28" t="s">
        <v>12</v>
      </c>
    </row>
    <row r="29" spans="3:8" x14ac:dyDescent="0.2">
      <c r="D29" s="7"/>
      <c r="E29" s="10" t="s">
        <v>23</v>
      </c>
      <c r="F29" s="6">
        <f>SUM(E27:E28)</f>
        <v>9835.375</v>
      </c>
      <c r="G29" s="11" t="s">
        <v>13</v>
      </c>
      <c r="H29" s="9">
        <f>F29/$F$23</f>
        <v>0.27500000000000002</v>
      </c>
    </row>
    <row r="30" spans="3:8" x14ac:dyDescent="0.2">
      <c r="C30" t="s">
        <v>18</v>
      </c>
      <c r="D30" s="8">
        <f>0.375*0.45/0.5</f>
        <v>0.33750000000000002</v>
      </c>
      <c r="E30" s="6">
        <f>D30*$F$23</f>
        <v>12070.6875</v>
      </c>
    </row>
    <row r="31" spans="3:8" x14ac:dyDescent="0.2">
      <c r="C31" t="s">
        <v>19</v>
      </c>
      <c r="D31" s="8">
        <f>0.125*0.45/0.5</f>
        <v>0.1125</v>
      </c>
      <c r="E31" s="6">
        <f>D31*$F$23</f>
        <v>4023.5625</v>
      </c>
    </row>
    <row r="32" spans="3:8" x14ac:dyDescent="0.2">
      <c r="D32" s="7"/>
      <c r="E32" s="10" t="s">
        <v>20</v>
      </c>
      <c r="F32" s="6">
        <f>SUM(E30:E31)</f>
        <v>16094.25</v>
      </c>
      <c r="G32" s="11" t="s">
        <v>13</v>
      </c>
      <c r="H32" s="9">
        <f>F32/$F$23</f>
        <v>0.45</v>
      </c>
    </row>
    <row r="33" spans="3:10" x14ac:dyDescent="0.2">
      <c r="C33" s="21" t="s">
        <v>8</v>
      </c>
      <c r="D33" s="22">
        <v>0.17499999999999999</v>
      </c>
      <c r="E33" s="23">
        <f>D33*$F$23</f>
        <v>6258.875</v>
      </c>
      <c r="G33" t="s">
        <v>14</v>
      </c>
    </row>
    <row r="34" spans="3:10" x14ac:dyDescent="0.2">
      <c r="E34" s="10" t="s">
        <v>22</v>
      </c>
      <c r="F34" s="14">
        <f>E33</f>
        <v>6258.875</v>
      </c>
      <c r="G34" t="s">
        <v>15</v>
      </c>
      <c r="H34" s="12">
        <f>F34/$F$23</f>
        <v>0.17499999999999999</v>
      </c>
    </row>
    <row r="36" spans="3:10" ht="20" x14ac:dyDescent="0.25">
      <c r="C36" s="3" t="s">
        <v>26</v>
      </c>
    </row>
    <row r="37" spans="3:10" x14ac:dyDescent="0.2">
      <c r="C37" t="s">
        <v>3</v>
      </c>
      <c r="E37" s="5">
        <v>92214</v>
      </c>
    </row>
    <row r="38" spans="3:10" x14ac:dyDescent="0.2">
      <c r="C38" t="s">
        <v>4</v>
      </c>
      <c r="F38" s="5">
        <v>35765</v>
      </c>
      <c r="G38" t="s">
        <v>9</v>
      </c>
    </row>
    <row r="40" spans="3:10" x14ac:dyDescent="0.2">
      <c r="C40" t="s">
        <v>5</v>
      </c>
      <c r="D40" s="8">
        <v>0.1</v>
      </c>
      <c r="E40" s="6">
        <f>D40*$F$23</f>
        <v>3576.5</v>
      </c>
      <c r="G40" t="s">
        <v>10</v>
      </c>
    </row>
    <row r="41" spans="3:10" x14ac:dyDescent="0.2">
      <c r="D41" s="8"/>
      <c r="E41" s="10" t="s">
        <v>17</v>
      </c>
      <c r="F41" s="6">
        <f>E40</f>
        <v>3576.5</v>
      </c>
      <c r="G41" s="11" t="s">
        <v>16</v>
      </c>
      <c r="H41" s="9">
        <f>F41/$F$23</f>
        <v>0.1</v>
      </c>
    </row>
    <row r="42" spans="3:10" x14ac:dyDescent="0.2">
      <c r="C42" s="15" t="s">
        <v>6</v>
      </c>
      <c r="D42" s="16">
        <f>0.45*(10/90)</f>
        <v>4.9999999999999996E-2</v>
      </c>
      <c r="E42" s="17">
        <f>D42*$F$23</f>
        <v>1788.2499999999998</v>
      </c>
      <c r="G42" t="s">
        <v>28</v>
      </c>
      <c r="J42" s="6">
        <f>E27-E42</f>
        <v>1788.2500000000002</v>
      </c>
    </row>
    <row r="43" spans="3:10" x14ac:dyDescent="0.2">
      <c r="C43" s="18" t="s">
        <v>7</v>
      </c>
      <c r="D43" s="13">
        <f>0.45*(35/90)</f>
        <v>0.17500000000000002</v>
      </c>
      <c r="E43" s="14">
        <f>D43*$F$23</f>
        <v>6258.8750000000009</v>
      </c>
      <c r="G43" t="s">
        <v>29</v>
      </c>
      <c r="J43" s="6">
        <f>F66-F34</f>
        <v>1788.25</v>
      </c>
    </row>
    <row r="44" spans="3:10" x14ac:dyDescent="0.2">
      <c r="C44" t="s">
        <v>18</v>
      </c>
      <c r="D44" s="8">
        <f>0.45*(45/90)*0.75</f>
        <v>0.16875000000000001</v>
      </c>
      <c r="E44" s="6">
        <f>D44*$F$23</f>
        <v>6035.34375</v>
      </c>
      <c r="F44" s="6"/>
      <c r="G44" s="11" t="s">
        <v>30</v>
      </c>
      <c r="H44" s="9"/>
    </row>
    <row r="45" spans="3:10" x14ac:dyDescent="0.2">
      <c r="C45" t="s">
        <v>19</v>
      </c>
      <c r="D45" s="8">
        <f>0.45*(45/90)*0.25</f>
        <v>5.6250000000000001E-2</v>
      </c>
      <c r="E45" s="6">
        <f>D45*$F$23</f>
        <v>2011.78125</v>
      </c>
      <c r="G45" t="s">
        <v>31</v>
      </c>
    </row>
    <row r="46" spans="3:10" x14ac:dyDescent="0.2">
      <c r="D46" s="7"/>
      <c r="E46" s="10" t="s">
        <v>21</v>
      </c>
      <c r="F46" s="6">
        <f>SUM(E42:E45)</f>
        <v>16094.25</v>
      </c>
      <c r="G46" s="11" t="s">
        <v>32</v>
      </c>
      <c r="H46" s="9">
        <f>F46/$F$23</f>
        <v>0.45</v>
      </c>
    </row>
    <row r="47" spans="3:10" x14ac:dyDescent="0.2">
      <c r="C47" s="21" t="s">
        <v>8</v>
      </c>
      <c r="D47" s="22">
        <f>0.45*0.5</f>
        <v>0.22500000000000001</v>
      </c>
      <c r="E47" s="23">
        <f>D47*$F$23</f>
        <v>8047.125</v>
      </c>
      <c r="G47" t="s">
        <v>33</v>
      </c>
    </row>
    <row r="48" spans="3:10" x14ac:dyDescent="0.2">
      <c r="C48" t="s">
        <v>18</v>
      </c>
      <c r="D48" s="8">
        <f>0.45*0.375</f>
        <v>0.16875000000000001</v>
      </c>
      <c r="E48" s="6">
        <f>D48*$F$23</f>
        <v>6035.34375</v>
      </c>
      <c r="G48" t="s">
        <v>34</v>
      </c>
    </row>
    <row r="49" spans="3:8" x14ac:dyDescent="0.2">
      <c r="C49" t="s">
        <v>19</v>
      </c>
      <c r="D49" s="8">
        <f>0.45*0.125</f>
        <v>5.6250000000000001E-2</v>
      </c>
      <c r="E49" s="6">
        <f>D49*$F$23</f>
        <v>2011.78125</v>
      </c>
      <c r="G49" t="s">
        <v>35</v>
      </c>
    </row>
    <row r="50" spans="3:8" x14ac:dyDescent="0.2">
      <c r="E50" s="10" t="s">
        <v>22</v>
      </c>
      <c r="F50" s="14">
        <f>SUM(E47:E49)</f>
        <v>16094.25</v>
      </c>
      <c r="G50" t="s">
        <v>36</v>
      </c>
      <c r="H50" s="12">
        <f>F50/$F$23</f>
        <v>0.45</v>
      </c>
    </row>
    <row r="51" spans="3:8" x14ac:dyDescent="0.2">
      <c r="E51" s="19" t="s">
        <v>24</v>
      </c>
      <c r="F51" s="20">
        <f>E49+E48+E45+E44</f>
        <v>16094.25</v>
      </c>
      <c r="G51" t="s">
        <v>37</v>
      </c>
    </row>
    <row r="52" spans="3:8" x14ac:dyDescent="0.2">
      <c r="E52" s="10"/>
      <c r="F52" s="6"/>
      <c r="H52" s="9"/>
    </row>
    <row r="53" spans="3:8" ht="20" x14ac:dyDescent="0.25">
      <c r="C53" s="3" t="s">
        <v>27</v>
      </c>
    </row>
    <row r="54" spans="3:8" x14ac:dyDescent="0.2">
      <c r="C54" t="s">
        <v>3</v>
      </c>
      <c r="E54" s="5">
        <v>92214</v>
      </c>
    </row>
    <row r="55" spans="3:8" x14ac:dyDescent="0.2">
      <c r="C55" t="s">
        <v>4</v>
      </c>
      <c r="F55" s="5">
        <v>35765</v>
      </c>
      <c r="G55" t="s">
        <v>9</v>
      </c>
    </row>
    <row r="57" spans="3:8" x14ac:dyDescent="0.2">
      <c r="C57" t="s">
        <v>5</v>
      </c>
      <c r="D57" s="8">
        <v>0.1</v>
      </c>
      <c r="E57" s="6">
        <f>D57*$F$23</f>
        <v>3576.5</v>
      </c>
      <c r="G57" t="s">
        <v>10</v>
      </c>
    </row>
    <row r="58" spans="3:8" x14ac:dyDescent="0.2">
      <c r="D58" s="8"/>
      <c r="E58" s="10" t="s">
        <v>17</v>
      </c>
      <c r="F58" s="6">
        <f>E57</f>
        <v>3576.5</v>
      </c>
      <c r="G58" s="11" t="s">
        <v>16</v>
      </c>
      <c r="H58" s="9">
        <f>F58/$F$23</f>
        <v>0.1</v>
      </c>
    </row>
    <row r="59" spans="3:8" x14ac:dyDescent="0.2">
      <c r="C59" s="15" t="s">
        <v>6</v>
      </c>
      <c r="D59" s="16">
        <f>0.45/2*(10/45)</f>
        <v>4.9999999999999996E-2</v>
      </c>
      <c r="E59" s="17">
        <f>D59*$F$23</f>
        <v>1788.2499999999998</v>
      </c>
      <c r="G59" t="s">
        <v>38</v>
      </c>
    </row>
    <row r="60" spans="3:8" x14ac:dyDescent="0.2">
      <c r="C60" s="18" t="s">
        <v>7</v>
      </c>
      <c r="D60" s="13">
        <f>0.45/2*(35/45)</f>
        <v>0.17500000000000002</v>
      </c>
      <c r="E60" s="14">
        <f>D60*$F$23</f>
        <v>6258.8750000000009</v>
      </c>
      <c r="G60" t="s">
        <v>39</v>
      </c>
    </row>
    <row r="61" spans="3:8" x14ac:dyDescent="0.2">
      <c r="D61" s="7"/>
      <c r="E61" s="10" t="s">
        <v>23</v>
      </c>
      <c r="F61" s="6">
        <f>SUM(E59:E60)</f>
        <v>8047.1250000000009</v>
      </c>
      <c r="G61" s="11" t="s">
        <v>40</v>
      </c>
      <c r="H61" s="9">
        <f>F61/$F$23</f>
        <v>0.22500000000000003</v>
      </c>
    </row>
    <row r="62" spans="3:8" x14ac:dyDescent="0.2">
      <c r="C62" t="s">
        <v>18</v>
      </c>
      <c r="D62" s="8">
        <f>0.375*0.45/0.5</f>
        <v>0.33750000000000002</v>
      </c>
      <c r="E62" s="6">
        <f>D62*$F$23</f>
        <v>12070.6875</v>
      </c>
      <c r="G62" t="s">
        <v>41</v>
      </c>
    </row>
    <row r="63" spans="3:8" x14ac:dyDescent="0.2">
      <c r="C63" t="s">
        <v>19</v>
      </c>
      <c r="D63" s="8">
        <f>0.125*0.45/0.5</f>
        <v>0.1125</v>
      </c>
      <c r="E63" s="6">
        <f>D63*$F$23</f>
        <v>4023.5625</v>
      </c>
      <c r="G63" t="s">
        <v>42</v>
      </c>
    </row>
    <row r="64" spans="3:8" x14ac:dyDescent="0.2">
      <c r="D64" s="7"/>
      <c r="E64" s="10" t="s">
        <v>20</v>
      </c>
      <c r="F64" s="6">
        <f>SUM(E62:E63)</f>
        <v>16094.25</v>
      </c>
      <c r="G64" s="11" t="s">
        <v>43</v>
      </c>
      <c r="H64" s="9">
        <f>F64/$F$23</f>
        <v>0.45</v>
      </c>
    </row>
    <row r="65" spans="3:8" x14ac:dyDescent="0.2">
      <c r="C65" s="21" t="s">
        <v>8</v>
      </c>
      <c r="D65" s="22">
        <f>0.45/2</f>
        <v>0.22500000000000001</v>
      </c>
      <c r="E65" s="23">
        <f>D65*$F$23</f>
        <v>8047.125</v>
      </c>
      <c r="G65" t="s">
        <v>44</v>
      </c>
    </row>
    <row r="66" spans="3:8" x14ac:dyDescent="0.2">
      <c r="E66" s="10" t="s">
        <v>45</v>
      </c>
      <c r="F66" s="14">
        <f>E65</f>
        <v>8047.125</v>
      </c>
      <c r="G66" t="s">
        <v>44</v>
      </c>
      <c r="H66" s="12">
        <f>F66/$F$23</f>
        <v>0.22500000000000001</v>
      </c>
    </row>
    <row r="67" spans="3:8" x14ac:dyDescent="0.2">
      <c r="E67" s="10"/>
      <c r="F67" s="14"/>
      <c r="H67" s="12"/>
    </row>
    <row r="68" spans="3:8" x14ac:dyDescent="0.2">
      <c r="E68" s="19"/>
      <c r="F6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Murray</dc:creator>
  <cp:lastModifiedBy>Nathan Murray</cp:lastModifiedBy>
  <dcterms:created xsi:type="dcterms:W3CDTF">2024-10-16T18:38:50Z</dcterms:created>
  <dcterms:modified xsi:type="dcterms:W3CDTF">2024-10-17T18:26:24Z</dcterms:modified>
</cp:coreProperties>
</file>