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 defaultThemeVersion="124226"/>
  <xr:revisionPtr revIDLastSave="0" documentId="13_ncr:1_{D416118B-A252-4025-9480-400C7DD2EBDD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2024" sheetId="7" r:id="rId1"/>
    <sheet name="2023" sheetId="4" r:id="rId2"/>
    <sheet name="смета работы" sheetId="8" r:id="rId3"/>
    <sheet name="Ремонт" sheetId="5" r:id="rId4"/>
    <sheet name="план накопления" sheetId="6" r:id="rId5"/>
    <sheet name="2022" sheetId="3" r:id="rId6"/>
    <sheet name="2021" sheetId="1" r:id="rId7"/>
    <sheet name="смета работы (2)" sheetId="9" r:id="rId8"/>
    <sheet name="Лист1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9" l="1"/>
  <c r="S55" i="9"/>
  <c r="B1" i="9"/>
  <c r="K47" i="9"/>
  <c r="L47" i="9"/>
  <c r="M47" i="9"/>
  <c r="N47" i="9"/>
  <c r="J47" i="9"/>
  <c r="S44" i="9"/>
  <c r="S36" i="9"/>
  <c r="K30" i="9"/>
  <c r="L30" i="9"/>
  <c r="M30" i="9"/>
  <c r="N30" i="9"/>
  <c r="J30" i="9"/>
  <c r="O1" i="9"/>
  <c r="T6" i="9"/>
  <c r="F24" i="9"/>
  <c r="J24" i="9" s="1"/>
  <c r="J25" i="9"/>
  <c r="K25" i="9"/>
  <c r="L25" i="9"/>
  <c r="M25" i="9"/>
  <c r="N25" i="9"/>
  <c r="J52" i="9"/>
  <c r="K52" i="9"/>
  <c r="L52" i="9"/>
  <c r="M52" i="9"/>
  <c r="N52" i="9"/>
  <c r="J53" i="9"/>
  <c r="K53" i="9"/>
  <c r="L53" i="9"/>
  <c r="M53" i="9"/>
  <c r="N53" i="9"/>
  <c r="J54" i="9"/>
  <c r="K54" i="9"/>
  <c r="L54" i="9"/>
  <c r="M54" i="9"/>
  <c r="N54" i="9"/>
  <c r="J43" i="9"/>
  <c r="K43" i="9"/>
  <c r="L43" i="9"/>
  <c r="M43" i="9"/>
  <c r="N43" i="9"/>
  <c r="J39" i="9"/>
  <c r="K39" i="9"/>
  <c r="L39" i="9"/>
  <c r="M39" i="9"/>
  <c r="N39" i="9"/>
  <c r="J35" i="9"/>
  <c r="K35" i="9"/>
  <c r="L35" i="9"/>
  <c r="M35" i="9"/>
  <c r="N35" i="9"/>
  <c r="J26" i="9"/>
  <c r="K26" i="9"/>
  <c r="L26" i="9"/>
  <c r="M26" i="9"/>
  <c r="N26" i="9"/>
  <c r="M24" i="9"/>
  <c r="J16" i="9"/>
  <c r="K16" i="9"/>
  <c r="L16" i="9"/>
  <c r="M16" i="9"/>
  <c r="N16" i="9"/>
  <c r="F40" i="9"/>
  <c r="F41" i="9"/>
  <c r="F42" i="9"/>
  <c r="F43" i="9"/>
  <c r="F17" i="9"/>
  <c r="F19" i="9"/>
  <c r="F20" i="9"/>
  <c r="F21" i="9"/>
  <c r="F22" i="9"/>
  <c r="F54" i="9"/>
  <c r="F51" i="9"/>
  <c r="F50" i="9"/>
  <c r="F49" i="9"/>
  <c r="F48" i="9"/>
  <c r="F46" i="9"/>
  <c r="H46" i="9" s="1"/>
  <c r="H55" i="9" s="1"/>
  <c r="F38" i="9"/>
  <c r="I38" i="9" s="1"/>
  <c r="I44" i="9" s="1"/>
  <c r="F35" i="9"/>
  <c r="F34" i="9"/>
  <c r="F32" i="9"/>
  <c r="F33" i="9"/>
  <c r="F31" i="9"/>
  <c r="F29" i="9"/>
  <c r="H29" i="9" s="1"/>
  <c r="H36" i="9" s="1"/>
  <c r="F12" i="9"/>
  <c r="B14" i="9"/>
  <c r="F26" i="9" s="1"/>
  <c r="F11" i="9"/>
  <c r="K11" i="9" s="1"/>
  <c r="F10" i="9"/>
  <c r="Q10" i="9" s="1"/>
  <c r="Q13" i="9" s="1"/>
  <c r="F9" i="9"/>
  <c r="J9" i="9" s="1"/>
  <c r="F8" i="9"/>
  <c r="K8" i="9" s="1"/>
  <c r="F6" i="9"/>
  <c r="I6" i="9" s="1"/>
  <c r="I13" i="9" s="1"/>
  <c r="E64" i="5"/>
  <c r="D51" i="5"/>
  <c r="D50" i="5"/>
  <c r="D49" i="5"/>
  <c r="B1" i="8"/>
  <c r="B3" i="8"/>
  <c r="H69" i="8"/>
  <c r="H65" i="8"/>
  <c r="H79" i="8" s="1"/>
  <c r="I79" i="8" s="1"/>
  <c r="G76" i="8"/>
  <c r="G75" i="8"/>
  <c r="G73" i="8"/>
  <c r="H71" i="8"/>
  <c r="H72" i="8" s="1"/>
  <c r="G71" i="8"/>
  <c r="H70" i="8"/>
  <c r="I70" i="8" s="1"/>
  <c r="I65" i="8"/>
  <c r="H61" i="8"/>
  <c r="H62" i="8" s="1"/>
  <c r="N47" i="8"/>
  <c r="N46" i="8"/>
  <c r="H52" i="8"/>
  <c r="I52" i="8" s="1"/>
  <c r="H51" i="8"/>
  <c r="H53" i="8"/>
  <c r="H54" i="8" s="1"/>
  <c r="H47" i="8"/>
  <c r="I61" i="8" s="1"/>
  <c r="G58" i="8"/>
  <c r="G57" i="8"/>
  <c r="G55" i="8"/>
  <c r="G53" i="8"/>
  <c r="I47" i="8"/>
  <c r="H44" i="8"/>
  <c r="I44" i="8" s="1"/>
  <c r="H32" i="8"/>
  <c r="H33" i="8" s="1"/>
  <c r="H34" i="8"/>
  <c r="G39" i="8"/>
  <c r="G38" i="8"/>
  <c r="G36" i="8"/>
  <c r="G34" i="8"/>
  <c r="H28" i="8"/>
  <c r="H30" i="8" s="1"/>
  <c r="I30" i="8" s="1"/>
  <c r="I28" i="8"/>
  <c r="H24" i="8"/>
  <c r="I24" i="8" s="1"/>
  <c r="G17" i="8"/>
  <c r="G18" i="8"/>
  <c r="G15" i="8"/>
  <c r="G13" i="8"/>
  <c r="H11" i="8"/>
  <c r="H12" i="8" s="1"/>
  <c r="H7" i="8"/>
  <c r="I7" i="8" s="1"/>
  <c r="D13" i="6"/>
  <c r="C13" i="6"/>
  <c r="C12" i="6"/>
  <c r="C4" i="6"/>
  <c r="C5" i="6" s="1"/>
  <c r="C6" i="6" s="1"/>
  <c r="C7" i="6" s="1"/>
  <c r="C8" i="6" s="1"/>
  <c r="C9" i="6" s="1"/>
  <c r="C10" i="6" s="1"/>
  <c r="C11" i="6" s="1"/>
  <c r="C3" i="6"/>
  <c r="C2" i="6"/>
  <c r="F11" i="6"/>
  <c r="F10" i="6"/>
  <c r="F9" i="6"/>
  <c r="F8" i="6"/>
  <c r="F7" i="6"/>
  <c r="F6" i="6"/>
  <c r="F5" i="6"/>
  <c r="F4" i="6"/>
  <c r="F3" i="6"/>
  <c r="F2" i="6"/>
  <c r="D21" i="7"/>
  <c r="B21" i="7"/>
  <c r="F21" i="7"/>
  <c r="D47" i="5"/>
  <c r="C21" i="7"/>
  <c r="D58" i="5"/>
  <c r="D57" i="5"/>
  <c r="L74" i="4"/>
  <c r="M74" i="4"/>
  <c r="D2" i="7"/>
  <c r="D68" i="5"/>
  <c r="D64" i="5"/>
  <c r="D42" i="5"/>
  <c r="B65" i="7"/>
  <c r="C65" i="7" s="1"/>
  <c r="G13" i="7"/>
  <c r="G30" i="7" s="1"/>
  <c r="H13" i="7"/>
  <c r="I13" i="7"/>
  <c r="J13" i="7"/>
  <c r="F13" i="7"/>
  <c r="M13" i="7"/>
  <c r="K13" i="7"/>
  <c r="L13" i="7"/>
  <c r="C13" i="7"/>
  <c r="D13" i="7"/>
  <c r="E13" i="7"/>
  <c r="C6" i="7"/>
  <c r="D6" i="7"/>
  <c r="D30" i="7" s="1"/>
  <c r="E6" i="7"/>
  <c r="F6" i="7"/>
  <c r="G6" i="7"/>
  <c r="H6" i="7"/>
  <c r="H30" i="7" s="1"/>
  <c r="I6" i="7"/>
  <c r="J6" i="7"/>
  <c r="K6" i="7"/>
  <c r="L6" i="7"/>
  <c r="M6" i="7"/>
  <c r="M30" i="7" s="1"/>
  <c r="B13" i="7"/>
  <c r="B6" i="7"/>
  <c r="M68" i="7"/>
  <c r="L68" i="7"/>
  <c r="K68" i="7"/>
  <c r="M54" i="7"/>
  <c r="L54" i="7"/>
  <c r="B54" i="7"/>
  <c r="K54" i="7"/>
  <c r="G54" i="7"/>
  <c r="F54" i="7"/>
  <c r="D54" i="7"/>
  <c r="E54" i="7"/>
  <c r="I68" i="7"/>
  <c r="C54" i="7"/>
  <c r="M42" i="7"/>
  <c r="M56" i="7" s="1"/>
  <c r="N40" i="7"/>
  <c r="M40" i="7"/>
  <c r="L40" i="7"/>
  <c r="L42" i="7" s="1"/>
  <c r="L56" i="7" s="1"/>
  <c r="K40" i="7"/>
  <c r="J40" i="7"/>
  <c r="J42" i="7" s="1"/>
  <c r="G40" i="7"/>
  <c r="G42" i="7" s="1"/>
  <c r="G56" i="7" s="1"/>
  <c r="D40" i="7"/>
  <c r="B40" i="7"/>
  <c r="B42" i="7" s="1"/>
  <c r="B56" i="7" s="1"/>
  <c r="B62" i="7" s="1"/>
  <c r="I40" i="7"/>
  <c r="I42" i="7" s="1"/>
  <c r="H68" i="7"/>
  <c r="F68" i="7"/>
  <c r="E68" i="7"/>
  <c r="D68" i="7"/>
  <c r="C68" i="7"/>
  <c r="G68" i="7"/>
  <c r="C30" i="7"/>
  <c r="B30" i="7"/>
  <c r="N29" i="7"/>
  <c r="L29" i="7"/>
  <c r="N28" i="7"/>
  <c r="N27" i="7"/>
  <c r="L26" i="7"/>
  <c r="N26" i="7" s="1"/>
  <c r="N25" i="7"/>
  <c r="L24" i="7"/>
  <c r="N24" i="7" s="1"/>
  <c r="N23" i="7"/>
  <c r="L23" i="7"/>
  <c r="N22" i="7"/>
  <c r="N20" i="7"/>
  <c r="N19" i="7"/>
  <c r="N18" i="7"/>
  <c r="N17" i="7"/>
  <c r="N16" i="7"/>
  <c r="N15" i="7"/>
  <c r="N14" i="7"/>
  <c r="N12" i="7"/>
  <c r="N11" i="7"/>
  <c r="N10" i="7"/>
  <c r="N9" i="7"/>
  <c r="N8" i="7"/>
  <c r="M5" i="7"/>
  <c r="L5" i="7"/>
  <c r="K5" i="7"/>
  <c r="J5" i="7"/>
  <c r="E5" i="7"/>
  <c r="D5" i="7"/>
  <c r="B5" i="7"/>
  <c r="N4" i="7"/>
  <c r="H5" i="7"/>
  <c r="N3" i="7"/>
  <c r="I5" i="7"/>
  <c r="G5" i="7"/>
  <c r="F5" i="7"/>
  <c r="N2" i="7"/>
  <c r="L73" i="4"/>
  <c r="M21" i="4"/>
  <c r="L68" i="4"/>
  <c r="L66" i="4"/>
  <c r="L62" i="4"/>
  <c r="I4" i="4"/>
  <c r="I2" i="4"/>
  <c r="L2" i="4"/>
  <c r="B34" i="6"/>
  <c r="B6" i="6"/>
  <c r="B22" i="6"/>
  <c r="B10" i="6"/>
  <c r="B4" i="6"/>
  <c r="L21" i="4"/>
  <c r="D35" i="5"/>
  <c r="E35" i="5" s="1"/>
  <c r="E23" i="5"/>
  <c r="E36" i="5"/>
  <c r="E31" i="5"/>
  <c r="XFD31" i="5" s="1"/>
  <c r="K66" i="4"/>
  <c r="L41" i="4"/>
  <c r="M40" i="4"/>
  <c r="N40" i="4"/>
  <c r="J40" i="4"/>
  <c r="K40" i="4"/>
  <c r="L40" i="4"/>
  <c r="L3" i="4"/>
  <c r="O3" i="4"/>
  <c r="L7" i="4"/>
  <c r="L24" i="4"/>
  <c r="L23" i="4"/>
  <c r="L26" i="4"/>
  <c r="L29" i="4"/>
  <c r="F13" i="5"/>
  <c r="D9" i="5"/>
  <c r="E34" i="5"/>
  <c r="E33" i="5"/>
  <c r="D32" i="5"/>
  <c r="E32" i="5" s="1"/>
  <c r="E22" i="5"/>
  <c r="D24" i="5"/>
  <c r="D17" i="5"/>
  <c r="E17" i="5" s="1"/>
  <c r="D12" i="5"/>
  <c r="K24" i="9" l="1"/>
  <c r="L24" i="9"/>
  <c r="N24" i="9"/>
  <c r="N44" i="9"/>
  <c r="F18" i="9"/>
  <c r="H6" i="9"/>
  <c r="H13" i="9" s="1"/>
  <c r="N11" i="9"/>
  <c r="M10" i="9"/>
  <c r="H38" i="9"/>
  <c r="H44" i="9" s="1"/>
  <c r="J44" i="9"/>
  <c r="J10" i="9"/>
  <c r="G29" i="9"/>
  <c r="G36" i="9" s="1"/>
  <c r="J11" i="9"/>
  <c r="N9" i="9"/>
  <c r="I29" i="9"/>
  <c r="I36" i="9" s="1"/>
  <c r="G38" i="9"/>
  <c r="G44" i="9" s="1"/>
  <c r="G46" i="9"/>
  <c r="G55" i="9" s="1"/>
  <c r="I46" i="9"/>
  <c r="I55" i="9" s="1"/>
  <c r="G6" i="9"/>
  <c r="G13" i="9" s="1"/>
  <c r="N10" i="9"/>
  <c r="L9" i="9"/>
  <c r="F23" i="9"/>
  <c r="Q33" i="9"/>
  <c r="Q36" i="9" s="1"/>
  <c r="J8" i="9"/>
  <c r="L10" i="9"/>
  <c r="N8" i="9"/>
  <c r="K10" i="9"/>
  <c r="M8" i="9"/>
  <c r="L8" i="9"/>
  <c r="M9" i="9"/>
  <c r="M11" i="9"/>
  <c r="K9" i="9"/>
  <c r="L11" i="9"/>
  <c r="F15" i="9"/>
  <c r="D70" i="5"/>
  <c r="H42" i="8"/>
  <c r="N48" i="8"/>
  <c r="N49" i="8" s="1"/>
  <c r="H43" i="8"/>
  <c r="I43" i="8" s="1"/>
  <c r="I11" i="8"/>
  <c r="H48" i="8"/>
  <c r="I48" i="8" s="1"/>
  <c r="H67" i="8"/>
  <c r="I67" i="8" s="1"/>
  <c r="H66" i="8"/>
  <c r="I66" i="8" s="1"/>
  <c r="I64" i="8" s="1"/>
  <c r="H29" i="8"/>
  <c r="I29" i="8" s="1"/>
  <c r="I27" i="8" s="1"/>
  <c r="H49" i="8"/>
  <c r="I49" i="8" s="1"/>
  <c r="I71" i="8"/>
  <c r="H73" i="8"/>
  <c r="I72" i="8"/>
  <c r="I69" i="8"/>
  <c r="H80" i="8"/>
  <c r="I80" i="8" s="1"/>
  <c r="I78" i="8" s="1"/>
  <c r="H55" i="8"/>
  <c r="I54" i="8"/>
  <c r="I51" i="8"/>
  <c r="I62" i="8"/>
  <c r="I60" i="8" s="1"/>
  <c r="I53" i="8"/>
  <c r="I33" i="8"/>
  <c r="I42" i="8"/>
  <c r="I41" i="8" s="1"/>
  <c r="I32" i="8"/>
  <c r="H21" i="8"/>
  <c r="I21" i="8" s="1"/>
  <c r="I12" i="8"/>
  <c r="H13" i="8"/>
  <c r="H14" i="8" s="1"/>
  <c r="I13" i="8"/>
  <c r="H9" i="8"/>
  <c r="I9" i="8" s="1"/>
  <c r="H8" i="8"/>
  <c r="I8" i="8" s="1"/>
  <c r="E58" i="5"/>
  <c r="E39" i="5"/>
  <c r="G39" i="5" s="1"/>
  <c r="D39" i="5"/>
  <c r="E24" i="5"/>
  <c r="N13" i="7"/>
  <c r="L30" i="7"/>
  <c r="L31" i="7" s="1"/>
  <c r="L33" i="7" s="1"/>
  <c r="I30" i="7"/>
  <c r="I31" i="7" s="1"/>
  <c r="I33" i="7" s="1"/>
  <c r="E30" i="7"/>
  <c r="E31" i="7" s="1"/>
  <c r="E33" i="7" s="1"/>
  <c r="D31" i="7"/>
  <c r="D33" i="7" s="1"/>
  <c r="M31" i="7"/>
  <c r="M33" i="7" s="1"/>
  <c r="G69" i="7"/>
  <c r="G70" i="7" s="1"/>
  <c r="M69" i="7"/>
  <c r="M62" i="7"/>
  <c r="L69" i="7"/>
  <c r="L70" i="7" s="1"/>
  <c r="H31" i="7"/>
  <c r="H33" i="7" s="1"/>
  <c r="D65" i="7"/>
  <c r="G31" i="7"/>
  <c r="G33" i="7" s="1"/>
  <c r="D42" i="7"/>
  <c r="D56" i="7" s="1"/>
  <c r="J30" i="7"/>
  <c r="J31" i="7" s="1"/>
  <c r="J33" i="7" s="1"/>
  <c r="C40" i="7"/>
  <c r="C42" i="7" s="1"/>
  <c r="C56" i="7" s="1"/>
  <c r="C66" i="7" s="1"/>
  <c r="J68" i="7"/>
  <c r="I54" i="7"/>
  <c r="I56" i="7" s="1"/>
  <c r="K30" i="7"/>
  <c r="K31" i="7" s="1"/>
  <c r="C5" i="7"/>
  <c r="N7" i="7"/>
  <c r="E40" i="7"/>
  <c r="E42" i="7" s="1"/>
  <c r="E56" i="7" s="1"/>
  <c r="H54" i="7"/>
  <c r="F40" i="7"/>
  <c r="F42" i="7" s="1"/>
  <c r="F56" i="7" s="1"/>
  <c r="B31" i="7"/>
  <c r="H40" i="7"/>
  <c r="H42" i="7" s="1"/>
  <c r="K42" i="7"/>
  <c r="K56" i="7" s="1"/>
  <c r="L62" i="7" s="1"/>
  <c r="B66" i="7"/>
  <c r="N6" i="7"/>
  <c r="D45" i="5"/>
  <c r="D11" i="5"/>
  <c r="D10" i="5"/>
  <c r="D13" i="5" s="1"/>
  <c r="E13" i="5" s="1"/>
  <c r="E9" i="5"/>
  <c r="L5" i="4"/>
  <c r="K53" i="4"/>
  <c r="K47" i="4"/>
  <c r="K38" i="4"/>
  <c r="K21" i="4"/>
  <c r="J53" i="4"/>
  <c r="J52" i="4"/>
  <c r="J54" i="4" s="1"/>
  <c r="J47" i="4"/>
  <c r="J46" i="4"/>
  <c r="J68" i="4" s="1"/>
  <c r="J41" i="4"/>
  <c r="K41" i="4" s="1"/>
  <c r="J37" i="4"/>
  <c r="J2" i="4"/>
  <c r="I68" i="4"/>
  <c r="I53" i="4"/>
  <c r="I48" i="4"/>
  <c r="I47" i="4"/>
  <c r="I46" i="4"/>
  <c r="I37" i="4"/>
  <c r="I40" i="4" s="1"/>
  <c r="I42" i="4" s="1"/>
  <c r="I22" i="4"/>
  <c r="N22" i="4" s="1"/>
  <c r="I3" i="4"/>
  <c r="H3" i="4"/>
  <c r="H5" i="4" s="1"/>
  <c r="H47" i="4"/>
  <c r="H46" i="4"/>
  <c r="H68" i="4" s="1"/>
  <c r="H41" i="4"/>
  <c r="H37" i="4"/>
  <c r="J19" i="4"/>
  <c r="M8" i="4"/>
  <c r="L8" i="4"/>
  <c r="K8" i="4"/>
  <c r="J8" i="4"/>
  <c r="I8" i="4"/>
  <c r="H8" i="4"/>
  <c r="H6" i="4"/>
  <c r="I6" i="4"/>
  <c r="J6" i="4"/>
  <c r="K6" i="4"/>
  <c r="L6" i="4"/>
  <c r="M6" i="4"/>
  <c r="G6" i="4"/>
  <c r="G20" i="4"/>
  <c r="G47" i="4"/>
  <c r="G46" i="4"/>
  <c r="G36" i="4"/>
  <c r="G68" i="4" s="1"/>
  <c r="G2" i="4"/>
  <c r="G5" i="4" s="1"/>
  <c r="G21" i="4"/>
  <c r="F52" i="4"/>
  <c r="G52" i="4" s="1"/>
  <c r="H52" i="4" s="1"/>
  <c r="H54" i="4" s="1"/>
  <c r="F48" i="4"/>
  <c r="F47" i="4"/>
  <c r="F46" i="4"/>
  <c r="F54" i="4" s="1"/>
  <c r="F37" i="4"/>
  <c r="F36" i="4"/>
  <c r="F68" i="4" s="1"/>
  <c r="F2" i="4"/>
  <c r="E47" i="4"/>
  <c r="E48" i="4"/>
  <c r="E46" i="4"/>
  <c r="E37" i="4"/>
  <c r="E36" i="4"/>
  <c r="E40" i="4" s="1"/>
  <c r="D48" i="4"/>
  <c r="D46" i="4"/>
  <c r="D37" i="4"/>
  <c r="D36" i="4"/>
  <c r="K68" i="4"/>
  <c r="M68" i="4"/>
  <c r="C21" i="4"/>
  <c r="C53" i="4"/>
  <c r="D53" i="4" s="1"/>
  <c r="C52" i="4"/>
  <c r="D52" i="4" s="1"/>
  <c r="C48" i="4"/>
  <c r="C46" i="4"/>
  <c r="C41" i="4"/>
  <c r="D41" i="4" s="1"/>
  <c r="E41" i="4" s="1"/>
  <c r="F41" i="4" s="1"/>
  <c r="C37" i="4"/>
  <c r="C36" i="4"/>
  <c r="C3" i="4"/>
  <c r="C2" i="4"/>
  <c r="B21" i="4"/>
  <c r="B48" i="4"/>
  <c r="B46" i="4"/>
  <c r="K66" i="3"/>
  <c r="K65" i="3"/>
  <c r="K56" i="3"/>
  <c r="K55" i="3"/>
  <c r="K2" i="3"/>
  <c r="M54" i="4"/>
  <c r="B65" i="4"/>
  <c r="C65" i="4" s="1"/>
  <c r="D65" i="4" s="1"/>
  <c r="H40" i="4"/>
  <c r="L42" i="4"/>
  <c r="M42" i="4"/>
  <c r="M56" i="4" s="1"/>
  <c r="N26" i="4"/>
  <c r="N25" i="4"/>
  <c r="N4" i="4"/>
  <c r="N7" i="4"/>
  <c r="N9" i="4"/>
  <c r="N11" i="4"/>
  <c r="N12" i="4"/>
  <c r="N13" i="4"/>
  <c r="N14" i="4"/>
  <c r="N15" i="4"/>
  <c r="N16" i="4"/>
  <c r="N17" i="4"/>
  <c r="N18" i="4"/>
  <c r="N20" i="4"/>
  <c r="N24" i="4"/>
  <c r="N29" i="4"/>
  <c r="C6" i="4"/>
  <c r="D6" i="4"/>
  <c r="E6" i="4"/>
  <c r="F6" i="4"/>
  <c r="B6" i="4"/>
  <c r="C10" i="4"/>
  <c r="D10" i="4"/>
  <c r="E10" i="4"/>
  <c r="F10" i="4"/>
  <c r="D5" i="4"/>
  <c r="E5" i="4"/>
  <c r="N27" i="4"/>
  <c r="M10" i="4"/>
  <c r="L10" i="4"/>
  <c r="K10" i="4"/>
  <c r="J10" i="4"/>
  <c r="I10" i="4"/>
  <c r="H10" i="4"/>
  <c r="G10" i="4"/>
  <c r="B10" i="4"/>
  <c r="M5" i="4"/>
  <c r="K5" i="4"/>
  <c r="J5" i="4"/>
  <c r="F5" i="4"/>
  <c r="B5" i="4"/>
  <c r="I5" i="4"/>
  <c r="K51" i="3"/>
  <c r="K9" i="3"/>
  <c r="K23" i="3"/>
  <c r="K29" i="3"/>
  <c r="J56" i="3"/>
  <c r="J55" i="3"/>
  <c r="J67" i="3" s="1"/>
  <c r="J65" i="3"/>
  <c r="J46" i="3"/>
  <c r="J30" i="3"/>
  <c r="J26" i="3"/>
  <c r="H29" i="3"/>
  <c r="H30" i="3" s="1"/>
  <c r="J6" i="3"/>
  <c r="I66" i="3"/>
  <c r="I56" i="3"/>
  <c r="I55" i="3"/>
  <c r="I46" i="3"/>
  <c r="I47" i="3" s="1"/>
  <c r="I19" i="3"/>
  <c r="H66" i="3"/>
  <c r="H55" i="3"/>
  <c r="G59" i="3"/>
  <c r="G55" i="3"/>
  <c r="G35" i="3"/>
  <c r="I6" i="3"/>
  <c r="I29" i="3" s="1"/>
  <c r="K6" i="3"/>
  <c r="H6" i="3"/>
  <c r="G65" i="3"/>
  <c r="H65" i="3" s="1"/>
  <c r="G60" i="3"/>
  <c r="G56" i="3"/>
  <c r="G51" i="3"/>
  <c r="G48" i="3"/>
  <c r="G44" i="3"/>
  <c r="G19" i="3"/>
  <c r="G2" i="3"/>
  <c r="G5" i="3" s="1"/>
  <c r="F60" i="3"/>
  <c r="F55" i="3"/>
  <c r="F90" i="3"/>
  <c r="F44" i="3"/>
  <c r="E59" i="3"/>
  <c r="E56" i="3"/>
  <c r="E55" i="3"/>
  <c r="E60" i="3"/>
  <c r="E66" i="3"/>
  <c r="F66" i="3" s="1"/>
  <c r="E65" i="3"/>
  <c r="E49" i="3"/>
  <c r="E42" i="3"/>
  <c r="E85" i="3"/>
  <c r="E90" i="3" s="1"/>
  <c r="G43" i="3"/>
  <c r="H43" i="3"/>
  <c r="I43" i="3"/>
  <c r="J43" i="3"/>
  <c r="K43" i="3"/>
  <c r="E36" i="3"/>
  <c r="E41" i="3"/>
  <c r="D56" i="3"/>
  <c r="D60" i="3"/>
  <c r="D55" i="3"/>
  <c r="D42" i="3"/>
  <c r="D19" i="3"/>
  <c r="D85" i="3"/>
  <c r="D57" i="3"/>
  <c r="D59" i="3" s="1"/>
  <c r="K67" i="3"/>
  <c r="D48" i="3"/>
  <c r="E48" i="3" s="1"/>
  <c r="D46" i="3"/>
  <c r="E46" i="3" s="1"/>
  <c r="F46" i="3" s="1"/>
  <c r="G46" i="3" s="1"/>
  <c r="D45" i="3"/>
  <c r="E45" i="3" s="1"/>
  <c r="F45" i="3" s="1"/>
  <c r="G45" i="3" s="1"/>
  <c r="C79" i="3"/>
  <c r="D79" i="3" s="1"/>
  <c r="C61" i="3"/>
  <c r="C60" i="3"/>
  <c r="C57" i="3"/>
  <c r="C53" i="3"/>
  <c r="B43" i="3"/>
  <c r="C38" i="3"/>
  <c r="D38" i="3" s="1"/>
  <c r="C37" i="3"/>
  <c r="C36" i="3"/>
  <c r="C35" i="3"/>
  <c r="B80" i="3"/>
  <c r="C80" i="3" s="1"/>
  <c r="D80" i="3" s="1"/>
  <c r="B67" i="3"/>
  <c r="C64" i="3"/>
  <c r="C56" i="3"/>
  <c r="C55" i="3"/>
  <c r="K47" i="3"/>
  <c r="J47" i="3"/>
  <c r="H47" i="3"/>
  <c r="C47" i="3"/>
  <c r="B47" i="3"/>
  <c r="J24" i="3"/>
  <c r="J27" i="3" s="1"/>
  <c r="J29" i="3" s="1"/>
  <c r="K10" i="3"/>
  <c r="J10" i="3"/>
  <c r="I10" i="3"/>
  <c r="H10" i="3"/>
  <c r="G10" i="3"/>
  <c r="F10" i="3"/>
  <c r="E10" i="3"/>
  <c r="D10" i="3"/>
  <c r="C10" i="3"/>
  <c r="K8" i="3"/>
  <c r="J8" i="3"/>
  <c r="I8" i="3"/>
  <c r="H8" i="3"/>
  <c r="G8" i="3"/>
  <c r="F8" i="3"/>
  <c r="E8" i="3"/>
  <c r="D8" i="3"/>
  <c r="C8" i="3"/>
  <c r="G6" i="3"/>
  <c r="F6" i="3"/>
  <c r="E6" i="3"/>
  <c r="D6" i="3"/>
  <c r="C6" i="3"/>
  <c r="K5" i="3"/>
  <c r="J5" i="3"/>
  <c r="I5" i="3"/>
  <c r="H5" i="3"/>
  <c r="F5" i="3"/>
  <c r="E5" i="3"/>
  <c r="D5" i="3"/>
  <c r="C5" i="3"/>
  <c r="I43" i="1"/>
  <c r="I55" i="1"/>
  <c r="G56" i="1"/>
  <c r="I56" i="1" s="1"/>
  <c r="I18" i="1"/>
  <c r="I3" i="1"/>
  <c r="I5" i="1" s="1"/>
  <c r="G52" i="1"/>
  <c r="G33" i="1"/>
  <c r="G32" i="1"/>
  <c r="G30" i="1"/>
  <c r="E57" i="1"/>
  <c r="G57" i="1" s="1"/>
  <c r="E56" i="1"/>
  <c r="G55" i="1"/>
  <c r="G15" i="1"/>
  <c r="G25" i="1"/>
  <c r="G7" i="1"/>
  <c r="G3" i="1"/>
  <c r="G2" i="1"/>
  <c r="J2" i="1" s="1"/>
  <c r="F30" i="1"/>
  <c r="F52" i="1" s="1"/>
  <c r="E55" i="1"/>
  <c r="F33" i="1"/>
  <c r="C55" i="1"/>
  <c r="D55" i="1"/>
  <c r="L31" i="1"/>
  <c r="E33" i="1"/>
  <c r="E30" i="1"/>
  <c r="E52" i="1" s="1"/>
  <c r="E53" i="1" s="1"/>
  <c r="D44" i="1"/>
  <c r="H44" i="1"/>
  <c r="C44" i="1"/>
  <c r="B43" i="1"/>
  <c r="E43" i="1" s="1"/>
  <c r="F43" i="1" s="1"/>
  <c r="D30" i="1"/>
  <c r="D52" i="1" s="1"/>
  <c r="D53" i="1" s="1"/>
  <c r="H8" i="1"/>
  <c r="G8" i="1"/>
  <c r="F8" i="1"/>
  <c r="I6" i="1"/>
  <c r="H6" i="1"/>
  <c r="G6" i="1"/>
  <c r="F6" i="1"/>
  <c r="E6" i="1"/>
  <c r="D33" i="1"/>
  <c r="D6" i="1"/>
  <c r="J17" i="1"/>
  <c r="G12" i="1"/>
  <c r="D11" i="1"/>
  <c r="J11" i="1" s="1"/>
  <c r="D15" i="1"/>
  <c r="I15" i="1" s="1"/>
  <c r="H52" i="1"/>
  <c r="H53" i="1" s="1"/>
  <c r="I52" i="1"/>
  <c r="C33" i="1"/>
  <c r="C30" i="1"/>
  <c r="C52" i="1" s="1"/>
  <c r="C53" i="1" s="1"/>
  <c r="C3" i="1"/>
  <c r="D18" i="1"/>
  <c r="D5" i="1"/>
  <c r="L33" i="1"/>
  <c r="C18" i="1"/>
  <c r="C6" i="1"/>
  <c r="B26" i="1"/>
  <c r="J16" i="1"/>
  <c r="J32" i="1"/>
  <c r="C8" i="1"/>
  <c r="E5" i="1"/>
  <c r="E27" i="1" s="1"/>
  <c r="F5" i="1"/>
  <c r="F27" i="1" s="1"/>
  <c r="H5" i="1"/>
  <c r="J9" i="1"/>
  <c r="J34" i="1"/>
  <c r="J36" i="1"/>
  <c r="J37" i="1"/>
  <c r="C38" i="1"/>
  <c r="D38" i="1"/>
  <c r="E38" i="1"/>
  <c r="F38" i="1"/>
  <c r="G38" i="1"/>
  <c r="H38" i="1"/>
  <c r="I38" i="1"/>
  <c r="B38" i="1"/>
  <c r="B35" i="1"/>
  <c r="I10" i="1"/>
  <c r="F10" i="1"/>
  <c r="G10" i="1"/>
  <c r="H10" i="1"/>
  <c r="H19" i="1"/>
  <c r="J19" i="1" s="1"/>
  <c r="H20" i="1"/>
  <c r="J20" i="1" s="1"/>
  <c r="J22" i="1"/>
  <c r="H21" i="1"/>
  <c r="J21" i="1" s="1"/>
  <c r="J4" i="1"/>
  <c r="J7" i="1"/>
  <c r="J13" i="1"/>
  <c r="J14" i="1"/>
  <c r="J23" i="1"/>
  <c r="C15" i="1"/>
  <c r="K36" i="9" l="1"/>
  <c r="K44" i="9"/>
  <c r="N13" i="9"/>
  <c r="M36" i="9"/>
  <c r="M55" i="9"/>
  <c r="K13" i="9"/>
  <c r="J13" i="9"/>
  <c r="S13" i="9" s="1"/>
  <c r="L36" i="9"/>
  <c r="K55" i="9"/>
  <c r="L55" i="9"/>
  <c r="N55" i="9"/>
  <c r="J36" i="9"/>
  <c r="M13" i="9"/>
  <c r="M27" i="9"/>
  <c r="N27" i="9"/>
  <c r="K27" i="9"/>
  <c r="Q23" i="9"/>
  <c r="Q27" i="9" s="1"/>
  <c r="L27" i="9"/>
  <c r="N36" i="9"/>
  <c r="H15" i="9"/>
  <c r="H27" i="9" s="1"/>
  <c r="I15" i="9"/>
  <c r="I27" i="9" s="1"/>
  <c r="G15" i="9"/>
  <c r="G27" i="9" s="1"/>
  <c r="L44" i="9"/>
  <c r="J55" i="9"/>
  <c r="R55" i="9" s="1"/>
  <c r="M44" i="9"/>
  <c r="L13" i="9"/>
  <c r="I46" i="8"/>
  <c r="H22" i="8"/>
  <c r="I22" i="8" s="1"/>
  <c r="I20" i="8" s="1"/>
  <c r="I73" i="8"/>
  <c r="H74" i="8"/>
  <c r="H56" i="8"/>
  <c r="I55" i="8"/>
  <c r="H35" i="8"/>
  <c r="I34" i="8"/>
  <c r="I6" i="8"/>
  <c r="H15" i="8"/>
  <c r="I14" i="8"/>
  <c r="N21" i="7"/>
  <c r="F30" i="7"/>
  <c r="F31" i="7" s="1"/>
  <c r="F33" i="7" s="1"/>
  <c r="B32" i="7"/>
  <c r="B73" i="7"/>
  <c r="B74" i="7" s="1"/>
  <c r="D32" i="7"/>
  <c r="H32" i="7"/>
  <c r="I32" i="7"/>
  <c r="L63" i="7"/>
  <c r="L32" i="7"/>
  <c r="B63" i="7"/>
  <c r="G32" i="7"/>
  <c r="M63" i="7"/>
  <c r="E32" i="7"/>
  <c r="M32" i="7"/>
  <c r="K33" i="7"/>
  <c r="K32" i="7"/>
  <c r="I69" i="7"/>
  <c r="B33" i="7"/>
  <c r="F62" i="7"/>
  <c r="F69" i="7"/>
  <c r="J32" i="7"/>
  <c r="J54" i="7"/>
  <c r="J56" i="7" s="1"/>
  <c r="K62" i="7" s="1"/>
  <c r="K63" i="7" s="1"/>
  <c r="G62" i="7"/>
  <c r="G63" i="7" s="1"/>
  <c r="C62" i="7"/>
  <c r="C69" i="7"/>
  <c r="L71" i="7"/>
  <c r="K69" i="7"/>
  <c r="D69" i="7"/>
  <c r="D62" i="7"/>
  <c r="D63" i="7" s="1"/>
  <c r="G71" i="7"/>
  <c r="E69" i="7"/>
  <c r="E62" i="7"/>
  <c r="E63" i="7" s="1"/>
  <c r="H56" i="7"/>
  <c r="C31" i="7"/>
  <c r="C33" i="7" s="1"/>
  <c r="E65" i="7"/>
  <c r="D66" i="7"/>
  <c r="N5" i="7"/>
  <c r="M70" i="7"/>
  <c r="M71" i="7"/>
  <c r="G24" i="5"/>
  <c r="G40" i="5" s="1"/>
  <c r="G41" i="5" s="1"/>
  <c r="G40" i="4"/>
  <c r="G42" i="4" s="1"/>
  <c r="K42" i="4"/>
  <c r="D68" i="4"/>
  <c r="F40" i="4"/>
  <c r="E68" i="4"/>
  <c r="E54" i="4"/>
  <c r="J42" i="4"/>
  <c r="J56" i="4" s="1"/>
  <c r="N3" i="4"/>
  <c r="N21" i="4"/>
  <c r="E42" i="4"/>
  <c r="H42" i="4"/>
  <c r="H56" i="4" s="1"/>
  <c r="C68" i="4"/>
  <c r="C54" i="4"/>
  <c r="G54" i="4"/>
  <c r="G56" i="4" s="1"/>
  <c r="F42" i="4"/>
  <c r="D54" i="4"/>
  <c r="M69" i="4"/>
  <c r="M70" i="4" s="1"/>
  <c r="M71" i="4" s="1"/>
  <c r="C40" i="4"/>
  <c r="C42" i="4" s="1"/>
  <c r="C5" i="4"/>
  <c r="N5" i="4" s="1"/>
  <c r="D40" i="4"/>
  <c r="D42" i="4" s="1"/>
  <c r="F56" i="4"/>
  <c r="K30" i="3"/>
  <c r="K32" i="3" s="1"/>
  <c r="N28" i="4"/>
  <c r="C30" i="4"/>
  <c r="B30" i="4"/>
  <c r="F30" i="4"/>
  <c r="F31" i="4" s="1"/>
  <c r="N23" i="4"/>
  <c r="E30" i="4"/>
  <c r="E31" i="4" s="1"/>
  <c r="D30" i="4"/>
  <c r="D31" i="4" s="1"/>
  <c r="N6" i="4"/>
  <c r="N10" i="4"/>
  <c r="N2" i="4"/>
  <c r="N8" i="4"/>
  <c r="I54" i="4"/>
  <c r="I56" i="4" s="1"/>
  <c r="B54" i="4"/>
  <c r="B40" i="4"/>
  <c r="K54" i="4"/>
  <c r="I65" i="3"/>
  <c r="I67" i="3" s="1"/>
  <c r="H67" i="3"/>
  <c r="G47" i="3"/>
  <c r="F67" i="3"/>
  <c r="G66" i="3"/>
  <c r="G67" i="3" s="1"/>
  <c r="E67" i="3"/>
  <c r="D67" i="3"/>
  <c r="F38" i="3"/>
  <c r="F43" i="3" s="1"/>
  <c r="E43" i="3"/>
  <c r="F47" i="3"/>
  <c r="E47" i="3"/>
  <c r="D47" i="3"/>
  <c r="D43" i="3"/>
  <c r="D90" i="3"/>
  <c r="G5" i="1"/>
  <c r="C31" i="1"/>
  <c r="K31" i="1" s="1"/>
  <c r="G43" i="1"/>
  <c r="H50" i="3"/>
  <c r="H69" i="3" s="1"/>
  <c r="E58" i="1"/>
  <c r="G58" i="1"/>
  <c r="I57" i="1"/>
  <c r="I58" i="1" s="1"/>
  <c r="C59" i="3"/>
  <c r="C43" i="3"/>
  <c r="J43" i="1"/>
  <c r="J32" i="3"/>
  <c r="C29" i="3"/>
  <c r="C30" i="3" s="1"/>
  <c r="C32" i="3" s="1"/>
  <c r="G29" i="3"/>
  <c r="G30" i="3" s="1"/>
  <c r="G50" i="3"/>
  <c r="K50" i="3"/>
  <c r="K69" i="3" s="1"/>
  <c r="K92" i="3" s="1"/>
  <c r="F29" i="3"/>
  <c r="F30" i="3" s="1"/>
  <c r="J50" i="3"/>
  <c r="J69" i="3" s="1"/>
  <c r="J92" i="3" s="1"/>
  <c r="D29" i="3"/>
  <c r="D30" i="3" s="1"/>
  <c r="D32" i="3" s="1"/>
  <c r="I30" i="3"/>
  <c r="I50" i="3"/>
  <c r="I69" i="3" s="1"/>
  <c r="E29" i="3"/>
  <c r="E30" i="3" s="1"/>
  <c r="B50" i="3"/>
  <c r="F53" i="1"/>
  <c r="B42" i="1"/>
  <c r="J18" i="1"/>
  <c r="B39" i="1"/>
  <c r="B46" i="1" s="1"/>
  <c r="F15" i="1"/>
  <c r="C35" i="1"/>
  <c r="J30" i="1"/>
  <c r="I53" i="1"/>
  <c r="H15" i="1"/>
  <c r="H24" i="1" s="1"/>
  <c r="H26" i="1" s="1"/>
  <c r="J3" i="1"/>
  <c r="J5" i="1" s="1"/>
  <c r="E15" i="1"/>
  <c r="I27" i="1"/>
  <c r="G27" i="1"/>
  <c r="J12" i="1"/>
  <c r="H27" i="1"/>
  <c r="G53" i="1"/>
  <c r="K33" i="1"/>
  <c r="D27" i="1"/>
  <c r="C5" i="1"/>
  <c r="C27" i="1" s="1"/>
  <c r="C24" i="1"/>
  <c r="G24" i="1"/>
  <c r="G26" i="1" s="1"/>
  <c r="J25" i="1"/>
  <c r="D24" i="1"/>
  <c r="D26" i="1" s="1"/>
  <c r="F24" i="1"/>
  <c r="F26" i="1" s="1"/>
  <c r="J38" i="1"/>
  <c r="J10" i="1"/>
  <c r="J6" i="1"/>
  <c r="R13" i="9" l="1"/>
  <c r="R44" i="9"/>
  <c r="J27" i="9"/>
  <c r="R36" i="9"/>
  <c r="H75" i="8"/>
  <c r="I74" i="8"/>
  <c r="I56" i="8"/>
  <c r="H57" i="8"/>
  <c r="H36" i="8"/>
  <c r="I35" i="8"/>
  <c r="H16" i="8"/>
  <c r="I15" i="8"/>
  <c r="F32" i="7"/>
  <c r="N30" i="7"/>
  <c r="F63" i="7"/>
  <c r="C73" i="7"/>
  <c r="C32" i="7"/>
  <c r="C63" i="7"/>
  <c r="N31" i="7"/>
  <c r="F70" i="7"/>
  <c r="F71" i="7" s="1"/>
  <c r="C70" i="7"/>
  <c r="C71" i="7" s="1"/>
  <c r="F65" i="7"/>
  <c r="E66" i="7"/>
  <c r="I70" i="7"/>
  <c r="I71" i="7" s="1"/>
  <c r="H69" i="7"/>
  <c r="H62" i="7"/>
  <c r="H63" i="7" s="1"/>
  <c r="I62" i="7"/>
  <c r="I63" i="7" s="1"/>
  <c r="J69" i="7"/>
  <c r="J62" i="7"/>
  <c r="J63" i="7" s="1"/>
  <c r="E70" i="7"/>
  <c r="E71" i="7" s="1"/>
  <c r="D70" i="7"/>
  <c r="D71" i="7" s="1"/>
  <c r="K70" i="7"/>
  <c r="K71" i="7" s="1"/>
  <c r="K56" i="4"/>
  <c r="K69" i="4" s="1"/>
  <c r="K70" i="4" s="1"/>
  <c r="K71" i="4" s="1"/>
  <c r="G62" i="4"/>
  <c r="G69" i="4"/>
  <c r="H62" i="4"/>
  <c r="E56" i="4"/>
  <c r="E69" i="4" s="1"/>
  <c r="E70" i="4" s="1"/>
  <c r="E71" i="4" s="1"/>
  <c r="K62" i="4"/>
  <c r="F62" i="4"/>
  <c r="F63" i="4" s="1"/>
  <c r="F69" i="4"/>
  <c r="D56" i="4"/>
  <c r="D66" i="4" s="1"/>
  <c r="C56" i="4"/>
  <c r="C66" i="4" s="1"/>
  <c r="G70" i="4"/>
  <c r="G71" i="4" s="1"/>
  <c r="C69" i="4"/>
  <c r="C70" i="4" s="1"/>
  <c r="C71" i="4" s="1"/>
  <c r="J62" i="4"/>
  <c r="C31" i="4"/>
  <c r="C33" i="4" s="1"/>
  <c r="I62" i="4"/>
  <c r="J69" i="4"/>
  <c r="J70" i="4" s="1"/>
  <c r="J71" i="4" s="1"/>
  <c r="H69" i="4"/>
  <c r="I69" i="4"/>
  <c r="I70" i="4" s="1"/>
  <c r="I71" i="4" s="1"/>
  <c r="D32" i="4"/>
  <c r="E32" i="4"/>
  <c r="F32" i="4"/>
  <c r="C32" i="4"/>
  <c r="E65" i="4"/>
  <c r="B42" i="4"/>
  <c r="B56" i="4" s="1"/>
  <c r="G30" i="4"/>
  <c r="G31" i="4" s="1"/>
  <c r="G63" i="4" s="1"/>
  <c r="B31" i="4"/>
  <c r="B33" i="4" s="1"/>
  <c r="L54" i="4"/>
  <c r="L56" i="4" s="1"/>
  <c r="I92" i="3"/>
  <c r="I76" i="3"/>
  <c r="I77" i="3" s="1"/>
  <c r="H92" i="3"/>
  <c r="D50" i="3"/>
  <c r="D82" i="3" s="1"/>
  <c r="D83" i="3" s="1"/>
  <c r="G69" i="3"/>
  <c r="G92" i="3" s="1"/>
  <c r="E50" i="3"/>
  <c r="E82" i="3" s="1"/>
  <c r="E83" i="3" s="1"/>
  <c r="F50" i="3"/>
  <c r="F69" i="3" s="1"/>
  <c r="D69" i="3"/>
  <c r="J76" i="3"/>
  <c r="J77" i="3" s="1"/>
  <c r="K76" i="3"/>
  <c r="K77" i="3" s="1"/>
  <c r="C50" i="3"/>
  <c r="C82" i="3" s="1"/>
  <c r="C67" i="3"/>
  <c r="E42" i="1"/>
  <c r="E44" i="1" s="1"/>
  <c r="F42" i="1"/>
  <c r="F44" i="1" s="1"/>
  <c r="C39" i="1"/>
  <c r="H32" i="3"/>
  <c r="F32" i="3"/>
  <c r="I32" i="3"/>
  <c r="C31" i="3"/>
  <c r="D31" i="3" s="1"/>
  <c r="E31" i="3" s="1"/>
  <c r="F31" i="3" s="1"/>
  <c r="G31" i="3" s="1"/>
  <c r="H31" i="3" s="1"/>
  <c r="I31" i="3" s="1"/>
  <c r="E32" i="3"/>
  <c r="B69" i="3"/>
  <c r="J15" i="1"/>
  <c r="H31" i="1"/>
  <c r="C26" i="1"/>
  <c r="D35" i="1"/>
  <c r="D39" i="1" s="1"/>
  <c r="I8" i="1"/>
  <c r="E24" i="1"/>
  <c r="E26" i="1" s="1"/>
  <c r="R27" i="9" l="1"/>
  <c r="S27" i="9"/>
  <c r="H76" i="8"/>
  <c r="I75" i="8"/>
  <c r="H58" i="8"/>
  <c r="I57" i="8"/>
  <c r="H37" i="8"/>
  <c r="I36" i="8"/>
  <c r="H17" i="8"/>
  <c r="I16" i="8"/>
  <c r="D73" i="7"/>
  <c r="C74" i="7"/>
  <c r="G65" i="7"/>
  <c r="F66" i="7"/>
  <c r="J70" i="7"/>
  <c r="J71" i="7" s="1"/>
  <c r="H70" i="7"/>
  <c r="H71" i="7" s="1"/>
  <c r="L69" i="4"/>
  <c r="D69" i="4"/>
  <c r="D70" i="4" s="1"/>
  <c r="D71" i="4" s="1"/>
  <c r="E62" i="4"/>
  <c r="E63" i="4" s="1"/>
  <c r="D62" i="4"/>
  <c r="D63" i="4" s="1"/>
  <c r="E66" i="4"/>
  <c r="F65" i="4"/>
  <c r="F70" i="4"/>
  <c r="F71" i="4" s="1"/>
  <c r="C62" i="4"/>
  <c r="C63" i="4" s="1"/>
  <c r="H70" i="4"/>
  <c r="H71" i="4" s="1"/>
  <c r="M62" i="4"/>
  <c r="F33" i="4"/>
  <c r="G32" i="4"/>
  <c r="E33" i="4"/>
  <c r="D33" i="4"/>
  <c r="B62" i="4"/>
  <c r="B63" i="4" s="1"/>
  <c r="B66" i="4"/>
  <c r="H30" i="4"/>
  <c r="H31" i="4" s="1"/>
  <c r="H63" i="4" s="1"/>
  <c r="B32" i="4"/>
  <c r="J31" i="3"/>
  <c r="K31" i="3" s="1"/>
  <c r="E69" i="3"/>
  <c r="F76" i="3" s="1"/>
  <c r="F77" i="3" s="1"/>
  <c r="H76" i="3"/>
  <c r="H77" i="3"/>
  <c r="G76" i="3"/>
  <c r="G77" i="3" s="1"/>
  <c r="E76" i="3"/>
  <c r="E77" i="3" s="1"/>
  <c r="F82" i="3"/>
  <c r="F83" i="3" s="1"/>
  <c r="G32" i="3"/>
  <c r="C69" i="3"/>
  <c r="D76" i="3" s="1"/>
  <c r="D77" i="3" s="1"/>
  <c r="I24" i="1"/>
  <c r="I26" i="1" s="1"/>
  <c r="J26" i="1" s="1"/>
  <c r="C46" i="1"/>
  <c r="D46" i="1" s="1"/>
  <c r="G42" i="1"/>
  <c r="E35" i="1"/>
  <c r="H33" i="1"/>
  <c r="I33" i="1" s="1"/>
  <c r="F35" i="1"/>
  <c r="F39" i="1" s="1"/>
  <c r="J31" i="1"/>
  <c r="J8" i="1"/>
  <c r="J24" i="1" s="1"/>
  <c r="H77" i="8" l="1"/>
  <c r="I77" i="8" s="1"/>
  <c r="I76" i="8"/>
  <c r="H59" i="8"/>
  <c r="I59" i="8" s="1"/>
  <c r="I58" i="8"/>
  <c r="H38" i="8"/>
  <c r="I37" i="8"/>
  <c r="H18" i="8"/>
  <c r="I17" i="8"/>
  <c r="E73" i="7"/>
  <c r="D74" i="7"/>
  <c r="G66" i="7"/>
  <c r="H65" i="7"/>
  <c r="G65" i="4"/>
  <c r="F66" i="4"/>
  <c r="L70" i="4"/>
  <c r="L71" i="4" s="1"/>
  <c r="H32" i="4"/>
  <c r="G33" i="4"/>
  <c r="H65" i="4"/>
  <c r="I65" i="4" s="1"/>
  <c r="I30" i="4"/>
  <c r="I31" i="4" s="1"/>
  <c r="I63" i="4" s="1"/>
  <c r="C76" i="3"/>
  <c r="C77" i="3" s="1"/>
  <c r="E39" i="1"/>
  <c r="E46" i="1" s="1"/>
  <c r="F46" i="1" s="1"/>
  <c r="G44" i="1"/>
  <c r="I42" i="1"/>
  <c r="I44" i="1" s="1"/>
  <c r="G35" i="1"/>
  <c r="G39" i="1" s="1"/>
  <c r="I68" i="8" l="1"/>
  <c r="I63" i="8" s="1"/>
  <c r="I50" i="8"/>
  <c r="I45" i="8" s="1"/>
  <c r="H39" i="8"/>
  <c r="I38" i="8"/>
  <c r="H19" i="8"/>
  <c r="I19" i="8" s="1"/>
  <c r="I18" i="8"/>
  <c r="F73" i="7"/>
  <c r="E74" i="7"/>
  <c r="H66" i="7"/>
  <c r="I65" i="7"/>
  <c r="G66" i="4"/>
  <c r="I32" i="4"/>
  <c r="H33" i="4"/>
  <c r="J65" i="4"/>
  <c r="K65" i="4" s="1"/>
  <c r="I66" i="4"/>
  <c r="H66" i="4"/>
  <c r="J30" i="4"/>
  <c r="J31" i="4" s="1"/>
  <c r="J63" i="4" s="1"/>
  <c r="G46" i="1"/>
  <c r="J42" i="1"/>
  <c r="J44" i="1" s="1"/>
  <c r="H35" i="1"/>
  <c r="H40" i="8" l="1"/>
  <c r="I40" i="8" s="1"/>
  <c r="I39" i="8"/>
  <c r="I10" i="8"/>
  <c r="I5" i="8" s="1"/>
  <c r="G73" i="7"/>
  <c r="F74" i="7"/>
  <c r="I66" i="7"/>
  <c r="J65" i="7"/>
  <c r="D12" i="6"/>
  <c r="J32" i="4"/>
  <c r="I33" i="4"/>
  <c r="J66" i="4"/>
  <c r="K30" i="4"/>
  <c r="K31" i="4" s="1"/>
  <c r="K63" i="4" s="1"/>
  <c r="H39" i="1"/>
  <c r="H46" i="1" s="1"/>
  <c r="I35" i="1"/>
  <c r="J33" i="1"/>
  <c r="I31" i="8" l="1"/>
  <c r="I25" i="8" s="1"/>
  <c r="J4" i="8" s="1"/>
  <c r="H73" i="7"/>
  <c r="G74" i="7"/>
  <c r="K65" i="7"/>
  <c r="J66" i="7"/>
  <c r="K32" i="4"/>
  <c r="J33" i="4"/>
  <c r="L65" i="4"/>
  <c r="L30" i="4"/>
  <c r="L31" i="4" s="1"/>
  <c r="L63" i="4" s="1"/>
  <c r="N19" i="4"/>
  <c r="I39" i="1"/>
  <c r="I46" i="1" s="1"/>
  <c r="J35" i="1"/>
  <c r="J39" i="1" s="1"/>
  <c r="J46" i="1" s="1"/>
  <c r="H74" i="7" l="1"/>
  <c r="I73" i="7"/>
  <c r="K66" i="7"/>
  <c r="L65" i="7"/>
  <c r="C14" i="6"/>
  <c r="D14" i="6" s="1"/>
  <c r="L32" i="4"/>
  <c r="K33" i="4"/>
  <c r="M65" i="4"/>
  <c r="M66" i="4" s="1"/>
  <c r="M30" i="4"/>
  <c r="J73" i="7" l="1"/>
  <c r="I74" i="7"/>
  <c r="L66" i="7"/>
  <c r="M65" i="7"/>
  <c r="M66" i="7" s="1"/>
  <c r="C15" i="6"/>
  <c r="D15" i="6" s="1"/>
  <c r="N30" i="4"/>
  <c r="M31" i="4"/>
  <c r="M73" i="4" s="1"/>
  <c r="L33" i="4"/>
  <c r="K73" i="7" l="1"/>
  <c r="J74" i="7"/>
  <c r="C16" i="6"/>
  <c r="D16" i="6" s="1"/>
  <c r="M32" i="4"/>
  <c r="M63" i="4"/>
  <c r="M33" i="4"/>
  <c r="N31" i="4"/>
  <c r="L73" i="7" l="1"/>
  <c r="K74" i="7"/>
  <c r="C17" i="6"/>
  <c r="D17" i="6" s="1"/>
  <c r="M73" i="7" l="1"/>
  <c r="M74" i="7" s="1"/>
  <c r="L74" i="7"/>
  <c r="C18" i="6"/>
  <c r="D18" i="6" s="1"/>
  <c r="C19" i="6" l="1"/>
  <c r="D19" i="6" s="1"/>
  <c r="C20" i="6" l="1"/>
  <c r="D20" i="6" s="1"/>
  <c r="C21" i="6" l="1"/>
  <c r="D21" i="6" s="1"/>
  <c r="C22" i="6" l="1"/>
  <c r="D22" i="6" s="1"/>
  <c r="C23" i="6" l="1"/>
  <c r="D23" i="6" s="1"/>
  <c r="C24" i="6" l="1"/>
  <c r="D24" i="6" s="1"/>
  <c r="C25" i="6" l="1"/>
  <c r="D25" i="6" s="1"/>
  <c r="C26" i="6" l="1"/>
  <c r="D26" i="6" s="1"/>
  <c r="C27" i="6" l="1"/>
  <c r="D27" i="6" s="1"/>
  <c r="C28" i="6" l="1"/>
  <c r="D28" i="6" s="1"/>
  <c r="C29" i="6" l="1"/>
  <c r="D29" i="6" s="1"/>
  <c r="C30" i="6" l="1"/>
  <c r="D30" i="6" l="1"/>
  <c r="C31" i="6" s="1"/>
  <c r="D31" i="6" l="1"/>
  <c r="C32" i="6" s="1"/>
  <c r="D32" i="6" l="1"/>
  <c r="C33" i="6"/>
  <c r="D33" i="6" l="1"/>
  <c r="C34" i="6"/>
  <c r="D34" i="6" s="1"/>
  <c r="C35" i="6" s="1"/>
  <c r="D35" i="6" s="1"/>
  <c r="C36" i="6" s="1"/>
  <c r="D36" i="6" s="1"/>
  <c r="C37" i="6" s="1"/>
  <c r="D37" i="6" s="1"/>
</calcChain>
</file>

<file path=xl/sharedStrings.xml><?xml version="1.0" encoding="utf-8"?>
<sst xmlns="http://schemas.openxmlformats.org/spreadsheetml/2006/main" count="489" uniqueCount="233">
  <si>
    <t>ПЛАН</t>
  </si>
  <si>
    <t>Прочие доходы</t>
  </si>
  <si>
    <t>Коммуналка МО</t>
  </si>
  <si>
    <t>Зарплата я</t>
  </si>
  <si>
    <t>Зарплата Леша</t>
  </si>
  <si>
    <t>Коммуналка Рязань</t>
  </si>
  <si>
    <t>Налог машина</t>
  </si>
  <si>
    <t>Налог кв. Рязань</t>
  </si>
  <si>
    <t>Налог кв., м/м МО</t>
  </si>
  <si>
    <t>Налог участок</t>
  </si>
  <si>
    <t>Налоги прочие</t>
  </si>
  <si>
    <t>Текущие расходы</t>
  </si>
  <si>
    <t>Транспорт</t>
  </si>
  <si>
    <t>В НАКОПЛЕНИЯ</t>
  </si>
  <si>
    <t>Прочие расходы</t>
  </si>
  <si>
    <t>НАКОПЛЕНИЯ</t>
  </si>
  <si>
    <t>ВТБ накоп.счет</t>
  </si>
  <si>
    <t>Альфа накоп.счет</t>
  </si>
  <si>
    <t>Бензин и машина</t>
  </si>
  <si>
    <t>ВТБ накоп.счет, $</t>
  </si>
  <si>
    <t>Тинькофф депозит, $</t>
  </si>
  <si>
    <t>ИНВЕСТИЦИИ</t>
  </si>
  <si>
    <t>$</t>
  </si>
  <si>
    <t>F</t>
  </si>
  <si>
    <t>Маникюр, педикюр, стрижки</t>
  </si>
  <si>
    <t>остаток</t>
  </si>
  <si>
    <t>% в накопления</t>
  </si>
  <si>
    <t>ИТОГО, руб.</t>
  </si>
  <si>
    <t>ИТОГО, $</t>
  </si>
  <si>
    <t>ВСЕГО по курсу</t>
  </si>
  <si>
    <t>Коммуналка участок резерв</t>
  </si>
  <si>
    <t>E</t>
  </si>
  <si>
    <t>Для дома</t>
  </si>
  <si>
    <t>Подарки</t>
  </si>
  <si>
    <t>ИТОГО ДОХОДЫ:</t>
  </si>
  <si>
    <t>ИТОГО РАСХОДЫ:</t>
  </si>
  <si>
    <t>По участку (юрист и пр.)</t>
  </si>
  <si>
    <t>ВТБ накоп.счет %% (4%)</t>
  </si>
  <si>
    <t>Альфа накоп.счет %% 4,5%</t>
  </si>
  <si>
    <t>В НАКОПЛЕНИЯ ФАКТ</t>
  </si>
  <si>
    <t>ВСЕГО нараст.итог</t>
  </si>
  <si>
    <t>ОТКЛОНЕНИЕ</t>
  </si>
  <si>
    <t>Связь, интернет</t>
  </si>
  <si>
    <t>Одежда, обувь, косметика</t>
  </si>
  <si>
    <t>Сбер депозит, нс</t>
  </si>
  <si>
    <t>Тинькофф накоп.счет резерв</t>
  </si>
  <si>
    <t xml:space="preserve">ВСЕГО </t>
  </si>
  <si>
    <t xml:space="preserve">ВТБ </t>
  </si>
  <si>
    <t xml:space="preserve">Тинькофф </t>
  </si>
  <si>
    <t>на 5 число</t>
  </si>
  <si>
    <t>Тинькофф резерв</t>
  </si>
  <si>
    <t>Сбер накоп.счет</t>
  </si>
  <si>
    <t>Долг Павличенко</t>
  </si>
  <si>
    <t>ВТБ F</t>
  </si>
  <si>
    <t>ВТБ руб</t>
  </si>
  <si>
    <t>Тинькофф Я руб</t>
  </si>
  <si>
    <t>Альфа Леша руб</t>
  </si>
  <si>
    <t>Тинькофф Леша $</t>
  </si>
  <si>
    <t>Тинькофф Леша ИИС $</t>
  </si>
  <si>
    <t>Альфа Леша $</t>
  </si>
  <si>
    <t>Альфа Я ИИС $</t>
  </si>
  <si>
    <t>Юань</t>
  </si>
  <si>
    <t>Гонконг $</t>
  </si>
  <si>
    <t>Золото 20г</t>
  </si>
  <si>
    <t>Тинькофф Леша руб.</t>
  </si>
  <si>
    <t>Тинькофф Леша юань</t>
  </si>
  <si>
    <t>Тинькофф Леша ИИС гонконг $</t>
  </si>
  <si>
    <t>Резерв на потери (блокировка) $</t>
  </si>
  <si>
    <t>Резерв на потери (блокировка) руб</t>
  </si>
  <si>
    <t>Расчетная плата</t>
  </si>
  <si>
    <t>Ликвидность</t>
  </si>
  <si>
    <t>Тинькофф Леша ИИС руб.</t>
  </si>
  <si>
    <t>Нал $</t>
  </si>
  <si>
    <t>Сбер</t>
  </si>
  <si>
    <t>ВТБ</t>
  </si>
  <si>
    <t>ГПБ депозит</t>
  </si>
  <si>
    <t>Сбер депозит Леша</t>
  </si>
  <si>
    <t>Тинькофф</t>
  </si>
  <si>
    <t xml:space="preserve">Тинькофф   </t>
  </si>
  <si>
    <t>ВТБ F резерв</t>
  </si>
  <si>
    <t>ГПБ</t>
  </si>
  <si>
    <t>ТКС</t>
  </si>
  <si>
    <t>Альфа</t>
  </si>
  <si>
    <t>Дом</t>
  </si>
  <si>
    <t>ВСЕГО инвестиции</t>
  </si>
  <si>
    <t>ИТОГО средств</t>
  </si>
  <si>
    <t>КРЕДИТ ост.долга</t>
  </si>
  <si>
    <t>Чистый долг</t>
  </si>
  <si>
    <t>Ипотека</t>
  </si>
  <si>
    <t>Досрочное погашение</t>
  </si>
  <si>
    <t>Коммуналка Истра</t>
  </si>
  <si>
    <t>Коммуналка Красногорск</t>
  </si>
  <si>
    <t xml:space="preserve">Альфа Я ИИС </t>
  </si>
  <si>
    <t>Детский сад</t>
  </si>
  <si>
    <t>Мебель</t>
  </si>
  <si>
    <t>ВСЕГО</t>
  </si>
  <si>
    <t>Налог участок ЕД</t>
  </si>
  <si>
    <t>Налог Истра участок+аренда</t>
  </si>
  <si>
    <t>ВТБ накоп.счет+депозит</t>
  </si>
  <si>
    <t>Альфа счет, депозит</t>
  </si>
  <si>
    <t>Рубли</t>
  </si>
  <si>
    <t>Валюта</t>
  </si>
  <si>
    <t>Чистая позиция</t>
  </si>
  <si>
    <t>Налог Истра дом</t>
  </si>
  <si>
    <t>Отпуск</t>
  </si>
  <si>
    <t>Нал, руб.</t>
  </si>
  <si>
    <t>Внешняя отделка и утепление</t>
  </si>
  <si>
    <t>Работы</t>
  </si>
  <si>
    <t xml:space="preserve">утепление </t>
  </si>
  <si>
    <t>Работы на 265.5 м2</t>
  </si>
  <si>
    <t>штукатурка</t>
  </si>
  <si>
    <t>сборка лесов</t>
  </si>
  <si>
    <t>демонтаж сайдинга</t>
  </si>
  <si>
    <t>выкладка пеноблоками</t>
  </si>
  <si>
    <t>Материалы</t>
  </si>
  <si>
    <t>утеплитель и сопутств.</t>
  </si>
  <si>
    <t>пеноблоки</t>
  </si>
  <si>
    <t>уголки</t>
  </si>
  <si>
    <t>материалы Леша</t>
  </si>
  <si>
    <t>Внутренний ремонт</t>
  </si>
  <si>
    <t>Сумма</t>
  </si>
  <si>
    <t>Оплачено</t>
  </si>
  <si>
    <t>аванс</t>
  </si>
  <si>
    <t>Материалы Леша</t>
  </si>
  <si>
    <t>Внешняя отделка финал</t>
  </si>
  <si>
    <t>подготовка под декорат.штукатурку</t>
  </si>
  <si>
    <t>грунтовка колерованная</t>
  </si>
  <si>
    <t>нанесение декоратив.штукатурки</t>
  </si>
  <si>
    <t>прочее</t>
  </si>
  <si>
    <t>окна</t>
  </si>
  <si>
    <t>подолконники</t>
  </si>
  <si>
    <t>монтаж</t>
  </si>
  <si>
    <t>радиаторы</t>
  </si>
  <si>
    <t>?</t>
  </si>
  <si>
    <t>штукатурка, блоки, гипсокартон и пр.</t>
  </si>
  <si>
    <t>разбор деревянных стен</t>
  </si>
  <si>
    <t>электрика</t>
  </si>
  <si>
    <t>Дата</t>
  </si>
  <si>
    <t>В накопления</t>
  </si>
  <si>
    <t>Нараст итог</t>
  </si>
  <si>
    <t>%%</t>
  </si>
  <si>
    <t>Ставка</t>
  </si>
  <si>
    <t>Расход</t>
  </si>
  <si>
    <t>Мебель, техника, ремонт, газ</t>
  </si>
  <si>
    <t>Ликвидные</t>
  </si>
  <si>
    <t>ПЛАНОВОЕ</t>
  </si>
  <si>
    <t>кухня</t>
  </si>
  <si>
    <t>коридор+туалет</t>
  </si>
  <si>
    <t>комната 1 эт</t>
  </si>
  <si>
    <t>кабинет</t>
  </si>
  <si>
    <t>коридор 2 эт</t>
  </si>
  <si>
    <t>гостевая 2 эт</t>
  </si>
  <si>
    <t>Котел</t>
  </si>
  <si>
    <t>Электрика</t>
  </si>
  <si>
    <t>Разводка отопления</t>
  </si>
  <si>
    <t>лестница</t>
  </si>
  <si>
    <t>МЕБЕЛЬ</t>
  </si>
  <si>
    <t>библиотека</t>
  </si>
  <si>
    <t>Остальное</t>
  </si>
  <si>
    <t>материалы</t>
  </si>
  <si>
    <t>двери</t>
  </si>
  <si>
    <t>минус скидка 100</t>
  </si>
  <si>
    <t>полы</t>
  </si>
  <si>
    <t>разбор</t>
  </si>
  <si>
    <t>стяжка</t>
  </si>
  <si>
    <t>плитка</t>
  </si>
  <si>
    <t>метраж</t>
  </si>
  <si>
    <t>цена ед</t>
  </si>
  <si>
    <t>РАБОТЫ</t>
  </si>
  <si>
    <t>стоимость</t>
  </si>
  <si>
    <t>длина</t>
  </si>
  <si>
    <t>ширина</t>
  </si>
  <si>
    <t>высота</t>
  </si>
  <si>
    <t>стены</t>
  </si>
  <si>
    <t>грунтовка</t>
  </si>
  <si>
    <t>грунтовка 2</t>
  </si>
  <si>
    <t>шпаклевка</t>
  </si>
  <si>
    <t>грунтовка 3</t>
  </si>
  <si>
    <t>стеклохолст</t>
  </si>
  <si>
    <t>шпаклевка 2</t>
  </si>
  <si>
    <t>грунтовка 4</t>
  </si>
  <si>
    <t>покраска</t>
  </si>
  <si>
    <t>потолок</t>
  </si>
  <si>
    <t>гипсокартон</t>
  </si>
  <si>
    <t>коридор</t>
  </si>
  <si>
    <t>доп.стена</t>
  </si>
  <si>
    <t>пеноблок</t>
  </si>
  <si>
    <t>туалет</t>
  </si>
  <si>
    <t>ламинат</t>
  </si>
  <si>
    <t>СДЕЛАНО</t>
  </si>
  <si>
    <t>ОПЛАЧЕНО</t>
  </si>
  <si>
    <t>Долг</t>
  </si>
  <si>
    <t>Работы внутренние</t>
  </si>
  <si>
    <t>Теплый пол</t>
  </si>
  <si>
    <t>кладка</t>
  </si>
  <si>
    <t>К1</t>
  </si>
  <si>
    <t>К2</t>
  </si>
  <si>
    <t>К3</t>
  </si>
  <si>
    <t>К4</t>
  </si>
  <si>
    <t>площадь</t>
  </si>
  <si>
    <t>разборка</t>
  </si>
  <si>
    <t>ИТОГО</t>
  </si>
  <si>
    <t>холл</t>
  </si>
  <si>
    <t>санузел</t>
  </si>
  <si>
    <t>Х1</t>
  </si>
  <si>
    <t>Х2</t>
  </si>
  <si>
    <t>Х3</t>
  </si>
  <si>
    <t>Х4</t>
  </si>
  <si>
    <t>Х5</t>
  </si>
  <si>
    <t>Х6</t>
  </si>
  <si>
    <t>Х7</t>
  </si>
  <si>
    <t>С1</t>
  </si>
  <si>
    <t>С2</t>
  </si>
  <si>
    <t>С3</t>
  </si>
  <si>
    <t>С4</t>
  </si>
  <si>
    <t>тамбур</t>
  </si>
  <si>
    <t>Т1</t>
  </si>
  <si>
    <t>Т2</t>
  </si>
  <si>
    <t>Т3</t>
  </si>
  <si>
    <t>котельная</t>
  </si>
  <si>
    <t>КО1</t>
  </si>
  <si>
    <t>КО2</t>
  </si>
  <si>
    <t>КО3</t>
  </si>
  <si>
    <t>КО4</t>
  </si>
  <si>
    <t>Сделано</t>
  </si>
  <si>
    <t>гипсокортон</t>
  </si>
  <si>
    <t>Откосы</t>
  </si>
  <si>
    <t>Откосы стены</t>
  </si>
  <si>
    <t>Откосы потолок</t>
  </si>
  <si>
    <t>подоконники</t>
  </si>
  <si>
    <t>Потолок откосы</t>
  </si>
  <si>
    <t>подразетники</t>
  </si>
  <si>
    <t>тендер62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</si>
</sst>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₽-419]_-;\-* #,##0.00\ [$₽-419]_-;_-* &quot;-&quot;??\ [$₽-419]_-;_-@_-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5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70C0"/>
      <name val="Arial"/>
      <family val="2"/>
    </font>
    <font>
      <b/>
      <sz val="14"/>
      <color rgb="FF0070C0"/>
      <name val="Arial"/>
      <family val="2"/>
    </font>
    <font>
      <b/>
      <sz val="15"/>
      <color rgb="FF0070C0"/>
      <name val="Arial"/>
      <family val="2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2"/>
      <color rgb="FF333333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1" fillId="0" borderId="0" xfId="0" applyNumberFormat="1" applyFont="1"/>
    <xf numFmtId="4" fontId="1" fillId="0" borderId="0" xfId="0" applyNumberFormat="1" applyFont="1"/>
    <xf numFmtId="17" fontId="1" fillId="0" borderId="0" xfId="0" applyNumberFormat="1" applyFont="1"/>
    <xf numFmtId="49" fontId="2" fillId="0" borderId="0" xfId="0" applyNumberFormat="1" applyFont="1" applyAlignment="1">
      <alignment horizontal="center"/>
    </xf>
    <xf numFmtId="17" fontId="2" fillId="0" borderId="0" xfId="0" applyNumberFormat="1" applyFont="1"/>
    <xf numFmtId="3" fontId="2" fillId="0" borderId="0" xfId="0" applyNumberFormat="1" applyFont="1"/>
    <xf numFmtId="3" fontId="4" fillId="0" borderId="0" xfId="0" applyNumberFormat="1" applyFont="1"/>
    <xf numFmtId="3" fontId="3" fillId="0" borderId="0" xfId="0" applyNumberFormat="1" applyFont="1"/>
    <xf numFmtId="17" fontId="1" fillId="2" borderId="0" xfId="0" applyNumberFormat="1" applyFont="1" applyFill="1"/>
    <xf numFmtId="3" fontId="1" fillId="2" borderId="0" xfId="0" applyNumberFormat="1" applyFont="1" applyFill="1"/>
    <xf numFmtId="3" fontId="2" fillId="2" borderId="0" xfId="0" applyNumberFormat="1" applyFont="1" applyFill="1"/>
    <xf numFmtId="3" fontId="4" fillId="2" borderId="0" xfId="0" applyNumberFormat="1" applyFont="1" applyFill="1"/>
    <xf numFmtId="0" fontId="1" fillId="2" borderId="0" xfId="0" applyFont="1" applyFill="1"/>
    <xf numFmtId="4" fontId="2" fillId="0" borderId="0" xfId="0" applyNumberFormat="1" applyFont="1"/>
    <xf numFmtId="3" fontId="3" fillId="2" borderId="0" xfId="0" applyNumberFormat="1" applyFont="1" applyFill="1"/>
    <xf numFmtId="17" fontId="2" fillId="3" borderId="0" xfId="0" applyNumberFormat="1" applyFont="1" applyFill="1"/>
    <xf numFmtId="3" fontId="2" fillId="3" borderId="0" xfId="0" applyNumberFormat="1" applyFont="1" applyFill="1"/>
    <xf numFmtId="3" fontId="4" fillId="3" borderId="0" xfId="0" applyNumberFormat="1" applyFont="1" applyFill="1"/>
    <xf numFmtId="0" fontId="2" fillId="3" borderId="0" xfId="0" applyFont="1" applyFill="1"/>
    <xf numFmtId="3" fontId="2" fillId="4" borderId="0" xfId="0" applyNumberFormat="1" applyFont="1" applyFill="1"/>
    <xf numFmtId="4" fontId="3" fillId="0" borderId="0" xfId="0" applyNumberFormat="1" applyFont="1"/>
    <xf numFmtId="0" fontId="1" fillId="5" borderId="0" xfId="0" applyFont="1" applyFill="1"/>
    <xf numFmtId="3" fontId="1" fillId="5" borderId="0" xfId="0" applyNumberFormat="1" applyFont="1" applyFill="1"/>
    <xf numFmtId="3" fontId="3" fillId="5" borderId="0" xfId="0" applyNumberFormat="1" applyFont="1" applyFill="1"/>
    <xf numFmtId="0" fontId="2" fillId="5" borderId="0" xfId="0" applyFont="1" applyFill="1"/>
    <xf numFmtId="0" fontId="4" fillId="5" borderId="0" xfId="0" applyFont="1" applyFill="1"/>
    <xf numFmtId="3" fontId="2" fillId="5" borderId="0" xfId="0" applyNumberFormat="1" applyFont="1" applyFill="1"/>
    <xf numFmtId="17" fontId="1" fillId="6" borderId="0" xfId="0" applyNumberFormat="1" applyFont="1" applyFill="1"/>
    <xf numFmtId="3" fontId="1" fillId="6" borderId="0" xfId="0" applyNumberFormat="1" applyFont="1" applyFill="1"/>
    <xf numFmtId="3" fontId="2" fillId="6" borderId="0" xfId="0" applyNumberFormat="1" applyFont="1" applyFill="1"/>
    <xf numFmtId="3" fontId="3" fillId="6" borderId="0" xfId="0" applyNumberFormat="1" applyFont="1" applyFill="1"/>
    <xf numFmtId="3" fontId="4" fillId="6" borderId="0" xfId="0" applyNumberFormat="1" applyFont="1" applyFill="1"/>
    <xf numFmtId="0" fontId="1" fillId="6" borderId="0" xfId="0" applyFont="1" applyFill="1"/>
    <xf numFmtId="10" fontId="1" fillId="0" borderId="0" xfId="0" applyNumberFormat="1" applyFont="1"/>
    <xf numFmtId="3" fontId="1" fillId="7" borderId="0" xfId="0" applyNumberFormat="1" applyFont="1" applyFill="1"/>
    <xf numFmtId="0" fontId="5" fillId="0" borderId="0" xfId="0" applyFont="1"/>
    <xf numFmtId="0" fontId="5" fillId="0" borderId="0" xfId="0" applyFont="1" applyAlignment="1">
      <alignment horizontal="right"/>
    </xf>
    <xf numFmtId="3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right"/>
    </xf>
    <xf numFmtId="3" fontId="6" fillId="0" borderId="0" xfId="0" applyNumberFormat="1" applyFont="1"/>
    <xf numFmtId="3" fontId="5" fillId="3" borderId="0" xfId="0" applyNumberFormat="1" applyFont="1" applyFill="1"/>
    <xf numFmtId="3" fontId="6" fillId="3" borderId="0" xfId="0" applyNumberFormat="1" applyFont="1" applyFill="1"/>
    <xf numFmtId="3" fontId="5" fillId="6" borderId="0" xfId="0" applyNumberFormat="1" applyFont="1" applyFill="1"/>
    <xf numFmtId="0" fontId="7" fillId="0" borderId="0" xfId="0" applyFont="1"/>
    <xf numFmtId="3" fontId="7" fillId="0" borderId="0" xfId="0" applyNumberFormat="1" applyFont="1"/>
    <xf numFmtId="14" fontId="0" fillId="0" borderId="0" xfId="0" applyNumberFormat="1"/>
    <xf numFmtId="3" fontId="0" fillId="0" borderId="0" xfId="0" applyNumberFormat="1"/>
    <xf numFmtId="9" fontId="0" fillId="0" borderId="0" xfId="0" applyNumberFormat="1"/>
    <xf numFmtId="3" fontId="8" fillId="0" borderId="0" xfId="0" applyNumberFormat="1" applyFont="1"/>
    <xf numFmtId="0" fontId="8" fillId="0" borderId="0" xfId="0" applyFont="1"/>
    <xf numFmtId="14" fontId="9" fillId="0" borderId="0" xfId="0" applyNumberFormat="1" applyFont="1"/>
    <xf numFmtId="3" fontId="9" fillId="0" borderId="0" xfId="0" applyNumberFormat="1" applyFont="1"/>
    <xf numFmtId="3" fontId="10" fillId="0" borderId="0" xfId="0" applyNumberFormat="1" applyFont="1"/>
    <xf numFmtId="9" fontId="9" fillId="0" borderId="0" xfId="0" applyNumberFormat="1" applyFont="1"/>
    <xf numFmtId="0" fontId="9" fillId="0" borderId="0" xfId="0" applyFont="1"/>
    <xf numFmtId="0" fontId="11" fillId="0" borderId="0" xfId="0" applyFont="1"/>
    <xf numFmtId="3" fontId="11" fillId="0" borderId="0" xfId="0" applyNumberFormat="1" applyFont="1"/>
    <xf numFmtId="0" fontId="12" fillId="0" borderId="0" xfId="0" applyFont="1" applyAlignment="1">
      <alignment horizontal="right"/>
    </xf>
    <xf numFmtId="3" fontId="12" fillId="0" borderId="0" xfId="0" applyNumberFormat="1" applyFont="1"/>
    <xf numFmtId="0" fontId="13" fillId="0" borderId="0" xfId="0" applyFont="1"/>
    <xf numFmtId="3" fontId="12" fillId="8" borderId="0" xfId="0" applyNumberFormat="1" applyFont="1" applyFill="1"/>
    <xf numFmtId="3" fontId="11" fillId="8" borderId="0" xfId="0" applyNumberFormat="1" applyFont="1" applyFill="1"/>
    <xf numFmtId="4" fontId="8" fillId="0" borderId="0" xfId="0" applyNumberFormat="1" applyFont="1"/>
    <xf numFmtId="0" fontId="10" fillId="0" borderId="0" xfId="0" applyFont="1"/>
    <xf numFmtId="4" fontId="10" fillId="0" borderId="0" xfId="0" applyNumberFormat="1" applyFont="1"/>
    <xf numFmtId="0" fontId="8" fillId="9" borderId="0" xfId="0" applyFont="1" applyFill="1"/>
    <xf numFmtId="4" fontId="8" fillId="9" borderId="0" xfId="0" applyNumberFormat="1" applyFont="1" applyFill="1"/>
    <xf numFmtId="0" fontId="10" fillId="9" borderId="0" xfId="0" applyFont="1" applyFill="1"/>
    <xf numFmtId="4" fontId="10" fillId="9" borderId="0" xfId="0" applyNumberFormat="1" applyFont="1" applyFill="1"/>
    <xf numFmtId="0" fontId="8" fillId="3" borderId="0" xfId="0" applyFont="1" applyFill="1"/>
    <xf numFmtId="3" fontId="10" fillId="9" borderId="0" xfId="0" applyNumberFormat="1" applyFont="1" applyFill="1"/>
    <xf numFmtId="3" fontId="8" fillId="3" borderId="0" xfId="0" applyNumberFormat="1" applyFont="1" applyFill="1"/>
    <xf numFmtId="3" fontId="8" fillId="9" borderId="0" xfId="0" applyNumberFormat="1" applyFont="1" applyFill="1"/>
    <xf numFmtId="3" fontId="11" fillId="4" borderId="0" xfId="0" applyNumberFormat="1" applyFont="1" applyFill="1"/>
    <xf numFmtId="0" fontId="15" fillId="0" borderId="0" xfId="0" applyFont="1"/>
    <xf numFmtId="2" fontId="14" fillId="0" borderId="0" xfId="0" applyNumberFormat="1" applyFont="1"/>
    <xf numFmtId="2" fontId="15" fillId="0" borderId="0" xfId="0" applyNumberFormat="1" applyFont="1"/>
    <xf numFmtId="164" fontId="10" fillId="0" borderId="0" xfId="0" applyNumberFormat="1" applyFont="1"/>
    <xf numFmtId="164" fontId="14" fillId="0" borderId="0" xfId="0" applyNumberFormat="1" applyFont="1"/>
    <xf numFmtId="3" fontId="15" fillId="0" borderId="0" xfId="0" applyNumberFormat="1" applyFont="1"/>
    <xf numFmtId="164" fontId="14" fillId="10" borderId="0" xfId="0" applyNumberFormat="1" applyFont="1" applyFill="1"/>
    <xf numFmtId="164" fontId="15" fillId="0" borderId="0" xfId="0" applyNumberFormat="1" applyFont="1"/>
    <xf numFmtId="0" fontId="8" fillId="11" borderId="0" xfId="0" applyFont="1" applyFill="1"/>
    <xf numFmtId="2" fontId="14" fillId="11" borderId="0" xfId="0" applyNumberFormat="1" applyFont="1" applyFill="1"/>
    <xf numFmtId="2" fontId="10" fillId="0" borderId="0" xfId="0" applyNumberFormat="1" applyFont="1"/>
    <xf numFmtId="0" fontId="0" fillId="0" borderId="1" xfId="0" applyBorder="1"/>
    <xf numFmtId="0" fontId="0" fillId="0" borderId="2" xfId="0" applyBorder="1"/>
    <xf numFmtId="2" fontId="0" fillId="0" borderId="3" xfId="0" applyNumberFormat="1" applyBorder="1"/>
    <xf numFmtId="0" fontId="17" fillId="0" borderId="0" xfId="0" applyFont="1" applyAlignment="1">
      <alignment horizontal="left" vertical="center" wrapText="1" indent="2"/>
    </xf>
    <xf numFmtId="164" fontId="14" fillId="0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738B-B979-F547-A83B-5B94C7AC877E}">
  <sheetPr>
    <pageSetUpPr fitToPage="1"/>
  </sheetPr>
  <dimension ref="A1:AG74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E14" sqref="E14"/>
    </sheetView>
  </sheetViews>
  <sheetFormatPr defaultColWidth="9.140625" defaultRowHeight="12.75" x14ac:dyDescent="0.2"/>
  <cols>
    <col min="1" max="1" width="29.140625" style="1" customWidth="1"/>
    <col min="2" max="6" width="9.140625" style="1" customWidth="1"/>
    <col min="7" max="7" width="9.28515625" style="1" bestFit="1" customWidth="1"/>
    <col min="8" max="8" width="11" style="1" bestFit="1" customWidth="1"/>
    <col min="9" max="9" width="10.7109375" style="1" bestFit="1" customWidth="1"/>
    <col min="10" max="10" width="10.7109375" style="2" bestFit="1" customWidth="1"/>
    <col min="11" max="12" width="10.7109375" style="3" bestFit="1" customWidth="1"/>
    <col min="13" max="13" width="9.28515625" style="1" bestFit="1" customWidth="1"/>
    <col min="14" max="14" width="11.28515625" style="2" bestFit="1" customWidth="1"/>
    <col min="15" max="16" width="9.140625" style="1"/>
    <col min="17" max="17" width="9.140625" style="2"/>
    <col min="18" max="18" width="9.140625" style="4"/>
    <col min="19" max="16384" width="9.140625" style="1"/>
  </cols>
  <sheetData>
    <row r="1" spans="1:32" s="2" customFormat="1" x14ac:dyDescent="0.2">
      <c r="A1" s="2" t="s">
        <v>0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2" t="s">
        <v>95</v>
      </c>
      <c r="R1" s="4"/>
    </row>
    <row r="2" spans="1:32" x14ac:dyDescent="0.2">
      <c r="A2" s="7" t="s">
        <v>3</v>
      </c>
      <c r="B2" s="5">
        <v>300000</v>
      </c>
      <c r="C2" s="5">
        <v>300000</v>
      </c>
      <c r="D2" s="5">
        <f>300000</f>
        <v>300000</v>
      </c>
      <c r="E2" s="5">
        <v>300000</v>
      </c>
      <c r="F2" s="5">
        <v>300000</v>
      </c>
      <c r="G2" s="5">
        <v>300000</v>
      </c>
      <c r="H2" s="5">
        <v>300000</v>
      </c>
      <c r="I2" s="5">
        <v>300000</v>
      </c>
      <c r="J2" s="5">
        <v>300000</v>
      </c>
      <c r="K2" s="5">
        <v>300000</v>
      </c>
      <c r="L2" s="5">
        <v>300000</v>
      </c>
      <c r="M2" s="5">
        <v>300000</v>
      </c>
      <c r="N2" s="10">
        <f>SUM(B2:M2)</f>
        <v>3600000</v>
      </c>
      <c r="O2" s="5"/>
      <c r="P2" s="5"/>
      <c r="Q2" s="10"/>
      <c r="R2" s="11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x14ac:dyDescent="0.2">
      <c r="A3" s="7" t="s">
        <v>4</v>
      </c>
      <c r="B3" s="5">
        <v>200000</v>
      </c>
      <c r="C3" s="5">
        <v>200000</v>
      </c>
      <c r="D3" s="5">
        <v>200000</v>
      </c>
      <c r="E3" s="5">
        <v>200000</v>
      </c>
      <c r="F3" s="5">
        <v>200000</v>
      </c>
      <c r="G3" s="5">
        <v>200000</v>
      </c>
      <c r="H3" s="5">
        <v>200000</v>
      </c>
      <c r="I3" s="5">
        <v>200000</v>
      </c>
      <c r="J3" s="5">
        <v>200000</v>
      </c>
      <c r="K3" s="5">
        <v>200000</v>
      </c>
      <c r="L3" s="5">
        <v>200000</v>
      </c>
      <c r="M3" s="5">
        <v>200000</v>
      </c>
      <c r="N3" s="10">
        <f t="shared" ref="N3:N31" si="0">SUM(B3:M3)</f>
        <v>2400000</v>
      </c>
      <c r="O3" s="5"/>
      <c r="P3" s="5"/>
      <c r="Q3" s="10"/>
      <c r="R3" s="11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x14ac:dyDescent="0.2">
      <c r="A4" s="7" t="s">
        <v>1</v>
      </c>
      <c r="B4" s="5"/>
      <c r="C4" s="5"/>
      <c r="D4" s="5">
        <v>560000</v>
      </c>
      <c r="E4" s="5"/>
      <c r="F4" s="5">
        <v>100000</v>
      </c>
      <c r="G4" s="5"/>
      <c r="H4" s="5"/>
      <c r="I4" s="5"/>
      <c r="J4" s="5">
        <v>400000</v>
      </c>
      <c r="K4" s="5">
        <v>300000</v>
      </c>
      <c r="L4" s="5"/>
      <c r="M4" s="5"/>
      <c r="N4" s="10">
        <f t="shared" si="0"/>
        <v>1360000</v>
      </c>
      <c r="O4" s="5"/>
      <c r="P4" s="5"/>
      <c r="Q4" s="10"/>
      <c r="R4" s="11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s="2" customFormat="1" x14ac:dyDescent="0.2">
      <c r="A5" s="9" t="s">
        <v>34</v>
      </c>
      <c r="B5" s="10">
        <f t="shared" ref="B5:G5" si="1">SUM(B2:B4)</f>
        <v>500000</v>
      </c>
      <c r="C5" s="10">
        <f t="shared" si="1"/>
        <v>500000</v>
      </c>
      <c r="D5" s="10">
        <f t="shared" si="1"/>
        <v>1060000</v>
      </c>
      <c r="E5" s="10">
        <f t="shared" si="1"/>
        <v>500000</v>
      </c>
      <c r="F5" s="10">
        <f t="shared" si="1"/>
        <v>600000</v>
      </c>
      <c r="G5" s="10">
        <f t="shared" si="1"/>
        <v>500000</v>
      </c>
      <c r="H5" s="10">
        <f t="shared" ref="H5:M5" si="2">SUM(H2:H4)</f>
        <v>500000</v>
      </c>
      <c r="I5" s="10">
        <f t="shared" si="2"/>
        <v>500000</v>
      </c>
      <c r="J5" s="10">
        <f t="shared" si="2"/>
        <v>900000</v>
      </c>
      <c r="K5" s="10">
        <f t="shared" si="2"/>
        <v>800000</v>
      </c>
      <c r="L5" s="10">
        <f t="shared" si="2"/>
        <v>500000</v>
      </c>
      <c r="M5" s="10">
        <f t="shared" si="2"/>
        <v>500000</v>
      </c>
      <c r="N5" s="10">
        <f t="shared" si="0"/>
        <v>7360000</v>
      </c>
      <c r="O5" s="10"/>
      <c r="P5" s="10"/>
      <c r="Q5" s="10"/>
      <c r="R5" s="11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2">
      <c r="A6" s="7" t="s">
        <v>11</v>
      </c>
      <c r="B6" s="5">
        <f>-1500*30</f>
        <v>-45000</v>
      </c>
      <c r="C6" s="5">
        <f t="shared" ref="C6:M6" si="3">-1500*30</f>
        <v>-45000</v>
      </c>
      <c r="D6" s="5">
        <f t="shared" si="3"/>
        <v>-45000</v>
      </c>
      <c r="E6" s="5">
        <f t="shared" si="3"/>
        <v>-45000</v>
      </c>
      <c r="F6" s="5">
        <f t="shared" si="3"/>
        <v>-45000</v>
      </c>
      <c r="G6" s="5">
        <f t="shared" si="3"/>
        <v>-45000</v>
      </c>
      <c r="H6" s="5">
        <f t="shared" si="3"/>
        <v>-45000</v>
      </c>
      <c r="I6" s="5">
        <f t="shared" si="3"/>
        <v>-45000</v>
      </c>
      <c r="J6" s="5">
        <f t="shared" si="3"/>
        <v>-45000</v>
      </c>
      <c r="K6" s="5">
        <f t="shared" si="3"/>
        <v>-45000</v>
      </c>
      <c r="L6" s="5">
        <f t="shared" si="3"/>
        <v>-45000</v>
      </c>
      <c r="M6" s="5">
        <f t="shared" si="3"/>
        <v>-45000</v>
      </c>
      <c r="N6" s="10">
        <f t="shared" si="0"/>
        <v>-540000</v>
      </c>
      <c r="O6" s="5"/>
      <c r="P6" s="5"/>
      <c r="Q6" s="10"/>
      <c r="R6" s="11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x14ac:dyDescent="0.2">
      <c r="A7" s="7" t="s">
        <v>43</v>
      </c>
      <c r="B7" s="5">
        <v>-10000</v>
      </c>
      <c r="C7" s="5">
        <v>-10000</v>
      </c>
      <c r="D7" s="5">
        <v>-10000</v>
      </c>
      <c r="E7" s="5">
        <v>-10000</v>
      </c>
      <c r="F7" s="5">
        <v>-10000</v>
      </c>
      <c r="G7" s="5">
        <v>-10000</v>
      </c>
      <c r="H7" s="5">
        <v>-10000</v>
      </c>
      <c r="I7" s="5">
        <v>-10000</v>
      </c>
      <c r="J7" s="5">
        <v>-10000</v>
      </c>
      <c r="K7" s="5">
        <v>-10000</v>
      </c>
      <c r="L7" s="5">
        <v>-10000</v>
      </c>
      <c r="M7" s="5">
        <v>-10000</v>
      </c>
      <c r="N7" s="10">
        <f t="shared" si="0"/>
        <v>-120000</v>
      </c>
      <c r="O7" s="5"/>
      <c r="P7" s="5"/>
      <c r="Q7" s="10"/>
      <c r="R7" s="11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x14ac:dyDescent="0.2">
      <c r="A8" s="7" t="s">
        <v>24</v>
      </c>
      <c r="B8" s="5">
        <v>-2500</v>
      </c>
      <c r="C8" s="5">
        <v>-2500</v>
      </c>
      <c r="D8" s="5">
        <v>-2500</v>
      </c>
      <c r="E8" s="5">
        <v>-2500</v>
      </c>
      <c r="F8" s="5">
        <v>-2500</v>
      </c>
      <c r="G8" s="5">
        <v>-2500</v>
      </c>
      <c r="H8" s="5">
        <v>-2500</v>
      </c>
      <c r="I8" s="5">
        <v>-2500</v>
      </c>
      <c r="J8" s="5">
        <v>-2500</v>
      </c>
      <c r="K8" s="5">
        <v>-2500</v>
      </c>
      <c r="L8" s="5">
        <v>-2500</v>
      </c>
      <c r="M8" s="5">
        <v>-2500</v>
      </c>
      <c r="N8" s="10">
        <f t="shared" si="0"/>
        <v>-30000</v>
      </c>
      <c r="O8" s="5"/>
      <c r="P8" s="5"/>
      <c r="Q8" s="10"/>
      <c r="R8" s="11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x14ac:dyDescent="0.2">
      <c r="A9" s="7" t="s">
        <v>32</v>
      </c>
      <c r="B9" s="5">
        <v>-5000</v>
      </c>
      <c r="C9" s="5">
        <v>-5000</v>
      </c>
      <c r="D9" s="5">
        <v>-5000</v>
      </c>
      <c r="E9" s="5">
        <v>-5000</v>
      </c>
      <c r="F9" s="5">
        <v>-5000</v>
      </c>
      <c r="G9" s="5">
        <v>-5000</v>
      </c>
      <c r="H9" s="5">
        <v>-5000</v>
      </c>
      <c r="I9" s="5">
        <v>-5000</v>
      </c>
      <c r="J9" s="5">
        <v>-5000</v>
      </c>
      <c r="K9" s="5">
        <v>-5000</v>
      </c>
      <c r="L9" s="5">
        <v>-5000</v>
      </c>
      <c r="M9" s="5">
        <v>-5000</v>
      </c>
      <c r="N9" s="10">
        <f t="shared" si="0"/>
        <v>-60000</v>
      </c>
      <c r="O9" s="5"/>
      <c r="P9" s="5"/>
      <c r="Q9" s="10"/>
      <c r="R9" s="11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x14ac:dyDescent="0.2">
      <c r="A10" s="7" t="s">
        <v>12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10">
        <f t="shared" si="0"/>
        <v>0</v>
      </c>
      <c r="O10" s="5"/>
      <c r="P10" s="5"/>
      <c r="Q10" s="10"/>
      <c r="R10" s="11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x14ac:dyDescent="0.2">
      <c r="A11" s="7" t="s">
        <v>18</v>
      </c>
      <c r="B11" s="5">
        <v>-10000</v>
      </c>
      <c r="C11" s="5">
        <v>-10000</v>
      </c>
      <c r="D11" s="5">
        <v>-10000</v>
      </c>
      <c r="E11" s="5">
        <v>-10000</v>
      </c>
      <c r="F11" s="5">
        <v>-10000</v>
      </c>
      <c r="G11" s="5">
        <v>-10000</v>
      </c>
      <c r="H11" s="5">
        <v>-10000</v>
      </c>
      <c r="I11" s="5">
        <v>-10000</v>
      </c>
      <c r="J11" s="5">
        <v>-10000</v>
      </c>
      <c r="K11" s="5">
        <v>-10000</v>
      </c>
      <c r="L11" s="5">
        <v>-10000</v>
      </c>
      <c r="M11" s="5">
        <v>-10000</v>
      </c>
      <c r="N11" s="10">
        <f t="shared" si="0"/>
        <v>-120000</v>
      </c>
      <c r="O11" s="5"/>
      <c r="P11" s="5"/>
      <c r="Q11" s="10"/>
      <c r="R11" s="11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x14ac:dyDescent="0.2">
      <c r="A12" s="7" t="s">
        <v>33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-10000</v>
      </c>
      <c r="N12" s="10">
        <f t="shared" si="0"/>
        <v>-10000</v>
      </c>
      <c r="O12" s="5"/>
      <c r="P12" s="5"/>
      <c r="Q12" s="10"/>
      <c r="R12" s="11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x14ac:dyDescent="0.2">
      <c r="A13" s="7" t="s">
        <v>91</v>
      </c>
      <c r="B13" s="5">
        <f>-1500-6000</f>
        <v>-7500</v>
      </c>
      <c r="C13" s="5">
        <f t="shared" ref="C13:M13" si="4">-1500-6000</f>
        <v>-7500</v>
      </c>
      <c r="D13" s="5">
        <f t="shared" si="4"/>
        <v>-7500</v>
      </c>
      <c r="E13" s="5">
        <f t="shared" si="4"/>
        <v>-7500</v>
      </c>
      <c r="F13" s="5">
        <f>-1500-5000</f>
        <v>-6500</v>
      </c>
      <c r="G13" s="5">
        <f>-1500-5000</f>
        <v>-6500</v>
      </c>
      <c r="H13" s="5">
        <f>-1500-5000</f>
        <v>-6500</v>
      </c>
      <c r="I13" s="5">
        <f>-1500-5000</f>
        <v>-6500</v>
      </c>
      <c r="J13" s="5">
        <f>-1500-5000</f>
        <v>-6500</v>
      </c>
      <c r="K13" s="5">
        <f t="shared" si="4"/>
        <v>-7500</v>
      </c>
      <c r="L13" s="5">
        <f t="shared" si="4"/>
        <v>-7500</v>
      </c>
      <c r="M13" s="5">
        <f t="shared" si="4"/>
        <v>-7500</v>
      </c>
      <c r="N13" s="10">
        <f t="shared" si="0"/>
        <v>-85000</v>
      </c>
      <c r="O13" s="5"/>
      <c r="P13" s="5"/>
      <c r="Q13" s="10"/>
      <c r="R13" s="11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x14ac:dyDescent="0.2">
      <c r="A14" s="7" t="s">
        <v>90</v>
      </c>
      <c r="B14" s="5">
        <v>-5000</v>
      </c>
      <c r="C14" s="5">
        <v>-5000</v>
      </c>
      <c r="D14" s="5">
        <v>-5000</v>
      </c>
      <c r="E14" s="5">
        <v>-5000</v>
      </c>
      <c r="F14" s="5">
        <v>-2000</v>
      </c>
      <c r="G14" s="5">
        <v>-2000</v>
      </c>
      <c r="H14" s="5">
        <v>-2000</v>
      </c>
      <c r="I14" s="5">
        <v>-2000</v>
      </c>
      <c r="J14" s="5">
        <v>-2000</v>
      </c>
      <c r="K14" s="5">
        <v>-5000</v>
      </c>
      <c r="L14" s="5">
        <v>-5000</v>
      </c>
      <c r="M14" s="5">
        <v>-5000</v>
      </c>
      <c r="N14" s="10">
        <f t="shared" si="0"/>
        <v>-45000</v>
      </c>
      <c r="O14" s="5"/>
      <c r="P14" s="5"/>
      <c r="Q14" s="10"/>
      <c r="R14" s="11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x14ac:dyDescent="0.2">
      <c r="A15" s="7" t="s">
        <v>5</v>
      </c>
      <c r="B15" s="5">
        <v>-7000</v>
      </c>
      <c r="C15" s="5">
        <v>-7000</v>
      </c>
      <c r="D15" s="5">
        <v>-7000</v>
      </c>
      <c r="E15" s="5">
        <v>-7000</v>
      </c>
      <c r="F15" s="5">
        <v>-3000</v>
      </c>
      <c r="G15" s="5">
        <v>-3000</v>
      </c>
      <c r="H15" s="5">
        <v>-3000</v>
      </c>
      <c r="I15" s="5">
        <v>-3000</v>
      </c>
      <c r="J15" s="5">
        <v>-3000</v>
      </c>
      <c r="K15" s="5">
        <v>-7000</v>
      </c>
      <c r="L15" s="5">
        <v>-7000</v>
      </c>
      <c r="M15" s="5">
        <v>-7000</v>
      </c>
      <c r="N15" s="10">
        <f t="shared" si="0"/>
        <v>-64000</v>
      </c>
      <c r="O15" s="5"/>
      <c r="P15" s="5"/>
      <c r="Q15" s="10"/>
      <c r="R15" s="11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x14ac:dyDescent="0.2">
      <c r="A16" s="7" t="s">
        <v>93</v>
      </c>
      <c r="B16" s="5">
        <v>-3000</v>
      </c>
      <c r="C16" s="5">
        <v>-3000</v>
      </c>
      <c r="D16" s="5">
        <v>-3000</v>
      </c>
      <c r="E16" s="5">
        <v>-3000</v>
      </c>
      <c r="F16" s="5">
        <v>-3000</v>
      </c>
      <c r="G16" s="5">
        <v>-3000</v>
      </c>
      <c r="H16" s="5">
        <v>-3000</v>
      </c>
      <c r="I16" s="5">
        <v>-3000</v>
      </c>
      <c r="J16" s="5">
        <v>-3000</v>
      </c>
      <c r="K16" s="5">
        <v>-3000</v>
      </c>
      <c r="L16" s="5">
        <v>-3000</v>
      </c>
      <c r="M16" s="5">
        <v>-3000</v>
      </c>
      <c r="N16" s="10">
        <f t="shared" si="0"/>
        <v>-36000</v>
      </c>
      <c r="O16" s="5"/>
      <c r="P16" s="5"/>
      <c r="Q16" s="10"/>
      <c r="R16" s="11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x14ac:dyDescent="0.2">
      <c r="A17" s="7" t="s">
        <v>42</v>
      </c>
      <c r="B17" s="5">
        <v>-2000</v>
      </c>
      <c r="C17" s="5">
        <v>-2000</v>
      </c>
      <c r="D17" s="5">
        <v>-2000</v>
      </c>
      <c r="E17" s="5">
        <v>-2000</v>
      </c>
      <c r="F17" s="5">
        <v>-2000</v>
      </c>
      <c r="G17" s="5">
        <v>-2000</v>
      </c>
      <c r="H17" s="5">
        <v>-2000</v>
      </c>
      <c r="I17" s="5">
        <v>-2000</v>
      </c>
      <c r="J17" s="5">
        <v>-2000</v>
      </c>
      <c r="K17" s="5">
        <v>-2000</v>
      </c>
      <c r="L17" s="5">
        <v>-2000</v>
      </c>
      <c r="M17" s="5">
        <v>-2000</v>
      </c>
      <c r="N17" s="10">
        <f t="shared" si="0"/>
        <v>-24000</v>
      </c>
      <c r="O17" s="5"/>
      <c r="P17" s="5"/>
      <c r="Q17" s="10"/>
      <c r="R17" s="11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idden="1" x14ac:dyDescent="0.2">
      <c r="A18" s="7" t="s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10">
        <f t="shared" si="0"/>
        <v>0</v>
      </c>
      <c r="O18" s="5"/>
      <c r="P18" s="5"/>
      <c r="Q18" s="10"/>
      <c r="R18" s="11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x14ac:dyDescent="0.2">
      <c r="A19" s="7" t="s">
        <v>88</v>
      </c>
      <c r="B19" s="5">
        <v>-15500</v>
      </c>
      <c r="C19" s="5">
        <v>-15500</v>
      </c>
      <c r="D19" s="5">
        <v>-15500</v>
      </c>
      <c r="E19" s="5">
        <v>-15500</v>
      </c>
      <c r="F19" s="5">
        <v>-15500</v>
      </c>
      <c r="G19" s="5">
        <v>-15500</v>
      </c>
      <c r="H19" s="5">
        <v>-15500</v>
      </c>
      <c r="I19" s="5">
        <v>-15500</v>
      </c>
      <c r="J19" s="5">
        <v>-6000</v>
      </c>
      <c r="K19" s="5"/>
      <c r="L19" s="5"/>
      <c r="M19" s="5"/>
      <c r="N19" s="10">
        <f t="shared" si="0"/>
        <v>-130000</v>
      </c>
      <c r="O19" s="5"/>
      <c r="P19" s="5"/>
      <c r="Q19" s="10"/>
      <c r="R19" s="11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x14ac:dyDescent="0.2">
      <c r="A20" s="7" t="s">
        <v>89</v>
      </c>
      <c r="B20" s="5"/>
      <c r="C20" s="5"/>
      <c r="D20" s="5"/>
      <c r="E20" s="5"/>
      <c r="F20" s="5"/>
      <c r="G20" s="5"/>
      <c r="H20" s="5"/>
      <c r="I20" s="5">
        <v>-600000</v>
      </c>
      <c r="J20" s="5">
        <v>-400000</v>
      </c>
      <c r="K20" s="5"/>
      <c r="L20" s="5"/>
      <c r="M20" s="5"/>
      <c r="N20" s="10">
        <f t="shared" si="0"/>
        <v>-1000000</v>
      </c>
      <c r="O20" s="5"/>
      <c r="P20" s="5"/>
      <c r="Q20" s="10"/>
      <c r="R20" s="11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x14ac:dyDescent="0.2">
      <c r="A21" s="7" t="s">
        <v>143</v>
      </c>
      <c r="B21" s="5">
        <f>-491000-300000</f>
        <v>-791000</v>
      </c>
      <c r="C21" s="5">
        <f>-491000</f>
        <v>-491000</v>
      </c>
      <c r="D21" s="5">
        <f>-491000-100000-300000</f>
        <v>-891000</v>
      </c>
      <c r="E21" s="5">
        <v>-300000</v>
      </c>
      <c r="F21" s="5">
        <f>-Ремонт!D47</f>
        <v>-624800</v>
      </c>
      <c r="G21" s="5">
        <v>-400000</v>
      </c>
      <c r="H21" s="5">
        <v>-200000</v>
      </c>
      <c r="I21" s="5"/>
      <c r="J21" s="5"/>
      <c r="K21" s="5">
        <v>-520000</v>
      </c>
      <c r="L21" s="5"/>
      <c r="M21" s="5"/>
      <c r="N21" s="10">
        <f t="shared" si="0"/>
        <v>-4217800</v>
      </c>
      <c r="O21" s="5"/>
      <c r="P21" s="5"/>
      <c r="Q21" s="10"/>
      <c r="R21" s="11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x14ac:dyDescent="0.2">
      <c r="A22" s="7" t="s">
        <v>104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10">
        <f t="shared" si="0"/>
        <v>0</v>
      </c>
      <c r="O22" s="5"/>
      <c r="P22" s="5"/>
      <c r="Q22" s="10"/>
      <c r="R22" s="11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x14ac:dyDescent="0.2">
      <c r="A23" s="7" t="s">
        <v>6</v>
      </c>
      <c r="B23" s="5"/>
      <c r="C23" s="5"/>
      <c r="D23" s="5"/>
      <c r="E23" s="5"/>
      <c r="F23" s="5"/>
      <c r="G23" s="12"/>
      <c r="H23" s="5"/>
      <c r="I23" s="5"/>
      <c r="J23" s="5"/>
      <c r="K23" s="5"/>
      <c r="L23" s="5">
        <f>-3668*2+1</f>
        <v>-7335</v>
      </c>
      <c r="M23" s="5"/>
      <c r="N23" s="10">
        <f t="shared" si="0"/>
        <v>-7335</v>
      </c>
      <c r="O23" s="5"/>
      <c r="P23" s="5"/>
      <c r="Q23" s="10"/>
      <c r="R23" s="11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x14ac:dyDescent="0.2">
      <c r="A24" s="7" t="s">
        <v>8</v>
      </c>
      <c r="B24" s="5"/>
      <c r="C24" s="5"/>
      <c r="D24" s="5"/>
      <c r="E24" s="5"/>
      <c r="F24" s="5"/>
      <c r="G24" s="10"/>
      <c r="H24" s="5"/>
      <c r="I24" s="5"/>
      <c r="J24" s="5"/>
      <c r="K24" s="5"/>
      <c r="L24" s="5">
        <f>-977-202</f>
        <v>-1179</v>
      </c>
      <c r="M24" s="5"/>
      <c r="N24" s="10">
        <f t="shared" si="0"/>
        <v>-1179</v>
      </c>
      <c r="O24" s="5"/>
      <c r="P24" s="5"/>
      <c r="Q24" s="10"/>
      <c r="R24" s="11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x14ac:dyDescent="0.2">
      <c r="A25" s="7" t="s">
        <v>103</v>
      </c>
      <c r="B25" s="5"/>
      <c r="C25" s="5"/>
      <c r="D25" s="5"/>
      <c r="E25" s="5"/>
      <c r="F25" s="5"/>
      <c r="G25" s="10"/>
      <c r="H25" s="5"/>
      <c r="I25" s="5"/>
      <c r="J25" s="5"/>
      <c r="K25" s="5"/>
      <c r="L25" s="5">
        <v>-499</v>
      </c>
      <c r="M25" s="5"/>
      <c r="N25" s="10">
        <f t="shared" si="0"/>
        <v>-499</v>
      </c>
      <c r="O25" s="5"/>
      <c r="P25" s="5"/>
      <c r="Q25" s="10"/>
      <c r="R25" s="11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x14ac:dyDescent="0.2">
      <c r="A26" s="7" t="s">
        <v>97</v>
      </c>
      <c r="B26" s="5">
        <v>-4300</v>
      </c>
      <c r="C26" s="5"/>
      <c r="D26" s="5"/>
      <c r="E26" s="5"/>
      <c r="F26" s="5"/>
      <c r="G26" s="10"/>
      <c r="H26" s="5"/>
      <c r="I26" s="5"/>
      <c r="J26" s="5"/>
      <c r="K26" s="5"/>
      <c r="L26" s="5">
        <f>-3731214*0.2%*4/12</f>
        <v>-2487.4760000000001</v>
      </c>
      <c r="M26" s="5"/>
      <c r="N26" s="10">
        <f t="shared" si="0"/>
        <v>-6787.4760000000006</v>
      </c>
      <c r="O26" s="5"/>
      <c r="P26" s="5"/>
      <c r="Q26" s="10"/>
      <c r="R26" s="11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x14ac:dyDescent="0.2">
      <c r="A27" s="7" t="s">
        <v>7</v>
      </c>
      <c r="B27" s="5"/>
      <c r="C27" s="5"/>
      <c r="D27" s="5"/>
      <c r="E27" s="5"/>
      <c r="F27" s="5"/>
      <c r="G27" s="10"/>
      <c r="H27" s="5"/>
      <c r="I27" s="5"/>
      <c r="J27" s="5"/>
      <c r="K27" s="5"/>
      <c r="L27" s="5">
        <v>-2963</v>
      </c>
      <c r="M27" s="5"/>
      <c r="N27" s="10">
        <f t="shared" si="0"/>
        <v>-2963</v>
      </c>
      <c r="O27" s="5"/>
      <c r="P27" s="5"/>
      <c r="Q27" s="10"/>
      <c r="R27" s="11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x14ac:dyDescent="0.2">
      <c r="A28" s="7" t="s">
        <v>96</v>
      </c>
      <c r="B28" s="5"/>
      <c r="C28" s="5"/>
      <c r="D28" s="5"/>
      <c r="E28" s="5"/>
      <c r="F28" s="5"/>
      <c r="G28" s="10"/>
      <c r="H28" s="5"/>
      <c r="I28" s="5"/>
      <c r="J28" s="5"/>
      <c r="K28" s="5"/>
      <c r="L28" s="5"/>
      <c r="M28" s="5"/>
      <c r="N28" s="10">
        <f t="shared" si="0"/>
        <v>0</v>
      </c>
      <c r="O28" s="5"/>
      <c r="P28" s="5"/>
      <c r="Q28" s="10"/>
      <c r="R28" s="11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x14ac:dyDescent="0.2">
      <c r="A29" s="7" t="s">
        <v>10</v>
      </c>
      <c r="B29" s="5"/>
      <c r="C29" s="5"/>
      <c r="D29" s="5"/>
      <c r="E29" s="5"/>
      <c r="F29" s="5"/>
      <c r="G29" s="10"/>
      <c r="H29" s="5"/>
      <c r="I29" s="5"/>
      <c r="J29" s="5"/>
      <c r="K29" s="5"/>
      <c r="L29" s="5">
        <f>-66-310</f>
        <v>-376</v>
      </c>
      <c r="M29" s="5"/>
      <c r="N29" s="10">
        <f t="shared" si="0"/>
        <v>-376</v>
      </c>
      <c r="O29" s="5"/>
      <c r="P29" s="5"/>
      <c r="Q29" s="10"/>
      <c r="R29" s="11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s="2" customFormat="1" x14ac:dyDescent="0.2">
      <c r="A30" s="9" t="s">
        <v>35</v>
      </c>
      <c r="B30" s="10">
        <f t="shared" ref="B30:M30" si="5">SUM(B6:B29)</f>
        <v>-907800</v>
      </c>
      <c r="C30" s="10">
        <f t="shared" si="5"/>
        <v>-603500</v>
      </c>
      <c r="D30" s="10">
        <f t="shared" si="5"/>
        <v>-1003500</v>
      </c>
      <c r="E30" s="10">
        <f t="shared" si="5"/>
        <v>-412500</v>
      </c>
      <c r="F30" s="10">
        <f t="shared" si="5"/>
        <v>-729300</v>
      </c>
      <c r="G30" s="10">
        <f t="shared" si="5"/>
        <v>-504500</v>
      </c>
      <c r="H30" s="10">
        <f t="shared" si="5"/>
        <v>-304500</v>
      </c>
      <c r="I30" s="10">
        <f t="shared" si="5"/>
        <v>-704500</v>
      </c>
      <c r="J30" s="10">
        <f t="shared" si="5"/>
        <v>-495000</v>
      </c>
      <c r="K30" s="10">
        <f t="shared" si="5"/>
        <v>-617000</v>
      </c>
      <c r="L30" s="10">
        <f t="shared" si="5"/>
        <v>-111839.476</v>
      </c>
      <c r="M30" s="10">
        <f t="shared" si="5"/>
        <v>-107000</v>
      </c>
      <c r="N30" s="10">
        <f t="shared" si="0"/>
        <v>-6500939.4759999998</v>
      </c>
      <c r="O30" s="10"/>
      <c r="P30" s="10"/>
      <c r="Q30" s="10"/>
      <c r="R30" s="11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s="23" customFormat="1" x14ac:dyDescent="0.2">
      <c r="A31" s="20" t="s">
        <v>13</v>
      </c>
      <c r="B31" s="21">
        <f t="shared" ref="B31:M31" si="6">-(B5+B30)</f>
        <v>407800</v>
      </c>
      <c r="C31" s="21">
        <f t="shared" si="6"/>
        <v>103500</v>
      </c>
      <c r="D31" s="21">
        <f t="shared" si="6"/>
        <v>-56500</v>
      </c>
      <c r="E31" s="21">
        <f t="shared" si="6"/>
        <v>-87500</v>
      </c>
      <c r="F31" s="21">
        <f t="shared" si="6"/>
        <v>129300</v>
      </c>
      <c r="G31" s="21">
        <f t="shared" si="6"/>
        <v>4500</v>
      </c>
      <c r="H31" s="21">
        <f t="shared" si="6"/>
        <v>-195500</v>
      </c>
      <c r="I31" s="21">
        <f t="shared" si="6"/>
        <v>204500</v>
      </c>
      <c r="J31" s="21">
        <f t="shared" si="6"/>
        <v>-405000</v>
      </c>
      <c r="K31" s="21">
        <f t="shared" si="6"/>
        <v>-183000</v>
      </c>
      <c r="L31" s="21">
        <f t="shared" si="6"/>
        <v>-388160.52399999998</v>
      </c>
      <c r="M31" s="21">
        <f t="shared" si="6"/>
        <v>-393000</v>
      </c>
      <c r="N31" s="21">
        <f t="shared" si="0"/>
        <v>-859060.52399999998</v>
      </c>
      <c r="O31" s="21"/>
      <c r="P31" s="21"/>
      <c r="Q31" s="21"/>
      <c r="R31" s="22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</row>
    <row r="32" spans="1:32" x14ac:dyDescent="0.2">
      <c r="A32" s="7" t="s">
        <v>25</v>
      </c>
      <c r="B32" s="5">
        <f>B5+B30+B31</f>
        <v>0</v>
      </c>
      <c r="C32" s="5">
        <f t="shared" ref="C32:M32" si="7">C5+C30+C31</f>
        <v>0</v>
      </c>
      <c r="D32" s="5">
        <f t="shared" si="7"/>
        <v>0</v>
      </c>
      <c r="E32" s="5">
        <f t="shared" si="7"/>
        <v>0</v>
      </c>
      <c r="F32" s="5">
        <f t="shared" si="7"/>
        <v>0</v>
      </c>
      <c r="G32" s="5">
        <f t="shared" si="7"/>
        <v>0</v>
      </c>
      <c r="H32" s="5">
        <f t="shared" si="7"/>
        <v>0</v>
      </c>
      <c r="I32" s="5">
        <f t="shared" si="7"/>
        <v>0</v>
      </c>
      <c r="J32" s="5">
        <f t="shared" si="7"/>
        <v>0</v>
      </c>
      <c r="K32" s="5">
        <f t="shared" si="7"/>
        <v>0</v>
      </c>
      <c r="L32" s="5">
        <f t="shared" si="7"/>
        <v>0</v>
      </c>
      <c r="M32" s="5">
        <f t="shared" si="7"/>
        <v>0</v>
      </c>
      <c r="N32" s="10"/>
      <c r="O32" s="5"/>
      <c r="P32" s="5"/>
      <c r="Q32" s="10"/>
      <c r="R32" s="11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x14ac:dyDescent="0.2">
      <c r="A33" s="7" t="s">
        <v>26</v>
      </c>
      <c r="B33" s="5">
        <f>-B31/B5*100</f>
        <v>-81.56</v>
      </c>
      <c r="C33" s="5">
        <f t="shared" ref="C33:M33" si="8">-C31/C5*100</f>
        <v>-20.7</v>
      </c>
      <c r="D33" s="5">
        <f t="shared" si="8"/>
        <v>5.3301886792452828</v>
      </c>
      <c r="E33" s="5">
        <f t="shared" si="8"/>
        <v>17.5</v>
      </c>
      <c r="F33" s="5">
        <f t="shared" si="8"/>
        <v>-21.55</v>
      </c>
      <c r="G33" s="5">
        <f t="shared" si="8"/>
        <v>-0.89999999999999991</v>
      </c>
      <c r="H33" s="5">
        <f t="shared" si="8"/>
        <v>39.1</v>
      </c>
      <c r="I33" s="5">
        <f t="shared" si="8"/>
        <v>-40.9</v>
      </c>
      <c r="J33" s="5">
        <f t="shared" si="8"/>
        <v>45</v>
      </c>
      <c r="K33" s="5">
        <f t="shared" si="8"/>
        <v>22.875</v>
      </c>
      <c r="L33" s="5">
        <f t="shared" si="8"/>
        <v>77.632104799999993</v>
      </c>
      <c r="M33" s="5">
        <f t="shared" si="8"/>
        <v>78.600000000000009</v>
      </c>
      <c r="N33" s="10"/>
      <c r="O33" s="5"/>
      <c r="P33" s="5"/>
      <c r="Q33" s="10"/>
      <c r="R33" s="11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x14ac:dyDescent="0.2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10"/>
      <c r="O34" s="5"/>
      <c r="P34" s="5"/>
      <c r="Q34" s="10"/>
      <c r="R34" s="11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s="2" customFormat="1" x14ac:dyDescent="0.2">
      <c r="A35" s="9" t="s">
        <v>15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1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x14ac:dyDescent="0.2">
      <c r="A36" s="7" t="s">
        <v>98</v>
      </c>
      <c r="B36" s="5"/>
      <c r="C36" s="5"/>
      <c r="D36" s="5"/>
      <c r="E36" s="5"/>
      <c r="F36" s="5"/>
      <c r="G36" s="5"/>
      <c r="H36" s="5"/>
      <c r="I36" s="5"/>
      <c r="J36" s="39"/>
      <c r="K36" s="12"/>
      <c r="L36" s="12"/>
      <c r="M36" s="5"/>
      <c r="N36" s="10"/>
      <c r="O36" s="5"/>
      <c r="P36" s="5"/>
      <c r="Q36" s="10"/>
      <c r="R36" s="11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s="37" customFormat="1" x14ac:dyDescent="0.2">
      <c r="A37" s="32" t="s">
        <v>99</v>
      </c>
      <c r="B37" s="33"/>
      <c r="C37" s="33"/>
      <c r="D37" s="33"/>
      <c r="E37" s="33"/>
      <c r="F37" s="33"/>
      <c r="G37" s="33"/>
      <c r="H37" s="33"/>
      <c r="I37" s="33"/>
      <c r="J37" s="39"/>
      <c r="K37" s="35"/>
      <c r="L37" s="35"/>
      <c r="M37" s="33"/>
      <c r="N37" s="34"/>
      <c r="O37" s="33"/>
      <c r="P37" s="33"/>
      <c r="Q37" s="34"/>
      <c r="R37" s="36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</row>
    <row r="38" spans="1:32" x14ac:dyDescent="0.2">
      <c r="A38" s="7" t="s">
        <v>78</v>
      </c>
      <c r="B38" s="5"/>
      <c r="C38" s="5"/>
      <c r="D38" s="5"/>
      <c r="E38" s="5"/>
      <c r="F38" s="5"/>
      <c r="G38" s="5"/>
      <c r="H38" s="5"/>
      <c r="I38" s="5"/>
      <c r="J38" s="39"/>
      <c r="K38" s="12"/>
      <c r="L38" s="12"/>
      <c r="M38" s="5"/>
      <c r="N38" s="10"/>
      <c r="O38" s="5"/>
      <c r="P38" s="5"/>
      <c r="Q38" s="10"/>
      <c r="R38" s="11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x14ac:dyDescent="0.2">
      <c r="A39" s="7" t="s">
        <v>105</v>
      </c>
      <c r="B39" s="5"/>
      <c r="C39" s="5"/>
      <c r="D39" s="5"/>
      <c r="E39" s="5"/>
      <c r="F39" s="5"/>
      <c r="G39" s="5"/>
      <c r="H39" s="5"/>
      <c r="I39" s="5"/>
      <c r="J39" s="39"/>
      <c r="K39" s="12"/>
      <c r="L39" s="12"/>
      <c r="M39" s="5"/>
      <c r="N39" s="10"/>
      <c r="O39" s="5"/>
      <c r="P39" s="5"/>
      <c r="Q39" s="10"/>
      <c r="R39" s="11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s="2" customFormat="1" x14ac:dyDescent="0.2">
      <c r="A40" s="9" t="s">
        <v>27</v>
      </c>
      <c r="B40" s="10">
        <f>SUM(B36:B37)</f>
        <v>0</v>
      </c>
      <c r="C40" s="10">
        <f t="shared" ref="C40:H40" si="9">SUM(C36:C37)</f>
        <v>0</v>
      </c>
      <c r="D40" s="10">
        <f t="shared" si="9"/>
        <v>0</v>
      </c>
      <c r="E40" s="10">
        <f t="shared" si="9"/>
        <v>0</v>
      </c>
      <c r="F40" s="10">
        <f t="shared" si="9"/>
        <v>0</v>
      </c>
      <c r="G40" s="10">
        <f t="shared" si="9"/>
        <v>0</v>
      </c>
      <c r="H40" s="10">
        <f t="shared" si="9"/>
        <v>0</v>
      </c>
      <c r="I40" s="10">
        <f>SUM(I36:I38)</f>
        <v>0</v>
      </c>
      <c r="J40" s="10">
        <f>SUM(J36:J38)</f>
        <v>0</v>
      </c>
      <c r="K40" s="10">
        <f>SUM(K36:K39)</f>
        <v>0</v>
      </c>
      <c r="L40" s="10">
        <f>SUM(L36:L39)</f>
        <v>0</v>
      </c>
      <c r="M40" s="10">
        <f>SUM(M36:M39)</f>
        <v>0</v>
      </c>
      <c r="N40" s="10">
        <f>SUM(N36:N39)</f>
        <v>0</v>
      </c>
      <c r="O40" s="10"/>
      <c r="P40" s="10"/>
      <c r="Q40" s="10"/>
      <c r="R40" s="11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x14ac:dyDescent="0.2">
      <c r="A41" s="7" t="s">
        <v>72</v>
      </c>
      <c r="B41" s="5">
        <v>1200</v>
      </c>
      <c r="C41" s="5">
        <v>1200</v>
      </c>
      <c r="D41" s="5">
        <v>1200</v>
      </c>
      <c r="E41" s="5">
        <v>1200</v>
      </c>
      <c r="F41" s="5">
        <v>1200</v>
      </c>
      <c r="G41" s="5">
        <v>1200</v>
      </c>
      <c r="H41" s="5">
        <v>1200</v>
      </c>
      <c r="I41" s="5">
        <v>1200</v>
      </c>
      <c r="J41" s="5">
        <v>1200</v>
      </c>
      <c r="K41" s="5">
        <v>1200</v>
      </c>
      <c r="L41" s="5">
        <v>1200</v>
      </c>
      <c r="M41" s="5"/>
      <c r="N41" s="10"/>
      <c r="O41" s="5"/>
      <c r="P41" s="5"/>
      <c r="Q41" s="10"/>
      <c r="R41" s="11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s="2" customFormat="1" x14ac:dyDescent="0.2">
      <c r="A42" s="2" t="s">
        <v>29</v>
      </c>
      <c r="B42" s="10">
        <f t="shared" ref="B42:M42" si="10">B40+B41*B58</f>
        <v>0</v>
      </c>
      <c r="C42" s="10">
        <f t="shared" si="10"/>
        <v>0</v>
      </c>
      <c r="D42" s="10">
        <f t="shared" si="10"/>
        <v>0</v>
      </c>
      <c r="E42" s="10">
        <f t="shared" si="10"/>
        <v>0</v>
      </c>
      <c r="F42" s="10">
        <f t="shared" si="10"/>
        <v>0</v>
      </c>
      <c r="G42" s="10">
        <f t="shared" si="10"/>
        <v>0</v>
      </c>
      <c r="H42" s="10">
        <f t="shared" si="10"/>
        <v>0</v>
      </c>
      <c r="I42" s="10">
        <f t="shared" si="10"/>
        <v>0</v>
      </c>
      <c r="J42" s="10">
        <f t="shared" si="10"/>
        <v>0</v>
      </c>
      <c r="K42" s="10">
        <f t="shared" si="10"/>
        <v>0</v>
      </c>
      <c r="L42" s="10">
        <f t="shared" si="10"/>
        <v>0</v>
      </c>
      <c r="M42" s="10">
        <f t="shared" si="10"/>
        <v>0</v>
      </c>
      <c r="N42" s="10"/>
      <c r="O42" s="10"/>
      <c r="P42" s="10"/>
      <c r="Q42" s="10"/>
      <c r="R42" s="11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s="2" customFormat="1" x14ac:dyDescent="0.2">
      <c r="A43" s="2" t="s">
        <v>63</v>
      </c>
      <c r="B43" s="10">
        <v>5</v>
      </c>
      <c r="C43" s="10">
        <v>5</v>
      </c>
      <c r="D43" s="10">
        <v>5</v>
      </c>
      <c r="E43" s="10">
        <v>5</v>
      </c>
      <c r="F43" s="10">
        <v>5</v>
      </c>
      <c r="G43" s="10">
        <v>5</v>
      </c>
      <c r="H43" s="10">
        <v>5</v>
      </c>
      <c r="I43" s="10">
        <v>5</v>
      </c>
      <c r="J43" s="10">
        <v>5</v>
      </c>
      <c r="K43" s="10">
        <v>5</v>
      </c>
      <c r="L43" s="10">
        <v>5</v>
      </c>
      <c r="M43" s="10">
        <v>5</v>
      </c>
      <c r="N43" s="10"/>
      <c r="O43" s="10"/>
      <c r="P43" s="10"/>
      <c r="Q43" s="10"/>
      <c r="R43" s="11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x14ac:dyDescent="0.2">
      <c r="A44" s="2" t="s">
        <v>21</v>
      </c>
      <c r="B44" s="5"/>
      <c r="C44" s="5"/>
      <c r="D44" s="5"/>
      <c r="E44" s="5"/>
      <c r="F44" s="5"/>
      <c r="G44" s="5"/>
      <c r="H44" s="5"/>
      <c r="I44" s="5"/>
      <c r="J44" s="10"/>
      <c r="K44" s="12"/>
      <c r="L44" s="12"/>
      <c r="M44" s="5"/>
      <c r="N44" s="10"/>
      <c r="O44" s="5"/>
    </row>
    <row r="45" spans="1:32" x14ac:dyDescent="0.2">
      <c r="A45" s="1" t="s">
        <v>54</v>
      </c>
      <c r="B45" s="5"/>
      <c r="C45" s="5"/>
      <c r="D45" s="5"/>
      <c r="E45" s="5"/>
      <c r="F45" s="5"/>
      <c r="G45" s="5"/>
      <c r="H45" s="5"/>
      <c r="I45" s="5"/>
      <c r="J45" s="12"/>
      <c r="K45" s="12"/>
      <c r="L45" s="12"/>
      <c r="M45" s="5"/>
      <c r="N45" s="10"/>
      <c r="O45" s="5"/>
    </row>
    <row r="46" spans="1:32" x14ac:dyDescent="0.2">
      <c r="A46" s="1" t="s">
        <v>64</v>
      </c>
      <c r="B46" s="5"/>
      <c r="C46" s="5"/>
      <c r="D46" s="5"/>
      <c r="E46" s="5"/>
      <c r="F46" s="5"/>
      <c r="G46" s="5"/>
      <c r="H46" s="5"/>
      <c r="I46" s="5"/>
      <c r="J46" s="12"/>
      <c r="K46" s="12"/>
      <c r="L46" s="12"/>
      <c r="M46" s="5"/>
      <c r="N46" s="10"/>
      <c r="O46" s="5"/>
    </row>
    <row r="47" spans="1:32" x14ac:dyDescent="0.2">
      <c r="A47" s="1" t="s">
        <v>57</v>
      </c>
      <c r="B47" s="5"/>
      <c r="C47" s="5"/>
      <c r="D47" s="5"/>
      <c r="E47" s="5"/>
      <c r="F47" s="5"/>
      <c r="G47" s="5"/>
      <c r="H47" s="5"/>
      <c r="I47" s="5"/>
      <c r="J47" s="12"/>
      <c r="K47" s="12"/>
      <c r="L47" s="12"/>
      <c r="M47" s="5"/>
      <c r="N47" s="10"/>
      <c r="O47" s="5"/>
    </row>
    <row r="48" spans="1:32" x14ac:dyDescent="0.2">
      <c r="A48" s="1" t="s">
        <v>71</v>
      </c>
      <c r="B48" s="5"/>
      <c r="C48" s="5"/>
      <c r="D48" s="5"/>
      <c r="E48" s="5"/>
      <c r="F48" s="5"/>
      <c r="G48" s="5"/>
      <c r="H48" s="5"/>
      <c r="I48" s="5"/>
      <c r="J48" s="12"/>
      <c r="K48" s="12"/>
      <c r="L48" s="12"/>
      <c r="M48" s="5"/>
      <c r="N48" s="10"/>
      <c r="O48" s="5"/>
    </row>
    <row r="49" spans="1:32" s="26" customFormat="1" hidden="1" x14ac:dyDescent="0.2">
      <c r="A49" s="26" t="s">
        <v>59</v>
      </c>
      <c r="B49" s="27"/>
      <c r="C49" s="27"/>
      <c r="D49" s="27"/>
      <c r="E49" s="27"/>
      <c r="F49" s="27"/>
      <c r="G49" s="27"/>
      <c r="H49" s="27"/>
      <c r="I49" s="27"/>
      <c r="J49" s="28"/>
      <c r="K49" s="28"/>
      <c r="L49" s="28"/>
      <c r="M49" s="27"/>
      <c r="N49" s="31"/>
      <c r="O49" s="27"/>
      <c r="Q49" s="29"/>
      <c r="R49" s="30"/>
    </row>
    <row r="50" spans="1:32" s="26" customFormat="1" hidden="1" x14ac:dyDescent="0.2">
      <c r="A50" s="26" t="s">
        <v>60</v>
      </c>
      <c r="B50" s="27"/>
      <c r="C50" s="27"/>
      <c r="D50" s="27"/>
      <c r="E50" s="27"/>
      <c r="F50" s="27"/>
      <c r="G50" s="27"/>
      <c r="H50" s="27"/>
      <c r="I50" s="27"/>
      <c r="J50" s="28"/>
      <c r="K50" s="28"/>
      <c r="L50" s="28"/>
      <c r="M50" s="27"/>
      <c r="N50" s="31"/>
      <c r="O50" s="27"/>
      <c r="Q50" s="29"/>
      <c r="R50" s="30"/>
    </row>
    <row r="51" spans="1:32" s="26" customFormat="1" hidden="1" x14ac:dyDescent="0.2">
      <c r="A51" s="26" t="s">
        <v>67</v>
      </c>
      <c r="B51" s="27"/>
      <c r="C51" s="27"/>
      <c r="D51" s="27"/>
      <c r="E51" s="27"/>
      <c r="F51" s="27"/>
      <c r="G51" s="27"/>
      <c r="H51" s="27"/>
      <c r="I51" s="27"/>
      <c r="J51" s="28"/>
      <c r="K51" s="28"/>
      <c r="L51" s="28"/>
      <c r="M51" s="27"/>
      <c r="N51" s="31"/>
      <c r="O51" s="27"/>
      <c r="Q51" s="29"/>
      <c r="R51" s="30"/>
    </row>
    <row r="52" spans="1:32" x14ac:dyDescent="0.2">
      <c r="A52" s="1" t="s">
        <v>65</v>
      </c>
      <c r="B52" s="5"/>
      <c r="C52" s="5"/>
      <c r="D52" s="5"/>
      <c r="E52" s="5"/>
      <c r="F52" s="5"/>
      <c r="G52" s="5"/>
      <c r="H52" s="5"/>
      <c r="I52" s="5"/>
      <c r="J52" s="12"/>
      <c r="K52" s="12"/>
      <c r="L52" s="12"/>
      <c r="M52" s="5"/>
      <c r="N52" s="10"/>
      <c r="O52" s="5"/>
    </row>
    <row r="53" spans="1:32" x14ac:dyDescent="0.2">
      <c r="A53" s="1" t="s">
        <v>66</v>
      </c>
      <c r="B53" s="5"/>
      <c r="C53" s="5"/>
      <c r="D53" s="5"/>
      <c r="E53" s="5"/>
      <c r="F53" s="5"/>
      <c r="G53" s="5"/>
      <c r="H53" s="5"/>
      <c r="I53" s="5"/>
      <c r="J53" s="12"/>
      <c r="K53" s="12"/>
      <c r="L53" s="12"/>
      <c r="M53" s="5"/>
      <c r="N53" s="10"/>
      <c r="O53" s="5"/>
    </row>
    <row r="54" spans="1:32" x14ac:dyDescent="0.2">
      <c r="A54" s="2" t="s">
        <v>84</v>
      </c>
      <c r="B54" s="10">
        <f t="shared" ref="B54:M54" si="11">SUM(B45:B48)+SUM(B49:B51)*B58+B52*B59+B53*B60+B43*B61</f>
        <v>0</v>
      </c>
      <c r="C54" s="10">
        <f>SUM(C45:C48)+SUM(C49:C51)*C58+C52*C59+C53*C60+C43*C61</f>
        <v>0</v>
      </c>
      <c r="D54" s="10">
        <f t="shared" si="11"/>
        <v>0</v>
      </c>
      <c r="E54" s="10">
        <f>SUM(E45:E46)+E48+SUM(E49:E51)*E58+E52*E59+E53*E60+E43*E61+E47*E58</f>
        <v>0</v>
      </c>
      <c r="F54" s="10">
        <f t="shared" si="11"/>
        <v>0</v>
      </c>
      <c r="G54" s="10">
        <f>SUM(G45:G48)+SUM(G49:G51)*G58+G52*G59+G53*G60+G43*G61</f>
        <v>0</v>
      </c>
      <c r="H54" s="10">
        <f t="shared" si="11"/>
        <v>0</v>
      </c>
      <c r="I54" s="10">
        <f t="shared" si="11"/>
        <v>0</v>
      </c>
      <c r="J54" s="10">
        <f t="shared" si="11"/>
        <v>0</v>
      </c>
      <c r="K54" s="10">
        <f t="shared" si="11"/>
        <v>0</v>
      </c>
      <c r="L54" s="10">
        <f t="shared" si="11"/>
        <v>0</v>
      </c>
      <c r="M54" s="10">
        <f t="shared" si="11"/>
        <v>0</v>
      </c>
      <c r="N54" s="10"/>
      <c r="O54" s="5"/>
    </row>
    <row r="55" spans="1:32" x14ac:dyDescent="0.2">
      <c r="A55" s="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5"/>
    </row>
    <row r="56" spans="1:32" x14ac:dyDescent="0.2">
      <c r="A56" s="2" t="s">
        <v>85</v>
      </c>
      <c r="B56" s="10">
        <f>B42+B54</f>
        <v>0</v>
      </c>
      <c r="C56" s="10">
        <f>C42+C54</f>
        <v>0</v>
      </c>
      <c r="D56" s="10">
        <f t="shared" ref="D56:M56" si="12">D42+D54</f>
        <v>0</v>
      </c>
      <c r="E56" s="10">
        <f t="shared" si="12"/>
        <v>0</v>
      </c>
      <c r="F56" s="10">
        <f t="shared" si="12"/>
        <v>0</v>
      </c>
      <c r="G56" s="10">
        <f t="shared" si="12"/>
        <v>0</v>
      </c>
      <c r="H56" s="10">
        <f t="shared" si="12"/>
        <v>0</v>
      </c>
      <c r="I56" s="10">
        <f t="shared" si="12"/>
        <v>0</v>
      </c>
      <c r="J56" s="10">
        <f t="shared" si="12"/>
        <v>0</v>
      </c>
      <c r="K56" s="10">
        <f t="shared" si="12"/>
        <v>0</v>
      </c>
      <c r="L56" s="10">
        <f t="shared" si="12"/>
        <v>0</v>
      </c>
      <c r="M56" s="10">
        <f t="shared" si="12"/>
        <v>0</v>
      </c>
      <c r="O56" s="5"/>
    </row>
    <row r="57" spans="1:32" x14ac:dyDescent="0.2">
      <c r="A57" s="2"/>
      <c r="B57" s="10"/>
      <c r="C57" s="10"/>
      <c r="D57" s="10"/>
      <c r="E57" s="10"/>
      <c r="F57" s="10"/>
      <c r="G57" s="5"/>
      <c r="H57" s="5"/>
      <c r="I57" s="5"/>
      <c r="J57" s="10"/>
      <c r="K57" s="12"/>
      <c r="L57" s="12"/>
      <c r="M57" s="5"/>
      <c r="O57" s="5"/>
    </row>
    <row r="58" spans="1:32" x14ac:dyDescent="0.2">
      <c r="A58" s="1" t="s">
        <v>22</v>
      </c>
      <c r="B58" s="6"/>
      <c r="C58" s="6"/>
      <c r="D58" s="6"/>
      <c r="E58" s="6"/>
      <c r="F58" s="6"/>
      <c r="G58" s="6"/>
      <c r="H58" s="6"/>
      <c r="I58" s="6"/>
      <c r="J58" s="25"/>
      <c r="K58" s="25"/>
      <c r="L58" s="25"/>
      <c r="M58" s="25"/>
      <c r="O58" s="5"/>
    </row>
    <row r="59" spans="1:32" x14ac:dyDescent="0.2">
      <c r="A59" s="1" t="s">
        <v>61</v>
      </c>
      <c r="B59" s="6"/>
      <c r="C59" s="6"/>
      <c r="D59" s="6"/>
      <c r="E59" s="6"/>
      <c r="F59" s="6"/>
      <c r="G59" s="6"/>
      <c r="H59" s="6"/>
      <c r="I59" s="6"/>
      <c r="J59" s="25"/>
      <c r="K59" s="25"/>
      <c r="L59" s="25"/>
      <c r="M59" s="25"/>
    </row>
    <row r="60" spans="1:32" x14ac:dyDescent="0.2">
      <c r="A60" s="1" t="s">
        <v>62</v>
      </c>
      <c r="B60" s="6"/>
      <c r="C60" s="6"/>
      <c r="D60" s="6"/>
      <c r="E60" s="6"/>
      <c r="F60" s="6"/>
      <c r="G60" s="6"/>
      <c r="H60" s="6"/>
      <c r="I60" s="6"/>
      <c r="J60" s="25"/>
      <c r="K60" s="25"/>
      <c r="L60" s="25"/>
      <c r="M60" s="25"/>
    </row>
    <row r="61" spans="1:32" x14ac:dyDescent="0.2">
      <c r="A61" s="1" t="s">
        <v>63</v>
      </c>
      <c r="B61" s="6"/>
      <c r="C61" s="6"/>
      <c r="D61" s="6"/>
      <c r="E61" s="6"/>
      <c r="F61" s="6"/>
      <c r="G61" s="6"/>
      <c r="H61" s="6"/>
      <c r="I61" s="6"/>
      <c r="J61" s="6"/>
      <c r="K61" s="25"/>
      <c r="L61" s="25"/>
      <c r="M61" s="6"/>
    </row>
    <row r="62" spans="1:32" s="23" customFormat="1" x14ac:dyDescent="0.2">
      <c r="A62" s="20" t="s">
        <v>39</v>
      </c>
      <c r="B62" s="21">
        <f>B56-'2022'!K69</f>
        <v>-1571817.68</v>
      </c>
      <c r="C62" s="21">
        <f>C56-B56</f>
        <v>0</v>
      </c>
      <c r="D62" s="21">
        <f t="shared" ref="D62:M62" si="13">D56-C56</f>
        <v>0</v>
      </c>
      <c r="E62" s="21">
        <f t="shared" si="13"/>
        <v>0</v>
      </c>
      <c r="F62" s="21">
        <f>F56-E56</f>
        <v>0</v>
      </c>
      <c r="G62" s="21">
        <f>G56-F56</f>
        <v>0</v>
      </c>
      <c r="H62" s="21">
        <f t="shared" si="13"/>
        <v>0</v>
      </c>
      <c r="I62" s="21">
        <f t="shared" si="13"/>
        <v>0</v>
      </c>
      <c r="J62" s="21">
        <f t="shared" si="13"/>
        <v>0</v>
      </c>
      <c r="K62" s="21">
        <f t="shared" si="13"/>
        <v>0</v>
      </c>
      <c r="L62" s="21">
        <f>L56-K56</f>
        <v>0</v>
      </c>
      <c r="M62" s="21">
        <f t="shared" si="13"/>
        <v>0</v>
      </c>
      <c r="N62" s="21"/>
      <c r="O62" s="21"/>
      <c r="P62" s="21"/>
      <c r="Q62" s="21"/>
      <c r="R62" s="22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</row>
    <row r="63" spans="1:32" x14ac:dyDescent="0.2">
      <c r="A63" s="1" t="s">
        <v>41</v>
      </c>
      <c r="B63" s="5">
        <f t="shared" ref="B63:M63" si="14">B62+B31</f>
        <v>-1164017.68</v>
      </c>
      <c r="C63" s="5">
        <f t="shared" si="14"/>
        <v>103500</v>
      </c>
      <c r="D63" s="5">
        <f>D62+D31</f>
        <v>-56500</v>
      </c>
      <c r="E63" s="5">
        <f t="shared" si="14"/>
        <v>-87500</v>
      </c>
      <c r="F63" s="5">
        <f>F62+F31</f>
        <v>129300</v>
      </c>
      <c r="G63" s="5">
        <f>G62+G31</f>
        <v>4500</v>
      </c>
      <c r="H63" s="5">
        <f t="shared" si="14"/>
        <v>-195500</v>
      </c>
      <c r="I63" s="5">
        <f>I62+I31</f>
        <v>204500</v>
      </c>
      <c r="J63" s="5">
        <f t="shared" si="14"/>
        <v>-405000</v>
      </c>
      <c r="K63" s="5">
        <f t="shared" si="14"/>
        <v>-183000</v>
      </c>
      <c r="L63" s="5">
        <f>L62+L31</f>
        <v>-388160.52399999998</v>
      </c>
      <c r="M63" s="5">
        <f t="shared" si="14"/>
        <v>-393000</v>
      </c>
    </row>
    <row r="64" spans="1:32" x14ac:dyDescent="0.2">
      <c r="B64" s="5"/>
      <c r="C64" s="5"/>
      <c r="D64" s="5"/>
      <c r="E64" s="5"/>
      <c r="F64" s="5"/>
      <c r="G64" s="5"/>
      <c r="H64" s="5"/>
      <c r="I64" s="5"/>
      <c r="J64" s="10"/>
      <c r="K64" s="12"/>
      <c r="L64" s="12"/>
      <c r="M64" s="5"/>
    </row>
    <row r="65" spans="1:33" s="2" customFormat="1" x14ac:dyDescent="0.2">
      <c r="A65" s="1" t="s">
        <v>86</v>
      </c>
      <c r="B65" s="5">
        <f>'2023'!M65</f>
        <v>-1040000</v>
      </c>
      <c r="C65" s="5">
        <f t="shared" ref="C65:M65" si="15">B65-C20</f>
        <v>-1040000</v>
      </c>
      <c r="D65" s="5">
        <f>C65-D20+30000</f>
        <v>-1010000</v>
      </c>
      <c r="E65" s="5">
        <f t="shared" si="15"/>
        <v>-1010000</v>
      </c>
      <c r="F65" s="5">
        <f>E65-F20-20000</f>
        <v>-1030000</v>
      </c>
      <c r="G65" s="5">
        <f>F65-G20</f>
        <v>-1030000</v>
      </c>
      <c r="H65" s="5">
        <f t="shared" si="15"/>
        <v>-1030000</v>
      </c>
      <c r="I65" s="5">
        <f t="shared" si="15"/>
        <v>-430000</v>
      </c>
      <c r="J65" s="5">
        <f t="shared" si="15"/>
        <v>-30000</v>
      </c>
      <c r="K65" s="5">
        <f>J65-K20+10000</f>
        <v>-20000</v>
      </c>
      <c r="L65" s="5">
        <f t="shared" si="15"/>
        <v>-20000</v>
      </c>
      <c r="M65" s="5">
        <f t="shared" si="15"/>
        <v>-20000</v>
      </c>
      <c r="O65" s="1"/>
      <c r="P65" s="1"/>
      <c r="R65" s="4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s="2" customFormat="1" x14ac:dyDescent="0.2">
      <c r="A66" s="1" t="s">
        <v>102</v>
      </c>
      <c r="B66" s="5">
        <f t="shared" ref="B66:M66" si="16">B65+B56</f>
        <v>-1040000</v>
      </c>
      <c r="C66" s="5">
        <f t="shared" si="16"/>
        <v>-1040000</v>
      </c>
      <c r="D66" s="5">
        <f>D65+D56</f>
        <v>-1010000</v>
      </c>
      <c r="E66" s="5">
        <f t="shared" si="16"/>
        <v>-1010000</v>
      </c>
      <c r="F66" s="5">
        <f t="shared" si="16"/>
        <v>-1030000</v>
      </c>
      <c r="G66" s="5">
        <f t="shared" si="16"/>
        <v>-1030000</v>
      </c>
      <c r="H66" s="5">
        <f t="shared" si="16"/>
        <v>-1030000</v>
      </c>
      <c r="I66" s="5">
        <f t="shared" si="16"/>
        <v>-430000</v>
      </c>
      <c r="J66" s="5">
        <f t="shared" si="16"/>
        <v>-30000</v>
      </c>
      <c r="K66" s="5">
        <f>K65+K56</f>
        <v>-20000</v>
      </c>
      <c r="L66" s="5">
        <f>L65+L56</f>
        <v>-20000</v>
      </c>
      <c r="M66" s="5">
        <f t="shared" si="16"/>
        <v>-20000</v>
      </c>
      <c r="O66" s="1"/>
      <c r="P66" s="1"/>
      <c r="R66" s="4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s="2" customFormat="1" x14ac:dyDescent="0.2">
      <c r="A67" s="1"/>
      <c r="B67" s="1"/>
      <c r="C67" s="1"/>
      <c r="D67" s="1"/>
      <c r="E67" s="1"/>
      <c r="F67" s="1"/>
      <c r="G67" s="1"/>
      <c r="H67" s="1"/>
      <c r="I67" s="1"/>
      <c r="K67" s="3"/>
      <c r="L67" s="12"/>
      <c r="M67" s="1"/>
      <c r="O67" s="1"/>
      <c r="P67" s="1"/>
      <c r="R67" s="4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">
      <c r="A68" s="1" t="s">
        <v>100</v>
      </c>
      <c r="C68" s="5">
        <f>C36+C37+C45+C46+C48</f>
        <v>0</v>
      </c>
      <c r="D68" s="5">
        <f>D36+D37+D45+D46+D48</f>
        <v>0</v>
      </c>
      <c r="E68" s="5">
        <f>E36+E37+E45+E46+E48</f>
        <v>0</v>
      </c>
      <c r="F68" s="5">
        <f>F36+F37+F45+F46+F48</f>
        <v>0</v>
      </c>
      <c r="G68" s="5">
        <f t="shared" ref="G68:M68" si="17">G36+G37+G45+G46+G48</f>
        <v>0</v>
      </c>
      <c r="H68" s="5">
        <f t="shared" si="17"/>
        <v>0</v>
      </c>
      <c r="I68" s="5">
        <f>I36+I37+I45+I46+I48</f>
        <v>0</v>
      </c>
      <c r="J68" s="5">
        <f t="shared" si="17"/>
        <v>0</v>
      </c>
      <c r="K68" s="5">
        <f t="shared" si="17"/>
        <v>0</v>
      </c>
      <c r="L68" s="5">
        <f>L36+L37+L45+L46+L48-50000</f>
        <v>-50000</v>
      </c>
      <c r="M68" s="5">
        <f t="shared" si="17"/>
        <v>0</v>
      </c>
    </row>
    <row r="69" spans="1:33" x14ac:dyDescent="0.2">
      <c r="A69" s="1" t="s">
        <v>101</v>
      </c>
      <c r="C69" s="5">
        <f>C56-C68</f>
        <v>0</v>
      </c>
      <c r="D69" s="5">
        <f>D56-D68</f>
        <v>0</v>
      </c>
      <c r="E69" s="5">
        <f t="shared" ref="E69:M69" si="18">E56-E68</f>
        <v>0</v>
      </c>
      <c r="F69" s="5">
        <f>F56-F68</f>
        <v>0</v>
      </c>
      <c r="G69" s="5">
        <f t="shared" si="18"/>
        <v>0</v>
      </c>
      <c r="H69" s="5">
        <f t="shared" si="18"/>
        <v>0</v>
      </c>
      <c r="I69" s="5">
        <f t="shared" si="18"/>
        <v>0</v>
      </c>
      <c r="J69" s="5">
        <f t="shared" si="18"/>
        <v>0</v>
      </c>
      <c r="K69" s="5">
        <f t="shared" si="18"/>
        <v>0</v>
      </c>
      <c r="L69" s="5">
        <f>L56-L68+50000</f>
        <v>100000</v>
      </c>
      <c r="M69" s="5">
        <f t="shared" si="18"/>
        <v>0</v>
      </c>
    </row>
    <row r="70" spans="1:33" x14ac:dyDescent="0.2">
      <c r="C70" s="5">
        <f>SUM(C68:C69)</f>
        <v>0</v>
      </c>
      <c r="D70" s="5">
        <f>SUM(D68:D69)</f>
        <v>0</v>
      </c>
      <c r="E70" s="5">
        <f>SUM(E68:E69)</f>
        <v>0</v>
      </c>
      <c r="F70" s="5">
        <f>SUM(F68:F69)</f>
        <v>0</v>
      </c>
      <c r="G70" s="5">
        <f t="shared" ref="G70:M70" si="19">SUM(G68:G69)</f>
        <v>0</v>
      </c>
      <c r="H70" s="5">
        <f t="shared" si="19"/>
        <v>0</v>
      </c>
      <c r="I70" s="5">
        <f t="shared" si="19"/>
        <v>0</v>
      </c>
      <c r="J70" s="5">
        <f t="shared" si="19"/>
        <v>0</v>
      </c>
      <c r="K70" s="5">
        <f t="shared" si="19"/>
        <v>0</v>
      </c>
      <c r="L70" s="5">
        <f t="shared" si="19"/>
        <v>50000</v>
      </c>
      <c r="M70" s="5">
        <f t="shared" si="19"/>
        <v>0</v>
      </c>
    </row>
    <row r="71" spans="1:33" x14ac:dyDescent="0.2">
      <c r="C71" s="38" t="e">
        <f>C69/C70</f>
        <v>#DIV/0!</v>
      </c>
      <c r="D71" s="38" t="e">
        <f>D69/D70</f>
        <v>#DIV/0!</v>
      </c>
      <c r="E71" s="38" t="e">
        <f>E69/E70</f>
        <v>#DIV/0!</v>
      </c>
      <c r="F71" s="38" t="e">
        <f>F69/F70</f>
        <v>#DIV/0!</v>
      </c>
      <c r="G71" s="38" t="e">
        <f t="shared" ref="G71:M71" si="20">G69/G70</f>
        <v>#DIV/0!</v>
      </c>
      <c r="H71" s="38" t="e">
        <f t="shared" si="20"/>
        <v>#DIV/0!</v>
      </c>
      <c r="I71" s="38" t="e">
        <f t="shared" si="20"/>
        <v>#DIV/0!</v>
      </c>
      <c r="J71" s="38" t="e">
        <f t="shared" si="20"/>
        <v>#DIV/0!</v>
      </c>
      <c r="K71" s="38" t="e">
        <f t="shared" si="20"/>
        <v>#DIV/0!</v>
      </c>
      <c r="L71" s="38">
        <f t="shared" si="20"/>
        <v>2</v>
      </c>
      <c r="M71" s="38" t="e">
        <f t="shared" si="20"/>
        <v>#DIV/0!</v>
      </c>
    </row>
    <row r="73" spans="1:33" x14ac:dyDescent="0.2">
      <c r="A73" s="1" t="s">
        <v>144</v>
      </c>
      <c r="B73" s="5">
        <f>'2023'!M73-B31</f>
        <v>111578</v>
      </c>
      <c r="C73" s="5">
        <f>B73-C31</f>
        <v>8078</v>
      </c>
      <c r="D73" s="5">
        <f t="shared" ref="D73:M73" si="21">C73-D31</f>
        <v>64578</v>
      </c>
      <c r="E73" s="5">
        <f t="shared" si="21"/>
        <v>152078</v>
      </c>
      <c r="F73" s="5">
        <f t="shared" si="21"/>
        <v>22778</v>
      </c>
      <c r="G73" s="5">
        <f t="shared" si="21"/>
        <v>18278</v>
      </c>
      <c r="H73" s="5">
        <f t="shared" si="21"/>
        <v>213778</v>
      </c>
      <c r="I73" s="5">
        <f t="shared" si="21"/>
        <v>9278</v>
      </c>
      <c r="J73" s="5">
        <f t="shared" si="21"/>
        <v>414278</v>
      </c>
      <c r="K73" s="5">
        <f t="shared" si="21"/>
        <v>597278</v>
      </c>
      <c r="L73" s="5">
        <f t="shared" si="21"/>
        <v>985438.52399999998</v>
      </c>
      <c r="M73" s="5">
        <f t="shared" si="21"/>
        <v>1378438.524</v>
      </c>
    </row>
    <row r="74" spans="1:33" x14ac:dyDescent="0.2">
      <c r="A74" s="1" t="s">
        <v>158</v>
      </c>
      <c r="B74" s="5">
        <f>B56-B73</f>
        <v>-111578</v>
      </c>
      <c r="C74" s="5">
        <f t="shared" ref="C74:M74" si="22">C56-C73</f>
        <v>-8078</v>
      </c>
      <c r="D74" s="5">
        <f t="shared" si="22"/>
        <v>-64578</v>
      </c>
      <c r="E74" s="5">
        <f t="shared" si="22"/>
        <v>-152078</v>
      </c>
      <c r="F74" s="5">
        <f t="shared" si="22"/>
        <v>-22778</v>
      </c>
      <c r="G74" s="5">
        <f t="shared" si="22"/>
        <v>-18278</v>
      </c>
      <c r="H74" s="5">
        <f t="shared" si="22"/>
        <v>-213778</v>
      </c>
      <c r="I74" s="5">
        <f t="shared" si="22"/>
        <v>-9278</v>
      </c>
      <c r="J74" s="5">
        <f t="shared" si="22"/>
        <v>-414278</v>
      </c>
      <c r="K74" s="5">
        <f t="shared" si="22"/>
        <v>-597278</v>
      </c>
      <c r="L74" s="5">
        <f t="shared" si="22"/>
        <v>-985438.52399999998</v>
      </c>
      <c r="M74" s="5">
        <f t="shared" si="22"/>
        <v>-1378438.524</v>
      </c>
    </row>
  </sheetData>
  <pageMargins left="0.7" right="0.7" top="0.75" bottom="0.75" header="0.3" footer="0.3"/>
  <pageSetup paperSize="9" scale="69" fitToHeight="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6DCA1-3104-1445-9E80-3F4EBB43E4EC}">
  <sheetPr>
    <pageSetUpPr fitToPage="1"/>
  </sheetPr>
  <dimension ref="A1:AG74"/>
  <sheetViews>
    <sheetView zoomScale="130" zoomScaleNormal="130" workbookViewId="0">
      <pane xSplit="1" ySplit="1" topLeftCell="B57" activePane="bottomRight" state="frozen"/>
      <selection pane="topRight" activeCell="B1" sqref="B1"/>
      <selection pane="bottomLeft" activeCell="A3" sqref="A3"/>
      <selection pane="bottomRight" activeCell="I23" sqref="I23"/>
    </sheetView>
  </sheetViews>
  <sheetFormatPr defaultColWidth="9.140625" defaultRowHeight="12.75" x14ac:dyDescent="0.2"/>
  <cols>
    <col min="1" max="1" width="29.140625" style="1" customWidth="1"/>
    <col min="2" max="6" width="9.140625" style="1" customWidth="1"/>
    <col min="7" max="7" width="9.28515625" style="1" bestFit="1" customWidth="1"/>
    <col min="8" max="8" width="11" style="1" bestFit="1" customWidth="1"/>
    <col min="9" max="9" width="10.7109375" style="1" bestFit="1" customWidth="1"/>
    <col min="10" max="10" width="10.7109375" style="2" bestFit="1" customWidth="1"/>
    <col min="11" max="12" width="10.7109375" style="3" bestFit="1" customWidth="1"/>
    <col min="13" max="13" width="9.28515625" style="1" bestFit="1" customWidth="1"/>
    <col min="14" max="14" width="11.28515625" style="2" bestFit="1" customWidth="1"/>
    <col min="15" max="16" width="9.140625" style="1"/>
    <col min="17" max="17" width="9.140625" style="2"/>
    <col min="18" max="18" width="9.140625" style="4"/>
    <col min="19" max="16384" width="9.140625" style="1"/>
  </cols>
  <sheetData>
    <row r="1" spans="1:32" s="2" customFormat="1" x14ac:dyDescent="0.2">
      <c r="A1" s="2" t="s">
        <v>0</v>
      </c>
      <c r="B1" s="9">
        <v>44927</v>
      </c>
      <c r="C1" s="9">
        <v>44958</v>
      </c>
      <c r="D1" s="9">
        <v>44986</v>
      </c>
      <c r="E1" s="9">
        <v>45017</v>
      </c>
      <c r="F1" s="9">
        <v>45047</v>
      </c>
      <c r="G1" s="9">
        <v>45078</v>
      </c>
      <c r="H1" s="9">
        <v>45108</v>
      </c>
      <c r="I1" s="9">
        <v>45139</v>
      </c>
      <c r="J1" s="9">
        <v>45170</v>
      </c>
      <c r="K1" s="9">
        <v>45200</v>
      </c>
      <c r="L1" s="9">
        <v>45231</v>
      </c>
      <c r="M1" s="9">
        <v>45261</v>
      </c>
      <c r="N1" s="2" t="s">
        <v>95</v>
      </c>
      <c r="R1" s="4"/>
    </row>
    <row r="2" spans="1:32" x14ac:dyDescent="0.2">
      <c r="A2" s="7" t="s">
        <v>3</v>
      </c>
      <c r="B2" s="5">
        <v>200000</v>
      </c>
      <c r="C2" s="5">
        <f>16054+114850+2070+1021+6921+37546</f>
        <v>178462</v>
      </c>
      <c r="D2" s="5">
        <v>300000</v>
      </c>
      <c r="E2" s="5">
        <v>300000</v>
      </c>
      <c r="F2" s="5">
        <f>300000-75000</f>
        <v>225000</v>
      </c>
      <c r="G2" s="5">
        <f>98347+92057+37484+48272+13277+14885+43958+26906</f>
        <v>375186</v>
      </c>
      <c r="H2" s="5">
        <v>300000</v>
      </c>
      <c r="I2" s="5">
        <f>443757</f>
        <v>443757</v>
      </c>
      <c r="J2" s="5">
        <f>300000/21*10</f>
        <v>142857.14285714287</v>
      </c>
      <c r="K2" s="5">
        <v>300000</v>
      </c>
      <c r="L2" s="5">
        <f>191374+11234+22767+80454+62475+71981</f>
        <v>440285</v>
      </c>
      <c r="M2" s="5">
        <v>300000</v>
      </c>
      <c r="N2" s="10">
        <f>SUM(B2:M2)</f>
        <v>3505547.1428571427</v>
      </c>
      <c r="O2" s="5"/>
      <c r="P2" s="5"/>
      <c r="Q2" s="10"/>
      <c r="R2" s="11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x14ac:dyDescent="0.2">
      <c r="A3" s="7" t="s">
        <v>4</v>
      </c>
      <c r="B3" s="5">
        <v>125000</v>
      </c>
      <c r="C3" s="5">
        <f>92297+286666</f>
        <v>378963</v>
      </c>
      <c r="D3" s="5">
        <v>125000</v>
      </c>
      <c r="E3" s="5">
        <v>191000</v>
      </c>
      <c r="F3" s="5">
        <v>200000</v>
      </c>
      <c r="G3" s="5">
        <v>200000</v>
      </c>
      <c r="H3" s="5">
        <f>200000+125000</f>
        <v>325000</v>
      </c>
      <c r="I3" s="5">
        <f>200000-125000</f>
        <v>75000</v>
      </c>
      <c r="J3" s="5">
        <v>200000</v>
      </c>
      <c r="K3" s="5">
        <v>200000</v>
      </c>
      <c r="L3" s="5">
        <f>200000</f>
        <v>200000</v>
      </c>
      <c r="M3" s="5">
        <v>200000</v>
      </c>
      <c r="N3" s="10">
        <f t="shared" ref="N3:N31" si="0">SUM(B3:M3)</f>
        <v>2419963</v>
      </c>
      <c r="O3" s="5">
        <f>80803+62745+47705+95903+68450+88151</f>
        <v>443757</v>
      </c>
      <c r="P3" s="5"/>
      <c r="Q3" s="10"/>
      <c r="R3" s="11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x14ac:dyDescent="0.2">
      <c r="A4" s="7" t="s">
        <v>1</v>
      </c>
      <c r="B4" s="5"/>
      <c r="C4" s="5"/>
      <c r="D4" s="5"/>
      <c r="E4" s="5"/>
      <c r="F4" s="5"/>
      <c r="G4" s="5"/>
      <c r="H4" s="5"/>
      <c r="I4" s="5">
        <f>77921+150000+300150</f>
        <v>528071</v>
      </c>
      <c r="J4" s="5">
        <v>300000</v>
      </c>
      <c r="K4" s="5"/>
      <c r="L4" s="5">
        <v>400000</v>
      </c>
      <c r="M4" s="5"/>
      <c r="N4" s="10">
        <f t="shared" si="0"/>
        <v>1228071</v>
      </c>
      <c r="O4" s="5"/>
      <c r="P4" s="5"/>
      <c r="Q4" s="10"/>
      <c r="R4" s="11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s="2" customFormat="1" x14ac:dyDescent="0.2">
      <c r="A5" s="9" t="s">
        <v>34</v>
      </c>
      <c r="B5" s="10">
        <f t="shared" ref="B5:G5" si="1">SUM(B2:B4)</f>
        <v>325000</v>
      </c>
      <c r="C5" s="10">
        <f t="shared" si="1"/>
        <v>557425</v>
      </c>
      <c r="D5" s="10">
        <f t="shared" si="1"/>
        <v>425000</v>
      </c>
      <c r="E5" s="10">
        <f t="shared" si="1"/>
        <v>491000</v>
      </c>
      <c r="F5" s="10">
        <f t="shared" si="1"/>
        <v>425000</v>
      </c>
      <c r="G5" s="10">
        <f t="shared" si="1"/>
        <v>575186</v>
      </c>
      <c r="H5" s="10">
        <f t="shared" ref="H5:M5" si="2">SUM(H2:H4)</f>
        <v>625000</v>
      </c>
      <c r="I5" s="10">
        <f t="shared" si="2"/>
        <v>1046828</v>
      </c>
      <c r="J5" s="10">
        <f t="shared" si="2"/>
        <v>642857.14285714284</v>
      </c>
      <c r="K5" s="10">
        <f t="shared" si="2"/>
        <v>500000</v>
      </c>
      <c r="L5" s="10">
        <f t="shared" si="2"/>
        <v>1040285</v>
      </c>
      <c r="M5" s="10">
        <f t="shared" si="2"/>
        <v>500000</v>
      </c>
      <c r="N5" s="10">
        <f t="shared" si="0"/>
        <v>7153581.1428571427</v>
      </c>
      <c r="O5" s="10"/>
      <c r="P5" s="10"/>
      <c r="Q5" s="10"/>
      <c r="R5" s="11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2">
      <c r="A6" s="7" t="s">
        <v>11</v>
      </c>
      <c r="B6" s="5">
        <f>-1700*30</f>
        <v>-51000</v>
      </c>
      <c r="C6" s="5">
        <f>-1700*30</f>
        <v>-51000</v>
      </c>
      <c r="D6" s="5">
        <f>-1700*30</f>
        <v>-51000</v>
      </c>
      <c r="E6" s="5">
        <f>-1700*30</f>
        <v>-51000</v>
      </c>
      <c r="F6" s="5">
        <f>-1700*30</f>
        <v>-51000</v>
      </c>
      <c r="G6" s="5">
        <f>-2000*30</f>
        <v>-60000</v>
      </c>
      <c r="H6" s="5">
        <f t="shared" ref="H6:M6" si="3">-2000*30</f>
        <v>-60000</v>
      </c>
      <c r="I6" s="5">
        <f t="shared" si="3"/>
        <v>-60000</v>
      </c>
      <c r="J6" s="5">
        <f t="shared" si="3"/>
        <v>-60000</v>
      </c>
      <c r="K6" s="5">
        <f t="shared" si="3"/>
        <v>-60000</v>
      </c>
      <c r="L6" s="5">
        <f t="shared" si="3"/>
        <v>-60000</v>
      </c>
      <c r="M6" s="5">
        <f t="shared" si="3"/>
        <v>-60000</v>
      </c>
      <c r="N6" s="10">
        <f t="shared" si="0"/>
        <v>-675000</v>
      </c>
      <c r="O6" s="5"/>
      <c r="P6" s="5"/>
      <c r="Q6" s="10"/>
      <c r="R6" s="11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x14ac:dyDescent="0.2">
      <c r="A7" s="7" t="s">
        <v>43</v>
      </c>
      <c r="B7" s="5">
        <v>-10000</v>
      </c>
      <c r="C7" s="5">
        <v>-5000</v>
      </c>
      <c r="D7" s="5">
        <v>-5000</v>
      </c>
      <c r="E7" s="5">
        <v>-5000</v>
      </c>
      <c r="F7" s="5">
        <v>-5000</v>
      </c>
      <c r="G7" s="5">
        <v>-5000</v>
      </c>
      <c r="H7" s="5">
        <v>-5000</v>
      </c>
      <c r="I7" s="5">
        <v>-10000</v>
      </c>
      <c r="J7" s="5">
        <v>-10000</v>
      </c>
      <c r="K7" s="5">
        <v>-10000</v>
      </c>
      <c r="L7" s="5">
        <f>-20000-10000-40000</f>
        <v>-70000</v>
      </c>
      <c r="M7" s="5">
        <v>-10000</v>
      </c>
      <c r="N7" s="10">
        <f t="shared" si="0"/>
        <v>-150000</v>
      </c>
      <c r="O7" s="5"/>
      <c r="P7" s="5"/>
      <c r="Q7" s="10"/>
      <c r="R7" s="11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x14ac:dyDescent="0.2">
      <c r="A8" s="7" t="s">
        <v>24</v>
      </c>
      <c r="B8" s="5">
        <v>-2500</v>
      </c>
      <c r="C8" s="5">
        <v>-2500</v>
      </c>
      <c r="D8" s="5">
        <v>-2500</v>
      </c>
      <c r="E8" s="5">
        <v>-2500</v>
      </c>
      <c r="F8" s="5">
        <v>-2500</v>
      </c>
      <c r="G8" s="5">
        <v>-2500</v>
      </c>
      <c r="H8" s="5">
        <f t="shared" ref="H8:M8" si="4">-1600-1000-1000</f>
        <v>-3600</v>
      </c>
      <c r="I8" s="5">
        <f t="shared" si="4"/>
        <v>-3600</v>
      </c>
      <c r="J8" s="5">
        <f t="shared" si="4"/>
        <v>-3600</v>
      </c>
      <c r="K8" s="5">
        <f t="shared" si="4"/>
        <v>-3600</v>
      </c>
      <c r="L8" s="5">
        <f t="shared" si="4"/>
        <v>-3600</v>
      </c>
      <c r="M8" s="5">
        <f t="shared" si="4"/>
        <v>-3600</v>
      </c>
      <c r="N8" s="10">
        <f t="shared" si="0"/>
        <v>-36600</v>
      </c>
      <c r="O8" s="5"/>
      <c r="P8" s="5"/>
      <c r="Q8" s="10"/>
      <c r="R8" s="11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x14ac:dyDescent="0.2">
      <c r="A9" s="7" t="s">
        <v>32</v>
      </c>
      <c r="B9" s="5">
        <v>-5000</v>
      </c>
      <c r="C9" s="5">
        <v>-5000</v>
      </c>
      <c r="D9" s="5">
        <v>-5000</v>
      </c>
      <c r="E9" s="5">
        <v>-5000</v>
      </c>
      <c r="F9" s="5">
        <v>-5000</v>
      </c>
      <c r="G9" s="5">
        <v>-5000</v>
      </c>
      <c r="H9" s="5">
        <v>-5000</v>
      </c>
      <c r="I9" s="5">
        <v>-5000</v>
      </c>
      <c r="J9" s="5">
        <v>-5000</v>
      </c>
      <c r="K9" s="5">
        <v>-5000</v>
      </c>
      <c r="L9" s="5">
        <v>-5000</v>
      </c>
      <c r="M9" s="5">
        <v>-5000</v>
      </c>
      <c r="N9" s="10">
        <f t="shared" si="0"/>
        <v>-60000</v>
      </c>
      <c r="O9" s="5"/>
      <c r="P9" s="5"/>
      <c r="Q9" s="10"/>
      <c r="R9" s="11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x14ac:dyDescent="0.2">
      <c r="A10" s="7" t="s">
        <v>12</v>
      </c>
      <c r="B10" s="5">
        <f>-200*21</f>
        <v>-4200</v>
      </c>
      <c r="C10" s="5">
        <f>-200*21</f>
        <v>-4200</v>
      </c>
      <c r="D10" s="5">
        <f>-200*21</f>
        <v>-4200</v>
      </c>
      <c r="E10" s="5">
        <f>-200*21</f>
        <v>-4200</v>
      </c>
      <c r="F10" s="5">
        <f>-200*21</f>
        <v>-4200</v>
      </c>
      <c r="G10" s="5">
        <f t="shared" ref="G10:M10" si="5">-200*21</f>
        <v>-4200</v>
      </c>
      <c r="H10" s="5">
        <f t="shared" si="5"/>
        <v>-4200</v>
      </c>
      <c r="I10" s="5">
        <f t="shared" si="5"/>
        <v>-4200</v>
      </c>
      <c r="J10" s="5">
        <f t="shared" si="5"/>
        <v>-4200</v>
      </c>
      <c r="K10" s="5">
        <f t="shared" si="5"/>
        <v>-4200</v>
      </c>
      <c r="L10" s="5">
        <f t="shared" si="5"/>
        <v>-4200</v>
      </c>
      <c r="M10" s="5">
        <f t="shared" si="5"/>
        <v>-4200</v>
      </c>
      <c r="N10" s="10">
        <f t="shared" si="0"/>
        <v>-50400</v>
      </c>
      <c r="O10" s="5"/>
      <c r="P10" s="5"/>
      <c r="Q10" s="10"/>
      <c r="R10" s="11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x14ac:dyDescent="0.2">
      <c r="A11" s="7" t="s">
        <v>18</v>
      </c>
      <c r="B11" s="5">
        <v>-6000</v>
      </c>
      <c r="C11" s="5">
        <v>-6000</v>
      </c>
      <c r="D11" s="5">
        <v>-6000</v>
      </c>
      <c r="E11" s="5">
        <v>-6000</v>
      </c>
      <c r="F11" s="5">
        <v>-10000</v>
      </c>
      <c r="G11" s="5">
        <v>-6000</v>
      </c>
      <c r="H11" s="5">
        <v>-10000</v>
      </c>
      <c r="I11" s="5">
        <v>-10000</v>
      </c>
      <c r="J11" s="5">
        <v>-10000</v>
      </c>
      <c r="K11" s="5">
        <v>-10000</v>
      </c>
      <c r="L11" s="5">
        <v>-10000</v>
      </c>
      <c r="M11" s="5">
        <v>-10000</v>
      </c>
      <c r="N11" s="10">
        <f t="shared" si="0"/>
        <v>-100000</v>
      </c>
      <c r="O11" s="5"/>
      <c r="P11" s="5"/>
      <c r="Q11" s="10"/>
      <c r="R11" s="11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x14ac:dyDescent="0.2">
      <c r="A12" s="7" t="s">
        <v>33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-10000</v>
      </c>
      <c r="N12" s="10">
        <f t="shared" si="0"/>
        <v>-10000</v>
      </c>
      <c r="O12" s="5"/>
      <c r="P12" s="5"/>
      <c r="Q12" s="10"/>
      <c r="R12" s="11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x14ac:dyDescent="0.2">
      <c r="A13" s="7" t="s">
        <v>91</v>
      </c>
      <c r="B13" s="5">
        <v>-8000</v>
      </c>
      <c r="C13" s="5">
        <v>-8000</v>
      </c>
      <c r="D13" s="5">
        <v>-8000</v>
      </c>
      <c r="E13" s="5">
        <v>-8000</v>
      </c>
      <c r="F13" s="12">
        <v>-6000</v>
      </c>
      <c r="G13" s="12">
        <v>-6000</v>
      </c>
      <c r="H13" s="5">
        <v>-7000</v>
      </c>
      <c r="I13" s="5">
        <v>-7000</v>
      </c>
      <c r="J13" s="5">
        <v>-7000</v>
      </c>
      <c r="K13" s="5">
        <v>-8000</v>
      </c>
      <c r="L13" s="5">
        <v>-8000</v>
      </c>
      <c r="M13" s="5">
        <v>-8000</v>
      </c>
      <c r="N13" s="10">
        <f t="shared" si="0"/>
        <v>-89000</v>
      </c>
      <c r="O13" s="5"/>
      <c r="P13" s="5"/>
      <c r="Q13" s="10"/>
      <c r="R13" s="11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x14ac:dyDescent="0.2">
      <c r="A14" s="7" t="s">
        <v>90</v>
      </c>
      <c r="B14" s="5">
        <v>-16000</v>
      </c>
      <c r="C14" s="5">
        <v>-9000</v>
      </c>
      <c r="D14" s="5">
        <v>-9000</v>
      </c>
      <c r="E14" s="5">
        <v>-9000</v>
      </c>
      <c r="F14" s="5">
        <v>-6000</v>
      </c>
      <c r="G14" s="5">
        <v>-6000</v>
      </c>
      <c r="H14" s="5">
        <v>-6000</v>
      </c>
      <c r="I14" s="5">
        <v>-6000</v>
      </c>
      <c r="J14" s="5">
        <v>-6000</v>
      </c>
      <c r="K14" s="5">
        <v>-6000</v>
      </c>
      <c r="L14" s="5">
        <v>-2000</v>
      </c>
      <c r="M14" s="5">
        <v>-3000</v>
      </c>
      <c r="N14" s="10">
        <f t="shared" si="0"/>
        <v>-84000</v>
      </c>
      <c r="O14" s="5"/>
      <c r="P14" s="5"/>
      <c r="Q14" s="10"/>
      <c r="R14" s="11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x14ac:dyDescent="0.2">
      <c r="A15" s="7" t="s">
        <v>5</v>
      </c>
      <c r="B15" s="5">
        <v>-7000</v>
      </c>
      <c r="C15" s="5">
        <v>-7000</v>
      </c>
      <c r="D15" s="5">
        <v>-7000</v>
      </c>
      <c r="E15" s="5">
        <v>-7000</v>
      </c>
      <c r="F15" s="5">
        <v>-3000</v>
      </c>
      <c r="G15" s="5">
        <v>-3000</v>
      </c>
      <c r="H15" s="5">
        <v>-3000</v>
      </c>
      <c r="I15" s="5">
        <v>-3000</v>
      </c>
      <c r="J15" s="5">
        <v>-3000</v>
      </c>
      <c r="K15" s="5">
        <v>-7000</v>
      </c>
      <c r="L15" s="5">
        <v>-7000</v>
      </c>
      <c r="M15" s="5">
        <v>-7000</v>
      </c>
      <c r="N15" s="10">
        <f t="shared" si="0"/>
        <v>-64000</v>
      </c>
      <c r="O15" s="5"/>
      <c r="P15" s="5"/>
      <c r="Q15" s="10"/>
      <c r="R15" s="11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x14ac:dyDescent="0.2">
      <c r="A16" s="7" t="s">
        <v>93</v>
      </c>
      <c r="B16" s="5">
        <v>-3000</v>
      </c>
      <c r="C16" s="5">
        <v>-3000</v>
      </c>
      <c r="D16" s="5">
        <v>-3000</v>
      </c>
      <c r="E16" s="5">
        <v>-3000</v>
      </c>
      <c r="F16" s="5">
        <v>-3000</v>
      </c>
      <c r="G16" s="5">
        <v>-3000</v>
      </c>
      <c r="H16" s="5">
        <v>-3000</v>
      </c>
      <c r="I16" s="5">
        <v>-3000</v>
      </c>
      <c r="J16" s="5">
        <v>-3000</v>
      </c>
      <c r="K16" s="5">
        <v>-3000</v>
      </c>
      <c r="L16" s="5">
        <v>-3000</v>
      </c>
      <c r="M16" s="5">
        <v>-3000</v>
      </c>
      <c r="N16" s="10">
        <f t="shared" si="0"/>
        <v>-36000</v>
      </c>
      <c r="O16" s="5"/>
      <c r="P16" s="5"/>
      <c r="Q16" s="10"/>
      <c r="R16" s="11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x14ac:dyDescent="0.2">
      <c r="A17" s="7" t="s">
        <v>42</v>
      </c>
      <c r="B17" s="5">
        <v>-2000</v>
      </c>
      <c r="C17" s="5">
        <v>-2000</v>
      </c>
      <c r="D17" s="5">
        <v>-2000</v>
      </c>
      <c r="E17" s="5">
        <v>-2000</v>
      </c>
      <c r="F17" s="5">
        <v>-2000</v>
      </c>
      <c r="G17" s="5">
        <v>-2000</v>
      </c>
      <c r="H17" s="5">
        <v>-2000</v>
      </c>
      <c r="I17" s="5">
        <v>-2000</v>
      </c>
      <c r="J17" s="5">
        <v>-2000</v>
      </c>
      <c r="K17" s="5">
        <v>-2000</v>
      </c>
      <c r="L17" s="5">
        <v>-2000</v>
      </c>
      <c r="M17" s="5">
        <v>-2000</v>
      </c>
      <c r="N17" s="10">
        <f t="shared" si="0"/>
        <v>-24000</v>
      </c>
      <c r="O17" s="5"/>
      <c r="P17" s="5"/>
      <c r="Q17" s="10"/>
      <c r="R17" s="11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idden="1" x14ac:dyDescent="0.2">
      <c r="A18" s="7" t="s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10">
        <f t="shared" si="0"/>
        <v>0</v>
      </c>
      <c r="O18" s="5"/>
      <c r="P18" s="5"/>
      <c r="Q18" s="10"/>
      <c r="R18" s="11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x14ac:dyDescent="0.2">
      <c r="A19" s="7" t="s">
        <v>88</v>
      </c>
      <c r="B19" s="5">
        <v>-21765</v>
      </c>
      <c r="C19" s="5">
        <v>-35798</v>
      </c>
      <c r="D19" s="5">
        <v>-35798</v>
      </c>
      <c r="E19" s="5">
        <v>-23000</v>
      </c>
      <c r="F19" s="5">
        <v>-23000</v>
      </c>
      <c r="G19" s="5">
        <v>-23000</v>
      </c>
      <c r="H19" s="5">
        <v>-25000</v>
      </c>
      <c r="I19" s="5">
        <v>-23000</v>
      </c>
      <c r="J19" s="5">
        <f>I19+2000</f>
        <v>-21000</v>
      </c>
      <c r="K19" s="5">
        <v>-15500</v>
      </c>
      <c r="L19" s="5">
        <v>-15500</v>
      </c>
      <c r="M19" s="5">
        <v>-15500</v>
      </c>
      <c r="N19" s="10">
        <f t="shared" si="0"/>
        <v>-277861</v>
      </c>
      <c r="O19" s="5"/>
      <c r="P19" s="5"/>
      <c r="Q19" s="10"/>
      <c r="R19" s="11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x14ac:dyDescent="0.2">
      <c r="A20" s="7" t="s">
        <v>89</v>
      </c>
      <c r="B20" s="5"/>
      <c r="C20" s="5"/>
      <c r="D20" s="5">
        <v>-100000</v>
      </c>
      <c r="E20" s="5">
        <v>-100000</v>
      </c>
      <c r="F20" s="5">
        <v>-200000</v>
      </c>
      <c r="G20" s="5">
        <f>-80000-320000</f>
        <v>-400000</v>
      </c>
      <c r="H20" s="5">
        <v>-200000</v>
      </c>
      <c r="I20" s="5">
        <v>-370000</v>
      </c>
      <c r="J20" s="5">
        <v>-100000</v>
      </c>
      <c r="K20" s="5"/>
      <c r="L20" s="5"/>
      <c r="M20" s="5"/>
      <c r="N20" s="10">
        <f t="shared" si="0"/>
        <v>-1470000</v>
      </c>
      <c r="O20" s="5"/>
      <c r="P20" s="5"/>
      <c r="Q20" s="10"/>
      <c r="R20" s="11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x14ac:dyDescent="0.2">
      <c r="A21" s="7" t="s">
        <v>143</v>
      </c>
      <c r="B21" s="5">
        <f>-73000-60000-14000</f>
        <v>-147000</v>
      </c>
      <c r="C21" s="5">
        <f>-7200</f>
        <v>-7200</v>
      </c>
      <c r="D21" s="5">
        <v>-13000</v>
      </c>
      <c r="E21" s="5">
        <v>-60000</v>
      </c>
      <c r="F21" s="5">
        <v>-75000</v>
      </c>
      <c r="G21" s="5">
        <f>-55000-14000-40000</f>
        <v>-109000</v>
      </c>
      <c r="H21" s="5"/>
      <c r="I21" s="5"/>
      <c r="J21" s="5"/>
      <c r="K21" s="5">
        <f>-114000-554000-300000-18000-19000-200000</f>
        <v>-1205000</v>
      </c>
      <c r="L21" s="5">
        <f>-725493</f>
        <v>-725493</v>
      </c>
      <c r="M21" s="5">
        <f>-155000-100000-200000-200000</f>
        <v>-655000</v>
      </c>
      <c r="N21" s="10">
        <f t="shared" si="0"/>
        <v>-2996693</v>
      </c>
      <c r="O21" s="5"/>
      <c r="P21" s="5"/>
      <c r="Q21" s="10"/>
      <c r="R21" s="11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x14ac:dyDescent="0.2">
      <c r="A22" s="7" t="s">
        <v>104</v>
      </c>
      <c r="B22" s="5"/>
      <c r="C22" s="5"/>
      <c r="D22" s="5"/>
      <c r="E22" s="5"/>
      <c r="F22" s="5"/>
      <c r="G22" s="5"/>
      <c r="H22" s="5"/>
      <c r="I22" s="5">
        <f>-184000-1300*98-8407-15960-32775-12255-4845</f>
        <v>-385642</v>
      </c>
      <c r="J22" s="5"/>
      <c r="K22" s="5"/>
      <c r="L22" s="5"/>
      <c r="M22" s="5"/>
      <c r="N22" s="10">
        <f t="shared" si="0"/>
        <v>-385642</v>
      </c>
      <c r="O22" s="5"/>
      <c r="P22" s="5"/>
      <c r="Q22" s="10"/>
      <c r="R22" s="11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x14ac:dyDescent="0.2">
      <c r="A23" s="7" t="s">
        <v>6</v>
      </c>
      <c r="B23" s="5"/>
      <c r="C23" s="5"/>
      <c r="D23" s="5"/>
      <c r="E23" s="5"/>
      <c r="F23" s="5"/>
      <c r="G23" s="12"/>
      <c r="H23" s="5"/>
      <c r="I23" s="5"/>
      <c r="J23" s="5"/>
      <c r="K23" s="5"/>
      <c r="L23" s="5">
        <f>-3668*2+1</f>
        <v>-7335</v>
      </c>
      <c r="M23" s="5"/>
      <c r="N23" s="10">
        <f t="shared" si="0"/>
        <v>-7335</v>
      </c>
      <c r="O23" s="5"/>
      <c r="P23" s="5"/>
      <c r="Q23" s="10"/>
      <c r="R23" s="11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x14ac:dyDescent="0.2">
      <c r="A24" s="7" t="s">
        <v>8</v>
      </c>
      <c r="B24" s="5"/>
      <c r="C24" s="5"/>
      <c r="D24" s="5"/>
      <c r="E24" s="5"/>
      <c r="F24" s="5"/>
      <c r="G24" s="10"/>
      <c r="H24" s="5"/>
      <c r="I24" s="5"/>
      <c r="J24" s="5"/>
      <c r="K24" s="5"/>
      <c r="L24" s="5">
        <f>-977-202</f>
        <v>-1179</v>
      </c>
      <c r="M24" s="5"/>
      <c r="N24" s="10">
        <f t="shared" si="0"/>
        <v>-1179</v>
      </c>
      <c r="O24" s="5"/>
      <c r="P24" s="5"/>
      <c r="Q24" s="10"/>
      <c r="R24" s="11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x14ac:dyDescent="0.2">
      <c r="A25" s="7" t="s">
        <v>103</v>
      </c>
      <c r="B25" s="5"/>
      <c r="C25" s="5"/>
      <c r="D25" s="5"/>
      <c r="E25" s="5"/>
      <c r="F25" s="5"/>
      <c r="G25" s="10"/>
      <c r="H25" s="5"/>
      <c r="I25" s="5"/>
      <c r="J25" s="5"/>
      <c r="K25" s="5"/>
      <c r="L25" s="5">
        <v>-499</v>
      </c>
      <c r="M25" s="5"/>
      <c r="N25" s="10">
        <f t="shared" si="0"/>
        <v>-499</v>
      </c>
      <c r="O25" s="5"/>
      <c r="P25" s="5"/>
      <c r="Q25" s="10"/>
      <c r="R25" s="11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x14ac:dyDescent="0.2">
      <c r="A26" s="7" t="s">
        <v>97</v>
      </c>
      <c r="B26" s="5">
        <v>-1800</v>
      </c>
      <c r="C26" s="5"/>
      <c r="D26" s="5">
        <v>-2500</v>
      </c>
      <c r="E26" s="5"/>
      <c r="F26" s="5"/>
      <c r="G26" s="10"/>
      <c r="H26" s="5"/>
      <c r="I26" s="5"/>
      <c r="J26" s="5"/>
      <c r="K26" s="5"/>
      <c r="L26" s="5">
        <f>-3731214*0.2%*4/12</f>
        <v>-2487.4760000000001</v>
      </c>
      <c r="M26" s="5"/>
      <c r="N26" s="10">
        <f t="shared" si="0"/>
        <v>-6787.4760000000006</v>
      </c>
      <c r="O26" s="5"/>
      <c r="P26" s="5"/>
      <c r="Q26" s="10"/>
      <c r="R26" s="11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x14ac:dyDescent="0.2">
      <c r="A27" s="7" t="s">
        <v>7</v>
      </c>
      <c r="B27" s="5"/>
      <c r="C27" s="5"/>
      <c r="D27" s="5"/>
      <c r="E27" s="5"/>
      <c r="F27" s="5"/>
      <c r="G27" s="10"/>
      <c r="H27" s="5"/>
      <c r="I27" s="5"/>
      <c r="J27" s="5"/>
      <c r="K27" s="5"/>
      <c r="L27" s="5">
        <v>-2963</v>
      </c>
      <c r="M27" s="5"/>
      <c r="N27" s="10">
        <f t="shared" si="0"/>
        <v>-2963</v>
      </c>
      <c r="O27" s="5"/>
      <c r="P27" s="5"/>
      <c r="Q27" s="10"/>
      <c r="R27" s="11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x14ac:dyDescent="0.2">
      <c r="A28" s="7" t="s">
        <v>96</v>
      </c>
      <c r="B28" s="5"/>
      <c r="C28" s="5"/>
      <c r="D28" s="5"/>
      <c r="E28" s="5"/>
      <c r="F28" s="5"/>
      <c r="G28" s="10"/>
      <c r="H28" s="5">
        <v>-153000</v>
      </c>
      <c r="I28" s="5"/>
      <c r="J28" s="5"/>
      <c r="K28" s="5"/>
      <c r="L28" s="5">
        <v>-430</v>
      </c>
      <c r="M28" s="5"/>
      <c r="N28" s="10">
        <f t="shared" si="0"/>
        <v>-153430</v>
      </c>
      <c r="O28" s="5"/>
      <c r="P28" s="5"/>
      <c r="Q28" s="10"/>
      <c r="R28" s="11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x14ac:dyDescent="0.2">
      <c r="A29" s="7" t="s">
        <v>10</v>
      </c>
      <c r="B29" s="5"/>
      <c r="C29" s="5"/>
      <c r="D29" s="5"/>
      <c r="E29" s="5"/>
      <c r="F29" s="5"/>
      <c r="G29" s="10"/>
      <c r="H29" s="5"/>
      <c r="I29" s="5"/>
      <c r="J29" s="5"/>
      <c r="K29" s="5"/>
      <c r="L29" s="5">
        <f>-66-310</f>
        <v>-376</v>
      </c>
      <c r="M29" s="5"/>
      <c r="N29" s="10">
        <f t="shared" si="0"/>
        <v>-376</v>
      </c>
      <c r="O29" s="5"/>
      <c r="P29" s="5"/>
      <c r="Q29" s="10"/>
      <c r="R29" s="11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s="2" customFormat="1" x14ac:dyDescent="0.2">
      <c r="A30" s="9" t="s">
        <v>35</v>
      </c>
      <c r="B30" s="10">
        <f t="shared" ref="B30:M30" si="6">SUM(B6:B29)</f>
        <v>-285265</v>
      </c>
      <c r="C30" s="10">
        <f t="shared" si="6"/>
        <v>-145698</v>
      </c>
      <c r="D30" s="10">
        <f t="shared" si="6"/>
        <v>-253998</v>
      </c>
      <c r="E30" s="10">
        <f t="shared" si="6"/>
        <v>-285700</v>
      </c>
      <c r="F30" s="10">
        <f t="shared" si="6"/>
        <v>-395700</v>
      </c>
      <c r="G30" s="10">
        <f t="shared" si="6"/>
        <v>-634700</v>
      </c>
      <c r="H30" s="10">
        <f t="shared" si="6"/>
        <v>-486800</v>
      </c>
      <c r="I30" s="10">
        <f t="shared" si="6"/>
        <v>-892442</v>
      </c>
      <c r="J30" s="10">
        <f t="shared" si="6"/>
        <v>-234800</v>
      </c>
      <c r="K30" s="10">
        <f t="shared" si="6"/>
        <v>-1339300</v>
      </c>
      <c r="L30" s="10">
        <f t="shared" si="6"/>
        <v>-931062.47600000002</v>
      </c>
      <c r="M30" s="10">
        <f t="shared" si="6"/>
        <v>-796300</v>
      </c>
      <c r="N30" s="10">
        <f t="shared" si="0"/>
        <v>-6681765.4759999998</v>
      </c>
      <c r="O30" s="10"/>
      <c r="P30" s="10"/>
      <c r="Q30" s="10"/>
      <c r="R30" s="11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s="23" customFormat="1" x14ac:dyDescent="0.2">
      <c r="A31" s="20" t="s">
        <v>13</v>
      </c>
      <c r="B31" s="21">
        <f t="shared" ref="B31:M31" si="7">-(B5+B30)</f>
        <v>-39735</v>
      </c>
      <c r="C31" s="21">
        <f t="shared" si="7"/>
        <v>-411727</v>
      </c>
      <c r="D31" s="21">
        <f t="shared" si="7"/>
        <v>-171002</v>
      </c>
      <c r="E31" s="21">
        <f t="shared" si="7"/>
        <v>-205300</v>
      </c>
      <c r="F31" s="21">
        <f t="shared" si="7"/>
        <v>-29300</v>
      </c>
      <c r="G31" s="21">
        <f t="shared" si="7"/>
        <v>59514</v>
      </c>
      <c r="H31" s="21">
        <f t="shared" si="7"/>
        <v>-138200</v>
      </c>
      <c r="I31" s="21">
        <f t="shared" si="7"/>
        <v>-154386</v>
      </c>
      <c r="J31" s="21">
        <f t="shared" si="7"/>
        <v>-408057.14285714284</v>
      </c>
      <c r="K31" s="21">
        <f t="shared" si="7"/>
        <v>839300</v>
      </c>
      <c r="L31" s="21">
        <f t="shared" si="7"/>
        <v>-109222.52399999998</v>
      </c>
      <c r="M31" s="21">
        <f t="shared" si="7"/>
        <v>296300</v>
      </c>
      <c r="N31" s="21">
        <f t="shared" si="0"/>
        <v>-471815.6668571427</v>
      </c>
      <c r="O31" s="21"/>
      <c r="P31" s="21"/>
      <c r="Q31" s="21"/>
      <c r="R31" s="22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</row>
    <row r="32" spans="1:32" x14ac:dyDescent="0.2">
      <c r="A32" s="7" t="s">
        <v>25</v>
      </c>
      <c r="B32" s="5">
        <f>B5+B30+B31</f>
        <v>0</v>
      </c>
      <c r="C32" s="5">
        <f t="shared" ref="C32:M32" si="8">C5+C30+C31</f>
        <v>0</v>
      </c>
      <c r="D32" s="5">
        <f t="shared" si="8"/>
        <v>0</v>
      </c>
      <c r="E32" s="5">
        <f t="shared" si="8"/>
        <v>0</v>
      </c>
      <c r="F32" s="5">
        <f t="shared" si="8"/>
        <v>0</v>
      </c>
      <c r="G32" s="5">
        <f t="shared" si="8"/>
        <v>0</v>
      </c>
      <c r="H32" s="5">
        <f t="shared" si="8"/>
        <v>0</v>
      </c>
      <c r="I32" s="5">
        <f t="shared" si="8"/>
        <v>0</v>
      </c>
      <c r="J32" s="5">
        <f t="shared" si="8"/>
        <v>0</v>
      </c>
      <c r="K32" s="5">
        <f t="shared" si="8"/>
        <v>0</v>
      </c>
      <c r="L32" s="5">
        <f t="shared" si="8"/>
        <v>0</v>
      </c>
      <c r="M32" s="5">
        <f t="shared" si="8"/>
        <v>0</v>
      </c>
      <c r="N32" s="10"/>
      <c r="O32" s="5"/>
      <c r="P32" s="5"/>
      <c r="Q32" s="10"/>
      <c r="R32" s="11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x14ac:dyDescent="0.2">
      <c r="A33" s="7" t="s">
        <v>26</v>
      </c>
      <c r="B33" s="5">
        <f>-B31/B5*100</f>
        <v>12.226153846153846</v>
      </c>
      <c r="C33" s="5">
        <f t="shared" ref="C33:M33" si="9">-C31/C5*100</f>
        <v>73.862313315692703</v>
      </c>
      <c r="D33" s="5">
        <f t="shared" si="9"/>
        <v>40.235764705882353</v>
      </c>
      <c r="E33" s="5">
        <f t="shared" si="9"/>
        <v>41.812627291242357</v>
      </c>
      <c r="F33" s="5">
        <f t="shared" si="9"/>
        <v>6.8941176470588239</v>
      </c>
      <c r="G33" s="5">
        <f t="shared" si="9"/>
        <v>-10.346913867861876</v>
      </c>
      <c r="H33" s="5">
        <f t="shared" si="9"/>
        <v>22.112000000000002</v>
      </c>
      <c r="I33" s="5">
        <f t="shared" si="9"/>
        <v>14.747981521319645</v>
      </c>
      <c r="J33" s="5">
        <f t="shared" si="9"/>
        <v>63.475555555555552</v>
      </c>
      <c r="K33" s="5">
        <f t="shared" si="9"/>
        <v>-167.86</v>
      </c>
      <c r="L33" s="5">
        <f t="shared" si="9"/>
        <v>10.499288560346441</v>
      </c>
      <c r="M33" s="5">
        <f t="shared" si="9"/>
        <v>-59.260000000000005</v>
      </c>
      <c r="N33" s="10"/>
      <c r="O33" s="5"/>
      <c r="P33" s="5"/>
      <c r="Q33" s="10"/>
      <c r="R33" s="11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x14ac:dyDescent="0.2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10"/>
      <c r="O34" s="5"/>
      <c r="P34" s="5"/>
      <c r="Q34" s="10"/>
      <c r="R34" s="11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s="2" customFormat="1" x14ac:dyDescent="0.2">
      <c r="A35" s="9" t="s">
        <v>15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1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x14ac:dyDescent="0.2">
      <c r="A36" s="7" t="s">
        <v>98</v>
      </c>
      <c r="B36" s="5">
        <v>296704</v>
      </c>
      <c r="C36" s="5">
        <f>245335+250000</f>
        <v>495335</v>
      </c>
      <c r="D36" s="5">
        <f>395049+252836+5931</f>
        <v>653816</v>
      </c>
      <c r="E36" s="5">
        <f>3738+34714+254388+500000</f>
        <v>792840</v>
      </c>
      <c r="F36" s="5">
        <f>200631+502973+10034</f>
        <v>713638</v>
      </c>
      <c r="G36" s="5">
        <f>4908+255009+505866</f>
        <v>765783</v>
      </c>
      <c r="H36" s="5">
        <v>680886</v>
      </c>
      <c r="I36" s="5">
        <v>500000</v>
      </c>
      <c r="J36" s="39"/>
      <c r="K36" s="12">
        <v>3132</v>
      </c>
      <c r="L36" s="12">
        <v>103000</v>
      </c>
      <c r="M36" s="5"/>
      <c r="N36" s="10"/>
      <c r="O36" s="5"/>
      <c r="P36" s="5"/>
      <c r="Q36" s="10"/>
      <c r="R36" s="11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s="37" customFormat="1" x14ac:dyDescent="0.2">
      <c r="A37" s="32" t="s">
        <v>99</v>
      </c>
      <c r="B37" s="33">
        <v>71434</v>
      </c>
      <c r="C37" s="33">
        <f>85000+200488</f>
        <v>285488</v>
      </c>
      <c r="D37" s="33">
        <f>201656+36764</f>
        <v>238420</v>
      </c>
      <c r="E37" s="33">
        <f>6061+202793</f>
        <v>208854</v>
      </c>
      <c r="F37" s="33">
        <f>32988+203977+50000</f>
        <v>286965</v>
      </c>
      <c r="G37" s="33">
        <v>67950</v>
      </c>
      <c r="H37" s="33">
        <f>234295+206322</f>
        <v>440617</v>
      </c>
      <c r="I37" s="33">
        <f>13843+207751</f>
        <v>221594</v>
      </c>
      <c r="J37" s="39">
        <f>116198+209445</f>
        <v>325643</v>
      </c>
      <c r="K37" s="35">
        <v>135532</v>
      </c>
      <c r="L37" s="35">
        <v>53693</v>
      </c>
      <c r="M37" s="33"/>
      <c r="N37" s="34"/>
      <c r="O37" s="33"/>
      <c r="P37" s="33"/>
      <c r="Q37" s="34"/>
      <c r="R37" s="36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</row>
    <row r="38" spans="1:32" x14ac:dyDescent="0.2">
      <c r="A38" s="7" t="s">
        <v>78</v>
      </c>
      <c r="B38" s="5"/>
      <c r="C38" s="5"/>
      <c r="D38" s="5"/>
      <c r="E38" s="5"/>
      <c r="F38" s="5"/>
      <c r="G38" s="5"/>
      <c r="H38" s="5"/>
      <c r="I38" s="5">
        <v>38977</v>
      </c>
      <c r="J38" s="39">
        <v>300369</v>
      </c>
      <c r="K38" s="12">
        <f>660+3876+1190</f>
        <v>5726</v>
      </c>
      <c r="L38" s="12">
        <v>11000</v>
      </c>
      <c r="M38" s="5"/>
      <c r="N38" s="10"/>
      <c r="O38" s="5"/>
      <c r="P38" s="5"/>
      <c r="Q38" s="10"/>
      <c r="R38" s="11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x14ac:dyDescent="0.2">
      <c r="A39" s="7" t="s">
        <v>105</v>
      </c>
      <c r="B39" s="5"/>
      <c r="C39" s="5"/>
      <c r="D39" s="5"/>
      <c r="E39" s="5"/>
      <c r="F39" s="5"/>
      <c r="G39" s="5"/>
      <c r="H39" s="5"/>
      <c r="I39" s="5"/>
      <c r="J39" s="39"/>
      <c r="K39" s="12"/>
      <c r="L39" s="12"/>
      <c r="M39" s="5"/>
      <c r="N39" s="10"/>
      <c r="O39" s="5"/>
      <c r="P39" s="5"/>
      <c r="Q39" s="10"/>
      <c r="R39" s="11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s="2" customFormat="1" x14ac:dyDescent="0.2">
      <c r="A40" s="9" t="s">
        <v>27</v>
      </c>
      <c r="B40" s="10">
        <f>SUM(B36:B37)</f>
        <v>368138</v>
      </c>
      <c r="C40" s="10">
        <f t="shared" ref="C40:H40" si="10">SUM(C36:C37)</f>
        <v>780823</v>
      </c>
      <c r="D40" s="10">
        <f t="shared" si="10"/>
        <v>892236</v>
      </c>
      <c r="E40" s="10">
        <f t="shared" si="10"/>
        <v>1001694</v>
      </c>
      <c r="F40" s="10">
        <f t="shared" si="10"/>
        <v>1000603</v>
      </c>
      <c r="G40" s="10">
        <f t="shared" si="10"/>
        <v>833733</v>
      </c>
      <c r="H40" s="10">
        <f t="shared" si="10"/>
        <v>1121503</v>
      </c>
      <c r="I40" s="10">
        <f>SUM(I36:I38)</f>
        <v>760571</v>
      </c>
      <c r="J40" s="10">
        <f>SUM(J36:J38)</f>
        <v>626012</v>
      </c>
      <c r="K40" s="10">
        <f>SUM(K36:K39)</f>
        <v>144390</v>
      </c>
      <c r="L40" s="10">
        <f>SUM(L36:L39)</f>
        <v>167693</v>
      </c>
      <c r="M40" s="10">
        <f>SUM(M36:M39)</f>
        <v>0</v>
      </c>
      <c r="N40" s="10">
        <f>SUM(N36:N39)</f>
        <v>0</v>
      </c>
      <c r="O40" s="10"/>
      <c r="P40" s="10"/>
      <c r="Q40" s="10"/>
      <c r="R40" s="11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x14ac:dyDescent="0.2">
      <c r="A41" s="7" t="s">
        <v>72</v>
      </c>
      <c r="B41" s="5">
        <v>5000</v>
      </c>
      <c r="C41" s="5">
        <f>B41</f>
        <v>5000</v>
      </c>
      <c r="D41" s="5">
        <f>C41</f>
        <v>5000</v>
      </c>
      <c r="E41" s="5">
        <f>D41</f>
        <v>5000</v>
      </c>
      <c r="F41" s="5">
        <f>E41</f>
        <v>5000</v>
      </c>
      <c r="G41" s="5">
        <v>2500</v>
      </c>
      <c r="H41" s="5">
        <f>G41</f>
        <v>2500</v>
      </c>
      <c r="I41" s="5">
        <v>1200</v>
      </c>
      <c r="J41" s="5">
        <f>I41</f>
        <v>1200</v>
      </c>
      <c r="K41" s="5">
        <f>J41</f>
        <v>1200</v>
      </c>
      <c r="L41" s="5">
        <f>K41</f>
        <v>1200</v>
      </c>
      <c r="M41" s="5"/>
      <c r="N41" s="10"/>
      <c r="O41" s="5"/>
      <c r="P41" s="5"/>
      <c r="Q41" s="10"/>
      <c r="R41" s="11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s="2" customFormat="1" x14ac:dyDescent="0.2">
      <c r="A42" s="2" t="s">
        <v>29</v>
      </c>
      <c r="B42" s="10">
        <f t="shared" ref="B42:M42" si="11">B40+B41*B58</f>
        <v>721138</v>
      </c>
      <c r="C42" s="10">
        <f t="shared" si="11"/>
        <v>1158985.5</v>
      </c>
      <c r="D42" s="10">
        <f t="shared" si="11"/>
        <v>1299111</v>
      </c>
      <c r="E42" s="10">
        <f t="shared" si="11"/>
        <v>1392631.5</v>
      </c>
      <c r="F42" s="10">
        <f t="shared" si="11"/>
        <v>1407128</v>
      </c>
      <c r="G42" s="10">
        <f t="shared" si="11"/>
        <v>1062533</v>
      </c>
      <c r="H42" s="10">
        <f t="shared" si="11"/>
        <v>1360715.5</v>
      </c>
      <c r="I42" s="10">
        <f t="shared" si="11"/>
        <v>876041</v>
      </c>
      <c r="J42" s="10">
        <f t="shared" si="11"/>
        <v>744797</v>
      </c>
      <c r="K42" s="10">
        <f t="shared" si="11"/>
        <v>255297</v>
      </c>
      <c r="L42" s="10">
        <f t="shared" si="11"/>
        <v>277649</v>
      </c>
      <c r="M42" s="10">
        <f t="shared" si="11"/>
        <v>0</v>
      </c>
      <c r="N42" s="10"/>
      <c r="O42" s="10"/>
      <c r="P42" s="10"/>
      <c r="Q42" s="10"/>
      <c r="R42" s="11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s="2" customFormat="1" x14ac:dyDescent="0.2">
      <c r="A43" s="2" t="s">
        <v>63</v>
      </c>
      <c r="B43" s="10">
        <v>5</v>
      </c>
      <c r="C43" s="10">
        <v>5</v>
      </c>
      <c r="D43" s="10">
        <v>5</v>
      </c>
      <c r="E43" s="10">
        <v>5</v>
      </c>
      <c r="F43" s="10">
        <v>5</v>
      </c>
      <c r="G43" s="10">
        <v>5</v>
      </c>
      <c r="H43" s="10">
        <v>5</v>
      </c>
      <c r="I43" s="10">
        <v>5</v>
      </c>
      <c r="J43" s="10">
        <v>5</v>
      </c>
      <c r="K43" s="10">
        <v>5</v>
      </c>
      <c r="L43" s="10">
        <v>5</v>
      </c>
      <c r="M43" s="10">
        <v>5</v>
      </c>
      <c r="N43" s="10"/>
      <c r="O43" s="10"/>
      <c r="P43" s="10"/>
      <c r="Q43" s="10"/>
      <c r="R43" s="11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x14ac:dyDescent="0.2">
      <c r="A44" s="2" t="s">
        <v>21</v>
      </c>
      <c r="B44" s="5"/>
      <c r="C44" s="5"/>
      <c r="D44" s="5"/>
      <c r="E44" s="5"/>
      <c r="F44" s="5"/>
      <c r="G44" s="5"/>
      <c r="H44" s="5"/>
      <c r="I44" s="5"/>
      <c r="J44" s="10"/>
      <c r="K44" s="12"/>
      <c r="L44" s="12"/>
      <c r="M44" s="5"/>
      <c r="N44" s="10"/>
      <c r="O44" s="5"/>
    </row>
    <row r="45" spans="1:32" x14ac:dyDescent="0.2">
      <c r="A45" s="1" t="s">
        <v>54</v>
      </c>
      <c r="B45" s="5">
        <v>149595</v>
      </c>
      <c r="C45" s="5">
        <v>149754</v>
      </c>
      <c r="D45" s="5">
        <v>203684</v>
      </c>
      <c r="E45" s="5">
        <v>205762</v>
      </c>
      <c r="F45" s="5">
        <v>210850</v>
      </c>
      <c r="G45" s="5">
        <v>215254</v>
      </c>
      <c r="H45" s="5">
        <v>222638</v>
      </c>
      <c r="I45" s="5">
        <v>526175</v>
      </c>
      <c r="J45" s="12">
        <v>1181000</v>
      </c>
      <c r="K45" s="12">
        <v>871288</v>
      </c>
      <c r="L45" s="12">
        <v>812737</v>
      </c>
      <c r="M45" s="5"/>
      <c r="N45" s="10"/>
      <c r="O45" s="5"/>
    </row>
    <row r="46" spans="1:32" x14ac:dyDescent="0.2">
      <c r="A46" s="1" t="s">
        <v>64</v>
      </c>
      <c r="B46" s="5">
        <f>8540+53155+12336</f>
        <v>74031</v>
      </c>
      <c r="C46" s="5">
        <f>8950+50845+12466</f>
        <v>72261</v>
      </c>
      <c r="D46" s="5">
        <f>10370+560+16168</f>
        <v>27098</v>
      </c>
      <c r="E46" s="5">
        <f>467+1943+66601</f>
        <v>69011</v>
      </c>
      <c r="F46" s="5">
        <f>1736+6616+5697+1344+15988</f>
        <v>31381</v>
      </c>
      <c r="G46" s="5">
        <f>1041+1962+1092+9760+9141+10507</f>
        <v>33503</v>
      </c>
      <c r="H46" s="5">
        <f>35049</f>
        <v>35049</v>
      </c>
      <c r="I46" s="5">
        <f>8226</f>
        <v>8226</v>
      </c>
      <c r="J46" s="12">
        <f>I46</f>
        <v>8226</v>
      </c>
      <c r="K46" s="12"/>
      <c r="L46" s="12"/>
      <c r="M46" s="5"/>
      <c r="N46" s="10"/>
      <c r="O46" s="5"/>
    </row>
    <row r="47" spans="1:32" x14ac:dyDescent="0.2">
      <c r="A47" s="1" t="s">
        <v>57</v>
      </c>
      <c r="B47" s="5"/>
      <c r="C47" s="5"/>
      <c r="D47" s="5"/>
      <c r="E47" s="5">
        <f>107+115+292</f>
        <v>514</v>
      </c>
      <c r="F47" s="5">
        <f>186+216+188+111+289</f>
        <v>990</v>
      </c>
      <c r="G47" s="5">
        <f>283+294+185.5+230.13+98.75</f>
        <v>1091.3800000000001</v>
      </c>
      <c r="H47" s="5">
        <f>161+1093</f>
        <v>1254</v>
      </c>
      <c r="I47" s="5">
        <f>147+1093</f>
        <v>1240</v>
      </c>
      <c r="J47" s="12">
        <f>46+47+222+896</f>
        <v>1211</v>
      </c>
      <c r="K47" s="12">
        <f>55+55+410+697</f>
        <v>1217</v>
      </c>
      <c r="L47" s="12">
        <v>697</v>
      </c>
      <c r="M47" s="5"/>
      <c r="N47" s="10"/>
      <c r="O47" s="5"/>
    </row>
    <row r="48" spans="1:32" x14ac:dyDescent="0.2">
      <c r="A48" s="1" t="s">
        <v>71</v>
      </c>
      <c r="B48" s="5">
        <f>12810+38981</f>
        <v>51791</v>
      </c>
      <c r="C48" s="5">
        <f>13425+38981</f>
        <v>52406</v>
      </c>
      <c r="D48" s="5">
        <f>15554+38981</f>
        <v>54535</v>
      </c>
      <c r="E48" s="5">
        <f>30750+83637</f>
        <v>114387</v>
      </c>
      <c r="F48" s="5">
        <f>35541+78484</f>
        <v>114025</v>
      </c>
      <c r="G48" s="5">
        <v>117421</v>
      </c>
      <c r="H48" s="5">
        <v>119662</v>
      </c>
      <c r="I48" s="5">
        <f>171+58879</f>
        <v>59050</v>
      </c>
      <c r="J48" s="12">
        <v>29143</v>
      </c>
      <c r="K48" s="12">
        <v>28880</v>
      </c>
      <c r="L48" s="12">
        <v>29195</v>
      </c>
      <c r="M48" s="5"/>
      <c r="N48" s="10"/>
      <c r="O48" s="5"/>
    </row>
    <row r="49" spans="1:32" s="26" customFormat="1" hidden="1" x14ac:dyDescent="0.2">
      <c r="A49" s="26" t="s">
        <v>59</v>
      </c>
      <c r="B49" s="27"/>
      <c r="C49" s="27"/>
      <c r="D49" s="27"/>
      <c r="E49" s="27"/>
      <c r="F49" s="27"/>
      <c r="G49" s="27"/>
      <c r="H49" s="27"/>
      <c r="I49" s="27"/>
      <c r="J49" s="28"/>
      <c r="K49" s="28"/>
      <c r="L49" s="28"/>
      <c r="M49" s="27"/>
      <c r="N49" s="31"/>
      <c r="O49" s="27"/>
      <c r="Q49" s="29"/>
      <c r="R49" s="30"/>
    </row>
    <row r="50" spans="1:32" s="26" customFormat="1" hidden="1" x14ac:dyDescent="0.2">
      <c r="A50" s="26" t="s">
        <v>60</v>
      </c>
      <c r="B50" s="27"/>
      <c r="C50" s="27"/>
      <c r="D50" s="27"/>
      <c r="E50" s="27"/>
      <c r="F50" s="27"/>
      <c r="G50" s="27"/>
      <c r="H50" s="27"/>
      <c r="I50" s="27"/>
      <c r="J50" s="28"/>
      <c r="K50" s="28"/>
      <c r="L50" s="28"/>
      <c r="M50" s="27"/>
      <c r="N50" s="31"/>
      <c r="O50" s="27"/>
      <c r="Q50" s="29"/>
      <c r="R50" s="30"/>
    </row>
    <row r="51" spans="1:32" s="26" customFormat="1" hidden="1" x14ac:dyDescent="0.2">
      <c r="A51" s="26" t="s">
        <v>67</v>
      </c>
      <c r="B51" s="27"/>
      <c r="C51" s="27"/>
      <c r="D51" s="27"/>
      <c r="E51" s="27"/>
      <c r="F51" s="27"/>
      <c r="G51" s="27"/>
      <c r="H51" s="27"/>
      <c r="I51" s="27"/>
      <c r="J51" s="28"/>
      <c r="K51" s="28"/>
      <c r="L51" s="28"/>
      <c r="M51" s="27"/>
      <c r="N51" s="31"/>
      <c r="O51" s="27"/>
      <c r="Q51" s="29"/>
      <c r="R51" s="30"/>
    </row>
    <row r="52" spans="1:32" x14ac:dyDescent="0.2">
      <c r="A52" s="1" t="s">
        <v>65</v>
      </c>
      <c r="B52" s="5">
        <v>12000</v>
      </c>
      <c r="C52" s="5">
        <f>B52</f>
        <v>12000</v>
      </c>
      <c r="D52" s="5">
        <f>C52</f>
        <v>12000</v>
      </c>
      <c r="E52" s="5">
        <v>5000</v>
      </c>
      <c r="F52" s="5">
        <f>E52</f>
        <v>5000</v>
      </c>
      <c r="G52" s="5">
        <f>F52</f>
        <v>5000</v>
      </c>
      <c r="H52" s="5">
        <f>G52</f>
        <v>5000</v>
      </c>
      <c r="I52" s="5">
        <v>7000</v>
      </c>
      <c r="J52" s="12">
        <f>I52</f>
        <v>7000</v>
      </c>
      <c r="K52" s="12"/>
      <c r="L52" s="12"/>
      <c r="M52" s="5"/>
      <c r="N52" s="10"/>
      <c r="O52" s="5"/>
    </row>
    <row r="53" spans="1:32" x14ac:dyDescent="0.2">
      <c r="A53" s="1" t="s">
        <v>66</v>
      </c>
      <c r="B53" s="5">
        <v>5954</v>
      </c>
      <c r="C53" s="5">
        <f>B53</f>
        <v>5954</v>
      </c>
      <c r="D53" s="5">
        <f>C53</f>
        <v>5954</v>
      </c>
      <c r="E53" s="5">
        <v>0</v>
      </c>
      <c r="F53" s="5">
        <v>0</v>
      </c>
      <c r="G53" s="5">
        <v>0</v>
      </c>
      <c r="H53" s="5"/>
      <c r="I53" s="5">
        <f>854+1338+2468+138</f>
        <v>4798</v>
      </c>
      <c r="J53" s="12">
        <f>853+1331+2280+2493</f>
        <v>6957</v>
      </c>
      <c r="K53" s="12">
        <f>1570+2032+1964+600</f>
        <v>6166</v>
      </c>
      <c r="L53" s="12">
        <v>601</v>
      </c>
      <c r="M53" s="5"/>
      <c r="N53" s="10"/>
      <c r="O53" s="5"/>
    </row>
    <row r="54" spans="1:32" x14ac:dyDescent="0.2">
      <c r="A54" s="2" t="s">
        <v>84</v>
      </c>
      <c r="B54" s="10">
        <f t="shared" ref="B54:M54" si="12">SUM(B45:B48)+SUM(B49:B51)*B58+B52*B59+B53*B60+B43*B61</f>
        <v>854575.52539999993</v>
      </c>
      <c r="C54" s="10">
        <f>SUM(C45:C48)+SUM(C49:C51)*C58+C52*C59+C53*C60+C43*C61</f>
        <v>884128.64</v>
      </c>
      <c r="D54" s="10">
        <f t="shared" si="12"/>
        <v>986378.924</v>
      </c>
      <c r="E54" s="10">
        <f>SUM(E45:E46)+E48+SUM(E49:E51)*E58+E52*E59+E53*E60+E43*E61+E47*E58</f>
        <v>966458.375</v>
      </c>
      <c r="F54" s="10">
        <f t="shared" si="12"/>
        <v>894036</v>
      </c>
      <c r="G54" s="10">
        <f>SUM(G45:G48)+SUM(G49:G51)*G58+G52*G59+G53*G60+G43*G61</f>
        <v>966244.38</v>
      </c>
      <c r="H54" s="10">
        <f t="shared" si="12"/>
        <v>1009268</v>
      </c>
      <c r="I54" s="10">
        <f t="shared" si="12"/>
        <v>1303360.996</v>
      </c>
      <c r="J54" s="10">
        <f t="shared" si="12"/>
        <v>1949048.942</v>
      </c>
      <c r="K54" s="10">
        <f t="shared" si="12"/>
        <v>1528185.3</v>
      </c>
      <c r="L54" s="10">
        <f t="shared" si="12"/>
        <v>1407846.51</v>
      </c>
      <c r="M54" s="10">
        <f t="shared" si="12"/>
        <v>0</v>
      </c>
      <c r="N54" s="10"/>
      <c r="O54" s="5"/>
    </row>
    <row r="55" spans="1:32" x14ac:dyDescent="0.2">
      <c r="A55" s="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5"/>
    </row>
    <row r="56" spans="1:32" x14ac:dyDescent="0.2">
      <c r="A56" s="2" t="s">
        <v>85</v>
      </c>
      <c r="B56" s="10">
        <f>B42+B54</f>
        <v>1575713.5253999999</v>
      </c>
      <c r="C56" s="10">
        <f>C42+C54</f>
        <v>2043114.1400000001</v>
      </c>
      <c r="D56" s="10">
        <f t="shared" ref="D56:M56" si="13">D42+D54</f>
        <v>2285489.9240000001</v>
      </c>
      <c r="E56" s="10">
        <f t="shared" si="13"/>
        <v>2359089.875</v>
      </c>
      <c r="F56" s="10">
        <f t="shared" si="13"/>
        <v>2301164</v>
      </c>
      <c r="G56" s="10">
        <f t="shared" si="13"/>
        <v>2028777.38</v>
      </c>
      <c r="H56" s="10">
        <f t="shared" si="13"/>
        <v>2369983.5</v>
      </c>
      <c r="I56" s="10">
        <f t="shared" si="13"/>
        <v>2179401.9960000003</v>
      </c>
      <c r="J56" s="10">
        <f t="shared" si="13"/>
        <v>2693845.9419999998</v>
      </c>
      <c r="K56" s="10">
        <f t="shared" si="13"/>
        <v>1783482.3</v>
      </c>
      <c r="L56" s="10">
        <f t="shared" si="13"/>
        <v>1685495.51</v>
      </c>
      <c r="M56" s="10">
        <f t="shared" si="13"/>
        <v>0</v>
      </c>
      <c r="O56" s="5"/>
    </row>
    <row r="57" spans="1:32" x14ac:dyDescent="0.2">
      <c r="A57" s="2"/>
      <c r="B57" s="10"/>
      <c r="C57" s="10"/>
      <c r="D57" s="10"/>
      <c r="E57" s="10"/>
      <c r="F57" s="10"/>
      <c r="G57" s="5"/>
      <c r="H57" s="5"/>
      <c r="I57" s="5"/>
      <c r="J57" s="10"/>
      <c r="K57" s="12"/>
      <c r="L57" s="12"/>
      <c r="M57" s="5"/>
      <c r="O57" s="5"/>
    </row>
    <row r="58" spans="1:32" x14ac:dyDescent="0.2">
      <c r="A58" s="1" t="s">
        <v>22</v>
      </c>
      <c r="B58" s="6">
        <v>70.599999999999994</v>
      </c>
      <c r="C58" s="6">
        <v>75.632499999999993</v>
      </c>
      <c r="D58" s="6">
        <v>81.375</v>
      </c>
      <c r="E58" s="6">
        <v>78.1875</v>
      </c>
      <c r="F58" s="6">
        <v>81.305000000000007</v>
      </c>
      <c r="G58" s="6">
        <v>91.52</v>
      </c>
      <c r="H58" s="6">
        <v>95.685000000000002</v>
      </c>
      <c r="I58" s="6">
        <v>96.224999999999994</v>
      </c>
      <c r="J58" s="25">
        <v>98.987499999999997</v>
      </c>
      <c r="K58" s="25">
        <v>92.422499999999999</v>
      </c>
      <c r="L58" s="25">
        <v>91.63</v>
      </c>
      <c r="M58" s="25"/>
      <c r="O58" s="5"/>
    </row>
    <row r="59" spans="1:32" x14ac:dyDescent="0.2">
      <c r="A59" s="1" t="s">
        <v>61</v>
      </c>
      <c r="B59" s="6">
        <v>10.417</v>
      </c>
      <c r="C59" s="6">
        <v>10.916</v>
      </c>
      <c r="D59" s="6">
        <v>11.8</v>
      </c>
      <c r="E59" s="6">
        <v>11.242000000000001</v>
      </c>
      <c r="F59" s="6">
        <v>11.398</v>
      </c>
      <c r="G59" s="6">
        <v>12.635</v>
      </c>
      <c r="H59" s="6">
        <v>13.333</v>
      </c>
      <c r="I59" s="6">
        <v>13.234999999999999</v>
      </c>
      <c r="J59" s="25">
        <v>13.567</v>
      </c>
      <c r="K59" s="25"/>
      <c r="L59" s="25">
        <v>12.811</v>
      </c>
      <c r="M59" s="25"/>
    </row>
    <row r="60" spans="1:32" x14ac:dyDescent="0.2">
      <c r="A60" s="1" t="s">
        <v>62</v>
      </c>
      <c r="B60" s="6">
        <v>9.0450999999999997</v>
      </c>
      <c r="C60" s="6">
        <v>9.66</v>
      </c>
      <c r="D60" s="6">
        <v>10.305999999999999</v>
      </c>
      <c r="E60" s="6"/>
      <c r="F60" s="6"/>
      <c r="G60" s="6"/>
      <c r="H60" s="6"/>
      <c r="I60" s="6">
        <v>12.302</v>
      </c>
      <c r="J60" s="25">
        <v>12.606</v>
      </c>
      <c r="K60" s="25">
        <v>12.05</v>
      </c>
      <c r="L60" s="25">
        <v>11.51</v>
      </c>
      <c r="M60" s="25"/>
    </row>
    <row r="61" spans="1:32" x14ac:dyDescent="0.2">
      <c r="A61" s="1" t="s">
        <v>63</v>
      </c>
      <c r="B61" s="6">
        <v>80060</v>
      </c>
      <c r="C61" s="6">
        <v>84240</v>
      </c>
      <c r="D61" s="6">
        <v>99620</v>
      </c>
      <c r="E61" s="6">
        <v>96180</v>
      </c>
      <c r="F61" s="6">
        <v>95960</v>
      </c>
      <c r="G61" s="6">
        <v>107160</v>
      </c>
      <c r="H61" s="6">
        <v>112800</v>
      </c>
      <c r="I61" s="6">
        <v>111400</v>
      </c>
      <c r="J61" s="6">
        <v>109360</v>
      </c>
      <c r="K61" s="25">
        <v>110500</v>
      </c>
      <c r="L61" s="25">
        <v>111660</v>
      </c>
      <c r="M61" s="6"/>
    </row>
    <row r="62" spans="1:32" s="23" customFormat="1" x14ac:dyDescent="0.2">
      <c r="A62" s="20" t="s">
        <v>39</v>
      </c>
      <c r="B62" s="21">
        <f>B56-'2022'!K69</f>
        <v>3895.8453999999911</v>
      </c>
      <c r="C62" s="21">
        <f>C56-B56</f>
        <v>467400.6146000002</v>
      </c>
      <c r="D62" s="21">
        <f t="shared" ref="D62:M62" si="14">D56-C56</f>
        <v>242375.78399999999</v>
      </c>
      <c r="E62" s="21">
        <f t="shared" si="14"/>
        <v>73599.950999999885</v>
      </c>
      <c r="F62" s="21">
        <f>F56-E56</f>
        <v>-57925.875</v>
      </c>
      <c r="G62" s="21">
        <f>G56-F56</f>
        <v>-272386.62000000011</v>
      </c>
      <c r="H62" s="21">
        <f t="shared" si="14"/>
        <v>341206.12000000011</v>
      </c>
      <c r="I62" s="21">
        <f t="shared" si="14"/>
        <v>-190581.50399999972</v>
      </c>
      <c r="J62" s="21">
        <f t="shared" si="14"/>
        <v>514443.94599999953</v>
      </c>
      <c r="K62" s="21">
        <f t="shared" si="14"/>
        <v>-910363.64199999976</v>
      </c>
      <c r="L62" s="21">
        <f>L56-K56</f>
        <v>-97986.790000000037</v>
      </c>
      <c r="M62" s="21">
        <f t="shared" si="14"/>
        <v>-1685495.51</v>
      </c>
      <c r="N62" s="21"/>
      <c r="O62" s="21"/>
      <c r="P62" s="21"/>
      <c r="Q62" s="21"/>
      <c r="R62" s="22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</row>
    <row r="63" spans="1:32" x14ac:dyDescent="0.2">
      <c r="A63" s="1" t="s">
        <v>41</v>
      </c>
      <c r="B63" s="5">
        <f t="shared" ref="B63:M63" si="15">B62+B31</f>
        <v>-35839.154600000009</v>
      </c>
      <c r="C63" s="5">
        <f t="shared" si="15"/>
        <v>55673.614600000205</v>
      </c>
      <c r="D63" s="5">
        <f>D62+D31</f>
        <v>71373.783999999985</v>
      </c>
      <c r="E63" s="5">
        <f t="shared" si="15"/>
        <v>-131700.04900000012</v>
      </c>
      <c r="F63" s="5">
        <f>F62+F31</f>
        <v>-87225.875</v>
      </c>
      <c r="G63" s="5">
        <f>G62+G31</f>
        <v>-212872.62000000011</v>
      </c>
      <c r="H63" s="5">
        <f t="shared" si="15"/>
        <v>203006.12000000011</v>
      </c>
      <c r="I63" s="5">
        <f>I62+I31</f>
        <v>-344967.50399999972</v>
      </c>
      <c r="J63" s="5">
        <f t="shared" si="15"/>
        <v>106386.80314285669</v>
      </c>
      <c r="K63" s="5">
        <f t="shared" si="15"/>
        <v>-71063.64199999976</v>
      </c>
      <c r="L63" s="5">
        <f>L62+L31</f>
        <v>-207209.31400000001</v>
      </c>
      <c r="M63" s="5">
        <f t="shared" si="15"/>
        <v>-1389195.51</v>
      </c>
    </row>
    <row r="64" spans="1:32" x14ac:dyDescent="0.2">
      <c r="B64" s="5"/>
      <c r="C64" s="5"/>
      <c r="D64" s="5"/>
      <c r="E64" s="5"/>
      <c r="F64" s="5"/>
      <c r="G64" s="5"/>
      <c r="H64" s="5"/>
      <c r="I64" s="5"/>
      <c r="J64" s="10"/>
      <c r="K64" s="12"/>
      <c r="L64" s="12"/>
      <c r="M64" s="5"/>
    </row>
    <row r="65" spans="1:33" s="2" customFormat="1" x14ac:dyDescent="0.2">
      <c r="A65" s="1" t="s">
        <v>86</v>
      </c>
      <c r="B65" s="5">
        <f>'2022'!K91-B20</f>
        <v>-2530000</v>
      </c>
      <c r="C65" s="5">
        <f t="shared" ref="C65:M65" si="16">B65-C20</f>
        <v>-2530000</v>
      </c>
      <c r="D65" s="5">
        <f>C65-D20+30000</f>
        <v>-2400000</v>
      </c>
      <c r="E65" s="5">
        <f t="shared" si="16"/>
        <v>-2300000</v>
      </c>
      <c r="F65" s="5">
        <f>E65-F20-20000</f>
        <v>-2120000</v>
      </c>
      <c r="G65" s="5">
        <f>F65-G20</f>
        <v>-1720000</v>
      </c>
      <c r="H65" s="5">
        <f t="shared" si="16"/>
        <v>-1520000</v>
      </c>
      <c r="I65" s="5">
        <f t="shared" si="16"/>
        <v>-1150000</v>
      </c>
      <c r="J65" s="5">
        <f t="shared" si="16"/>
        <v>-1050000</v>
      </c>
      <c r="K65" s="5">
        <f>J65-K20+10000</f>
        <v>-1040000</v>
      </c>
      <c r="L65" s="5">
        <f t="shared" si="16"/>
        <v>-1040000</v>
      </c>
      <c r="M65" s="5">
        <f t="shared" si="16"/>
        <v>-1040000</v>
      </c>
      <c r="O65" s="1"/>
      <c r="P65" s="1"/>
      <c r="R65" s="4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s="2" customFormat="1" x14ac:dyDescent="0.2">
      <c r="A66" s="1" t="s">
        <v>102</v>
      </c>
      <c r="B66" s="5">
        <f t="shared" ref="B66:M66" si="17">B65+B56</f>
        <v>-954286.47460000007</v>
      </c>
      <c r="C66" s="5">
        <f t="shared" si="17"/>
        <v>-486885.85999999987</v>
      </c>
      <c r="D66" s="5">
        <f>D65+D56</f>
        <v>-114510.07599999988</v>
      </c>
      <c r="E66" s="5">
        <f t="shared" si="17"/>
        <v>59089.875</v>
      </c>
      <c r="F66" s="5">
        <f t="shared" si="17"/>
        <v>181164</v>
      </c>
      <c r="G66" s="5">
        <f t="shared" si="17"/>
        <v>308777.37999999989</v>
      </c>
      <c r="H66" s="5">
        <f t="shared" si="17"/>
        <v>849983.5</v>
      </c>
      <c r="I66" s="5">
        <f t="shared" si="17"/>
        <v>1029401.9960000003</v>
      </c>
      <c r="J66" s="5">
        <f t="shared" si="17"/>
        <v>1643845.9419999998</v>
      </c>
      <c r="K66" s="5">
        <f>K65+K56</f>
        <v>743482.3</v>
      </c>
      <c r="L66" s="5">
        <f>L65+L56</f>
        <v>645495.51</v>
      </c>
      <c r="M66" s="5">
        <f t="shared" si="17"/>
        <v>-1040000</v>
      </c>
      <c r="O66" s="1"/>
      <c r="P66" s="1"/>
      <c r="R66" s="4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s="2" customFormat="1" x14ac:dyDescent="0.2">
      <c r="A67" s="1"/>
      <c r="B67" s="1"/>
      <c r="C67" s="1"/>
      <c r="D67" s="1"/>
      <c r="E67" s="1"/>
      <c r="F67" s="1"/>
      <c r="G67" s="1"/>
      <c r="H67" s="1"/>
      <c r="I67" s="1"/>
      <c r="K67" s="3"/>
      <c r="L67" s="12"/>
      <c r="M67" s="1"/>
      <c r="O67" s="1"/>
      <c r="P67" s="1"/>
      <c r="R67" s="4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">
      <c r="A68" s="1" t="s">
        <v>100</v>
      </c>
      <c r="C68" s="5">
        <f>C36+C37+C45+C46+C48</f>
        <v>1055244</v>
      </c>
      <c r="D68" s="5">
        <f>D36+D37+D45+D46+D48</f>
        <v>1177553</v>
      </c>
      <c r="E68" s="5">
        <f>E36+E37+E45+E46+E48</f>
        <v>1390854</v>
      </c>
      <c r="F68" s="5">
        <f>F36+F37+F45+F46+F48</f>
        <v>1356859</v>
      </c>
      <c r="G68" s="5">
        <f t="shared" ref="G68:M68" si="18">G36+G37+G45+G46+G48</f>
        <v>1199911</v>
      </c>
      <c r="H68" s="5">
        <f t="shared" si="18"/>
        <v>1498852</v>
      </c>
      <c r="I68" s="5">
        <f>I36+I37+I45+I46+I48</f>
        <v>1315045</v>
      </c>
      <c r="J68" s="5">
        <f t="shared" si="18"/>
        <v>1544012</v>
      </c>
      <c r="K68" s="5">
        <f t="shared" si="18"/>
        <v>1038832</v>
      </c>
      <c r="L68" s="5">
        <f>L36+L37+L45+L46+L48-50000</f>
        <v>948625</v>
      </c>
      <c r="M68" s="5">
        <f t="shared" si="18"/>
        <v>0</v>
      </c>
    </row>
    <row r="69" spans="1:33" x14ac:dyDescent="0.2">
      <c r="A69" s="1" t="s">
        <v>101</v>
      </c>
      <c r="C69" s="5">
        <f>C56-C68</f>
        <v>987870.14000000013</v>
      </c>
      <c r="D69" s="5">
        <f>D56-D68</f>
        <v>1107936.9240000001</v>
      </c>
      <c r="E69" s="5">
        <f t="shared" ref="E69:M69" si="19">E56-E68</f>
        <v>968235.875</v>
      </c>
      <c r="F69" s="5">
        <f>F56-F68</f>
        <v>944305</v>
      </c>
      <c r="G69" s="5">
        <f t="shared" si="19"/>
        <v>828866.37999999989</v>
      </c>
      <c r="H69" s="5">
        <f t="shared" si="19"/>
        <v>871131.5</v>
      </c>
      <c r="I69" s="5">
        <f t="shared" si="19"/>
        <v>864356.99600000028</v>
      </c>
      <c r="J69" s="5">
        <f t="shared" si="19"/>
        <v>1149833.9419999998</v>
      </c>
      <c r="K69" s="5">
        <f t="shared" si="19"/>
        <v>744650.3</v>
      </c>
      <c r="L69" s="5">
        <f>L56-L68+50000</f>
        <v>786870.51</v>
      </c>
      <c r="M69" s="5">
        <f t="shared" si="19"/>
        <v>0</v>
      </c>
    </row>
    <row r="70" spans="1:33" x14ac:dyDescent="0.2">
      <c r="C70" s="5">
        <f>SUM(C68:C69)</f>
        <v>2043114.1400000001</v>
      </c>
      <c r="D70" s="5">
        <f>SUM(D68:D69)</f>
        <v>2285489.9240000001</v>
      </c>
      <c r="E70" s="5">
        <f>SUM(E68:E69)</f>
        <v>2359089.875</v>
      </c>
      <c r="F70" s="5">
        <f>SUM(F68:F69)</f>
        <v>2301164</v>
      </c>
      <c r="G70" s="5">
        <f t="shared" ref="G70:M70" si="20">SUM(G68:G69)</f>
        <v>2028777.38</v>
      </c>
      <c r="H70" s="5">
        <f t="shared" si="20"/>
        <v>2369983.5</v>
      </c>
      <c r="I70" s="5">
        <f t="shared" si="20"/>
        <v>2179401.9960000003</v>
      </c>
      <c r="J70" s="5">
        <f t="shared" si="20"/>
        <v>2693845.9419999998</v>
      </c>
      <c r="K70" s="5">
        <f t="shared" si="20"/>
        <v>1783482.3</v>
      </c>
      <c r="L70" s="5">
        <f t="shared" si="20"/>
        <v>1735495.51</v>
      </c>
      <c r="M70" s="5">
        <f t="shared" si="20"/>
        <v>0</v>
      </c>
    </row>
    <row r="71" spans="1:33" x14ac:dyDescent="0.2">
      <c r="C71" s="38">
        <f>C69/C70</f>
        <v>0.48351196864605911</v>
      </c>
      <c r="D71" s="38">
        <f>D69/D70</f>
        <v>0.48476998842371621</v>
      </c>
      <c r="E71" s="38">
        <f>E69/E70</f>
        <v>0.41042771844374942</v>
      </c>
      <c r="F71" s="38">
        <f>F69/F70</f>
        <v>0.41035971360580992</v>
      </c>
      <c r="G71" s="38">
        <f t="shared" ref="G71:M71" si="21">G69/G70</f>
        <v>0.4085546241648258</v>
      </c>
      <c r="H71" s="38">
        <f t="shared" si="21"/>
        <v>0.36756859277712273</v>
      </c>
      <c r="I71" s="38">
        <f t="shared" si="21"/>
        <v>0.39660282847607348</v>
      </c>
      <c r="J71" s="38">
        <f t="shared" si="21"/>
        <v>0.4268373050117058</v>
      </c>
      <c r="K71" s="38">
        <f t="shared" si="21"/>
        <v>0.41752603880621636</v>
      </c>
      <c r="L71" s="38">
        <f t="shared" si="21"/>
        <v>0.45339818251676145</v>
      </c>
      <c r="M71" s="38" t="e">
        <f t="shared" si="21"/>
        <v>#DIV/0!</v>
      </c>
    </row>
    <row r="73" spans="1:33" x14ac:dyDescent="0.2">
      <c r="A73" s="1" t="s">
        <v>144</v>
      </c>
      <c r="L73" s="12">
        <f>K40+K45-200000</f>
        <v>815678</v>
      </c>
      <c r="M73" s="5">
        <f>L73-M31</f>
        <v>519378</v>
      </c>
    </row>
    <row r="74" spans="1:33" x14ac:dyDescent="0.2">
      <c r="A74" s="1" t="s">
        <v>158</v>
      </c>
      <c r="L74" s="12">
        <f>L56-L73</f>
        <v>869817.51</v>
      </c>
      <c r="M74" s="5">
        <f>M56-M73</f>
        <v>-519378</v>
      </c>
    </row>
  </sheetData>
  <pageMargins left="0.7" right="0.7" top="0.75" bottom="0.75" header="0.3" footer="0.3"/>
  <pageSetup paperSize="9" scale="69" fitToHeight="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4927-BB38-F741-BE83-D0CA542ADB67}">
  <dimension ref="A1:N80"/>
  <sheetViews>
    <sheetView workbookViewId="0">
      <pane ySplit="4" topLeftCell="A45" activePane="bottomLeft" state="frozen"/>
      <selection pane="bottomLeft"/>
    </sheetView>
  </sheetViews>
  <sheetFormatPr defaultColWidth="10.85546875" defaultRowHeight="15.75" x14ac:dyDescent="0.25"/>
  <cols>
    <col min="1" max="1" width="12.42578125" style="55" customWidth="1"/>
    <col min="2" max="8" width="10.85546875" style="55"/>
    <col min="9" max="11" width="10.85546875" style="54"/>
    <col min="12" max="16384" width="10.85546875" style="55"/>
  </cols>
  <sheetData>
    <row r="1" spans="1:11" x14ac:dyDescent="0.25">
      <c r="A1" s="75" t="s">
        <v>189</v>
      </c>
      <c r="B1" s="54">
        <f>I11+I12+I21+I24+I32+I33+I42+I44+I51+I52+I61</f>
        <v>82273.985499999995</v>
      </c>
    </row>
    <row r="2" spans="1:11" x14ac:dyDescent="0.25">
      <c r="A2" s="55" t="s">
        <v>190</v>
      </c>
      <c r="B2" s="54">
        <v>90000</v>
      </c>
    </row>
    <row r="3" spans="1:11" x14ac:dyDescent="0.25">
      <c r="A3" s="55" t="s">
        <v>191</v>
      </c>
      <c r="B3" s="54">
        <f>B1-B2</f>
        <v>-7726.0145000000048</v>
      </c>
    </row>
    <row r="4" spans="1:11" s="69" customFormat="1" x14ac:dyDescent="0.25">
      <c r="A4" s="69" t="s">
        <v>168</v>
      </c>
      <c r="B4" s="69" t="s">
        <v>170</v>
      </c>
      <c r="C4" s="69" t="s">
        <v>171</v>
      </c>
      <c r="D4" s="69" t="s">
        <v>172</v>
      </c>
      <c r="G4" s="69" t="s">
        <v>167</v>
      </c>
      <c r="H4" s="69" t="s">
        <v>166</v>
      </c>
      <c r="I4" s="58" t="s">
        <v>169</v>
      </c>
      <c r="J4" s="58">
        <f>I5+I25+I45+I63</f>
        <v>407590.69700000004</v>
      </c>
      <c r="K4" s="58"/>
    </row>
    <row r="5" spans="1:11" s="73" customFormat="1" x14ac:dyDescent="0.25">
      <c r="A5" s="73" t="s">
        <v>146</v>
      </c>
      <c r="B5" s="74">
        <v>7.61</v>
      </c>
      <c r="C5" s="74">
        <v>2.69</v>
      </c>
      <c r="D5" s="74">
        <v>2.6</v>
      </c>
      <c r="I5" s="76">
        <f>I6+I10+I20+I24</f>
        <v>184589.5894</v>
      </c>
      <c r="J5" s="76"/>
      <c r="K5" s="76"/>
    </row>
    <row r="6" spans="1:11" s="69" customFormat="1" x14ac:dyDescent="0.25">
      <c r="B6" s="70"/>
      <c r="C6" s="70"/>
      <c r="D6" s="70"/>
      <c r="E6" s="69" t="s">
        <v>162</v>
      </c>
      <c r="I6" s="58">
        <f>SUM(I7:I9)</f>
        <v>51177.25</v>
      </c>
      <c r="J6" s="58"/>
      <c r="K6" s="58"/>
    </row>
    <row r="7" spans="1:11" x14ac:dyDescent="0.25">
      <c r="B7" s="68"/>
      <c r="C7" s="68"/>
      <c r="D7" s="68"/>
      <c r="F7" s="55" t="s">
        <v>163</v>
      </c>
      <c r="G7" s="55">
        <v>500</v>
      </c>
      <c r="H7" s="55">
        <f>B5*C5</f>
        <v>20.4709</v>
      </c>
      <c r="I7" s="54">
        <f>G7*H7</f>
        <v>10235.450000000001</v>
      </c>
    </row>
    <row r="8" spans="1:11" x14ac:dyDescent="0.25">
      <c r="B8" s="68"/>
      <c r="C8" s="68"/>
      <c r="D8" s="68"/>
      <c r="F8" s="55" t="s">
        <v>164</v>
      </c>
      <c r="G8" s="55">
        <v>1000</v>
      </c>
      <c r="H8" s="55">
        <f>H7</f>
        <v>20.4709</v>
      </c>
      <c r="I8" s="54">
        <f t="shared" ref="I8:I22" si="0">G8*H8</f>
        <v>20470.900000000001</v>
      </c>
    </row>
    <row r="9" spans="1:11" x14ac:dyDescent="0.25">
      <c r="B9" s="68"/>
      <c r="C9" s="68"/>
      <c r="D9" s="68"/>
      <c r="F9" s="55" t="s">
        <v>165</v>
      </c>
      <c r="G9" s="55">
        <v>1000</v>
      </c>
      <c r="H9" s="55">
        <f>H7</f>
        <v>20.4709</v>
      </c>
      <c r="I9" s="54">
        <f t="shared" si="0"/>
        <v>20470.900000000001</v>
      </c>
    </row>
    <row r="10" spans="1:11" s="69" customFormat="1" x14ac:dyDescent="0.25">
      <c r="B10" s="70"/>
      <c r="C10" s="70"/>
      <c r="D10" s="70"/>
      <c r="E10" s="69" t="s">
        <v>173</v>
      </c>
      <c r="I10" s="58">
        <f>SUM(I11:I19)</f>
        <v>96408</v>
      </c>
      <c r="J10" s="58"/>
      <c r="K10" s="58"/>
    </row>
    <row r="11" spans="1:11" x14ac:dyDescent="0.25">
      <c r="B11" s="68"/>
      <c r="C11" s="68"/>
      <c r="D11" s="68"/>
      <c r="F11" s="55" t="s">
        <v>174</v>
      </c>
      <c r="G11" s="55">
        <v>70</v>
      </c>
      <c r="H11" s="55">
        <f>2*D5*(B5+C5)</f>
        <v>53.56</v>
      </c>
      <c r="I11" s="77">
        <f t="shared" si="0"/>
        <v>3749.2000000000003</v>
      </c>
    </row>
    <row r="12" spans="1:11" x14ac:dyDescent="0.25">
      <c r="B12" s="68"/>
      <c r="C12" s="68"/>
      <c r="D12" s="68"/>
      <c r="F12" s="55" t="s">
        <v>110</v>
      </c>
      <c r="G12" s="55">
        <v>500</v>
      </c>
      <c r="H12" s="55">
        <f>H11</f>
        <v>53.56</v>
      </c>
      <c r="I12" s="77">
        <f t="shared" si="0"/>
        <v>26780</v>
      </c>
    </row>
    <row r="13" spans="1:11" x14ac:dyDescent="0.25">
      <c r="B13" s="68"/>
      <c r="C13" s="68"/>
      <c r="D13" s="68"/>
      <c r="F13" s="55" t="s">
        <v>175</v>
      </c>
      <c r="G13" s="55">
        <f>G11</f>
        <v>70</v>
      </c>
      <c r="H13" s="55">
        <f t="shared" ref="H13:H19" si="1">H12</f>
        <v>53.56</v>
      </c>
      <c r="I13" s="54">
        <f t="shared" si="0"/>
        <v>3749.2000000000003</v>
      </c>
    </row>
    <row r="14" spans="1:11" x14ac:dyDescent="0.25">
      <c r="B14" s="68"/>
      <c r="C14" s="68"/>
      <c r="D14" s="68"/>
      <c r="F14" s="55" t="s">
        <v>176</v>
      </c>
      <c r="G14" s="55">
        <v>300</v>
      </c>
      <c r="H14" s="55">
        <f t="shared" si="1"/>
        <v>53.56</v>
      </c>
      <c r="I14" s="54">
        <f t="shared" si="0"/>
        <v>16068</v>
      </c>
    </row>
    <row r="15" spans="1:11" x14ac:dyDescent="0.25">
      <c r="B15" s="68"/>
      <c r="C15" s="68"/>
      <c r="D15" s="68"/>
      <c r="F15" s="55" t="s">
        <v>177</v>
      </c>
      <c r="G15" s="55">
        <f>G11</f>
        <v>70</v>
      </c>
      <c r="H15" s="55">
        <f t="shared" si="1"/>
        <v>53.56</v>
      </c>
      <c r="I15" s="54">
        <f t="shared" si="0"/>
        <v>3749.2000000000003</v>
      </c>
    </row>
    <row r="16" spans="1:11" x14ac:dyDescent="0.25">
      <c r="B16" s="68"/>
      <c r="C16" s="68"/>
      <c r="D16" s="68"/>
      <c r="F16" s="55" t="s">
        <v>178</v>
      </c>
      <c r="G16" s="55">
        <v>120</v>
      </c>
      <c r="H16" s="55">
        <f t="shared" si="1"/>
        <v>53.56</v>
      </c>
      <c r="I16" s="54">
        <f t="shared" si="0"/>
        <v>6427.2000000000007</v>
      </c>
    </row>
    <row r="17" spans="1:11" x14ac:dyDescent="0.25">
      <c r="B17" s="68"/>
      <c r="C17" s="68"/>
      <c r="D17" s="68"/>
      <c r="F17" s="55" t="s">
        <v>179</v>
      </c>
      <c r="G17" s="55">
        <f>G14</f>
        <v>300</v>
      </c>
      <c r="H17" s="55">
        <f t="shared" si="1"/>
        <v>53.56</v>
      </c>
      <c r="I17" s="54">
        <f t="shared" si="0"/>
        <v>16068</v>
      </c>
    </row>
    <row r="18" spans="1:11" x14ac:dyDescent="0.25">
      <c r="B18" s="68"/>
      <c r="C18" s="68"/>
      <c r="D18" s="68"/>
      <c r="F18" s="55" t="s">
        <v>180</v>
      </c>
      <c r="G18" s="55">
        <f>G11</f>
        <v>70</v>
      </c>
      <c r="H18" s="55">
        <f t="shared" si="1"/>
        <v>53.56</v>
      </c>
      <c r="I18" s="54">
        <f t="shared" si="0"/>
        <v>3749.2000000000003</v>
      </c>
    </row>
    <row r="19" spans="1:11" x14ac:dyDescent="0.25">
      <c r="B19" s="68"/>
      <c r="C19" s="68"/>
      <c r="D19" s="68"/>
      <c r="F19" s="55" t="s">
        <v>181</v>
      </c>
      <c r="G19" s="55">
        <v>300</v>
      </c>
      <c r="H19" s="55">
        <f t="shared" si="1"/>
        <v>53.56</v>
      </c>
      <c r="I19" s="54">
        <f t="shared" si="0"/>
        <v>16068</v>
      </c>
    </row>
    <row r="20" spans="1:11" s="69" customFormat="1" x14ac:dyDescent="0.25">
      <c r="B20" s="70"/>
      <c r="C20" s="70"/>
      <c r="D20" s="70"/>
      <c r="E20" s="69" t="s">
        <v>182</v>
      </c>
      <c r="I20" s="58">
        <f>SUM(I21:I22)</f>
        <v>30010.339400000001</v>
      </c>
      <c r="J20" s="58"/>
      <c r="K20" s="58"/>
    </row>
    <row r="21" spans="1:11" x14ac:dyDescent="0.25">
      <c r="B21" s="68"/>
      <c r="C21" s="68"/>
      <c r="D21" s="68"/>
      <c r="F21" s="55" t="s">
        <v>183</v>
      </c>
      <c r="G21" s="55">
        <v>733</v>
      </c>
      <c r="H21" s="55">
        <f>H7</f>
        <v>20.4709</v>
      </c>
      <c r="I21" s="77">
        <f t="shared" si="0"/>
        <v>15005.1697</v>
      </c>
    </row>
    <row r="22" spans="1:11" x14ac:dyDescent="0.25">
      <c r="B22" s="68"/>
      <c r="C22" s="68"/>
      <c r="D22" s="68"/>
      <c r="F22" s="55" t="s">
        <v>181</v>
      </c>
      <c r="G22" s="55">
        <v>733</v>
      </c>
      <c r="H22" s="55">
        <f>H21</f>
        <v>20.4709</v>
      </c>
      <c r="I22" s="54">
        <f t="shared" si="0"/>
        <v>15005.1697</v>
      </c>
    </row>
    <row r="23" spans="1:11" x14ac:dyDescent="0.25">
      <c r="B23" s="68"/>
      <c r="C23" s="68"/>
      <c r="D23" s="68"/>
    </row>
    <row r="24" spans="1:11" x14ac:dyDescent="0.25">
      <c r="B24" s="68"/>
      <c r="C24" s="68"/>
      <c r="D24" s="68"/>
      <c r="E24" s="69" t="s">
        <v>185</v>
      </c>
      <c r="F24" s="55" t="s">
        <v>186</v>
      </c>
      <c r="G24" s="55">
        <v>1000</v>
      </c>
      <c r="H24" s="55">
        <f>C5*D5</f>
        <v>6.9939999999999998</v>
      </c>
      <c r="I24" s="77">
        <f>G24*H24</f>
        <v>6994</v>
      </c>
    </row>
    <row r="25" spans="1:11" s="73" customFormat="1" x14ac:dyDescent="0.25">
      <c r="A25" s="73" t="s">
        <v>184</v>
      </c>
      <c r="B25" s="74">
        <v>3.03</v>
      </c>
      <c r="C25" s="74">
        <v>1.5</v>
      </c>
      <c r="D25" s="74">
        <v>2.6</v>
      </c>
      <c r="I25" s="76">
        <f>I27+I31+I41+I44</f>
        <v>87028.123599999992</v>
      </c>
      <c r="J25" s="76"/>
      <c r="K25" s="76"/>
    </row>
    <row r="26" spans="1:11" s="71" customFormat="1" x14ac:dyDescent="0.25">
      <c r="B26" s="72">
        <v>1.58</v>
      </c>
      <c r="C26" s="72">
        <v>2.62</v>
      </c>
      <c r="D26" s="72">
        <v>2.6</v>
      </c>
      <c r="I26" s="76"/>
      <c r="J26" s="78"/>
      <c r="K26" s="78"/>
    </row>
    <row r="27" spans="1:11" x14ac:dyDescent="0.25">
      <c r="B27" s="68"/>
      <c r="C27" s="68"/>
      <c r="D27" s="68"/>
      <c r="E27" s="69" t="s">
        <v>162</v>
      </c>
      <c r="I27" s="58">
        <f>SUM(I28:I30)</f>
        <v>21711.5</v>
      </c>
    </row>
    <row r="28" spans="1:11" x14ac:dyDescent="0.25">
      <c r="B28" s="68"/>
      <c r="C28" s="68"/>
      <c r="D28" s="68"/>
      <c r="F28" s="55" t="s">
        <v>163</v>
      </c>
      <c r="G28" s="55">
        <v>500</v>
      </c>
      <c r="H28" s="55">
        <f>B25*C25+B26*C26</f>
        <v>8.6845999999999997</v>
      </c>
      <c r="I28" s="54">
        <f>G28*H28</f>
        <v>4342.3</v>
      </c>
    </row>
    <row r="29" spans="1:11" x14ac:dyDescent="0.25">
      <c r="B29" s="68"/>
      <c r="C29" s="68"/>
      <c r="D29" s="68"/>
      <c r="F29" s="55" t="s">
        <v>164</v>
      </c>
      <c r="G29" s="55">
        <v>1000</v>
      </c>
      <c r="H29" s="55">
        <f>H28</f>
        <v>8.6845999999999997</v>
      </c>
      <c r="I29" s="54">
        <f>G29*H29</f>
        <v>8684.6</v>
      </c>
    </row>
    <row r="30" spans="1:11" x14ac:dyDescent="0.25">
      <c r="B30" s="68"/>
      <c r="C30" s="68"/>
      <c r="D30" s="68"/>
      <c r="F30" s="55" t="s">
        <v>165</v>
      </c>
      <c r="G30" s="55">
        <v>1000</v>
      </c>
      <c r="H30" s="55">
        <f>H28</f>
        <v>8.6845999999999997</v>
      </c>
      <c r="I30" s="54">
        <f>G30*H30</f>
        <v>8684.6</v>
      </c>
    </row>
    <row r="31" spans="1:11" x14ac:dyDescent="0.25">
      <c r="B31" s="68"/>
      <c r="C31" s="68"/>
      <c r="D31" s="68"/>
      <c r="E31" s="69" t="s">
        <v>173</v>
      </c>
      <c r="F31" s="69"/>
      <c r="G31" s="69"/>
      <c r="H31" s="69"/>
      <c r="I31" s="58">
        <f>SUM(I32:I40)</f>
        <v>48997.000000000007</v>
      </c>
    </row>
    <row r="32" spans="1:11" x14ac:dyDescent="0.25">
      <c r="B32" s="68"/>
      <c r="C32" s="68"/>
      <c r="D32" s="68"/>
      <c r="F32" s="55" t="s">
        <v>174</v>
      </c>
      <c r="G32" s="55">
        <v>70</v>
      </c>
      <c r="H32" s="55">
        <f>B26*D5+1.95*D26+2.52*D26+2.52*D25+1.5*D25+2*1.38*2.6/2</f>
        <v>29.770000000000003</v>
      </c>
      <c r="I32" s="77">
        <f t="shared" ref="I32:I40" si="2">G32*H32</f>
        <v>2083.9</v>
      </c>
    </row>
    <row r="33" spans="1:14" x14ac:dyDescent="0.25">
      <c r="B33" s="68"/>
      <c r="C33" s="68"/>
      <c r="D33" s="68"/>
      <c r="F33" s="55" t="s">
        <v>110</v>
      </c>
      <c r="G33" s="55">
        <v>500</v>
      </c>
      <c r="H33" s="55">
        <f>H32-B26*D25-1.95*D25</f>
        <v>20.592000000000002</v>
      </c>
      <c r="I33" s="77">
        <f t="shared" si="2"/>
        <v>10296.000000000002</v>
      </c>
    </row>
    <row r="34" spans="1:14" x14ac:dyDescent="0.25">
      <c r="B34" s="68"/>
      <c r="C34" s="68"/>
      <c r="D34" s="68"/>
      <c r="F34" s="55" t="s">
        <v>175</v>
      </c>
      <c r="G34" s="55">
        <f>G32</f>
        <v>70</v>
      </c>
      <c r="H34" s="55">
        <f>H32</f>
        <v>29.770000000000003</v>
      </c>
      <c r="I34" s="54">
        <f t="shared" si="2"/>
        <v>2083.9</v>
      </c>
    </row>
    <row r="35" spans="1:14" x14ac:dyDescent="0.25">
      <c r="B35" s="68"/>
      <c r="C35" s="68"/>
      <c r="D35" s="68"/>
      <c r="F35" s="55" t="s">
        <v>176</v>
      </c>
      <c r="G35" s="55">
        <v>300</v>
      </c>
      <c r="H35" s="55">
        <f t="shared" ref="H35:H40" si="3">H34</f>
        <v>29.770000000000003</v>
      </c>
      <c r="I35" s="54">
        <f t="shared" si="2"/>
        <v>8931.0000000000018</v>
      </c>
    </row>
    <row r="36" spans="1:14" x14ac:dyDescent="0.25">
      <c r="B36" s="68"/>
      <c r="C36" s="68"/>
      <c r="D36" s="68"/>
      <c r="F36" s="55" t="s">
        <v>177</v>
      </c>
      <c r="G36" s="55">
        <f>G32</f>
        <v>70</v>
      </c>
      <c r="H36" s="55">
        <f t="shared" si="3"/>
        <v>29.770000000000003</v>
      </c>
      <c r="I36" s="54">
        <f t="shared" si="2"/>
        <v>2083.9</v>
      </c>
    </row>
    <row r="37" spans="1:14" x14ac:dyDescent="0.25">
      <c r="F37" s="55" t="s">
        <v>178</v>
      </c>
      <c r="G37" s="55">
        <v>120</v>
      </c>
      <c r="H37" s="55">
        <f t="shared" si="3"/>
        <v>29.770000000000003</v>
      </c>
      <c r="I37" s="54">
        <f t="shared" si="2"/>
        <v>3572.4000000000005</v>
      </c>
    </row>
    <row r="38" spans="1:14" x14ac:dyDescent="0.25">
      <c r="F38" s="55" t="s">
        <v>179</v>
      </c>
      <c r="G38" s="55">
        <f>G35</f>
        <v>300</v>
      </c>
      <c r="H38" s="55">
        <f t="shared" si="3"/>
        <v>29.770000000000003</v>
      </c>
      <c r="I38" s="54">
        <f t="shared" si="2"/>
        <v>8931.0000000000018</v>
      </c>
    </row>
    <row r="39" spans="1:14" x14ac:dyDescent="0.25">
      <c r="F39" s="55" t="s">
        <v>180</v>
      </c>
      <c r="G39" s="55">
        <f>G32</f>
        <v>70</v>
      </c>
      <c r="H39" s="55">
        <f t="shared" si="3"/>
        <v>29.770000000000003</v>
      </c>
      <c r="I39" s="54">
        <f t="shared" si="2"/>
        <v>2083.9</v>
      </c>
    </row>
    <row r="40" spans="1:14" x14ac:dyDescent="0.25">
      <c r="F40" s="55" t="s">
        <v>181</v>
      </c>
      <c r="G40" s="55">
        <v>300</v>
      </c>
      <c r="H40" s="55">
        <f t="shared" si="3"/>
        <v>29.770000000000003</v>
      </c>
      <c r="I40" s="54">
        <f t="shared" si="2"/>
        <v>8931.0000000000018</v>
      </c>
    </row>
    <row r="41" spans="1:14" x14ac:dyDescent="0.25">
      <c r="E41" s="69" t="s">
        <v>182</v>
      </c>
      <c r="F41" s="69"/>
      <c r="G41" s="69"/>
      <c r="H41" s="69"/>
      <c r="I41" s="58">
        <f>SUM(I42:I43)</f>
        <v>12731.623599999999</v>
      </c>
    </row>
    <row r="42" spans="1:14" x14ac:dyDescent="0.25">
      <c r="F42" s="55" t="s">
        <v>183</v>
      </c>
      <c r="G42" s="55">
        <v>733</v>
      </c>
      <c r="H42" s="55">
        <f>H28</f>
        <v>8.6845999999999997</v>
      </c>
      <c r="I42" s="77">
        <f>G42*H42</f>
        <v>6365.8117999999995</v>
      </c>
    </row>
    <row r="43" spans="1:14" x14ac:dyDescent="0.25">
      <c r="F43" s="55" t="s">
        <v>181</v>
      </c>
      <c r="G43" s="55">
        <v>733</v>
      </c>
      <c r="H43" s="55">
        <f>H28</f>
        <v>8.6845999999999997</v>
      </c>
      <c r="I43" s="54">
        <f>G43*H43</f>
        <v>6365.8117999999995</v>
      </c>
    </row>
    <row r="44" spans="1:14" x14ac:dyDescent="0.25">
      <c r="E44" s="69" t="s">
        <v>185</v>
      </c>
      <c r="F44" s="55" t="s">
        <v>186</v>
      </c>
      <c r="G44" s="55">
        <v>1000</v>
      </c>
      <c r="H44" s="55">
        <f>1.38*D26</f>
        <v>3.5879999999999996</v>
      </c>
      <c r="I44" s="77">
        <f>G44*H44</f>
        <v>3587.9999999999995</v>
      </c>
    </row>
    <row r="45" spans="1:14" s="73" customFormat="1" x14ac:dyDescent="0.25">
      <c r="A45" s="73" t="s">
        <v>187</v>
      </c>
      <c r="B45" s="74">
        <v>1.38</v>
      </c>
      <c r="C45" s="74">
        <v>1.1200000000000001</v>
      </c>
      <c r="D45" s="74">
        <v>2.6</v>
      </c>
      <c r="I45" s="76">
        <f>I46+I50+I60</f>
        <v>27034.848000000005</v>
      </c>
      <c r="J45" s="76"/>
      <c r="K45" s="76"/>
    </row>
    <row r="46" spans="1:14" x14ac:dyDescent="0.25">
      <c r="E46" s="69" t="s">
        <v>162</v>
      </c>
      <c r="I46" s="58">
        <f>SUM(I47:I49)</f>
        <v>3864</v>
      </c>
      <c r="M46" s="55">
        <v>1.38</v>
      </c>
      <c r="N46" s="55">
        <f>M46*M46</f>
        <v>1.9043999999999996</v>
      </c>
    </row>
    <row r="47" spans="1:14" x14ac:dyDescent="0.25">
      <c r="F47" s="55" t="s">
        <v>163</v>
      </c>
      <c r="G47" s="55">
        <v>500</v>
      </c>
      <c r="H47" s="55">
        <f>B45*C45</f>
        <v>1.5456000000000001</v>
      </c>
      <c r="I47" s="54">
        <f>G47*H47</f>
        <v>772.80000000000007</v>
      </c>
      <c r="M47" s="55">
        <v>1.3</v>
      </c>
      <c r="N47" s="55">
        <f>M47*M47</f>
        <v>1.6900000000000002</v>
      </c>
    </row>
    <row r="48" spans="1:14" x14ac:dyDescent="0.25">
      <c r="F48" s="55" t="s">
        <v>164</v>
      </c>
      <c r="G48" s="55">
        <v>1000</v>
      </c>
      <c r="H48" s="55">
        <f>H47</f>
        <v>1.5456000000000001</v>
      </c>
      <c r="I48" s="54">
        <f>G48*H48</f>
        <v>1545.6000000000001</v>
      </c>
      <c r="N48" s="55">
        <f>SUM(N46:N47)</f>
        <v>3.5943999999999998</v>
      </c>
    </row>
    <row r="49" spans="1:14" x14ac:dyDescent="0.25">
      <c r="F49" s="55" t="s">
        <v>165</v>
      </c>
      <c r="G49" s="55">
        <v>1000</v>
      </c>
      <c r="H49" s="55">
        <f>H47</f>
        <v>1.5456000000000001</v>
      </c>
      <c r="I49" s="54">
        <f>G49*H49</f>
        <v>1545.6000000000001</v>
      </c>
      <c r="N49" s="55">
        <f>SQRT(N48)</f>
        <v>1.8958902921846505</v>
      </c>
    </row>
    <row r="50" spans="1:14" x14ac:dyDescent="0.25">
      <c r="E50" s="69" t="s">
        <v>173</v>
      </c>
      <c r="F50" s="69"/>
      <c r="G50" s="69"/>
      <c r="H50" s="69"/>
      <c r="I50" s="58">
        <f>SUM(I51:I59)</f>
        <v>20051.200000000004</v>
      </c>
    </row>
    <row r="51" spans="1:14" x14ac:dyDescent="0.25">
      <c r="F51" s="55" t="s">
        <v>174</v>
      </c>
      <c r="G51" s="55">
        <v>70</v>
      </c>
      <c r="H51" s="55">
        <f>$B$45*$D$45*2+$C$45*$D$45*1.5</f>
        <v>11.544</v>
      </c>
      <c r="I51" s="77">
        <f t="shared" ref="I51:I59" si="4">G51*H51</f>
        <v>808.08</v>
      </c>
    </row>
    <row r="52" spans="1:14" x14ac:dyDescent="0.25">
      <c r="F52" s="55" t="s">
        <v>110</v>
      </c>
      <c r="G52" s="55">
        <v>500</v>
      </c>
      <c r="H52" s="55">
        <f>$B$45*$D$45*2+$C$45*$D$45</f>
        <v>10.087999999999999</v>
      </c>
      <c r="I52" s="77">
        <f t="shared" si="4"/>
        <v>5044</v>
      </c>
    </row>
    <row r="53" spans="1:14" x14ac:dyDescent="0.25">
      <c r="F53" s="55" t="s">
        <v>175</v>
      </c>
      <c r="G53" s="55">
        <f>G51</f>
        <v>70</v>
      </c>
      <c r="H53" s="55">
        <f>H51</f>
        <v>11.544</v>
      </c>
      <c r="I53" s="54">
        <f t="shared" si="4"/>
        <v>808.08</v>
      </c>
    </row>
    <row r="54" spans="1:14" x14ac:dyDescent="0.25">
      <c r="F54" s="55" t="s">
        <v>176</v>
      </c>
      <c r="G54" s="55">
        <v>300</v>
      </c>
      <c r="H54" s="55">
        <f t="shared" ref="H54:H59" si="5">H53</f>
        <v>11.544</v>
      </c>
      <c r="I54" s="54">
        <f t="shared" si="4"/>
        <v>3463.2000000000003</v>
      </c>
    </row>
    <row r="55" spans="1:14" x14ac:dyDescent="0.25">
      <c r="F55" s="55" t="s">
        <v>177</v>
      </c>
      <c r="G55" s="55">
        <f>G51</f>
        <v>70</v>
      </c>
      <c r="H55" s="55">
        <f t="shared" si="5"/>
        <v>11.544</v>
      </c>
      <c r="I55" s="54">
        <f t="shared" si="4"/>
        <v>808.08</v>
      </c>
    </row>
    <row r="56" spans="1:14" x14ac:dyDescent="0.25">
      <c r="F56" s="55" t="s">
        <v>178</v>
      </c>
      <c r="G56" s="55">
        <v>120</v>
      </c>
      <c r="H56" s="55">
        <f t="shared" si="5"/>
        <v>11.544</v>
      </c>
      <c r="I56" s="54">
        <f t="shared" si="4"/>
        <v>1385.28</v>
      </c>
    </row>
    <row r="57" spans="1:14" x14ac:dyDescent="0.25">
      <c r="F57" s="55" t="s">
        <v>179</v>
      </c>
      <c r="G57" s="55">
        <f>G54</f>
        <v>300</v>
      </c>
      <c r="H57" s="55">
        <f t="shared" si="5"/>
        <v>11.544</v>
      </c>
      <c r="I57" s="54">
        <f t="shared" si="4"/>
        <v>3463.2000000000003</v>
      </c>
    </row>
    <row r="58" spans="1:14" x14ac:dyDescent="0.25">
      <c r="F58" s="55" t="s">
        <v>180</v>
      </c>
      <c r="G58" s="55">
        <f>G51</f>
        <v>70</v>
      </c>
      <c r="H58" s="55">
        <f t="shared" si="5"/>
        <v>11.544</v>
      </c>
      <c r="I58" s="54">
        <f t="shared" si="4"/>
        <v>808.08</v>
      </c>
    </row>
    <row r="59" spans="1:14" x14ac:dyDescent="0.25">
      <c r="F59" s="55" t="s">
        <v>181</v>
      </c>
      <c r="G59" s="55">
        <v>300</v>
      </c>
      <c r="H59" s="55">
        <f t="shared" si="5"/>
        <v>11.544</v>
      </c>
      <c r="I59" s="54">
        <f t="shared" si="4"/>
        <v>3463.2000000000003</v>
      </c>
    </row>
    <row r="60" spans="1:14" x14ac:dyDescent="0.25">
      <c r="E60" s="69" t="s">
        <v>182</v>
      </c>
      <c r="F60" s="69"/>
      <c r="G60" s="69"/>
      <c r="H60" s="69"/>
      <c r="I60" s="58">
        <f>SUM(I61:I62)</f>
        <v>3119.6480000000001</v>
      </c>
    </row>
    <row r="61" spans="1:14" x14ac:dyDescent="0.25">
      <c r="F61" s="55" t="s">
        <v>183</v>
      </c>
      <c r="G61" s="55">
        <v>733</v>
      </c>
      <c r="H61" s="55">
        <f>1.9*1.12</f>
        <v>2.1280000000000001</v>
      </c>
      <c r="I61" s="77">
        <f>G61*H61</f>
        <v>1559.8240000000001</v>
      </c>
    </row>
    <row r="62" spans="1:14" x14ac:dyDescent="0.25">
      <c r="F62" s="55" t="s">
        <v>181</v>
      </c>
      <c r="G62" s="55">
        <v>733</v>
      </c>
      <c r="H62" s="55">
        <f>H61</f>
        <v>2.1280000000000001</v>
      </c>
      <c r="I62" s="54">
        <f>G62*H62</f>
        <v>1559.8240000000001</v>
      </c>
    </row>
    <row r="63" spans="1:14" s="73" customFormat="1" x14ac:dyDescent="0.25">
      <c r="A63" s="73" t="s">
        <v>148</v>
      </c>
      <c r="B63" s="74">
        <v>3.85</v>
      </c>
      <c r="C63" s="74">
        <v>2.96</v>
      </c>
      <c r="D63" s="74">
        <v>2.6</v>
      </c>
      <c r="I63" s="76">
        <f>I64+I68+I78</f>
        <v>108938.13600000003</v>
      </c>
      <c r="J63" s="76"/>
      <c r="K63" s="76"/>
    </row>
    <row r="64" spans="1:14" x14ac:dyDescent="0.25">
      <c r="E64" s="69" t="s">
        <v>162</v>
      </c>
      <c r="I64" s="58">
        <f>SUM(I65:I67)</f>
        <v>28490</v>
      </c>
    </row>
    <row r="65" spans="5:9" x14ac:dyDescent="0.25">
      <c r="F65" s="55" t="s">
        <v>163</v>
      </c>
      <c r="G65" s="55">
        <v>500</v>
      </c>
      <c r="H65" s="55">
        <f>B63*C63</f>
        <v>11.396000000000001</v>
      </c>
      <c r="I65" s="54">
        <f>G65*H65</f>
        <v>5698</v>
      </c>
    </row>
    <row r="66" spans="5:9" x14ac:dyDescent="0.25">
      <c r="F66" s="55" t="s">
        <v>164</v>
      </c>
      <c r="G66" s="55">
        <v>1000</v>
      </c>
      <c r="H66" s="55">
        <f>H65</f>
        <v>11.396000000000001</v>
      </c>
      <c r="I66" s="54">
        <f>G66*H66</f>
        <v>11396</v>
      </c>
    </row>
    <row r="67" spans="5:9" x14ac:dyDescent="0.25">
      <c r="F67" s="55" t="s">
        <v>188</v>
      </c>
      <c r="G67" s="55">
        <v>1000</v>
      </c>
      <c r="H67" s="55">
        <f>H65</f>
        <v>11.396000000000001</v>
      </c>
      <c r="I67" s="54">
        <f>G67*H67</f>
        <v>11396</v>
      </c>
    </row>
    <row r="68" spans="5:9" x14ac:dyDescent="0.25">
      <c r="E68" s="69" t="s">
        <v>173</v>
      </c>
      <c r="F68" s="69"/>
      <c r="G68" s="69"/>
      <c r="H68" s="69"/>
      <c r="I68" s="58">
        <f>SUM(I69:I77)</f>
        <v>63741.60000000002</v>
      </c>
    </row>
    <row r="69" spans="5:9" x14ac:dyDescent="0.25">
      <c r="F69" s="55" t="s">
        <v>174</v>
      </c>
      <c r="G69" s="55">
        <v>70</v>
      </c>
      <c r="H69" s="55">
        <f>2*D63*(B63+C63)</f>
        <v>35.412000000000006</v>
      </c>
      <c r="I69" s="54">
        <f t="shared" ref="I69:I77" si="6">G69*H69</f>
        <v>2478.8400000000006</v>
      </c>
    </row>
    <row r="70" spans="5:9" x14ac:dyDescent="0.25">
      <c r="F70" s="55" t="s">
        <v>110</v>
      </c>
      <c r="G70" s="55">
        <v>500</v>
      </c>
      <c r="H70" s="55">
        <f>H69-B63*D62-1.95*D62</f>
        <v>35.412000000000006</v>
      </c>
      <c r="I70" s="54">
        <f t="shared" si="6"/>
        <v>17706.000000000004</v>
      </c>
    </row>
    <row r="71" spans="5:9" x14ac:dyDescent="0.25">
      <c r="F71" s="55" t="s">
        <v>175</v>
      </c>
      <c r="G71" s="55">
        <f>G69</f>
        <v>70</v>
      </c>
      <c r="H71" s="55">
        <f>H69</f>
        <v>35.412000000000006</v>
      </c>
      <c r="I71" s="54">
        <f t="shared" si="6"/>
        <v>2478.8400000000006</v>
      </c>
    </row>
    <row r="72" spans="5:9" x14ac:dyDescent="0.25">
      <c r="F72" s="55" t="s">
        <v>176</v>
      </c>
      <c r="G72" s="55">
        <v>300</v>
      </c>
      <c r="H72" s="55">
        <f t="shared" ref="H72:H77" si="7">H71</f>
        <v>35.412000000000006</v>
      </c>
      <c r="I72" s="54">
        <f t="shared" si="6"/>
        <v>10623.600000000002</v>
      </c>
    </row>
    <row r="73" spans="5:9" x14ac:dyDescent="0.25">
      <c r="F73" s="55" t="s">
        <v>177</v>
      </c>
      <c r="G73" s="55">
        <f>G69</f>
        <v>70</v>
      </c>
      <c r="H73" s="55">
        <f t="shared" si="7"/>
        <v>35.412000000000006</v>
      </c>
      <c r="I73" s="54">
        <f t="shared" si="6"/>
        <v>2478.8400000000006</v>
      </c>
    </row>
    <row r="74" spans="5:9" x14ac:dyDescent="0.25">
      <c r="F74" s="55" t="s">
        <v>178</v>
      </c>
      <c r="G74" s="55">
        <v>120</v>
      </c>
      <c r="H74" s="55">
        <f t="shared" si="7"/>
        <v>35.412000000000006</v>
      </c>
      <c r="I74" s="54">
        <f t="shared" si="6"/>
        <v>4249.4400000000005</v>
      </c>
    </row>
    <row r="75" spans="5:9" x14ac:dyDescent="0.25">
      <c r="F75" s="55" t="s">
        <v>179</v>
      </c>
      <c r="G75" s="55">
        <f>G72</f>
        <v>300</v>
      </c>
      <c r="H75" s="55">
        <f t="shared" si="7"/>
        <v>35.412000000000006</v>
      </c>
      <c r="I75" s="54">
        <f t="shared" si="6"/>
        <v>10623.600000000002</v>
      </c>
    </row>
    <row r="76" spans="5:9" x14ac:dyDescent="0.25">
      <c r="F76" s="55" t="s">
        <v>180</v>
      </c>
      <c r="G76" s="55">
        <f>G69</f>
        <v>70</v>
      </c>
      <c r="H76" s="55">
        <f t="shared" si="7"/>
        <v>35.412000000000006</v>
      </c>
      <c r="I76" s="54">
        <f t="shared" si="6"/>
        <v>2478.8400000000006</v>
      </c>
    </row>
    <row r="77" spans="5:9" x14ac:dyDescent="0.25">
      <c r="F77" s="55" t="s">
        <v>181</v>
      </c>
      <c r="G77" s="55">
        <v>300</v>
      </c>
      <c r="H77" s="55">
        <f t="shared" si="7"/>
        <v>35.412000000000006</v>
      </c>
      <c r="I77" s="54">
        <f t="shared" si="6"/>
        <v>10623.600000000002</v>
      </c>
    </row>
    <row r="78" spans="5:9" x14ac:dyDescent="0.25">
      <c r="E78" s="69" t="s">
        <v>182</v>
      </c>
      <c r="F78" s="69"/>
      <c r="G78" s="69"/>
      <c r="H78" s="69"/>
      <c r="I78" s="58">
        <f>SUM(I79:I80)</f>
        <v>16706.536</v>
      </c>
    </row>
    <row r="79" spans="5:9" x14ac:dyDescent="0.25">
      <c r="F79" s="55" t="s">
        <v>183</v>
      </c>
      <c r="G79" s="55">
        <v>733</v>
      </c>
      <c r="H79" s="55">
        <f>H65</f>
        <v>11.396000000000001</v>
      </c>
      <c r="I79" s="54">
        <f>G79*H79</f>
        <v>8353.268</v>
      </c>
    </row>
    <row r="80" spans="5:9" x14ac:dyDescent="0.25">
      <c r="F80" s="55" t="s">
        <v>181</v>
      </c>
      <c r="G80" s="55">
        <v>733</v>
      </c>
      <c r="H80" s="55">
        <f>H65</f>
        <v>11.396000000000001</v>
      </c>
      <c r="I80" s="54">
        <f>G80*H80</f>
        <v>8353.268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4EFB-9A39-BB41-9818-1E28C1015637}">
  <dimension ref="A1:XFD70"/>
  <sheetViews>
    <sheetView topLeftCell="A34" workbookViewId="0">
      <selection activeCell="H57" sqref="H57"/>
    </sheetView>
  </sheetViews>
  <sheetFormatPr defaultColWidth="10.85546875" defaultRowHeight="18" x14ac:dyDescent="0.25"/>
  <cols>
    <col min="1" max="1" width="4.140625" style="40" customWidth="1"/>
    <col min="2" max="2" width="35.7109375" style="40" customWidth="1"/>
    <col min="3" max="3" width="42.140625" style="40" customWidth="1"/>
    <col min="4" max="4" width="13.42578125" style="42" customWidth="1"/>
    <col min="5" max="6" width="10.85546875" style="42"/>
    <col min="7" max="7" width="11.85546875" style="40" bestFit="1" customWidth="1"/>
    <col min="8" max="16384" width="10.85546875" style="40"/>
  </cols>
  <sheetData>
    <row r="1" spans="1:6" x14ac:dyDescent="0.25">
      <c r="D1" s="42" t="s">
        <v>120</v>
      </c>
      <c r="E1" s="42" t="s">
        <v>121</v>
      </c>
    </row>
    <row r="2" spans="1:6" x14ac:dyDescent="0.25">
      <c r="A2" s="40">
        <v>1</v>
      </c>
      <c r="B2" s="40" t="s">
        <v>106</v>
      </c>
    </row>
    <row r="3" spans="1:6" x14ac:dyDescent="0.25">
      <c r="B3" s="44" t="s">
        <v>109</v>
      </c>
      <c r="C3" s="40" t="s">
        <v>108</v>
      </c>
      <c r="D3" s="42">
        <v>199125</v>
      </c>
    </row>
    <row r="4" spans="1:6" x14ac:dyDescent="0.25">
      <c r="C4" s="40" t="s">
        <v>110</v>
      </c>
      <c r="D4" s="42">
        <v>106200</v>
      </c>
    </row>
    <row r="5" spans="1:6" x14ac:dyDescent="0.25">
      <c r="C5" s="40" t="s">
        <v>111</v>
      </c>
      <c r="D5" s="42">
        <v>26550</v>
      </c>
    </row>
    <row r="6" spans="1:6" x14ac:dyDescent="0.25">
      <c r="C6" s="40" t="s">
        <v>112</v>
      </c>
      <c r="D6" s="42">
        <v>53100</v>
      </c>
    </row>
    <row r="7" spans="1:6" x14ac:dyDescent="0.25">
      <c r="C7" s="40" t="s">
        <v>113</v>
      </c>
      <c r="D7" s="42">
        <v>114000</v>
      </c>
    </row>
    <row r="8" spans="1:6" x14ac:dyDescent="0.25">
      <c r="C8" s="40" t="s">
        <v>135</v>
      </c>
      <c r="D8" s="42">
        <v>18000</v>
      </c>
    </row>
    <row r="9" spans="1:6" s="43" customFormat="1" x14ac:dyDescent="0.25">
      <c r="B9" s="44"/>
      <c r="D9" s="45">
        <f>SUM(D3:D8)</f>
        <v>516975</v>
      </c>
      <c r="E9" s="47">
        <f>D9</f>
        <v>516975</v>
      </c>
      <c r="F9" s="45"/>
    </row>
    <row r="10" spans="1:6" x14ac:dyDescent="0.25">
      <c r="B10" s="44" t="s">
        <v>114</v>
      </c>
      <c r="C10" s="40" t="s">
        <v>115</v>
      </c>
      <c r="D10" s="42">
        <f>313500+4500+12750+1100</f>
        <v>331850</v>
      </c>
    </row>
    <row r="11" spans="1:6" x14ac:dyDescent="0.25">
      <c r="C11" s="40" t="s">
        <v>116</v>
      </c>
      <c r="D11" s="42">
        <f>72800+6000+10000</f>
        <v>88800</v>
      </c>
    </row>
    <row r="12" spans="1:6" x14ac:dyDescent="0.25">
      <c r="C12" s="40" t="s">
        <v>128</v>
      </c>
      <c r="D12" s="42">
        <f>43000-D16</f>
        <v>41450</v>
      </c>
    </row>
    <row r="13" spans="1:6" x14ac:dyDescent="0.25">
      <c r="D13" s="45">
        <f>SUM(D10:D12)</f>
        <v>462100</v>
      </c>
      <c r="E13" s="47">
        <f>D13</f>
        <v>462100</v>
      </c>
      <c r="F13" s="46">
        <f>297075+50000+114000+18000+300000+200000</f>
        <v>979075</v>
      </c>
    </row>
    <row r="15" spans="1:6" x14ac:dyDescent="0.25">
      <c r="B15" s="41" t="s">
        <v>118</v>
      </c>
      <c r="C15" s="40" t="s">
        <v>117</v>
      </c>
      <c r="D15" s="46">
        <v>16000</v>
      </c>
    </row>
    <row r="16" spans="1:6" x14ac:dyDescent="0.25">
      <c r="C16" s="40" t="s">
        <v>128</v>
      </c>
      <c r="D16" s="42">
        <v>1550</v>
      </c>
    </row>
    <row r="17" spans="1:7 16384:16384" s="43" customFormat="1" x14ac:dyDescent="0.25">
      <c r="D17" s="45">
        <f>SUM(D15:D16)</f>
        <v>17550</v>
      </c>
      <c r="E17" s="45">
        <f>D17</f>
        <v>17550</v>
      </c>
      <c r="F17" s="45"/>
    </row>
    <row r="21" spans="1:7 16384:16384" x14ac:dyDescent="0.25">
      <c r="C21" s="40" t="s">
        <v>129</v>
      </c>
      <c r="D21" s="42">
        <v>554000</v>
      </c>
      <c r="E21" s="46">
        <v>554000</v>
      </c>
    </row>
    <row r="22" spans="1:7 16384:16384" x14ac:dyDescent="0.25">
      <c r="C22" s="40" t="s">
        <v>130</v>
      </c>
      <c r="D22" s="42">
        <v>36150</v>
      </c>
      <c r="E22" s="46">
        <f>D22</f>
        <v>36150</v>
      </c>
    </row>
    <row r="23" spans="1:7 16384:16384" x14ac:dyDescent="0.25">
      <c r="C23" s="40" t="s">
        <v>131</v>
      </c>
      <c r="D23" s="42">
        <v>51000</v>
      </c>
      <c r="E23" s="46">
        <f>40000+9000</f>
        <v>49000</v>
      </c>
    </row>
    <row r="24" spans="1:7 16384:16384" x14ac:dyDescent="0.25">
      <c r="D24" s="45">
        <f>SUM(D21:D23)</f>
        <v>641150</v>
      </c>
      <c r="E24" s="45">
        <f>SUM(E21:E23)</f>
        <v>639150</v>
      </c>
      <c r="G24" s="42">
        <f>E9+E13+E17+E24</f>
        <v>1635775</v>
      </c>
    </row>
    <row r="25" spans="1:7 16384:16384" x14ac:dyDescent="0.25">
      <c r="A25" s="40">
        <v>2</v>
      </c>
      <c r="B25" s="40" t="s">
        <v>119</v>
      </c>
    </row>
    <row r="26" spans="1:7 16384:16384" x14ac:dyDescent="0.25">
      <c r="B26" s="40" t="s">
        <v>107</v>
      </c>
      <c r="E26" s="46">
        <v>30000</v>
      </c>
      <c r="F26" s="42" t="s">
        <v>122</v>
      </c>
    </row>
    <row r="27" spans="1:7 16384:16384" x14ac:dyDescent="0.25">
      <c r="E27" s="46">
        <v>60000</v>
      </c>
      <c r="F27" s="42" t="s">
        <v>122</v>
      </c>
    </row>
    <row r="31" spans="1:7 16384:16384" s="43" customFormat="1" x14ac:dyDescent="0.25">
      <c r="D31" s="45"/>
      <c r="E31" s="45">
        <f>SUM(E26:E30)</f>
        <v>90000</v>
      </c>
      <c r="F31" s="45"/>
      <c r="XFD31" s="43">
        <f>SUM(A31:XFC31)</f>
        <v>90000</v>
      </c>
    </row>
    <row r="32" spans="1:7 16384:16384" x14ac:dyDescent="0.25">
      <c r="B32" s="40" t="s">
        <v>123</v>
      </c>
      <c r="C32" s="40" t="s">
        <v>132</v>
      </c>
      <c r="D32" s="42">
        <f>42096+8255*2+14607*2+10372*4+12489</f>
        <v>141797</v>
      </c>
      <c r="E32" s="46">
        <f>D32</f>
        <v>141797</v>
      </c>
    </row>
    <row r="33" spans="1:7" x14ac:dyDescent="0.25">
      <c r="C33" s="40" t="s">
        <v>134</v>
      </c>
      <c r="D33" s="42">
        <v>36378</v>
      </c>
      <c r="E33" s="46">
        <f>D33</f>
        <v>36378</v>
      </c>
    </row>
    <row r="34" spans="1:7" x14ac:dyDescent="0.25">
      <c r="D34" s="42">
        <v>15740</v>
      </c>
      <c r="E34" s="46">
        <f>D34</f>
        <v>15740</v>
      </c>
    </row>
    <row r="35" spans="1:7" x14ac:dyDescent="0.25">
      <c r="D35" s="42">
        <f>30241+2037+1545+1200</f>
        <v>35023</v>
      </c>
      <c r="E35" s="46">
        <f>D35</f>
        <v>35023</v>
      </c>
    </row>
    <row r="36" spans="1:7" x14ac:dyDescent="0.25">
      <c r="C36" s="40" t="s">
        <v>136</v>
      </c>
      <c r="D36" s="42">
        <v>35780</v>
      </c>
      <c r="E36" s="48">
        <f>D36</f>
        <v>35780</v>
      </c>
    </row>
    <row r="37" spans="1:7" x14ac:dyDescent="0.25">
      <c r="E37" s="48"/>
    </row>
    <row r="38" spans="1:7" x14ac:dyDescent="0.25">
      <c r="E38" s="48"/>
    </row>
    <row r="39" spans="1:7" s="43" customFormat="1" x14ac:dyDescent="0.25">
      <c r="D39" s="45">
        <f>SUM(D32:D38)</f>
        <v>264718</v>
      </c>
      <c r="E39" s="45">
        <f>SUM(E32:E38)</f>
        <v>264718</v>
      </c>
      <c r="F39" s="45"/>
      <c r="G39" s="45">
        <f>E26+E39</f>
        <v>294718</v>
      </c>
    </row>
    <row r="40" spans="1:7" s="49" customFormat="1" ht="19.5" x14ac:dyDescent="0.3">
      <c r="B40" s="65" t="s">
        <v>145</v>
      </c>
      <c r="D40" s="50"/>
      <c r="E40" s="50"/>
      <c r="F40" s="50"/>
      <c r="G40" s="50">
        <f>G24+G39</f>
        <v>1930493</v>
      </c>
    </row>
    <row r="41" spans="1:7" x14ac:dyDescent="0.25">
      <c r="A41" s="61">
        <v>3</v>
      </c>
      <c r="B41" s="61" t="s">
        <v>124</v>
      </c>
      <c r="C41" s="61"/>
      <c r="D41" s="62"/>
      <c r="G41" s="42">
        <f>G40+'2023'!K21</f>
        <v>725493</v>
      </c>
    </row>
    <row r="42" spans="1:7" x14ac:dyDescent="0.25">
      <c r="A42" s="61"/>
      <c r="B42" s="63" t="s">
        <v>109</v>
      </c>
      <c r="C42" s="61" t="s">
        <v>125</v>
      </c>
      <c r="D42" s="62">
        <f>92925</f>
        <v>92925</v>
      </c>
    </row>
    <row r="43" spans="1:7" x14ac:dyDescent="0.25">
      <c r="A43" s="61"/>
      <c r="B43" s="61"/>
      <c r="C43" s="61" t="s">
        <v>126</v>
      </c>
      <c r="D43" s="62">
        <v>39825</v>
      </c>
    </row>
    <row r="44" spans="1:7" x14ac:dyDescent="0.25">
      <c r="A44" s="61"/>
      <c r="B44" s="61"/>
      <c r="C44" s="61" t="s">
        <v>127</v>
      </c>
      <c r="D44" s="62">
        <v>292050</v>
      </c>
    </row>
    <row r="45" spans="1:7" x14ac:dyDescent="0.25">
      <c r="A45" s="61"/>
      <c r="B45" s="61"/>
      <c r="C45" s="61"/>
      <c r="D45" s="64">
        <f>SUM(D42:D44)</f>
        <v>424800</v>
      </c>
    </row>
    <row r="46" spans="1:7" x14ac:dyDescent="0.25">
      <c r="A46" s="61"/>
      <c r="B46" s="63" t="s">
        <v>114</v>
      </c>
      <c r="C46" s="61" t="s">
        <v>133</v>
      </c>
      <c r="D46" s="64">
        <v>300000</v>
      </c>
    </row>
    <row r="47" spans="1:7" x14ac:dyDescent="0.25">
      <c r="A47" s="61"/>
      <c r="B47" s="61"/>
      <c r="C47" s="61" t="s">
        <v>161</v>
      </c>
      <c r="D47" s="66">
        <f>+D45+D46-100000</f>
        <v>624800</v>
      </c>
    </row>
    <row r="48" spans="1:7" x14ac:dyDescent="0.25">
      <c r="A48" s="61"/>
      <c r="B48" s="61"/>
      <c r="C48" s="61"/>
      <c r="D48" s="62"/>
    </row>
    <row r="49" spans="1:5" x14ac:dyDescent="0.25">
      <c r="A49" s="61"/>
      <c r="B49" s="61" t="s">
        <v>192</v>
      </c>
      <c r="C49" s="61" t="s">
        <v>146</v>
      </c>
      <c r="D49" s="79">
        <f>'смета работы'!I5</f>
        <v>184589.5894</v>
      </c>
    </row>
    <row r="50" spans="1:5" x14ac:dyDescent="0.25">
      <c r="A50" s="61"/>
      <c r="B50" s="61"/>
      <c r="C50" s="61" t="s">
        <v>147</v>
      </c>
      <c r="D50" s="79">
        <f>'смета работы'!I25+'смета работы'!I45</f>
        <v>114062.97159999999</v>
      </c>
    </row>
    <row r="51" spans="1:5" x14ac:dyDescent="0.25">
      <c r="A51" s="61"/>
      <c r="B51" s="61"/>
      <c r="C51" s="61" t="s">
        <v>148</v>
      </c>
      <c r="D51" s="79">
        <f>'смета работы'!I63</f>
        <v>108938.13600000003</v>
      </c>
    </row>
    <row r="52" spans="1:5" x14ac:dyDescent="0.25">
      <c r="A52" s="61"/>
      <c r="B52" s="61"/>
      <c r="C52" s="61" t="s">
        <v>149</v>
      </c>
      <c r="D52" s="62">
        <v>90000</v>
      </c>
    </row>
    <row r="53" spans="1:5" x14ac:dyDescent="0.25">
      <c r="A53" s="61"/>
      <c r="B53" s="61"/>
      <c r="C53" s="61" t="s">
        <v>150</v>
      </c>
      <c r="D53" s="62">
        <v>120000</v>
      </c>
    </row>
    <row r="54" spans="1:5" x14ac:dyDescent="0.25">
      <c r="A54" s="61"/>
      <c r="B54" s="61"/>
      <c r="C54" s="61" t="s">
        <v>151</v>
      </c>
      <c r="D54" s="62">
        <v>110000</v>
      </c>
    </row>
    <row r="55" spans="1:5" x14ac:dyDescent="0.25">
      <c r="A55" s="61"/>
      <c r="B55" s="61"/>
      <c r="C55" s="61" t="s">
        <v>155</v>
      </c>
      <c r="D55" s="62">
        <v>30000</v>
      </c>
    </row>
    <row r="56" spans="1:5" x14ac:dyDescent="0.25">
      <c r="A56" s="61"/>
      <c r="B56" s="61"/>
      <c r="C56" s="61" t="s">
        <v>159</v>
      </c>
      <c r="D56" s="62">
        <v>500000</v>
      </c>
    </row>
    <row r="57" spans="1:5" x14ac:dyDescent="0.25">
      <c r="A57" s="61"/>
      <c r="B57" s="61"/>
      <c r="C57" s="61" t="s">
        <v>160</v>
      </c>
      <c r="D57" s="62">
        <f>150000+20000*8</f>
        <v>310000</v>
      </c>
    </row>
    <row r="58" spans="1:5" x14ac:dyDescent="0.25">
      <c r="A58" s="61"/>
      <c r="B58" s="61"/>
      <c r="C58" s="61"/>
      <c r="D58" s="66">
        <f>SUM(D49:D57)</f>
        <v>1567590.6970000002</v>
      </c>
      <c r="E58" s="42">
        <f>(D58-190000)/3</f>
        <v>459196.89900000003</v>
      </c>
    </row>
    <row r="60" spans="1:5" x14ac:dyDescent="0.25">
      <c r="B60" s="61" t="s">
        <v>152</v>
      </c>
      <c r="C60" s="61"/>
      <c r="D60" s="67">
        <v>200000</v>
      </c>
      <c r="E60" s="62"/>
    </row>
    <row r="61" spans="1:5" x14ac:dyDescent="0.25">
      <c r="B61" s="61" t="s">
        <v>154</v>
      </c>
      <c r="C61" s="61"/>
      <c r="D61" s="62">
        <v>200000</v>
      </c>
      <c r="E61" s="62"/>
    </row>
    <row r="62" spans="1:5" x14ac:dyDescent="0.25">
      <c r="B62" s="61" t="s">
        <v>153</v>
      </c>
      <c r="C62" s="61"/>
      <c r="D62" s="67">
        <v>200000</v>
      </c>
      <c r="E62" s="62"/>
    </row>
    <row r="63" spans="1:5" x14ac:dyDescent="0.25">
      <c r="B63" s="61" t="s">
        <v>193</v>
      </c>
      <c r="C63" s="61"/>
      <c r="D63" s="62">
        <v>200000</v>
      </c>
      <c r="E63" s="62"/>
    </row>
    <row r="64" spans="1:5" x14ac:dyDescent="0.25">
      <c r="D64" s="64">
        <f>SUM(D60:D63)</f>
        <v>800000</v>
      </c>
      <c r="E64" s="42">
        <f>D64/6</f>
        <v>133333.33333333334</v>
      </c>
    </row>
    <row r="65" spans="2:4" x14ac:dyDescent="0.25">
      <c r="B65" s="61" t="s">
        <v>156</v>
      </c>
      <c r="C65" s="61"/>
      <c r="D65" s="62"/>
    </row>
    <row r="66" spans="2:4" x14ac:dyDescent="0.25">
      <c r="B66" s="61" t="s">
        <v>146</v>
      </c>
      <c r="C66" s="61"/>
      <c r="D66" s="62">
        <v>450000</v>
      </c>
    </row>
    <row r="67" spans="2:4" x14ac:dyDescent="0.25">
      <c r="B67" s="61" t="s">
        <v>157</v>
      </c>
      <c r="C67" s="61"/>
      <c r="D67" s="62">
        <v>70000</v>
      </c>
    </row>
    <row r="68" spans="2:4" x14ac:dyDescent="0.25">
      <c r="B68" s="61"/>
      <c r="C68" s="61"/>
      <c r="D68" s="64">
        <f>SUM(D66:D67)</f>
        <v>520000</v>
      </c>
    </row>
    <row r="69" spans="2:4" x14ac:dyDescent="0.25">
      <c r="B69" s="61"/>
      <c r="C69" s="61"/>
      <c r="D69" s="62"/>
    </row>
    <row r="70" spans="2:4" x14ac:dyDescent="0.25">
      <c r="D70" s="42">
        <f>D47+D58+D64+D68-E31-100000</f>
        <v>3322390.6970000002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141-266A-7E47-B37C-67C9EAF262DE}">
  <dimension ref="A1:F37"/>
  <sheetViews>
    <sheetView workbookViewId="0">
      <selection activeCell="K26" sqref="K26"/>
    </sheetView>
  </sheetViews>
  <sheetFormatPr defaultColWidth="11.42578125" defaultRowHeight="15.75" x14ac:dyDescent="0.25"/>
  <cols>
    <col min="1" max="1" width="11.42578125" customWidth="1"/>
    <col min="2" max="2" width="11" bestFit="1" customWidth="1"/>
    <col min="3" max="3" width="12.28515625" style="55" bestFit="1" customWidth="1"/>
  </cols>
  <sheetData>
    <row r="1" spans="1:6" x14ac:dyDescent="0.25">
      <c r="A1" t="s">
        <v>137</v>
      </c>
      <c r="B1" t="s">
        <v>138</v>
      </c>
      <c r="C1" s="55" t="s">
        <v>139</v>
      </c>
      <c r="D1" t="s">
        <v>140</v>
      </c>
      <c r="E1" t="s">
        <v>141</v>
      </c>
      <c r="F1" t="s">
        <v>142</v>
      </c>
    </row>
    <row r="2" spans="1:6" x14ac:dyDescent="0.25">
      <c r="A2" s="51">
        <v>45322</v>
      </c>
      <c r="B2" s="52">
        <v>350000</v>
      </c>
      <c r="C2" s="54">
        <f>B2+F2+'2023'!M73</f>
        <v>78378</v>
      </c>
      <c r="D2" s="52"/>
      <c r="E2" s="53">
        <v>0.15</v>
      </c>
      <c r="F2" s="52">
        <f>'2024'!B21</f>
        <v>-791000</v>
      </c>
    </row>
    <row r="3" spans="1:6" x14ac:dyDescent="0.25">
      <c r="A3" s="51">
        <v>45351</v>
      </c>
      <c r="B3" s="52">
        <v>350000</v>
      </c>
      <c r="C3" s="54">
        <f>B3+F3+C2</f>
        <v>-62622</v>
      </c>
      <c r="D3" s="52"/>
      <c r="E3" s="53">
        <v>0.15</v>
      </c>
      <c r="F3" s="52">
        <f>'2024'!C21</f>
        <v>-491000</v>
      </c>
    </row>
    <row r="4" spans="1:6" x14ac:dyDescent="0.25">
      <c r="A4" s="51">
        <v>45382</v>
      </c>
      <c r="B4" s="52">
        <f>350000+560000</f>
        <v>910000</v>
      </c>
      <c r="C4" s="54">
        <f t="shared" ref="C4:C11" si="0">B4+F4+C3</f>
        <v>-43622</v>
      </c>
      <c r="D4" s="52"/>
      <c r="E4" s="53">
        <v>0.15</v>
      </c>
      <c r="F4" s="52">
        <f>'2024'!D21</f>
        <v>-891000</v>
      </c>
    </row>
    <row r="5" spans="1:6" x14ac:dyDescent="0.25">
      <c r="A5" s="51">
        <v>45412</v>
      </c>
      <c r="B5" s="52">
        <v>350000</v>
      </c>
      <c r="C5" s="54">
        <f t="shared" si="0"/>
        <v>6378</v>
      </c>
      <c r="D5" s="52"/>
      <c r="E5" s="53">
        <v>0.15</v>
      </c>
      <c r="F5" s="52">
        <f>'2024'!E21</f>
        <v>-300000</v>
      </c>
    </row>
    <row r="6" spans="1:6" x14ac:dyDescent="0.25">
      <c r="A6" s="51">
        <v>45443</v>
      </c>
      <c r="B6" s="52">
        <f>350000+200000</f>
        <v>550000</v>
      </c>
      <c r="C6" s="54">
        <f t="shared" si="0"/>
        <v>-68422</v>
      </c>
      <c r="D6" s="52"/>
      <c r="E6" s="53">
        <v>0.15</v>
      </c>
      <c r="F6" s="52">
        <f>'2024'!F21</f>
        <v>-624800</v>
      </c>
    </row>
    <row r="7" spans="1:6" x14ac:dyDescent="0.25">
      <c r="A7" s="51">
        <v>45473</v>
      </c>
      <c r="B7" s="52">
        <v>350000</v>
      </c>
      <c r="C7" s="54">
        <f t="shared" si="0"/>
        <v>-118422</v>
      </c>
      <c r="D7" s="52"/>
      <c r="E7" s="53">
        <v>0.15</v>
      </c>
      <c r="F7" s="52">
        <f>'2024'!G21</f>
        <v>-400000</v>
      </c>
    </row>
    <row r="8" spans="1:6" x14ac:dyDescent="0.25">
      <c r="A8" s="51">
        <v>45504</v>
      </c>
      <c r="B8" s="52">
        <v>350000</v>
      </c>
      <c r="C8" s="54">
        <f t="shared" si="0"/>
        <v>31578</v>
      </c>
      <c r="D8" s="52"/>
      <c r="E8" s="53">
        <v>0.15</v>
      </c>
      <c r="F8" s="52">
        <f>'2024'!H21</f>
        <v>-200000</v>
      </c>
    </row>
    <row r="9" spans="1:6" x14ac:dyDescent="0.25">
      <c r="A9" s="51">
        <v>45535</v>
      </c>
      <c r="B9" s="52">
        <v>350000</v>
      </c>
      <c r="C9" s="54">
        <f t="shared" si="0"/>
        <v>-218422</v>
      </c>
      <c r="D9" s="52"/>
      <c r="E9" s="53">
        <v>0.15</v>
      </c>
      <c r="F9" s="52">
        <f>'2024'!I20</f>
        <v>-600000</v>
      </c>
    </row>
    <row r="10" spans="1:6" x14ac:dyDescent="0.25">
      <c r="A10" s="51">
        <v>45565</v>
      </c>
      <c r="B10" s="52">
        <f>350000+400000</f>
        <v>750000</v>
      </c>
      <c r="C10" s="54">
        <f t="shared" si="0"/>
        <v>131578</v>
      </c>
      <c r="D10" s="52"/>
      <c r="E10" s="53">
        <v>0.15</v>
      </c>
      <c r="F10" s="52">
        <f>'2024'!J20</f>
        <v>-400000</v>
      </c>
    </row>
    <row r="11" spans="1:6" x14ac:dyDescent="0.25">
      <c r="A11" s="51">
        <v>45596</v>
      </c>
      <c r="B11" s="52">
        <v>350000</v>
      </c>
      <c r="C11" s="54">
        <f t="shared" si="0"/>
        <v>-38422</v>
      </c>
      <c r="D11" s="52"/>
      <c r="E11" s="53">
        <v>0.15</v>
      </c>
      <c r="F11" s="52">
        <f>'2024'!K21</f>
        <v>-520000</v>
      </c>
    </row>
    <row r="12" spans="1:6" x14ac:dyDescent="0.25">
      <c r="A12" s="51">
        <v>45626</v>
      </c>
      <c r="B12" s="52">
        <v>350000</v>
      </c>
      <c r="C12" s="54">
        <f>C11+B12+D11</f>
        <v>311578</v>
      </c>
      <c r="D12" s="52">
        <f t="shared" ref="D12:D30" si="1">C12*E12/366*(A12-A11)</f>
        <v>3830.8770491803275</v>
      </c>
      <c r="E12" s="53">
        <v>0.15</v>
      </c>
      <c r="F12" s="52"/>
    </row>
    <row r="13" spans="1:6" s="60" customFormat="1" x14ac:dyDescent="0.25">
      <c r="A13" s="56">
        <v>45657</v>
      </c>
      <c r="B13" s="57">
        <v>350000</v>
      </c>
      <c r="C13" s="58">
        <f>C12+B13+D12</f>
        <v>665408.87704918033</v>
      </c>
      <c r="D13" s="57">
        <f>C13*E13/366*(A13-A12)</f>
        <v>8453.9652411986026</v>
      </c>
      <c r="E13" s="59">
        <v>0.15</v>
      </c>
      <c r="F13" s="57"/>
    </row>
    <row r="14" spans="1:6" x14ac:dyDescent="0.25">
      <c r="A14" s="51">
        <v>45688</v>
      </c>
      <c r="B14" s="52">
        <v>350000</v>
      </c>
      <c r="C14" s="54">
        <f t="shared" ref="C14:C30" si="2">C13+B14+D13</f>
        <v>1023862.8422903789</v>
      </c>
      <c r="D14" s="52">
        <f t="shared" si="1"/>
        <v>8672.0623254103139</v>
      </c>
      <c r="E14" s="53">
        <v>0.1</v>
      </c>
      <c r="F14" s="52"/>
    </row>
    <row r="15" spans="1:6" x14ac:dyDescent="0.25">
      <c r="A15" s="51">
        <v>45716</v>
      </c>
      <c r="B15" s="52">
        <v>350000</v>
      </c>
      <c r="C15" s="54">
        <f t="shared" si="2"/>
        <v>1382534.9046157892</v>
      </c>
      <c r="D15" s="52">
        <f t="shared" si="1"/>
        <v>10576.769762088004</v>
      </c>
      <c r="E15" s="53">
        <v>0.1</v>
      </c>
      <c r="F15" s="52"/>
    </row>
    <row r="16" spans="1:6" x14ac:dyDescent="0.25">
      <c r="A16" s="51">
        <v>45747</v>
      </c>
      <c r="B16" s="52">
        <v>350000</v>
      </c>
      <c r="C16" s="54">
        <f t="shared" si="2"/>
        <v>1743111.6743778773</v>
      </c>
      <c r="D16" s="52">
        <f t="shared" si="1"/>
        <v>14764.060629976559</v>
      </c>
      <c r="E16" s="53">
        <v>0.1</v>
      </c>
      <c r="F16" s="52"/>
    </row>
    <row r="17" spans="1:6" x14ac:dyDescent="0.25">
      <c r="A17" s="51">
        <v>45777</v>
      </c>
      <c r="B17" s="52">
        <v>350000</v>
      </c>
      <c r="C17" s="54">
        <f t="shared" si="2"/>
        <v>2107875.7350078537</v>
      </c>
      <c r="D17" s="52">
        <f t="shared" si="1"/>
        <v>17277.669959080769</v>
      </c>
      <c r="E17" s="53">
        <v>0.1</v>
      </c>
      <c r="F17" s="52"/>
    </row>
    <row r="18" spans="1:6" x14ac:dyDescent="0.25">
      <c r="A18" s="51">
        <v>45808</v>
      </c>
      <c r="B18" s="52">
        <v>350000</v>
      </c>
      <c r="C18" s="54">
        <f t="shared" si="2"/>
        <v>2475153.4049669346</v>
      </c>
      <c r="D18" s="52">
        <f t="shared" si="1"/>
        <v>20964.414085785513</v>
      </c>
      <c r="E18" s="53">
        <v>0.1</v>
      </c>
      <c r="F18" s="52"/>
    </row>
    <row r="19" spans="1:6" x14ac:dyDescent="0.25">
      <c r="A19" s="51">
        <v>45838</v>
      </c>
      <c r="B19" s="52">
        <v>350000</v>
      </c>
      <c r="C19" s="54">
        <f t="shared" si="2"/>
        <v>2846117.81905272</v>
      </c>
      <c r="D19" s="52">
        <f t="shared" si="1"/>
        <v>23328.83458239934</v>
      </c>
      <c r="E19" s="53">
        <v>0.1</v>
      </c>
      <c r="F19" s="52"/>
    </row>
    <row r="20" spans="1:6" x14ac:dyDescent="0.25">
      <c r="A20" s="51">
        <v>45869</v>
      </c>
      <c r="B20" s="52">
        <v>350000</v>
      </c>
      <c r="C20" s="54">
        <f t="shared" si="2"/>
        <v>3219446.6536351191</v>
      </c>
      <c r="D20" s="52">
        <f t="shared" si="1"/>
        <v>27268.537230242815</v>
      </c>
      <c r="E20" s="53">
        <v>0.1</v>
      </c>
      <c r="F20" s="52"/>
    </row>
    <row r="21" spans="1:6" x14ac:dyDescent="0.25">
      <c r="A21" s="51">
        <v>45900</v>
      </c>
      <c r="B21" s="52">
        <v>350000</v>
      </c>
      <c r="C21" s="54">
        <f t="shared" si="2"/>
        <v>3596715.1908653621</v>
      </c>
      <c r="D21" s="52">
        <f t="shared" si="1"/>
        <v>30463.981124815913</v>
      </c>
      <c r="E21" s="53">
        <v>0.1</v>
      </c>
      <c r="F21" s="52"/>
    </row>
    <row r="22" spans="1:6" x14ac:dyDescent="0.25">
      <c r="A22" s="51">
        <v>45930</v>
      </c>
      <c r="B22" s="52">
        <f>350000+400000</f>
        <v>750000</v>
      </c>
      <c r="C22" s="54">
        <f t="shared" si="2"/>
        <v>4377179.1719901776</v>
      </c>
      <c r="D22" s="52">
        <f t="shared" si="1"/>
        <v>35878.517803198178</v>
      </c>
      <c r="E22" s="53">
        <v>0.1</v>
      </c>
      <c r="F22" s="52"/>
    </row>
    <row r="23" spans="1:6" x14ac:dyDescent="0.25">
      <c r="A23" s="51">
        <v>45961</v>
      </c>
      <c r="B23" s="52">
        <v>350000</v>
      </c>
      <c r="C23" s="54">
        <f t="shared" si="2"/>
        <v>4763057.6897933753</v>
      </c>
      <c r="D23" s="52">
        <f t="shared" si="1"/>
        <v>40342.838356173394</v>
      </c>
      <c r="E23" s="53">
        <v>0.1</v>
      </c>
      <c r="F23" s="52"/>
    </row>
    <row r="24" spans="1:6" x14ac:dyDescent="0.25">
      <c r="A24" s="51">
        <v>45991</v>
      </c>
      <c r="B24" s="52">
        <v>350000</v>
      </c>
      <c r="C24" s="54">
        <f t="shared" si="2"/>
        <v>5153400.5281495489</v>
      </c>
      <c r="D24" s="52">
        <f t="shared" si="1"/>
        <v>42240.98793565204</v>
      </c>
      <c r="E24" s="53">
        <v>0.1</v>
      </c>
      <c r="F24" s="52"/>
    </row>
    <row r="25" spans="1:6" s="60" customFormat="1" x14ac:dyDescent="0.25">
      <c r="A25" s="56">
        <v>46022</v>
      </c>
      <c r="B25" s="57">
        <v>350000</v>
      </c>
      <c r="C25" s="58">
        <f t="shared" si="2"/>
        <v>5545641.5160852009</v>
      </c>
      <c r="D25" s="57">
        <f t="shared" si="1"/>
        <v>46971.280600721642</v>
      </c>
      <c r="E25" s="59">
        <v>0.1</v>
      </c>
      <c r="F25" s="57"/>
    </row>
    <row r="26" spans="1:6" x14ac:dyDescent="0.25">
      <c r="A26" s="51">
        <v>46053</v>
      </c>
      <c r="B26" s="52">
        <v>350000</v>
      </c>
      <c r="C26" s="54">
        <f t="shared" si="2"/>
        <v>5942612.7966859229</v>
      </c>
      <c r="D26" s="52">
        <f t="shared" si="1"/>
        <v>50333.605654990053</v>
      </c>
      <c r="E26" s="53">
        <v>0.1</v>
      </c>
      <c r="F26" s="52"/>
    </row>
    <row r="27" spans="1:6" x14ac:dyDescent="0.25">
      <c r="A27" s="51">
        <v>46081</v>
      </c>
      <c r="B27" s="52">
        <v>350000</v>
      </c>
      <c r="C27" s="54">
        <f t="shared" si="2"/>
        <v>6342946.4023409132</v>
      </c>
      <c r="D27" s="52">
        <f t="shared" si="1"/>
        <v>48525.273023373113</v>
      </c>
      <c r="E27" s="53">
        <v>0.1</v>
      </c>
      <c r="F27" s="52"/>
    </row>
    <row r="28" spans="1:6" x14ac:dyDescent="0.25">
      <c r="A28" s="51">
        <v>46112</v>
      </c>
      <c r="B28" s="52">
        <v>350000</v>
      </c>
      <c r="C28" s="54">
        <f t="shared" si="2"/>
        <v>6741471.6753642866</v>
      </c>
      <c r="D28" s="52">
        <f t="shared" si="1"/>
        <v>57099.896703905164</v>
      </c>
      <c r="E28" s="53">
        <v>0.1</v>
      </c>
      <c r="F28" s="52"/>
    </row>
    <row r="29" spans="1:6" x14ac:dyDescent="0.25">
      <c r="A29" s="51">
        <v>46142</v>
      </c>
      <c r="B29" s="52">
        <v>350000</v>
      </c>
      <c r="C29" s="54">
        <f t="shared" si="2"/>
        <v>7148571.5720681921</v>
      </c>
      <c r="D29" s="52">
        <f t="shared" si="1"/>
        <v>58594.848951378626</v>
      </c>
      <c r="E29" s="53">
        <v>0.1</v>
      </c>
      <c r="F29" s="52"/>
    </row>
    <row r="30" spans="1:6" x14ac:dyDescent="0.25">
      <c r="A30" s="51">
        <v>46173</v>
      </c>
      <c r="B30" s="52">
        <v>350000</v>
      </c>
      <c r="C30" s="54">
        <f t="shared" si="2"/>
        <v>7557166.4210195709</v>
      </c>
      <c r="D30" s="52">
        <f t="shared" si="1"/>
        <v>64008.786626122048</v>
      </c>
      <c r="E30" s="53">
        <v>0.1</v>
      </c>
      <c r="F30" s="52"/>
    </row>
    <row r="31" spans="1:6" x14ac:dyDescent="0.25">
      <c r="A31" s="51">
        <v>46203</v>
      </c>
      <c r="B31" s="52">
        <v>350000</v>
      </c>
      <c r="C31" s="54">
        <f t="shared" ref="C31:C37" si="3">C30+B31+D30</f>
        <v>7971175.2076456929</v>
      </c>
      <c r="D31" s="52">
        <f t="shared" ref="D31:D37" si="4">C31*E31/366*(A31-A30)</f>
        <v>65337.501702013877</v>
      </c>
      <c r="E31" s="53">
        <v>0.1</v>
      </c>
    </row>
    <row r="32" spans="1:6" x14ac:dyDescent="0.25">
      <c r="A32" s="51">
        <v>46234</v>
      </c>
      <c r="B32" s="52">
        <v>350000</v>
      </c>
      <c r="C32" s="54">
        <f t="shared" si="3"/>
        <v>8386512.7093477063</v>
      </c>
      <c r="D32" s="52">
        <f t="shared" si="4"/>
        <v>71033.304368792044</v>
      </c>
      <c r="E32" s="53">
        <v>0.1</v>
      </c>
    </row>
    <row r="33" spans="1:5" x14ac:dyDescent="0.25">
      <c r="A33" s="51">
        <v>46265</v>
      </c>
      <c r="B33" s="52">
        <v>350000</v>
      </c>
      <c r="C33" s="54">
        <f t="shared" si="3"/>
        <v>8807546.0137164984</v>
      </c>
      <c r="D33" s="52">
        <f t="shared" si="4"/>
        <v>74599.433449511329</v>
      </c>
      <c r="E33" s="53">
        <v>0.1</v>
      </c>
    </row>
    <row r="34" spans="1:5" x14ac:dyDescent="0.25">
      <c r="A34" s="51">
        <v>46295</v>
      </c>
      <c r="B34" s="52">
        <f>350000+400000</f>
        <v>750000</v>
      </c>
      <c r="C34" s="54">
        <f t="shared" si="3"/>
        <v>9632145.4471660089</v>
      </c>
      <c r="D34" s="52">
        <f t="shared" si="4"/>
        <v>78952.011862016472</v>
      </c>
      <c r="E34" s="53">
        <v>0.1</v>
      </c>
    </row>
    <row r="35" spans="1:5" x14ac:dyDescent="0.25">
      <c r="A35" s="51">
        <v>46326</v>
      </c>
      <c r="B35" s="52">
        <v>350000</v>
      </c>
      <c r="C35" s="54">
        <f t="shared" si="3"/>
        <v>10061097.459028026</v>
      </c>
      <c r="D35" s="52">
        <f t="shared" si="4"/>
        <v>85216.945691220986</v>
      </c>
      <c r="E35" s="53">
        <v>0.1</v>
      </c>
    </row>
    <row r="36" spans="1:5" x14ac:dyDescent="0.25">
      <c r="A36" s="51">
        <v>46356</v>
      </c>
      <c r="B36" s="52">
        <v>350000</v>
      </c>
      <c r="C36" s="54">
        <f t="shared" si="3"/>
        <v>10496314.404719247</v>
      </c>
      <c r="D36" s="52">
        <f t="shared" si="4"/>
        <v>86035.363973108586</v>
      </c>
      <c r="E36" s="53">
        <v>0.1</v>
      </c>
    </row>
    <row r="37" spans="1:5" s="60" customFormat="1" x14ac:dyDescent="0.25">
      <c r="A37" s="56">
        <v>46387</v>
      </c>
      <c r="B37" s="57">
        <v>350000</v>
      </c>
      <c r="C37" s="58">
        <f t="shared" si="3"/>
        <v>10932349.768692356</v>
      </c>
      <c r="D37" s="57">
        <f t="shared" si="4"/>
        <v>92596.405144662014</v>
      </c>
      <c r="E37" s="59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13FB-A3B7-41F9-9662-5DE25D230A45}">
  <sheetPr>
    <pageSetUpPr fitToPage="1"/>
  </sheetPr>
  <dimension ref="A1:AD93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L6" sqref="L6"/>
    </sheetView>
  </sheetViews>
  <sheetFormatPr defaultColWidth="9.140625" defaultRowHeight="12.75" x14ac:dyDescent="0.2"/>
  <cols>
    <col min="1" max="1" width="29.140625" style="1" customWidth="1"/>
    <col min="2" max="4" width="9.140625" style="1" customWidth="1"/>
    <col min="5" max="5" width="9.28515625" style="1" bestFit="1" customWidth="1"/>
    <col min="6" max="6" width="11" style="1" bestFit="1" customWidth="1"/>
    <col min="7" max="7" width="10.7109375" style="1" bestFit="1" customWidth="1"/>
    <col min="8" max="8" width="10.7109375" style="2" bestFit="1" customWidth="1"/>
    <col min="9" max="10" width="10.7109375" style="3" bestFit="1" customWidth="1"/>
    <col min="11" max="11" width="9.28515625" style="1" bestFit="1" customWidth="1"/>
    <col min="12" max="12" width="11.28515625" style="2" bestFit="1" customWidth="1"/>
    <col min="13" max="14" width="9.140625" style="1"/>
    <col min="15" max="15" width="9.140625" style="2"/>
    <col min="16" max="16" width="9.140625" style="4"/>
    <col min="17" max="16384" width="9.140625" style="1"/>
  </cols>
  <sheetData>
    <row r="1" spans="1:30" s="2" customFormat="1" x14ac:dyDescent="0.2">
      <c r="A1" s="2" t="s">
        <v>0</v>
      </c>
      <c r="B1" s="2" t="s">
        <v>49</v>
      </c>
      <c r="C1" s="9">
        <v>44652</v>
      </c>
      <c r="D1" s="9">
        <v>44682</v>
      </c>
      <c r="E1" s="9">
        <v>44713</v>
      </c>
      <c r="F1" s="9">
        <v>44743</v>
      </c>
      <c r="G1" s="9">
        <v>44774</v>
      </c>
      <c r="H1" s="9">
        <v>44805</v>
      </c>
      <c r="I1" s="9">
        <v>44835</v>
      </c>
      <c r="J1" s="9">
        <v>44866</v>
      </c>
      <c r="K1" s="9">
        <v>44896</v>
      </c>
      <c r="P1" s="4"/>
    </row>
    <row r="2" spans="1:30" x14ac:dyDescent="0.2">
      <c r="A2" s="7" t="s">
        <v>3</v>
      </c>
      <c r="B2" s="5"/>
      <c r="C2" s="5">
        <v>200000</v>
      </c>
      <c r="D2" s="5">
        <v>200000</v>
      </c>
      <c r="E2" s="5">
        <v>200000</v>
      </c>
      <c r="F2" s="5">
        <v>200000</v>
      </c>
      <c r="G2" s="5">
        <f>200000+350000</f>
        <v>550000</v>
      </c>
      <c r="H2" s="5">
        <v>200000</v>
      </c>
      <c r="I2" s="5">
        <v>200000</v>
      </c>
      <c r="J2" s="5">
        <v>200000</v>
      </c>
      <c r="K2" s="5">
        <f>200000+69000-13000</f>
        <v>256000</v>
      </c>
      <c r="L2" s="10"/>
      <c r="M2" s="5"/>
      <c r="N2" s="5"/>
      <c r="O2" s="10"/>
      <c r="P2" s="11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x14ac:dyDescent="0.2">
      <c r="A3" s="7" t="s">
        <v>4</v>
      </c>
      <c r="B3" s="5"/>
      <c r="C3" s="5">
        <v>125000</v>
      </c>
      <c r="D3" s="5">
        <v>125000</v>
      </c>
      <c r="E3" s="5">
        <v>125000</v>
      </c>
      <c r="F3" s="5">
        <v>125000</v>
      </c>
      <c r="G3" s="5">
        <v>125000</v>
      </c>
      <c r="H3" s="5">
        <v>125000</v>
      </c>
      <c r="I3" s="5">
        <v>125000</v>
      </c>
      <c r="J3" s="5">
        <v>125000</v>
      </c>
      <c r="K3" s="5">
        <v>125000</v>
      </c>
      <c r="L3" s="10"/>
      <c r="M3" s="5"/>
      <c r="N3" s="5"/>
      <c r="O3" s="10"/>
      <c r="P3" s="11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x14ac:dyDescent="0.2">
      <c r="A4" s="7" t="s">
        <v>1</v>
      </c>
      <c r="B4" s="5"/>
      <c r="C4" s="5"/>
      <c r="D4" s="5"/>
      <c r="E4" s="5"/>
      <c r="F4" s="5"/>
      <c r="G4" s="5"/>
      <c r="H4" s="5"/>
      <c r="I4" s="5"/>
      <c r="J4" s="5"/>
      <c r="K4" s="5"/>
      <c r="L4" s="10"/>
      <c r="M4" s="5"/>
      <c r="N4" s="5"/>
      <c r="O4" s="10"/>
      <c r="P4" s="11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s="2" customFormat="1" x14ac:dyDescent="0.2">
      <c r="A5" s="9" t="s">
        <v>34</v>
      </c>
      <c r="B5" s="10"/>
      <c r="C5" s="10">
        <f>SUM(C2:C4)</f>
        <v>325000</v>
      </c>
      <c r="D5" s="10">
        <f>SUM(D2:D4)</f>
        <v>325000</v>
      </c>
      <c r="E5" s="10">
        <f>SUM(E2:E4)</f>
        <v>325000</v>
      </c>
      <c r="F5" s="10">
        <f t="shared" ref="F5:K5" si="0">SUM(F2:F4)</f>
        <v>325000</v>
      </c>
      <c r="G5" s="10">
        <f t="shared" si="0"/>
        <v>675000</v>
      </c>
      <c r="H5" s="10">
        <f t="shared" si="0"/>
        <v>325000</v>
      </c>
      <c r="I5" s="10">
        <f t="shared" si="0"/>
        <v>325000</v>
      </c>
      <c r="J5" s="10">
        <f t="shared" si="0"/>
        <v>325000</v>
      </c>
      <c r="K5" s="10">
        <f t="shared" si="0"/>
        <v>381000</v>
      </c>
      <c r="L5" s="10"/>
      <c r="M5" s="10"/>
      <c r="N5" s="10"/>
      <c r="O5" s="10"/>
      <c r="P5" s="11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x14ac:dyDescent="0.2">
      <c r="A6" s="7" t="s">
        <v>11</v>
      </c>
      <c r="B6" s="5"/>
      <c r="C6" s="5">
        <f>-2000*30</f>
        <v>-60000</v>
      </c>
      <c r="D6" s="5">
        <f>-2000*30</f>
        <v>-60000</v>
      </c>
      <c r="E6" s="5">
        <f>-2000*30</f>
        <v>-60000</v>
      </c>
      <c r="F6" s="5">
        <f>-2000*30</f>
        <v>-60000</v>
      </c>
      <c r="G6" s="5">
        <f>-2000*30</f>
        <v>-60000</v>
      </c>
      <c r="H6" s="5">
        <f>-1700*30</f>
        <v>-51000</v>
      </c>
      <c r="I6" s="5">
        <f>-1700*30</f>
        <v>-51000</v>
      </c>
      <c r="J6" s="5">
        <f>-1700*30</f>
        <v>-51000</v>
      </c>
      <c r="K6" s="5">
        <f>-1700*30</f>
        <v>-51000</v>
      </c>
      <c r="L6" s="10"/>
      <c r="M6" s="5"/>
      <c r="N6" s="5"/>
      <c r="O6" s="10"/>
      <c r="P6" s="11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2">
      <c r="A7" s="7" t="s">
        <v>43</v>
      </c>
      <c r="B7" s="5"/>
      <c r="C7" s="5">
        <v>-10000</v>
      </c>
      <c r="D7" s="5">
        <v>-10000</v>
      </c>
      <c r="E7" s="5">
        <v>-10000</v>
      </c>
      <c r="F7" s="5">
        <v>-10000</v>
      </c>
      <c r="G7" s="5">
        <v>-10000</v>
      </c>
      <c r="H7" s="5">
        <v>-10000</v>
      </c>
      <c r="I7" s="5">
        <v>-10000</v>
      </c>
      <c r="J7" s="5">
        <v>-8000</v>
      </c>
      <c r="K7" s="5">
        <v>-5000</v>
      </c>
      <c r="L7" s="10"/>
      <c r="M7" s="5"/>
      <c r="N7" s="5"/>
      <c r="O7" s="10"/>
      <c r="P7" s="11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2">
      <c r="A8" s="7" t="s">
        <v>24</v>
      </c>
      <c r="B8" s="5"/>
      <c r="C8" s="5">
        <f>-1100-1500-800</f>
        <v>-3400</v>
      </c>
      <c r="D8" s="5">
        <f t="shared" ref="D8:K8" si="1">-1100-1500-800</f>
        <v>-3400</v>
      </c>
      <c r="E8" s="5">
        <f t="shared" si="1"/>
        <v>-3400</v>
      </c>
      <c r="F8" s="5">
        <f t="shared" si="1"/>
        <v>-3400</v>
      </c>
      <c r="G8" s="5">
        <f t="shared" si="1"/>
        <v>-3400</v>
      </c>
      <c r="H8" s="5">
        <f t="shared" si="1"/>
        <v>-3400</v>
      </c>
      <c r="I8" s="5">
        <f t="shared" si="1"/>
        <v>-3400</v>
      </c>
      <c r="J8" s="5">
        <f t="shared" si="1"/>
        <v>-3400</v>
      </c>
      <c r="K8" s="5">
        <f t="shared" si="1"/>
        <v>-3400</v>
      </c>
      <c r="L8" s="10"/>
      <c r="M8" s="5"/>
      <c r="N8" s="5"/>
      <c r="O8" s="10"/>
      <c r="P8" s="11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x14ac:dyDescent="0.2">
      <c r="A9" s="7" t="s">
        <v>32</v>
      </c>
      <c r="B9" s="5"/>
      <c r="C9" s="5">
        <v>-5000</v>
      </c>
      <c r="D9" s="5">
        <v>-5000</v>
      </c>
      <c r="E9" s="5">
        <v>-5000</v>
      </c>
      <c r="F9" s="5">
        <v>-5000</v>
      </c>
      <c r="G9" s="5">
        <v>-5000</v>
      </c>
      <c r="H9" s="5">
        <v>-5000</v>
      </c>
      <c r="I9" s="5">
        <v>-5000</v>
      </c>
      <c r="J9" s="5">
        <v>-5000</v>
      </c>
      <c r="K9" s="5">
        <f>-10000-18000-22000</f>
        <v>-50000</v>
      </c>
      <c r="L9" s="10"/>
      <c r="M9" s="5"/>
      <c r="N9" s="5"/>
      <c r="O9" s="10"/>
      <c r="P9" s="11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2">
      <c r="A10" s="7" t="s">
        <v>12</v>
      </c>
      <c r="B10" s="5"/>
      <c r="C10" s="5">
        <f>-200*21</f>
        <v>-4200</v>
      </c>
      <c r="D10" s="5">
        <f t="shared" ref="D10:K10" si="2">-200*21</f>
        <v>-4200</v>
      </c>
      <c r="E10" s="5">
        <f t="shared" si="2"/>
        <v>-4200</v>
      </c>
      <c r="F10" s="5">
        <f t="shared" si="2"/>
        <v>-4200</v>
      </c>
      <c r="G10" s="5">
        <f t="shared" si="2"/>
        <v>-4200</v>
      </c>
      <c r="H10" s="5">
        <f t="shared" si="2"/>
        <v>-4200</v>
      </c>
      <c r="I10" s="5">
        <f t="shared" si="2"/>
        <v>-4200</v>
      </c>
      <c r="J10" s="5">
        <f t="shared" si="2"/>
        <v>-4200</v>
      </c>
      <c r="K10" s="5">
        <f t="shared" si="2"/>
        <v>-4200</v>
      </c>
      <c r="L10" s="10"/>
      <c r="M10" s="5"/>
      <c r="N10" s="5"/>
      <c r="O10" s="10"/>
      <c r="P10" s="11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2">
      <c r="A11" s="7" t="s">
        <v>18</v>
      </c>
      <c r="B11" s="5"/>
      <c r="C11" s="5">
        <v>-10000</v>
      </c>
      <c r="D11" s="5">
        <v>-10000</v>
      </c>
      <c r="E11" s="5">
        <v>-10000</v>
      </c>
      <c r="F11" s="5">
        <v>-10000</v>
      </c>
      <c r="G11" s="5">
        <v>-10000</v>
      </c>
      <c r="H11" s="5">
        <v>-10000</v>
      </c>
      <c r="I11" s="5">
        <v>-10000</v>
      </c>
      <c r="J11" s="5">
        <v>-10000</v>
      </c>
      <c r="K11" s="5">
        <v>-10000</v>
      </c>
      <c r="L11" s="10"/>
      <c r="M11" s="5"/>
      <c r="N11" s="5"/>
      <c r="O11" s="10"/>
      <c r="P11" s="11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2">
      <c r="A12" s="7" t="s">
        <v>33</v>
      </c>
      <c r="B12" s="5"/>
      <c r="C12" s="5">
        <v>-3000</v>
      </c>
      <c r="D12" s="5">
        <v>-3000</v>
      </c>
      <c r="E12" s="5">
        <v>-3000</v>
      </c>
      <c r="F12" s="5">
        <v>-3000</v>
      </c>
      <c r="G12" s="5">
        <v>-3000</v>
      </c>
      <c r="H12" s="5">
        <v>-3000</v>
      </c>
      <c r="I12" s="5">
        <v>-3000</v>
      </c>
      <c r="J12" s="5">
        <v>-3000</v>
      </c>
      <c r="K12" s="5">
        <v>-10000</v>
      </c>
      <c r="L12" s="10"/>
      <c r="M12" s="5"/>
      <c r="N12" s="5"/>
      <c r="O12" s="10"/>
      <c r="P12" s="11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2">
      <c r="A13" s="7" t="s">
        <v>91</v>
      </c>
      <c r="B13" s="5"/>
      <c r="C13" s="5">
        <v>-7000</v>
      </c>
      <c r="D13" s="5">
        <v>-6000</v>
      </c>
      <c r="E13" s="12">
        <v>-6000</v>
      </c>
      <c r="F13" s="5">
        <v>-6000</v>
      </c>
      <c r="G13" s="5">
        <v>-6000</v>
      </c>
      <c r="H13" s="5">
        <v>-6000</v>
      </c>
      <c r="I13" s="5">
        <v>-7000</v>
      </c>
      <c r="J13" s="5">
        <v>-7000</v>
      </c>
      <c r="K13" s="5">
        <v>-7000</v>
      </c>
      <c r="L13" s="10"/>
      <c r="M13" s="5"/>
      <c r="N13" s="5"/>
      <c r="O13" s="10"/>
      <c r="P13" s="11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2">
      <c r="A14" s="7" t="s">
        <v>90</v>
      </c>
      <c r="B14" s="5"/>
      <c r="C14" s="5"/>
      <c r="D14" s="5"/>
      <c r="E14" s="12"/>
      <c r="F14" s="5"/>
      <c r="G14" s="5"/>
      <c r="H14" s="5">
        <v>-6000</v>
      </c>
      <c r="I14" s="5">
        <v>-6000</v>
      </c>
      <c r="J14" s="5">
        <v>-15000</v>
      </c>
      <c r="K14" s="5">
        <v>-9000</v>
      </c>
      <c r="L14" s="10"/>
      <c r="M14" s="5"/>
      <c r="N14" s="5"/>
      <c r="O14" s="10"/>
      <c r="P14" s="11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2">
      <c r="A15" s="7" t="s">
        <v>5</v>
      </c>
      <c r="B15" s="5"/>
      <c r="C15" s="5">
        <v>-8000</v>
      </c>
      <c r="D15" s="5">
        <v>-3000</v>
      </c>
      <c r="E15" s="5">
        <v>-3000</v>
      </c>
      <c r="F15" s="5">
        <v>-3000</v>
      </c>
      <c r="G15" s="5">
        <v>-3000</v>
      </c>
      <c r="H15" s="5">
        <v>-3000</v>
      </c>
      <c r="I15" s="5">
        <v>-6000</v>
      </c>
      <c r="J15" s="5">
        <v>-6000</v>
      </c>
      <c r="K15" s="5">
        <v>-6000</v>
      </c>
      <c r="L15" s="10"/>
      <c r="M15" s="5"/>
      <c r="N15" s="5"/>
      <c r="O15" s="10"/>
      <c r="P15" s="11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s="17" customFormat="1" hidden="1" x14ac:dyDescent="0.2">
      <c r="A16" s="13" t="s">
        <v>30</v>
      </c>
      <c r="B16" s="14"/>
      <c r="C16" s="14">
        <v>-10000</v>
      </c>
      <c r="D16" s="14">
        <v>-10000</v>
      </c>
      <c r="E16" s="14"/>
      <c r="F16" s="14"/>
      <c r="G16" s="14"/>
      <c r="H16" s="14"/>
      <c r="I16" s="14"/>
      <c r="J16" s="14"/>
      <c r="K16" s="14"/>
      <c r="L16" s="15"/>
      <c r="M16" s="14"/>
      <c r="N16" s="14"/>
      <c r="O16" s="15"/>
      <c r="P16" s="16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x14ac:dyDescent="0.2">
      <c r="A17" s="7" t="s">
        <v>93</v>
      </c>
      <c r="B17" s="5"/>
      <c r="C17" s="5"/>
      <c r="D17" s="5"/>
      <c r="E17" s="5"/>
      <c r="F17" s="5"/>
      <c r="G17" s="5"/>
      <c r="H17" s="5">
        <v>-6500</v>
      </c>
      <c r="I17" s="5">
        <v>-3000</v>
      </c>
      <c r="J17" s="5">
        <v>-3000</v>
      </c>
      <c r="K17" s="5">
        <v>-3000</v>
      </c>
      <c r="L17" s="10"/>
      <c r="M17" s="5"/>
      <c r="N17" s="5"/>
      <c r="O17" s="10"/>
      <c r="P17" s="11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x14ac:dyDescent="0.2">
      <c r="A18" s="7" t="s">
        <v>42</v>
      </c>
      <c r="B18" s="5"/>
      <c r="C18" s="5">
        <v>-2000</v>
      </c>
      <c r="D18" s="5">
        <v>-2000</v>
      </c>
      <c r="E18" s="5">
        <v>-2000</v>
      </c>
      <c r="F18" s="5">
        <v>-2000</v>
      </c>
      <c r="G18" s="5">
        <v>-2000</v>
      </c>
      <c r="H18" s="5">
        <v>-2000</v>
      </c>
      <c r="I18" s="5">
        <v>-2000</v>
      </c>
      <c r="J18" s="5">
        <v>-2000</v>
      </c>
      <c r="K18" s="5">
        <v>-2000</v>
      </c>
      <c r="L18" s="10"/>
      <c r="M18" s="5"/>
      <c r="N18" s="5"/>
      <c r="O18" s="10"/>
      <c r="P18" s="11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x14ac:dyDescent="0.2">
      <c r="A19" s="7" t="s">
        <v>14</v>
      </c>
      <c r="B19" s="5"/>
      <c r="C19" s="5">
        <v>-5000</v>
      </c>
      <c r="D19" s="5">
        <f>-5000-275000</f>
        <v>-280000</v>
      </c>
      <c r="E19" s="5">
        <v>-10000</v>
      </c>
      <c r="F19" s="5">
        <v>-10000</v>
      </c>
      <c r="G19" s="5">
        <f>-10000-60000</f>
        <v>-70000</v>
      </c>
      <c r="H19" s="5">
        <v>-10000</v>
      </c>
      <c r="I19" s="5">
        <f>-10000-20000</f>
        <v>-30000</v>
      </c>
      <c r="J19" s="5">
        <v>-5000</v>
      </c>
      <c r="K19" s="5"/>
      <c r="L19" s="10"/>
      <c r="M19" s="5"/>
      <c r="N19" s="5"/>
      <c r="O19" s="10"/>
      <c r="P19" s="11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x14ac:dyDescent="0.2">
      <c r="A20" s="7" t="s">
        <v>88</v>
      </c>
      <c r="B20" s="5"/>
      <c r="C20" s="5"/>
      <c r="D20" s="5"/>
      <c r="E20" s="5"/>
      <c r="F20" s="5"/>
      <c r="G20" s="5"/>
      <c r="H20" s="5">
        <v>-41665</v>
      </c>
      <c r="I20" s="5">
        <v>-37220</v>
      </c>
      <c r="J20" s="5">
        <v>-37220</v>
      </c>
      <c r="K20" s="5">
        <v>-36798</v>
      </c>
      <c r="L20" s="10"/>
      <c r="M20" s="5"/>
      <c r="N20" s="5"/>
      <c r="O20" s="10"/>
      <c r="P20" s="11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x14ac:dyDescent="0.2">
      <c r="A21" s="7" t="s">
        <v>89</v>
      </c>
      <c r="B21" s="5"/>
      <c r="C21" s="5"/>
      <c r="D21" s="5"/>
      <c r="E21" s="5"/>
      <c r="F21" s="5"/>
      <c r="G21" s="5"/>
      <c r="H21" s="5">
        <v>-270000</v>
      </c>
      <c r="I21" s="5">
        <v>-100000</v>
      </c>
      <c r="J21" s="5">
        <v>-30000</v>
      </c>
      <c r="K21" s="5">
        <v>-70000</v>
      </c>
      <c r="L21" s="10"/>
      <c r="M21" s="5"/>
      <c r="N21" s="5"/>
      <c r="O21" s="10"/>
      <c r="P21" s="11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2">
      <c r="A22" s="7" t="s">
        <v>83</v>
      </c>
      <c r="B22" s="5"/>
      <c r="C22" s="5"/>
      <c r="D22" s="5"/>
      <c r="E22" s="5"/>
      <c r="F22" s="5"/>
      <c r="G22" s="5">
        <v>-6150000</v>
      </c>
      <c r="H22" s="5"/>
      <c r="I22" s="5"/>
      <c r="J22" s="5">
        <v>-526000</v>
      </c>
      <c r="K22" s="5"/>
      <c r="L22" s="10"/>
      <c r="M22" s="5"/>
      <c r="N22" s="5"/>
      <c r="O22" s="10"/>
      <c r="P22" s="11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2">
      <c r="A23" s="7" t="s">
        <v>94</v>
      </c>
      <c r="B23" s="5"/>
      <c r="C23" s="5"/>
      <c r="D23" s="5"/>
      <c r="E23" s="5"/>
      <c r="F23" s="5"/>
      <c r="G23" s="5"/>
      <c r="H23" s="5"/>
      <c r="I23" s="5"/>
      <c r="J23" s="5"/>
      <c r="K23" s="5">
        <f>-30000-10000</f>
        <v>-40000</v>
      </c>
      <c r="L23" s="10"/>
      <c r="M23" s="5"/>
      <c r="N23" s="5"/>
      <c r="O23" s="10"/>
      <c r="P23" s="11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x14ac:dyDescent="0.2">
      <c r="A24" s="7" t="s">
        <v>6</v>
      </c>
      <c r="B24" s="5"/>
      <c r="C24" s="5"/>
      <c r="D24" s="5"/>
      <c r="E24" s="12"/>
      <c r="F24" s="5"/>
      <c r="G24" s="5"/>
      <c r="H24" s="5"/>
      <c r="I24" s="5"/>
      <c r="J24" s="5">
        <f>-3668*2</f>
        <v>-7336</v>
      </c>
      <c r="K24" s="5"/>
      <c r="L24" s="10"/>
      <c r="M24" s="5"/>
      <c r="N24" s="5"/>
      <c r="O24" s="10"/>
      <c r="P24" s="11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x14ac:dyDescent="0.2">
      <c r="A25" s="7" t="s">
        <v>8</v>
      </c>
      <c r="B25" s="5"/>
      <c r="C25" s="5"/>
      <c r="D25" s="5"/>
      <c r="E25" s="10"/>
      <c r="F25" s="5"/>
      <c r="G25" s="5"/>
      <c r="H25" s="5"/>
      <c r="I25" s="5"/>
      <c r="J25" s="5"/>
      <c r="K25" s="5"/>
      <c r="L25" s="10"/>
      <c r="M25" s="5"/>
      <c r="N25" s="5"/>
      <c r="O25" s="10"/>
      <c r="P25" s="11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2">
      <c r="A26" s="7" t="s">
        <v>7</v>
      </c>
      <c r="B26" s="5"/>
      <c r="C26" s="5"/>
      <c r="D26" s="5"/>
      <c r="E26" s="10"/>
      <c r="F26" s="5"/>
      <c r="G26" s="5"/>
      <c r="H26" s="5"/>
      <c r="I26" s="5"/>
      <c r="J26" s="5">
        <f>-2226</f>
        <v>-2226</v>
      </c>
      <c r="K26" s="5"/>
      <c r="L26" s="10"/>
      <c r="M26" s="5"/>
      <c r="N26" s="5"/>
      <c r="O26" s="10"/>
      <c r="P26" s="11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">
      <c r="A27" s="7" t="s">
        <v>9</v>
      </c>
      <c r="B27" s="5"/>
      <c r="C27" s="5"/>
      <c r="D27" s="5"/>
      <c r="E27" s="10"/>
      <c r="F27" s="5"/>
      <c r="G27" s="5"/>
      <c r="H27" s="5"/>
      <c r="I27" s="5"/>
      <c r="J27" s="5">
        <f>-64182-J24</f>
        <v>-56846</v>
      </c>
      <c r="K27" s="5"/>
      <c r="L27" s="10"/>
      <c r="M27" s="5"/>
      <c r="N27" s="5"/>
      <c r="O27" s="10"/>
      <c r="P27" s="11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x14ac:dyDescent="0.2">
      <c r="A28" s="7" t="s">
        <v>10</v>
      </c>
      <c r="B28" s="5"/>
      <c r="C28" s="5"/>
      <c r="D28" s="5"/>
      <c r="E28" s="10"/>
      <c r="F28" s="5"/>
      <c r="G28" s="5"/>
      <c r="H28" s="5"/>
      <c r="I28" s="5"/>
      <c r="J28" s="5"/>
      <c r="K28" s="5"/>
      <c r="L28" s="10"/>
      <c r="M28" s="5"/>
      <c r="N28" s="5"/>
      <c r="O28" s="10"/>
      <c r="P28" s="11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s="2" customFormat="1" x14ac:dyDescent="0.2">
      <c r="A29" s="9" t="s">
        <v>35</v>
      </c>
      <c r="B29" s="10"/>
      <c r="C29" s="10">
        <f t="shared" ref="C29:K29" si="3">SUM(C6:C28)</f>
        <v>-127600</v>
      </c>
      <c r="D29" s="10">
        <f t="shared" si="3"/>
        <v>-396600</v>
      </c>
      <c r="E29" s="10">
        <f t="shared" si="3"/>
        <v>-116600</v>
      </c>
      <c r="F29" s="10">
        <f t="shared" si="3"/>
        <v>-116600</v>
      </c>
      <c r="G29" s="10">
        <f t="shared" si="3"/>
        <v>-6326600</v>
      </c>
      <c r="H29" s="10">
        <f t="shared" si="3"/>
        <v>-431765</v>
      </c>
      <c r="I29" s="10">
        <f t="shared" si="3"/>
        <v>-277820</v>
      </c>
      <c r="J29" s="10">
        <f t="shared" si="3"/>
        <v>-782228</v>
      </c>
      <c r="K29" s="10">
        <f t="shared" si="3"/>
        <v>-307398</v>
      </c>
      <c r="L29" s="10"/>
      <c r="M29" s="10"/>
      <c r="N29" s="10"/>
      <c r="O29" s="10"/>
      <c r="P29" s="11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s="23" customFormat="1" x14ac:dyDescent="0.2">
      <c r="A30" s="20" t="s">
        <v>13</v>
      </c>
      <c r="B30" s="21"/>
      <c r="C30" s="21">
        <f>-(C5+C29)</f>
        <v>-197400</v>
      </c>
      <c r="D30" s="21">
        <f t="shared" ref="D30:I30" si="4">-(D5+D29)</f>
        <v>71600</v>
      </c>
      <c r="E30" s="21">
        <f t="shared" si="4"/>
        <v>-208400</v>
      </c>
      <c r="F30" s="21">
        <f t="shared" si="4"/>
        <v>-208400</v>
      </c>
      <c r="G30" s="21">
        <f>-(G5+G29)</f>
        <v>5651600</v>
      </c>
      <c r="H30" s="21">
        <f>-(H5+H29)</f>
        <v>106765</v>
      </c>
      <c r="I30" s="21">
        <f t="shared" si="4"/>
        <v>-47180</v>
      </c>
      <c r="J30" s="21">
        <f>-(J5+J29)</f>
        <v>457228</v>
      </c>
      <c r="K30" s="21">
        <f>-(K5+K29)</f>
        <v>-73602</v>
      </c>
      <c r="L30" s="21"/>
      <c r="M30" s="21"/>
      <c r="N30" s="21"/>
      <c r="O30" s="21"/>
      <c r="P30" s="22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x14ac:dyDescent="0.2">
      <c r="A31" s="7" t="s">
        <v>25</v>
      </c>
      <c r="B31" s="5">
        <v>13818</v>
      </c>
      <c r="C31" s="5">
        <f>B31+C5+C29+C30</f>
        <v>13818</v>
      </c>
      <c r="D31" s="5">
        <f>C31+D5+D29+D30</f>
        <v>13818</v>
      </c>
      <c r="E31" s="5">
        <f t="shared" ref="E31:K31" si="5">D31+E5+E29+E30</f>
        <v>13818</v>
      </c>
      <c r="F31" s="5">
        <f t="shared" si="5"/>
        <v>13818</v>
      </c>
      <c r="G31" s="5">
        <f t="shared" si="5"/>
        <v>13818</v>
      </c>
      <c r="H31" s="5">
        <f t="shared" si="5"/>
        <v>13818</v>
      </c>
      <c r="I31" s="5">
        <f t="shared" si="5"/>
        <v>13818</v>
      </c>
      <c r="J31" s="5">
        <f>I31+J5+J29+J30</f>
        <v>13818</v>
      </c>
      <c r="K31" s="5">
        <f t="shared" si="5"/>
        <v>13818</v>
      </c>
      <c r="L31" s="10"/>
      <c r="M31" s="5"/>
      <c r="N31" s="5"/>
      <c r="O31" s="10"/>
      <c r="P31" s="11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x14ac:dyDescent="0.2">
      <c r="A32" s="7" t="s">
        <v>26</v>
      </c>
      <c r="B32" s="5"/>
      <c r="C32" s="5">
        <f>-C30/C5*100</f>
        <v>60.738461538461543</v>
      </c>
      <c r="D32" s="5">
        <f t="shared" ref="D32:K32" si="6">-D30/D5*100</f>
        <v>-22.030769230769231</v>
      </c>
      <c r="E32" s="5">
        <f t="shared" si="6"/>
        <v>64.123076923076923</v>
      </c>
      <c r="F32" s="5">
        <f t="shared" si="6"/>
        <v>64.123076923076923</v>
      </c>
      <c r="G32" s="5">
        <f t="shared" si="6"/>
        <v>-837.27407407407406</v>
      </c>
      <c r="H32" s="5">
        <f t="shared" si="6"/>
        <v>-32.850769230769231</v>
      </c>
      <c r="I32" s="5">
        <f t="shared" si="6"/>
        <v>14.516923076923078</v>
      </c>
      <c r="J32" s="5">
        <f t="shared" si="6"/>
        <v>-140.68553846153847</v>
      </c>
      <c r="K32" s="5">
        <f t="shared" si="6"/>
        <v>19.318110236220473</v>
      </c>
      <c r="L32" s="10"/>
      <c r="M32" s="5"/>
      <c r="N32" s="5"/>
      <c r="O32" s="10"/>
      <c r="P32" s="11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x14ac:dyDescent="0.2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10"/>
      <c r="M33" s="5"/>
      <c r="N33" s="5"/>
      <c r="O33" s="10"/>
      <c r="P33" s="11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s="2" customFormat="1" x14ac:dyDescent="0.2">
      <c r="A34" s="9" t="s">
        <v>15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1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x14ac:dyDescent="0.2">
      <c r="A35" s="7" t="s">
        <v>16</v>
      </c>
      <c r="B35" s="5">
        <v>29865</v>
      </c>
      <c r="C35" s="5">
        <f>130232.16</f>
        <v>130232.16</v>
      </c>
      <c r="D35" s="5">
        <v>170094.5</v>
      </c>
      <c r="E35" s="5">
        <v>375005</v>
      </c>
      <c r="F35" s="5">
        <v>520002</v>
      </c>
      <c r="G35" s="5">
        <f>556543+56314</f>
        <v>612857</v>
      </c>
      <c r="H35" s="5">
        <v>610000</v>
      </c>
      <c r="I35" s="12">
        <v>646989</v>
      </c>
      <c r="J35" s="12">
        <v>195005</v>
      </c>
      <c r="K35" s="5">
        <v>360000</v>
      </c>
      <c r="L35" s="10"/>
      <c r="M35" s="5"/>
      <c r="N35" s="5"/>
      <c r="O35" s="10"/>
      <c r="P35" s="11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s="17" customFormat="1" hidden="1" x14ac:dyDescent="0.2">
      <c r="A36" s="13" t="s">
        <v>75</v>
      </c>
      <c r="B36" s="14">
        <v>1067260</v>
      </c>
      <c r="C36" s="14">
        <f>1084804.27</f>
        <v>1084804.27</v>
      </c>
      <c r="D36" s="14">
        <v>1100000</v>
      </c>
      <c r="E36" s="14">
        <f>D36+(D36*8.5%/12)</f>
        <v>1107791.6666666667</v>
      </c>
      <c r="F36" s="14">
        <v>1115706</v>
      </c>
      <c r="G36" s="14">
        <v>0</v>
      </c>
      <c r="H36" s="14"/>
      <c r="I36" s="14"/>
      <c r="J36" s="14"/>
      <c r="K36" s="14"/>
      <c r="L36" s="15"/>
      <c r="M36" s="14"/>
      <c r="N36" s="14"/>
      <c r="O36" s="15"/>
      <c r="P36" s="16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s="17" customFormat="1" x14ac:dyDescent="0.2">
      <c r="A37" s="13" t="s">
        <v>17</v>
      </c>
      <c r="B37" s="14">
        <v>130000</v>
      </c>
      <c r="C37" s="14">
        <f>B37</f>
        <v>130000</v>
      </c>
      <c r="D37" s="14">
        <v>40566</v>
      </c>
      <c r="E37" s="14">
        <v>106210</v>
      </c>
      <c r="F37" s="14">
        <v>160000</v>
      </c>
      <c r="G37" s="14">
        <v>40000</v>
      </c>
      <c r="H37" s="15"/>
      <c r="I37" s="19">
        <v>27247</v>
      </c>
      <c r="J37" s="19">
        <v>2907</v>
      </c>
      <c r="K37" s="14">
        <v>76972</v>
      </c>
      <c r="L37" s="15"/>
      <c r="M37" s="14"/>
      <c r="N37" s="14"/>
      <c r="O37" s="15"/>
      <c r="P37" s="16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x14ac:dyDescent="0.2">
      <c r="A38" s="7" t="s">
        <v>44</v>
      </c>
      <c r="B38" s="5">
        <v>1200000</v>
      </c>
      <c r="C38" s="5">
        <f>B38</f>
        <v>1200000</v>
      </c>
      <c r="D38" s="5">
        <f>C38+60000</f>
        <v>1260000</v>
      </c>
      <c r="E38" s="5">
        <v>1269096</v>
      </c>
      <c r="F38" s="5">
        <f>E38+(E38*5.5%/12)</f>
        <v>1274912.69</v>
      </c>
      <c r="G38" s="5">
        <v>0</v>
      </c>
      <c r="H38" s="5"/>
      <c r="I38" s="5"/>
      <c r="J38" s="5"/>
      <c r="K38" s="5"/>
      <c r="L38" s="10"/>
      <c r="M38" s="5"/>
      <c r="N38" s="5"/>
      <c r="O38" s="10"/>
      <c r="P38" s="11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idden="1" x14ac:dyDescent="0.2">
      <c r="A39" s="7" t="s">
        <v>51</v>
      </c>
      <c r="B39" s="5">
        <v>663537</v>
      </c>
      <c r="C39" s="5"/>
      <c r="D39" s="5"/>
      <c r="E39" s="5"/>
      <c r="F39" s="5"/>
      <c r="G39" s="5"/>
      <c r="H39" s="5"/>
      <c r="I39" s="5"/>
      <c r="J39" s="5"/>
      <c r="K39" s="5"/>
      <c r="L39" s="10"/>
      <c r="M39" s="5"/>
      <c r="N39" s="5"/>
      <c r="O39" s="10"/>
      <c r="P39" s="11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idden="1" x14ac:dyDescent="0.2">
      <c r="A40" s="7" t="s">
        <v>52</v>
      </c>
      <c r="B40" s="5">
        <v>50000</v>
      </c>
      <c r="C40" s="5">
        <v>20000</v>
      </c>
      <c r="D40" s="5"/>
      <c r="E40" s="5"/>
      <c r="F40" s="5"/>
      <c r="G40" s="5"/>
      <c r="H40" s="10"/>
      <c r="I40" s="12"/>
      <c r="J40" s="12"/>
      <c r="K40" s="5"/>
      <c r="L40" s="10"/>
      <c r="M40" s="5"/>
      <c r="N40" s="5"/>
      <c r="O40" s="10"/>
      <c r="P40" s="11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idden="1" x14ac:dyDescent="0.2">
      <c r="A41" s="7" t="s">
        <v>76</v>
      </c>
      <c r="B41" s="5"/>
      <c r="C41" s="5"/>
      <c r="D41" s="5">
        <v>2600000</v>
      </c>
      <c r="E41" s="5">
        <f>D41+18000</f>
        <v>2618000</v>
      </c>
      <c r="F41" s="5">
        <v>2630433</v>
      </c>
      <c r="G41" s="5">
        <v>0</v>
      </c>
      <c r="H41" s="10"/>
      <c r="I41" s="12"/>
      <c r="J41" s="12"/>
      <c r="K41" s="5"/>
      <c r="L41" s="10"/>
      <c r="M41" s="5"/>
      <c r="N41" s="5"/>
      <c r="O41" s="10"/>
      <c r="P41" s="11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x14ac:dyDescent="0.2">
      <c r="A42" s="7" t="s">
        <v>78</v>
      </c>
      <c r="B42" s="5"/>
      <c r="C42" s="5"/>
      <c r="D42" s="5">
        <f>35627+315330</f>
        <v>350957</v>
      </c>
      <c r="E42" s="5">
        <f>17238+317403</f>
        <v>334641</v>
      </c>
      <c r="F42" s="5">
        <v>319560</v>
      </c>
      <c r="G42" s="5">
        <v>0</v>
      </c>
      <c r="H42" s="10"/>
      <c r="I42" s="12"/>
      <c r="J42" s="12">
        <v>52640</v>
      </c>
      <c r="K42" s="5"/>
      <c r="L42" s="10"/>
      <c r="M42" s="5"/>
      <c r="N42" s="5"/>
      <c r="O42" s="10"/>
      <c r="P42" s="11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s="2" customFormat="1" x14ac:dyDescent="0.2">
      <c r="A43" s="9" t="s">
        <v>27</v>
      </c>
      <c r="B43" s="10">
        <f>SUM(B35:B40)</f>
        <v>3140662</v>
      </c>
      <c r="C43" s="10">
        <f>SUM(C35:C40)</f>
        <v>2565036.4299999997</v>
      </c>
      <c r="D43" s="10">
        <f>SUM(D35:D42)</f>
        <v>5521617.5</v>
      </c>
      <c r="E43" s="10">
        <f>SUM(E35:E42)</f>
        <v>5810743.666666667</v>
      </c>
      <c r="F43" s="10">
        <f t="shared" ref="F43:K43" si="7">SUM(F35:F42)</f>
        <v>6020613.6899999995</v>
      </c>
      <c r="G43" s="10">
        <f t="shared" si="7"/>
        <v>652857</v>
      </c>
      <c r="H43" s="10">
        <f t="shared" si="7"/>
        <v>610000</v>
      </c>
      <c r="I43" s="10">
        <f t="shared" si="7"/>
        <v>674236</v>
      </c>
      <c r="J43" s="10">
        <f t="shared" si="7"/>
        <v>250552</v>
      </c>
      <c r="K43" s="10">
        <f t="shared" si="7"/>
        <v>436972</v>
      </c>
      <c r="L43" s="10"/>
      <c r="M43" s="10"/>
      <c r="N43" s="10"/>
      <c r="O43" s="10"/>
      <c r="P43" s="11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x14ac:dyDescent="0.2">
      <c r="A44" s="7" t="s">
        <v>77</v>
      </c>
      <c r="B44" s="5">
        <v>3000</v>
      </c>
      <c r="C44" s="5">
        <v>1000</v>
      </c>
      <c r="D44" s="5"/>
      <c r="E44" s="5">
        <v>2000</v>
      </c>
      <c r="F44" s="5">
        <f t="shared" ref="F44:G46" si="8">E44</f>
        <v>2000</v>
      </c>
      <c r="G44" s="5">
        <f t="shared" si="8"/>
        <v>2000</v>
      </c>
      <c r="H44" s="10"/>
      <c r="I44" s="12"/>
      <c r="J44" s="12"/>
      <c r="K44" s="5"/>
      <c r="L44" s="10"/>
      <c r="M44" s="5"/>
      <c r="N44" s="5"/>
      <c r="O44" s="10"/>
      <c r="P44" s="11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s="17" customFormat="1" hidden="1" x14ac:dyDescent="0.2">
      <c r="A45" s="13" t="s">
        <v>59</v>
      </c>
      <c r="B45" s="14"/>
      <c r="C45" s="14">
        <v>247.81</v>
      </c>
      <c r="D45" s="14">
        <f>C45</f>
        <v>247.81</v>
      </c>
      <c r="E45" s="14">
        <f>D45</f>
        <v>247.81</v>
      </c>
      <c r="F45" s="14">
        <f t="shared" si="8"/>
        <v>247.81</v>
      </c>
      <c r="G45" s="14">
        <f t="shared" si="8"/>
        <v>247.81</v>
      </c>
      <c r="H45" s="15"/>
      <c r="I45" s="19"/>
      <c r="J45" s="19"/>
      <c r="K45" s="14"/>
      <c r="L45" s="15"/>
      <c r="M45" s="14"/>
      <c r="N45" s="14"/>
      <c r="O45" s="15"/>
      <c r="P45" s="16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x14ac:dyDescent="0.2">
      <c r="A46" s="7" t="s">
        <v>72</v>
      </c>
      <c r="B46" s="5">
        <v>6000</v>
      </c>
      <c r="C46" s="5">
        <v>6000</v>
      </c>
      <c r="D46" s="5">
        <f>C46</f>
        <v>6000</v>
      </c>
      <c r="E46" s="5">
        <f>D46</f>
        <v>6000</v>
      </c>
      <c r="F46" s="5">
        <f t="shared" si="8"/>
        <v>6000</v>
      </c>
      <c r="G46" s="5">
        <f t="shared" si="8"/>
        <v>6000</v>
      </c>
      <c r="H46" s="10">
        <v>6000</v>
      </c>
      <c r="I46" s="12">
        <f>H46</f>
        <v>6000</v>
      </c>
      <c r="J46" s="12">
        <f>I46</f>
        <v>6000</v>
      </c>
      <c r="K46" s="5">
        <v>5000</v>
      </c>
      <c r="L46" s="10"/>
      <c r="M46" s="5"/>
      <c r="N46" s="5"/>
      <c r="O46" s="10"/>
      <c r="P46" s="11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s="2" customFormat="1" x14ac:dyDescent="0.2">
      <c r="A47" s="2" t="s">
        <v>28</v>
      </c>
      <c r="B47" s="10">
        <f>SUM(B44:B46)</f>
        <v>9000</v>
      </c>
      <c r="C47" s="10">
        <f t="shared" ref="C47:K47" si="9">SUM(C44:C46)</f>
        <v>7247.8099999999995</v>
      </c>
      <c r="D47" s="10">
        <f t="shared" si="9"/>
        <v>6247.81</v>
      </c>
      <c r="E47" s="10">
        <f t="shared" si="9"/>
        <v>8247.81</v>
      </c>
      <c r="F47" s="10">
        <f t="shared" si="9"/>
        <v>8247.81</v>
      </c>
      <c r="G47" s="10">
        <f t="shared" si="9"/>
        <v>8247.81</v>
      </c>
      <c r="H47" s="10">
        <f t="shared" si="9"/>
        <v>6000</v>
      </c>
      <c r="I47" s="10">
        <f t="shared" si="9"/>
        <v>6000</v>
      </c>
      <c r="J47" s="10">
        <f t="shared" si="9"/>
        <v>6000</v>
      </c>
      <c r="K47" s="10">
        <f t="shared" si="9"/>
        <v>5000</v>
      </c>
      <c r="L47" s="10"/>
      <c r="M47" s="10"/>
      <c r="N47" s="10"/>
      <c r="O47" s="10"/>
      <c r="P47" s="11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 s="2" customFormat="1" hidden="1" x14ac:dyDescent="0.2">
      <c r="A48" s="2" t="s">
        <v>53</v>
      </c>
      <c r="B48" s="10">
        <v>400</v>
      </c>
      <c r="C48" s="10">
        <v>400</v>
      </c>
      <c r="D48" s="10">
        <f>C48</f>
        <v>400</v>
      </c>
      <c r="E48" s="10">
        <f>D48</f>
        <v>400</v>
      </c>
      <c r="F48" s="10">
        <v>300</v>
      </c>
      <c r="G48" s="10">
        <f>F48</f>
        <v>300</v>
      </c>
      <c r="H48" s="10"/>
      <c r="I48" s="10"/>
      <c r="J48" s="10"/>
      <c r="K48" s="10"/>
      <c r="L48" s="10"/>
      <c r="M48" s="10"/>
      <c r="N48" s="10"/>
      <c r="O48" s="10"/>
      <c r="P48" s="11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 s="2" customFormat="1" hidden="1" x14ac:dyDescent="0.2">
      <c r="A49" s="2" t="s">
        <v>79</v>
      </c>
      <c r="B49" s="10"/>
      <c r="C49" s="10"/>
      <c r="D49" s="10">
        <v>-400</v>
      </c>
      <c r="E49" s="10">
        <f>D49</f>
        <v>-400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1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 s="2" customFormat="1" x14ac:dyDescent="0.2">
      <c r="A50" s="2" t="s">
        <v>29</v>
      </c>
      <c r="B50" s="10">
        <f t="shared" ref="B50:K50" si="10">B43+B47*B71+B48*B72</f>
        <v>3936040</v>
      </c>
      <c r="C50" s="10">
        <f>C43+C47*C71+C48*C72</f>
        <v>3059002.5654999996</v>
      </c>
      <c r="D50" s="10">
        <f>D43+D47*D71+(D48+D49)*D72</f>
        <v>5874056.4621000001</v>
      </c>
      <c r="E50" s="10">
        <f t="shared" si="10"/>
        <v>6315097.2481666673</v>
      </c>
      <c r="F50" s="10">
        <f t="shared" si="10"/>
        <v>6536751.0197999999</v>
      </c>
      <c r="G50" s="10">
        <f t="shared" si="10"/>
        <v>1171656.1946999999</v>
      </c>
      <c r="H50" s="10">
        <f t="shared" si="10"/>
        <v>979900</v>
      </c>
      <c r="I50" s="10">
        <f t="shared" si="10"/>
        <v>1040191</v>
      </c>
      <c r="J50" s="10">
        <f t="shared" si="10"/>
        <v>627052</v>
      </c>
      <c r="K50" s="10">
        <f t="shared" si="10"/>
        <v>797922</v>
      </c>
      <c r="L50" s="10"/>
      <c r="M50" s="10"/>
      <c r="N50" s="10"/>
      <c r="O50" s="10"/>
      <c r="P50" s="11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s="2" customFormat="1" x14ac:dyDescent="0.2">
      <c r="A51" s="2" t="s">
        <v>63</v>
      </c>
      <c r="B51" s="10"/>
      <c r="C51" s="10">
        <v>5</v>
      </c>
      <c r="D51" s="10">
        <v>5</v>
      </c>
      <c r="E51" s="10">
        <v>5</v>
      </c>
      <c r="F51" s="10">
        <v>5</v>
      </c>
      <c r="G51" s="10">
        <f>F51</f>
        <v>5</v>
      </c>
      <c r="H51" s="10">
        <v>5</v>
      </c>
      <c r="I51" s="10">
        <v>5</v>
      </c>
      <c r="J51" s="10">
        <v>5</v>
      </c>
      <c r="K51" s="10">
        <f>J51</f>
        <v>5</v>
      </c>
      <c r="L51" s="10"/>
      <c r="M51" s="10"/>
      <c r="N51" s="10"/>
      <c r="O51" s="10"/>
      <c r="P51" s="11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 x14ac:dyDescent="0.2">
      <c r="A52" s="2" t="s">
        <v>21</v>
      </c>
      <c r="B52" s="5"/>
      <c r="C52" s="5"/>
      <c r="D52" s="5"/>
      <c r="E52" s="5"/>
      <c r="F52" s="5"/>
      <c r="G52" s="5"/>
      <c r="H52" s="10"/>
      <c r="I52" s="12"/>
      <c r="J52" s="12"/>
      <c r="K52" s="5"/>
      <c r="L52" s="10"/>
      <c r="M52" s="5"/>
    </row>
    <row r="53" spans="1:30" x14ac:dyDescent="0.2">
      <c r="A53" s="1" t="s">
        <v>54</v>
      </c>
      <c r="B53" s="5">
        <v>121445</v>
      </c>
      <c r="C53" s="5">
        <f>124385</f>
        <v>124385</v>
      </c>
      <c r="D53" s="5">
        <v>126739.5</v>
      </c>
      <c r="E53" s="5">
        <v>122837</v>
      </c>
      <c r="F53" s="5">
        <v>119278</v>
      </c>
      <c r="G53" s="5">
        <v>124507</v>
      </c>
      <c r="H53" s="12">
        <v>137015</v>
      </c>
      <c r="I53" s="12">
        <v>141002</v>
      </c>
      <c r="J53" s="12">
        <v>141234</v>
      </c>
      <c r="K53" s="5">
        <v>141239</v>
      </c>
      <c r="L53" s="10"/>
      <c r="M53" s="5"/>
    </row>
    <row r="54" spans="1:30" hidden="1" x14ac:dyDescent="0.2">
      <c r="A54" s="1" t="s">
        <v>55</v>
      </c>
      <c r="B54" s="5">
        <v>50000</v>
      </c>
      <c r="C54" s="5"/>
      <c r="D54" s="5"/>
      <c r="E54" s="5"/>
      <c r="F54" s="5"/>
      <c r="G54" s="5"/>
      <c r="H54" s="12"/>
      <c r="I54" s="12"/>
      <c r="J54" s="12"/>
      <c r="K54" s="5"/>
      <c r="L54" s="10"/>
      <c r="M54" s="5"/>
    </row>
    <row r="55" spans="1:30" x14ac:dyDescent="0.2">
      <c r="A55" s="1" t="s">
        <v>64</v>
      </c>
      <c r="B55" s="5"/>
      <c r="C55" s="5">
        <f>128055.9+826.38+4734.36+8437+5780</f>
        <v>147833.63999999998</v>
      </c>
      <c r="D55" s="5">
        <f>5228.3+4395+6790+10838+6890+3448+8758+11566+10350.5+11533.5+11966+32298.3+24811.14</f>
        <v>148872.74</v>
      </c>
      <c r="E55" s="5">
        <f>4681+5104+6499+6981+10452+6840+15144+9702+14906+8100+16717+13110+35523</f>
        <v>153759</v>
      </c>
      <c r="F55" s="5">
        <f>5031+16944+3650+101637</f>
        <v>127262</v>
      </c>
      <c r="G55" s="5">
        <f>2889+13854+3835+3993</f>
        <v>24571</v>
      </c>
      <c r="H55" s="12">
        <f>3510+3290+4387</f>
        <v>11187</v>
      </c>
      <c r="I55" s="12">
        <f>3806+3350+5837+4668</f>
        <v>17661</v>
      </c>
      <c r="J55" s="12">
        <f>3770+3570+5117+6468</f>
        <v>18925</v>
      </c>
      <c r="K55" s="5">
        <f>2829+3836+4052+4583+5922</f>
        <v>21222</v>
      </c>
      <c r="L55" s="10"/>
      <c r="M55" s="5"/>
    </row>
    <row r="56" spans="1:30" x14ac:dyDescent="0.2">
      <c r="A56" s="1" t="s">
        <v>71</v>
      </c>
      <c r="B56" s="5"/>
      <c r="C56" s="5">
        <f>4855+9076+787.93+17690.42</f>
        <v>32409.35</v>
      </c>
      <c r="D56" s="5">
        <f>5370+6194+22053.87+9345.27+9191.69</f>
        <v>52154.83</v>
      </c>
      <c r="E56" s="5">
        <f>8077+13350+21998+9316</f>
        <v>52741</v>
      </c>
      <c r="F56" s="5">
        <v>53010</v>
      </c>
      <c r="G56" s="5">
        <f>F56</f>
        <v>53010</v>
      </c>
      <c r="H56" s="12">
        <v>49452</v>
      </c>
      <c r="I56" s="12">
        <f>H56</f>
        <v>49452</v>
      </c>
      <c r="J56" s="12">
        <f>10710+38981</f>
        <v>49691</v>
      </c>
      <c r="K56" s="5">
        <f>12156+38981</f>
        <v>51137</v>
      </c>
      <c r="L56" s="10"/>
      <c r="M56" s="5"/>
    </row>
    <row r="57" spans="1:30" s="26" customFormat="1" hidden="1" x14ac:dyDescent="0.2">
      <c r="A57" s="26" t="s">
        <v>92</v>
      </c>
      <c r="B57" s="27">
        <v>54144</v>
      </c>
      <c r="C57" s="27">
        <f>166132</f>
        <v>166132</v>
      </c>
      <c r="D57" s="27">
        <f>166132</f>
        <v>166132</v>
      </c>
      <c r="E57" s="27">
        <v>165167</v>
      </c>
      <c r="F57" s="27">
        <v>159399</v>
      </c>
      <c r="G57" s="27">
        <v>655</v>
      </c>
      <c r="H57" s="28"/>
      <c r="I57" s="28"/>
      <c r="J57" s="28"/>
      <c r="K57" s="27"/>
      <c r="L57" s="31"/>
      <c r="M57" s="27"/>
      <c r="O57" s="29"/>
      <c r="P57" s="30"/>
    </row>
    <row r="58" spans="1:30" s="26" customFormat="1" hidden="1" x14ac:dyDescent="0.2">
      <c r="A58" s="26" t="s">
        <v>56</v>
      </c>
      <c r="B58" s="27">
        <v>1713</v>
      </c>
      <c r="C58" s="27"/>
      <c r="D58" s="27"/>
      <c r="E58" s="27"/>
      <c r="F58" s="27"/>
      <c r="G58" s="27"/>
      <c r="H58" s="28"/>
      <c r="I58" s="28"/>
      <c r="J58" s="28"/>
      <c r="K58" s="27"/>
      <c r="L58" s="31"/>
      <c r="M58" s="27"/>
      <c r="O58" s="29"/>
      <c r="P58" s="30"/>
    </row>
    <row r="59" spans="1:30" s="26" customFormat="1" hidden="1" x14ac:dyDescent="0.2">
      <c r="A59" s="26" t="s">
        <v>68</v>
      </c>
      <c r="B59" s="27"/>
      <c r="C59" s="27">
        <f>-C57</f>
        <v>-166132</v>
      </c>
      <c r="D59" s="27">
        <f>-D57</f>
        <v>-166132</v>
      </c>
      <c r="E59" s="27">
        <f>-E57</f>
        <v>-165167</v>
      </c>
      <c r="F59" s="27"/>
      <c r="G59" s="27">
        <f>-G57</f>
        <v>-655</v>
      </c>
      <c r="H59" s="28"/>
      <c r="I59" s="28"/>
      <c r="J59" s="28"/>
      <c r="K59" s="27"/>
      <c r="L59" s="31"/>
      <c r="M59" s="27"/>
      <c r="O59" s="29"/>
      <c r="P59" s="30"/>
    </row>
    <row r="60" spans="1:30" hidden="1" x14ac:dyDescent="0.2">
      <c r="A60" s="1" t="s">
        <v>57</v>
      </c>
      <c r="B60" s="5">
        <v>376</v>
      </c>
      <c r="C60" s="5">
        <f>1435.52+83.91+62.08+84.26+22.52+97.1+136.26+82.2+98.24+80.7+78.72+39.26+94.8</f>
        <v>2395.5699999999997</v>
      </c>
      <c r="D60" s="5">
        <f>86.55+2294.94</f>
        <v>2381.4900000000002</v>
      </c>
      <c r="E60" s="5">
        <f>78.45+289.34</f>
        <v>367.78999999999996</v>
      </c>
      <c r="F60" s="5">
        <f>294+79</f>
        <v>373</v>
      </c>
      <c r="G60" s="5">
        <f>307+86</f>
        <v>393</v>
      </c>
      <c r="H60" s="12"/>
      <c r="I60" s="12"/>
      <c r="J60" s="12"/>
      <c r="K60" s="5"/>
      <c r="L60" s="10"/>
      <c r="M60" s="5"/>
    </row>
    <row r="61" spans="1:30" s="26" customFormat="1" hidden="1" x14ac:dyDescent="0.2">
      <c r="A61" s="26" t="s">
        <v>58</v>
      </c>
      <c r="B61" s="27">
        <v>390</v>
      </c>
      <c r="C61" s="27">
        <f>B61</f>
        <v>390</v>
      </c>
      <c r="D61" s="27"/>
      <c r="E61" s="27"/>
      <c r="F61" s="27"/>
      <c r="G61" s="27"/>
      <c r="H61" s="28"/>
      <c r="I61" s="28"/>
      <c r="J61" s="28"/>
      <c r="K61" s="27"/>
      <c r="L61" s="31"/>
      <c r="M61" s="27"/>
      <c r="O61" s="29"/>
      <c r="P61" s="30"/>
    </row>
    <row r="62" spans="1:30" s="26" customFormat="1" hidden="1" x14ac:dyDescent="0.2">
      <c r="A62" s="26" t="s">
        <v>59</v>
      </c>
      <c r="B62" s="27">
        <v>266</v>
      </c>
      <c r="C62" s="27"/>
      <c r="D62" s="27"/>
      <c r="E62" s="27"/>
      <c r="F62" s="27"/>
      <c r="G62" s="27"/>
      <c r="H62" s="28"/>
      <c r="I62" s="28"/>
      <c r="J62" s="28"/>
      <c r="K62" s="27"/>
      <c r="L62" s="31"/>
      <c r="M62" s="27"/>
      <c r="O62" s="29"/>
      <c r="P62" s="30"/>
    </row>
    <row r="63" spans="1:30" s="26" customFormat="1" hidden="1" x14ac:dyDescent="0.2">
      <c r="A63" s="26" t="s">
        <v>60</v>
      </c>
      <c r="B63" s="27">
        <v>1718</v>
      </c>
      <c r="C63" s="27"/>
      <c r="D63" s="27"/>
      <c r="E63" s="27"/>
      <c r="F63" s="27"/>
      <c r="G63" s="27"/>
      <c r="H63" s="28"/>
      <c r="I63" s="28"/>
      <c r="J63" s="28"/>
      <c r="K63" s="27"/>
      <c r="L63" s="31"/>
      <c r="M63" s="27"/>
      <c r="O63" s="29"/>
      <c r="P63" s="30"/>
    </row>
    <row r="64" spans="1:30" s="26" customFormat="1" hidden="1" x14ac:dyDescent="0.2">
      <c r="A64" s="26" t="s">
        <v>67</v>
      </c>
      <c r="B64" s="27"/>
      <c r="C64" s="27">
        <f>-379</f>
        <v>-379</v>
      </c>
      <c r="D64" s="27">
        <v>-86.55</v>
      </c>
      <c r="E64" s="27">
        <v>-78.599999999999994</v>
      </c>
      <c r="F64" s="27">
        <v>-79</v>
      </c>
      <c r="G64" s="27">
        <v>-87</v>
      </c>
      <c r="H64" s="28"/>
      <c r="I64" s="28"/>
      <c r="J64" s="28"/>
      <c r="K64" s="27"/>
      <c r="L64" s="31"/>
      <c r="M64" s="27"/>
      <c r="O64" s="29"/>
      <c r="P64" s="30"/>
    </row>
    <row r="65" spans="1:30" x14ac:dyDescent="0.2">
      <c r="A65" s="1" t="s">
        <v>65</v>
      </c>
      <c r="B65" s="5"/>
      <c r="C65" s="5">
        <v>9000</v>
      </c>
      <c r="D65" s="5">
        <v>9000</v>
      </c>
      <c r="E65" s="5">
        <f>D65</f>
        <v>9000</v>
      </c>
      <c r="F65" s="5">
        <v>12000</v>
      </c>
      <c r="G65" s="5">
        <f>F65</f>
        <v>12000</v>
      </c>
      <c r="H65" s="12">
        <f>G65</f>
        <v>12000</v>
      </c>
      <c r="I65" s="12">
        <f>H65</f>
        <v>12000</v>
      </c>
      <c r="J65" s="12">
        <f>I65</f>
        <v>12000</v>
      </c>
      <c r="K65" s="5">
        <f>J65</f>
        <v>12000</v>
      </c>
      <c r="L65" s="10"/>
      <c r="M65" s="5"/>
    </row>
    <row r="66" spans="1:30" x14ac:dyDescent="0.2">
      <c r="A66" s="1" t="s">
        <v>66</v>
      </c>
      <c r="B66" s="5"/>
      <c r="C66" s="5">
        <v>6000</v>
      </c>
      <c r="D66" s="5">
        <v>6000</v>
      </c>
      <c r="E66" s="5">
        <f>D66</f>
        <v>6000</v>
      </c>
      <c r="F66" s="5">
        <f>E66</f>
        <v>6000</v>
      </c>
      <c r="G66" s="5">
        <f>F66</f>
        <v>6000</v>
      </c>
      <c r="H66" s="12">
        <f>4307+1504</f>
        <v>5811</v>
      </c>
      <c r="I66" s="12">
        <f>668+5247</f>
        <v>5915</v>
      </c>
      <c r="J66" s="12">
        <v>5954</v>
      </c>
      <c r="K66" s="5">
        <f>J66</f>
        <v>5954</v>
      </c>
      <c r="L66" s="10"/>
      <c r="M66" s="5"/>
    </row>
    <row r="67" spans="1:30" x14ac:dyDescent="0.2">
      <c r="A67" s="2" t="s">
        <v>84</v>
      </c>
      <c r="B67" s="10">
        <f>SUM(B53:B58)+SUM(B60:B63)*B71</f>
        <v>458164.5</v>
      </c>
      <c r="C67" s="10">
        <f t="shared" ref="C67:K67" si="11">SUM(C53:C59)+SUM(C60:C64)*C71+C65*C73+C66*C74+C51*C75</f>
        <v>948122.08349999995</v>
      </c>
      <c r="D67" s="10">
        <f t="shared" si="11"/>
        <v>890130.63540000003</v>
      </c>
      <c r="E67" s="10">
        <f t="shared" si="11"/>
        <v>811459.46850000008</v>
      </c>
      <c r="F67" s="10">
        <f t="shared" si="11"/>
        <v>950732.92</v>
      </c>
      <c r="G67" s="10">
        <f t="shared" si="11"/>
        <v>683330.22</v>
      </c>
      <c r="H67" s="10">
        <f t="shared" si="11"/>
        <v>648218.72830000008</v>
      </c>
      <c r="I67" s="10">
        <f t="shared" si="11"/>
        <v>662778.071</v>
      </c>
      <c r="J67" s="10">
        <f t="shared" si="11"/>
        <v>693937.4</v>
      </c>
      <c r="K67" s="10">
        <f t="shared" si="11"/>
        <v>773895.67999999993</v>
      </c>
      <c r="L67" s="10"/>
      <c r="M67" s="5"/>
    </row>
    <row r="68" spans="1:30" x14ac:dyDescent="0.2">
      <c r="A68" s="2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5"/>
    </row>
    <row r="69" spans="1:30" x14ac:dyDescent="0.2">
      <c r="A69" s="2" t="s">
        <v>85</v>
      </c>
      <c r="B69" s="10">
        <f>B50+B67+B31</f>
        <v>4408022.5</v>
      </c>
      <c r="C69" s="10">
        <f>C50+C67</f>
        <v>4007124.6489999993</v>
      </c>
      <c r="D69" s="10">
        <f>D50+D67</f>
        <v>6764187.0975000001</v>
      </c>
      <c r="E69" s="10">
        <f t="shared" ref="E69:K69" si="12">E50+E67</f>
        <v>7126556.7166666677</v>
      </c>
      <c r="F69" s="10">
        <f t="shared" si="12"/>
        <v>7487483.9397999998</v>
      </c>
      <c r="G69" s="10">
        <f>G50+G67</f>
        <v>1854986.4146999998</v>
      </c>
      <c r="H69" s="10">
        <f t="shared" si="12"/>
        <v>1628118.7283000001</v>
      </c>
      <c r="I69" s="10">
        <f t="shared" si="12"/>
        <v>1702969.071</v>
      </c>
      <c r="J69" s="10">
        <f t="shared" si="12"/>
        <v>1320989.3999999999</v>
      </c>
      <c r="K69" s="10">
        <f t="shared" si="12"/>
        <v>1571817.68</v>
      </c>
      <c r="M69" s="5"/>
    </row>
    <row r="70" spans="1:30" x14ac:dyDescent="0.2">
      <c r="A70" s="2"/>
      <c r="B70" s="10"/>
      <c r="C70" s="10"/>
      <c r="D70" s="10"/>
      <c r="E70" s="5"/>
      <c r="F70" s="5"/>
      <c r="G70" s="5"/>
      <c r="H70" s="10"/>
      <c r="I70" s="12"/>
      <c r="J70" s="12"/>
      <c r="K70" s="5"/>
      <c r="M70" s="5"/>
    </row>
    <row r="71" spans="1:30" x14ac:dyDescent="0.2">
      <c r="A71" s="1" t="s">
        <v>22</v>
      </c>
      <c r="B71" s="6">
        <v>83.95</v>
      </c>
      <c r="C71" s="6">
        <v>64.55</v>
      </c>
      <c r="D71" s="6">
        <v>56.41</v>
      </c>
      <c r="E71" s="6">
        <v>61.15</v>
      </c>
      <c r="F71" s="6">
        <v>60.58</v>
      </c>
      <c r="G71" s="6">
        <v>60.87</v>
      </c>
      <c r="H71" s="25">
        <v>61.65</v>
      </c>
      <c r="I71" s="25">
        <v>60.9925</v>
      </c>
      <c r="J71" s="25">
        <v>62.75</v>
      </c>
      <c r="K71" s="25">
        <v>72.19</v>
      </c>
      <c r="M71" s="5"/>
    </row>
    <row r="72" spans="1:30" hidden="1" x14ac:dyDescent="0.2">
      <c r="A72" s="1" t="s">
        <v>23</v>
      </c>
      <c r="B72" s="6">
        <v>99.57</v>
      </c>
      <c r="C72" s="6">
        <v>65.3</v>
      </c>
      <c r="D72" s="6"/>
      <c r="E72" s="6"/>
      <c r="F72" s="6">
        <v>54.95</v>
      </c>
      <c r="G72" s="6">
        <v>55.85</v>
      </c>
      <c r="H72" s="25"/>
      <c r="I72" s="25"/>
      <c r="J72" s="25"/>
      <c r="K72" s="25"/>
    </row>
    <row r="73" spans="1:30" x14ac:dyDescent="0.2">
      <c r="A73" s="1" t="s">
        <v>61</v>
      </c>
      <c r="B73" s="6"/>
      <c r="C73" s="6">
        <v>9.5500000000000007</v>
      </c>
      <c r="D73" s="6">
        <v>8.43</v>
      </c>
      <c r="E73" s="6">
        <v>9.3999000000000006</v>
      </c>
      <c r="F73" s="6">
        <v>9.0519999999999996</v>
      </c>
      <c r="G73" s="6">
        <v>8.7379999999999995</v>
      </c>
      <c r="H73" s="25">
        <v>8.5329999999999995</v>
      </c>
      <c r="I73" s="25">
        <v>8.3719999999999999</v>
      </c>
      <c r="J73" s="25">
        <v>9.0050000000000008</v>
      </c>
      <c r="K73" s="25">
        <v>10.249000000000001</v>
      </c>
    </row>
    <row r="74" spans="1:30" x14ac:dyDescent="0.2">
      <c r="A74" s="1" t="s">
        <v>62</v>
      </c>
      <c r="B74" s="6"/>
      <c r="C74" s="6">
        <v>9</v>
      </c>
      <c r="D74" s="6">
        <v>9.0060000000000002</v>
      </c>
      <c r="E74" s="6">
        <v>8.2399000000000004</v>
      </c>
      <c r="F74" s="6">
        <v>8.0748999999999995</v>
      </c>
      <c r="G74" s="6">
        <v>7.86</v>
      </c>
      <c r="H74" s="25">
        <v>7.6353</v>
      </c>
      <c r="I74" s="25">
        <v>7.8273999999999999</v>
      </c>
      <c r="J74" s="25">
        <v>8.1</v>
      </c>
      <c r="K74" s="25">
        <v>8.92</v>
      </c>
    </row>
    <row r="75" spans="1:30" x14ac:dyDescent="0.2">
      <c r="A75" s="1" t="s">
        <v>63</v>
      </c>
      <c r="B75" s="6"/>
      <c r="C75" s="6">
        <v>69640</v>
      </c>
      <c r="D75" s="6">
        <v>60600</v>
      </c>
      <c r="E75" s="6">
        <v>66080</v>
      </c>
      <c r="F75" s="6">
        <v>63380</v>
      </c>
      <c r="G75" s="6">
        <v>62120</v>
      </c>
      <c r="H75" s="6">
        <v>60760</v>
      </c>
      <c r="I75" s="25">
        <v>61580</v>
      </c>
      <c r="J75" s="25">
        <v>65560</v>
      </c>
      <c r="K75" s="6">
        <v>76840</v>
      </c>
    </row>
    <row r="76" spans="1:30" s="23" customFormat="1" x14ac:dyDescent="0.2">
      <c r="A76" s="20" t="s">
        <v>39</v>
      </c>
      <c r="B76" s="21"/>
      <c r="C76" s="21">
        <f>C69-B69</f>
        <v>-400897.85100000072</v>
      </c>
      <c r="D76" s="21">
        <f t="shared" ref="D76:K76" si="13">D69-C69</f>
        <v>2757062.4485000009</v>
      </c>
      <c r="E76" s="21">
        <f t="shared" si="13"/>
        <v>362369.61916666757</v>
      </c>
      <c r="F76" s="21">
        <f>F69-E69</f>
        <v>360927.2231333321</v>
      </c>
      <c r="G76" s="21">
        <f>G69-F69+6150000</f>
        <v>517502.4748999998</v>
      </c>
      <c r="H76" s="21">
        <f>H69-G69+270000</f>
        <v>43132.313600000227</v>
      </c>
      <c r="I76" s="21">
        <f>I69-H69</f>
        <v>74850.342699999921</v>
      </c>
      <c r="J76" s="21">
        <f t="shared" si="13"/>
        <v>-381979.67100000009</v>
      </c>
      <c r="K76" s="21">
        <f t="shared" si="13"/>
        <v>250828.28000000003</v>
      </c>
      <c r="L76" s="21"/>
      <c r="M76" s="21"/>
      <c r="N76" s="21"/>
      <c r="O76" s="21"/>
      <c r="P76" s="22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 x14ac:dyDescent="0.2">
      <c r="A77" s="1" t="s">
        <v>41</v>
      </c>
      <c r="B77" s="5"/>
      <c r="C77" s="5">
        <f t="shared" ref="C77:K77" si="14">C76+C30</f>
        <v>-598297.85100000072</v>
      </c>
      <c r="D77" s="5">
        <f t="shared" si="14"/>
        <v>2828662.4485000009</v>
      </c>
      <c r="E77" s="5">
        <f t="shared" si="14"/>
        <v>153969.61916666757</v>
      </c>
      <c r="F77" s="5">
        <f t="shared" si="14"/>
        <v>152527.2231333321</v>
      </c>
      <c r="G77" s="5">
        <f>G76+G30-6150000</f>
        <v>19102.474899999797</v>
      </c>
      <c r="H77" s="5">
        <f t="shared" si="14"/>
        <v>149897.31360000023</v>
      </c>
      <c r="I77" s="5">
        <f>I76+I30</f>
        <v>27670.342699999921</v>
      </c>
      <c r="J77" s="5">
        <f t="shared" si="14"/>
        <v>75248.328999999911</v>
      </c>
      <c r="K77" s="5">
        <f t="shared" si="14"/>
        <v>177226.28000000003</v>
      </c>
    </row>
    <row r="78" spans="1:30" hidden="1" x14ac:dyDescent="0.2">
      <c r="B78" s="5"/>
      <c r="C78" s="5"/>
      <c r="D78" s="5"/>
      <c r="E78" s="5"/>
      <c r="F78" s="5"/>
      <c r="G78" s="5"/>
      <c r="H78" s="10"/>
      <c r="I78" s="12"/>
      <c r="J78" s="12"/>
      <c r="K78" s="5"/>
    </row>
    <row r="79" spans="1:30" hidden="1" x14ac:dyDescent="0.2">
      <c r="A79" s="7" t="s">
        <v>50</v>
      </c>
      <c r="B79" s="5">
        <v>302947</v>
      </c>
      <c r="C79" s="5">
        <f>311102</f>
        <v>311102</v>
      </c>
      <c r="D79" s="5">
        <f>C79</f>
        <v>311102</v>
      </c>
      <c r="E79" s="5"/>
      <c r="F79" s="5"/>
      <c r="G79" s="5"/>
      <c r="H79" s="12"/>
      <c r="I79" s="12"/>
      <c r="J79" s="12"/>
      <c r="K79" s="5"/>
    </row>
    <row r="80" spans="1:30" hidden="1" x14ac:dyDescent="0.2">
      <c r="A80" s="1" t="s">
        <v>69</v>
      </c>
      <c r="B80" s="5">
        <f>16000*(3+12+3)</f>
        <v>288000</v>
      </c>
      <c r="C80" s="5">
        <f>B80+16000</f>
        <v>304000</v>
      </c>
      <c r="D80" s="5">
        <f>C80</f>
        <v>304000</v>
      </c>
      <c r="E80" s="5"/>
      <c r="F80" s="5"/>
      <c r="G80" s="5"/>
      <c r="H80" s="10"/>
      <c r="I80" s="12"/>
      <c r="J80" s="12"/>
      <c r="K80" s="5"/>
    </row>
    <row r="81" spans="1:11" x14ac:dyDescent="0.2">
      <c r="B81" s="5"/>
      <c r="C81" s="5"/>
      <c r="D81" s="5"/>
      <c r="E81" s="5"/>
      <c r="F81" s="5"/>
      <c r="G81" s="5"/>
      <c r="H81" s="10"/>
      <c r="I81" s="12"/>
      <c r="J81" s="12"/>
      <c r="K81" s="5"/>
    </row>
    <row r="82" spans="1:11" hidden="1" x14ac:dyDescent="0.2">
      <c r="A82" s="1" t="s">
        <v>70</v>
      </c>
      <c r="B82" s="5"/>
      <c r="C82" s="5">
        <f>C50+C53</f>
        <v>3183387.5654999996</v>
      </c>
      <c r="D82" s="5">
        <f>D50+D53+D79-275000</f>
        <v>6036897.9621000001</v>
      </c>
      <c r="E82" s="5">
        <f>E50+E53+E79-275000</f>
        <v>6162934.2481666673</v>
      </c>
      <c r="F82" s="5">
        <f>F50+F53+F79-275000</f>
        <v>6381029.0197999999</v>
      </c>
      <c r="G82" s="5"/>
      <c r="H82" s="10"/>
      <c r="I82" s="5"/>
      <c r="J82" s="12"/>
      <c r="K82" s="5"/>
    </row>
    <row r="83" spans="1:11" hidden="1" x14ac:dyDescent="0.2">
      <c r="D83" s="5">
        <f>D82-D46*D71-275000</f>
        <v>5423437.9621000001</v>
      </c>
      <c r="E83" s="5">
        <f>E82-E46*E71-275000</f>
        <v>5521034.2481666673</v>
      </c>
      <c r="F83" s="5">
        <f>F82-F46*F71-275000</f>
        <v>5742549.0197999999</v>
      </c>
    </row>
    <row r="84" spans="1:11" hidden="1" x14ac:dyDescent="0.2"/>
    <row r="85" spans="1:11" hidden="1" x14ac:dyDescent="0.2">
      <c r="A85" s="1" t="s">
        <v>73</v>
      </c>
      <c r="D85" s="1">
        <f>2600+1260</f>
        <v>3860</v>
      </c>
      <c r="E85" s="1">
        <f>2618+1269</f>
        <v>3887</v>
      </c>
      <c r="F85" s="1">
        <v>3905</v>
      </c>
    </row>
    <row r="86" spans="1:11" hidden="1" x14ac:dyDescent="0.2">
      <c r="A86" s="1" t="s">
        <v>80</v>
      </c>
      <c r="D86" s="1">
        <v>1100</v>
      </c>
      <c r="E86" s="1">
        <v>1108</v>
      </c>
      <c r="F86" s="1">
        <v>1115</v>
      </c>
    </row>
    <row r="87" spans="1:11" hidden="1" x14ac:dyDescent="0.2">
      <c r="A87" s="1" t="s">
        <v>81</v>
      </c>
      <c r="D87" s="1">
        <v>350</v>
      </c>
      <c r="E87" s="1">
        <v>347</v>
      </c>
      <c r="F87" s="1">
        <v>319</v>
      </c>
    </row>
    <row r="88" spans="1:11" hidden="1" x14ac:dyDescent="0.2">
      <c r="A88" s="1" t="s">
        <v>74</v>
      </c>
      <c r="D88" s="1">
        <v>296</v>
      </c>
      <c r="E88" s="1">
        <v>269</v>
      </c>
      <c r="F88" s="1">
        <v>520</v>
      </c>
    </row>
    <row r="89" spans="1:11" hidden="1" x14ac:dyDescent="0.2">
      <c r="A89" s="1" t="s">
        <v>82</v>
      </c>
      <c r="F89" s="1">
        <v>160</v>
      </c>
    </row>
    <row r="90" spans="1:11" hidden="1" x14ac:dyDescent="0.2">
      <c r="D90" s="1">
        <f>SUM(D85:D88)</f>
        <v>5606</v>
      </c>
      <c r="E90" s="1">
        <f>SUM(E85:E88)</f>
        <v>5611</v>
      </c>
      <c r="F90" s="1">
        <f>SUM(F85:F89)</f>
        <v>6019</v>
      </c>
    </row>
    <row r="91" spans="1:11" x14ac:dyDescent="0.2">
      <c r="A91" s="1" t="s">
        <v>86</v>
      </c>
      <c r="G91" s="5">
        <v>-3000000</v>
      </c>
      <c r="H91" s="5">
        <v>-2730000</v>
      </c>
      <c r="I91" s="12">
        <v>-2630000</v>
      </c>
      <c r="J91" s="12">
        <v>-2600000</v>
      </c>
      <c r="K91" s="5">
        <v>-2530000</v>
      </c>
    </row>
    <row r="92" spans="1:11" x14ac:dyDescent="0.2">
      <c r="A92" s="1" t="s">
        <v>87</v>
      </c>
      <c r="G92" s="5">
        <f>G69+G91</f>
        <v>-1145013.5853000002</v>
      </c>
      <c r="H92" s="5">
        <f>H69+H91</f>
        <v>-1101881.2716999999</v>
      </c>
      <c r="I92" s="5">
        <f>I69+I91</f>
        <v>-927030.929</v>
      </c>
      <c r="J92" s="5">
        <f>J69+J91</f>
        <v>-1279010.6000000001</v>
      </c>
      <c r="K92" s="5">
        <f>K69+K91</f>
        <v>-958182.32000000007</v>
      </c>
    </row>
    <row r="93" spans="1:11" x14ac:dyDescent="0.2">
      <c r="J93" s="12"/>
    </row>
  </sheetData>
  <pageMargins left="0.7" right="0.7" top="0.75" bottom="0.75" header="0.3" footer="0.3"/>
  <pageSetup paperSize="9" scale="69" fitToHeight="0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58"/>
  <sheetViews>
    <sheetView workbookViewId="0">
      <pane xSplit="1" ySplit="1" topLeftCell="B12" activePane="bottomRight" state="frozen"/>
      <selection pane="topRight" activeCell="B1" sqref="B1"/>
      <selection pane="bottomLeft" activeCell="A3" sqref="A3"/>
      <selection pane="bottomRight" activeCell="A20" sqref="A20"/>
    </sheetView>
  </sheetViews>
  <sheetFormatPr defaultColWidth="9.140625" defaultRowHeight="12.75" x14ac:dyDescent="0.2"/>
  <cols>
    <col min="1" max="1" width="23.85546875" style="1" customWidth="1"/>
    <col min="2" max="2" width="9.140625" style="1" customWidth="1"/>
    <col min="3" max="5" width="9.28515625" style="1" bestFit="1" customWidth="1"/>
    <col min="6" max="6" width="9.28515625" style="2" bestFit="1" customWidth="1"/>
    <col min="7" max="8" width="9.28515625" style="3" bestFit="1" customWidth="1"/>
    <col min="9" max="9" width="9.28515625" style="1" bestFit="1" customWidth="1"/>
    <col min="10" max="10" width="9.42578125" style="2" bestFit="1" customWidth="1"/>
    <col min="11" max="15" width="9.140625" style="1"/>
    <col min="16" max="16" width="9.140625" style="2"/>
    <col min="17" max="17" width="9.140625" style="4"/>
    <col min="18" max="16384" width="9.140625" style="1"/>
  </cols>
  <sheetData>
    <row r="1" spans="1:31" s="2" customFormat="1" x14ac:dyDescent="0.2">
      <c r="A1" s="2" t="s">
        <v>0</v>
      </c>
      <c r="C1" s="9">
        <v>44348</v>
      </c>
      <c r="D1" s="9">
        <v>44378</v>
      </c>
      <c r="E1" s="9">
        <v>44409</v>
      </c>
      <c r="F1" s="9">
        <v>44440</v>
      </c>
      <c r="G1" s="9">
        <v>44470</v>
      </c>
      <c r="H1" s="9">
        <v>44501</v>
      </c>
      <c r="I1" s="9">
        <v>44531</v>
      </c>
      <c r="J1" s="8">
        <v>2021</v>
      </c>
      <c r="Q1" s="4"/>
    </row>
    <row r="2" spans="1:31" x14ac:dyDescent="0.2">
      <c r="A2" s="7" t="s">
        <v>3</v>
      </c>
      <c r="B2" s="7"/>
      <c r="C2" s="5">
        <v>99429</v>
      </c>
      <c r="D2" s="5">
        <v>174000</v>
      </c>
      <c r="E2" s="5">
        <v>174000</v>
      </c>
      <c r="F2" s="5">
        <v>174000</v>
      </c>
      <c r="G2" s="5">
        <f>174000+261000</f>
        <v>435000</v>
      </c>
      <c r="H2" s="5">
        <v>174000</v>
      </c>
      <c r="I2" s="5">
        <v>174000</v>
      </c>
      <c r="J2" s="10">
        <f>SUM(C2:I2)</f>
        <v>1404429</v>
      </c>
      <c r="K2" s="5"/>
      <c r="L2" s="5"/>
      <c r="M2" s="5"/>
      <c r="N2" s="5"/>
      <c r="O2" s="5"/>
      <c r="P2" s="10"/>
      <c r="Q2" s="11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x14ac:dyDescent="0.2">
      <c r="A3" s="7" t="s">
        <v>4</v>
      </c>
      <c r="B3" s="7"/>
      <c r="C3" s="5">
        <f>100000-22500+13000-7000</f>
        <v>83500</v>
      </c>
      <c r="D3" s="5">
        <v>86840</v>
      </c>
      <c r="E3" s="5">
        <v>100000</v>
      </c>
      <c r="F3" s="5">
        <v>100000</v>
      </c>
      <c r="G3" s="5">
        <f>85357+22500</f>
        <v>107857</v>
      </c>
      <c r="H3" s="5">
        <v>100000</v>
      </c>
      <c r="I3" s="5">
        <f>100000+15000+50000</f>
        <v>165000</v>
      </c>
      <c r="J3" s="10">
        <f t="shared" ref="J3:J26" si="0">SUM(C3:I3)</f>
        <v>743197</v>
      </c>
      <c r="K3" s="5"/>
      <c r="L3" s="5"/>
      <c r="M3" s="5"/>
      <c r="N3" s="5"/>
      <c r="O3" s="5"/>
      <c r="P3" s="10"/>
      <c r="Q3" s="11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x14ac:dyDescent="0.2">
      <c r="A4" s="7" t="s">
        <v>1</v>
      </c>
      <c r="B4" s="7"/>
      <c r="C4" s="5">
        <v>600</v>
      </c>
      <c r="D4" s="5">
        <v>600</v>
      </c>
      <c r="E4" s="5">
        <v>600</v>
      </c>
      <c r="F4" s="5">
        <v>600</v>
      </c>
      <c r="G4" s="5">
        <v>600</v>
      </c>
      <c r="H4" s="5">
        <v>600</v>
      </c>
      <c r="I4" s="5">
        <v>600</v>
      </c>
      <c r="J4" s="10">
        <f t="shared" si="0"/>
        <v>4200</v>
      </c>
      <c r="K4" s="5"/>
      <c r="L4" s="5"/>
      <c r="M4" s="5"/>
      <c r="N4" s="5"/>
      <c r="O4" s="5"/>
      <c r="P4" s="10"/>
      <c r="Q4" s="1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s="2" customFormat="1" x14ac:dyDescent="0.2">
      <c r="A5" s="9" t="s">
        <v>34</v>
      </c>
      <c r="B5" s="9"/>
      <c r="C5" s="10">
        <f>SUM(C2:C4)</f>
        <v>183529</v>
      </c>
      <c r="D5" s="10">
        <f t="shared" ref="D5:J5" si="1">SUM(D2:D4)</f>
        <v>261440</v>
      </c>
      <c r="E5" s="10">
        <f t="shared" si="1"/>
        <v>274600</v>
      </c>
      <c r="F5" s="10">
        <f t="shared" si="1"/>
        <v>274600</v>
      </c>
      <c r="G5" s="10">
        <f t="shared" si="1"/>
        <v>543457</v>
      </c>
      <c r="H5" s="10">
        <f t="shared" si="1"/>
        <v>274600</v>
      </c>
      <c r="I5" s="10">
        <f t="shared" si="1"/>
        <v>339600</v>
      </c>
      <c r="J5" s="10">
        <f t="shared" si="1"/>
        <v>2151826</v>
      </c>
      <c r="K5" s="10"/>
      <c r="L5" s="10"/>
      <c r="M5" s="10"/>
      <c r="N5" s="10"/>
      <c r="O5" s="10"/>
      <c r="P5" s="10"/>
      <c r="Q5" s="11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7" t="s">
        <v>11</v>
      </c>
      <c r="B6" s="7"/>
      <c r="C6" s="12">
        <f>-15*2000</f>
        <v>-30000</v>
      </c>
      <c r="D6" s="5">
        <f>-31*1800</f>
        <v>-55800</v>
      </c>
      <c r="E6" s="5">
        <f>-31*1500</f>
        <v>-46500</v>
      </c>
      <c r="F6" s="5">
        <f>-30*1500</f>
        <v>-45000</v>
      </c>
      <c r="G6" s="5">
        <f>-31*1500</f>
        <v>-46500</v>
      </c>
      <c r="H6" s="5">
        <f>-30*1500</f>
        <v>-45000</v>
      </c>
      <c r="I6" s="5">
        <f>-31*1500</f>
        <v>-46500</v>
      </c>
      <c r="J6" s="10">
        <f t="shared" si="0"/>
        <v>-315300</v>
      </c>
      <c r="K6" s="5"/>
      <c r="L6" s="5"/>
      <c r="M6" s="5"/>
      <c r="N6" s="5"/>
      <c r="O6" s="5"/>
      <c r="P6" s="10"/>
      <c r="Q6" s="11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2">
      <c r="A7" s="7" t="s">
        <v>43</v>
      </c>
      <c r="B7" s="7"/>
      <c r="C7" s="12">
        <v>-12127</v>
      </c>
      <c r="D7" s="5"/>
      <c r="E7" s="5"/>
      <c r="F7" s="5">
        <v>-5000</v>
      </c>
      <c r="G7" s="5">
        <f>-41000</f>
        <v>-41000</v>
      </c>
      <c r="H7" s="5">
        <v>-10000</v>
      </c>
      <c r="I7" s="5">
        <v>-10000</v>
      </c>
      <c r="J7" s="10">
        <f t="shared" si="0"/>
        <v>-78127</v>
      </c>
      <c r="K7" s="5"/>
      <c r="L7" s="5"/>
      <c r="M7" s="5"/>
      <c r="N7" s="5"/>
      <c r="O7" s="5"/>
      <c r="P7" s="10"/>
      <c r="Q7" s="11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2">
      <c r="A8" s="7" t="s">
        <v>24</v>
      </c>
      <c r="B8" s="7"/>
      <c r="C8" s="12">
        <f>-1400-3000-700</f>
        <v>-5100</v>
      </c>
      <c r="D8" s="5">
        <v>-1400</v>
      </c>
      <c r="E8" s="5">
        <v>-800</v>
      </c>
      <c r="F8" s="5">
        <f>-1400-800-1700</f>
        <v>-3900</v>
      </c>
      <c r="G8" s="5">
        <f>-1400-800</f>
        <v>-2200</v>
      </c>
      <c r="H8" s="5">
        <f>-1400-800</f>
        <v>-2200</v>
      </c>
      <c r="I8" s="5">
        <f>E8</f>
        <v>-800</v>
      </c>
      <c r="J8" s="10">
        <f t="shared" si="0"/>
        <v>-16400</v>
      </c>
      <c r="K8" s="5"/>
      <c r="L8" s="5"/>
      <c r="M8" s="5"/>
      <c r="N8" s="5"/>
      <c r="O8" s="5"/>
      <c r="P8" s="10"/>
      <c r="Q8" s="11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2">
      <c r="A9" s="7" t="s">
        <v>32</v>
      </c>
      <c r="B9" s="7"/>
      <c r="C9" s="12"/>
      <c r="D9" s="5"/>
      <c r="E9" s="5"/>
      <c r="F9" s="5">
        <v>-10000</v>
      </c>
      <c r="G9" s="5"/>
      <c r="H9" s="5"/>
      <c r="I9" s="5"/>
      <c r="J9" s="10">
        <f t="shared" si="0"/>
        <v>-10000</v>
      </c>
      <c r="K9" s="5"/>
      <c r="L9" s="5"/>
      <c r="M9" s="5"/>
      <c r="N9" s="5"/>
      <c r="O9" s="5"/>
      <c r="P9" s="10"/>
      <c r="Q9" s="11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x14ac:dyDescent="0.2">
      <c r="A10" s="7" t="s">
        <v>12</v>
      </c>
      <c r="B10" s="7"/>
      <c r="C10" s="12">
        <v>-100</v>
      </c>
      <c r="D10" s="5"/>
      <c r="E10" s="5"/>
      <c r="F10" s="5">
        <f>-20*42*4</f>
        <v>-3360</v>
      </c>
      <c r="G10" s="5">
        <f>-20*42*4</f>
        <v>-3360</v>
      </c>
      <c r="H10" s="5">
        <f>-20*42*4</f>
        <v>-3360</v>
      </c>
      <c r="I10" s="5">
        <f>-20*42*4+120</f>
        <v>-3240</v>
      </c>
      <c r="J10" s="10">
        <f t="shared" si="0"/>
        <v>-13420</v>
      </c>
      <c r="K10" s="5"/>
      <c r="L10" s="5"/>
      <c r="M10" s="5"/>
      <c r="N10" s="5"/>
      <c r="O10" s="5"/>
      <c r="P10" s="10"/>
      <c r="Q10" s="11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x14ac:dyDescent="0.2">
      <c r="A11" s="7" t="s">
        <v>18</v>
      </c>
      <c r="B11" s="7"/>
      <c r="C11" s="12">
        <v>-6000</v>
      </c>
      <c r="D11" s="5">
        <f>-5000-4500-5000</f>
        <v>-14500</v>
      </c>
      <c r="E11" s="5">
        <v>-10000</v>
      </c>
      <c r="F11" s="5">
        <v>-10000</v>
      </c>
      <c r="G11" s="5">
        <v>-10000</v>
      </c>
      <c r="H11" s="5">
        <v>-5000</v>
      </c>
      <c r="I11" s="5">
        <v>-5000</v>
      </c>
      <c r="J11" s="10">
        <f t="shared" si="0"/>
        <v>-60500</v>
      </c>
      <c r="K11" s="5"/>
      <c r="L11" s="5"/>
      <c r="M11" s="5"/>
      <c r="N11" s="5"/>
      <c r="O11" s="5"/>
      <c r="P11" s="10"/>
      <c r="Q11" s="11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2">
      <c r="A12" s="7" t="s">
        <v>33</v>
      </c>
      <c r="B12" s="7"/>
      <c r="C12" s="12">
        <v>-3000</v>
      </c>
      <c r="D12" s="5">
        <v>-5000</v>
      </c>
      <c r="E12" s="5">
        <v>-10000</v>
      </c>
      <c r="F12" s="5">
        <v>-5000</v>
      </c>
      <c r="G12" s="5">
        <f>F12</f>
        <v>-5000</v>
      </c>
      <c r="H12" s="5">
        <v>-4000</v>
      </c>
      <c r="I12" s="5">
        <v>-10000</v>
      </c>
      <c r="J12" s="10">
        <f t="shared" si="0"/>
        <v>-42000</v>
      </c>
      <c r="K12" s="5"/>
      <c r="L12" s="5"/>
      <c r="M12" s="5"/>
      <c r="N12" s="5"/>
      <c r="O12" s="5"/>
      <c r="P12" s="10"/>
      <c r="Q12" s="11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2">
      <c r="A13" s="7" t="s">
        <v>2</v>
      </c>
      <c r="B13" s="7"/>
      <c r="C13" s="12">
        <v>-6000</v>
      </c>
      <c r="D13" s="5">
        <v>-6000</v>
      </c>
      <c r="E13" s="5">
        <v>-6000</v>
      </c>
      <c r="F13" s="5">
        <v>-6000</v>
      </c>
      <c r="G13" s="5">
        <v>-6000</v>
      </c>
      <c r="H13" s="5">
        <v>-6000</v>
      </c>
      <c r="I13" s="5">
        <v>-6000</v>
      </c>
      <c r="J13" s="10">
        <f t="shared" si="0"/>
        <v>-42000</v>
      </c>
      <c r="K13" s="5"/>
      <c r="L13" s="5"/>
      <c r="M13" s="5"/>
      <c r="N13" s="5"/>
      <c r="O13" s="5"/>
      <c r="P13" s="10"/>
      <c r="Q13" s="11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x14ac:dyDescent="0.2">
      <c r="A14" s="7" t="s">
        <v>5</v>
      </c>
      <c r="B14" s="7"/>
      <c r="C14" s="12">
        <v>-3000</v>
      </c>
      <c r="D14" s="5">
        <v>-3000</v>
      </c>
      <c r="E14" s="5">
        <v>-3000</v>
      </c>
      <c r="F14" s="5">
        <v>-3000</v>
      </c>
      <c r="G14" s="5">
        <v>-6000</v>
      </c>
      <c r="H14" s="5">
        <v>-6000</v>
      </c>
      <c r="I14" s="5">
        <v>-6000</v>
      </c>
      <c r="J14" s="10">
        <f t="shared" si="0"/>
        <v>-30000</v>
      </c>
      <c r="K14" s="5"/>
      <c r="L14" s="5"/>
      <c r="M14" s="5"/>
      <c r="N14" s="5"/>
      <c r="O14" s="5"/>
      <c r="P14" s="10"/>
      <c r="Q14" s="11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s="17" customFormat="1" x14ac:dyDescent="0.2">
      <c r="A15" s="13" t="s">
        <v>30</v>
      </c>
      <c r="B15" s="13"/>
      <c r="C15" s="19">
        <f>-840*14</f>
        <v>-11760</v>
      </c>
      <c r="D15" s="14">
        <f>-(840+318)*14</f>
        <v>-16212</v>
      </c>
      <c r="E15" s="14">
        <f>D15</f>
        <v>-16212</v>
      </c>
      <c r="F15" s="14">
        <f>D15</f>
        <v>-16212</v>
      </c>
      <c r="G15" s="14">
        <f>D15-60000</f>
        <v>-76212</v>
      </c>
      <c r="H15" s="14">
        <f>D15</f>
        <v>-16212</v>
      </c>
      <c r="I15" s="14">
        <f>D15</f>
        <v>-16212</v>
      </c>
      <c r="J15" s="15">
        <f t="shared" si="0"/>
        <v>-169032</v>
      </c>
      <c r="K15" s="14"/>
      <c r="L15" s="14"/>
      <c r="M15" s="14"/>
      <c r="N15" s="14"/>
      <c r="O15" s="14"/>
      <c r="P15" s="15"/>
      <c r="Q15" s="16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 spans="1:31" x14ac:dyDescent="0.2">
      <c r="A16" s="7" t="s">
        <v>36</v>
      </c>
      <c r="B16" s="7"/>
      <c r="C16" s="12"/>
      <c r="D16" s="5"/>
      <c r="E16" s="5"/>
      <c r="F16" s="5"/>
      <c r="G16" s="5">
        <v>-10000</v>
      </c>
      <c r="H16" s="5">
        <v>-10000</v>
      </c>
      <c r="I16" s="5">
        <v>-10000</v>
      </c>
      <c r="J16" s="10">
        <f t="shared" si="0"/>
        <v>-30000</v>
      </c>
      <c r="K16" s="5"/>
      <c r="L16" s="5"/>
      <c r="M16" s="5"/>
      <c r="N16" s="5"/>
      <c r="O16" s="5"/>
      <c r="P16" s="10"/>
      <c r="Q16" s="11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x14ac:dyDescent="0.2">
      <c r="A17" s="7" t="s">
        <v>42</v>
      </c>
      <c r="B17" s="7"/>
      <c r="C17" s="12">
        <v>-2000</v>
      </c>
      <c r="D17" s="12">
        <v>-2000</v>
      </c>
      <c r="E17" s="12">
        <v>-2000</v>
      </c>
      <c r="F17" s="12">
        <v>-2000</v>
      </c>
      <c r="G17" s="12">
        <v>-2000</v>
      </c>
      <c r="H17" s="12">
        <v>-2000</v>
      </c>
      <c r="I17" s="12">
        <v>-2000</v>
      </c>
      <c r="J17" s="10">
        <f t="shared" si="0"/>
        <v>-14000</v>
      </c>
      <c r="K17" s="5"/>
      <c r="L17" s="5"/>
      <c r="M17" s="5"/>
      <c r="N17" s="5"/>
      <c r="O17" s="5"/>
      <c r="P17" s="10"/>
      <c r="Q17" s="11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7" t="s">
        <v>14</v>
      </c>
      <c r="B18" s="7"/>
      <c r="C18" s="12">
        <f>-9000-3000-3700</f>
        <v>-15700</v>
      </c>
      <c r="D18" s="5">
        <f>-5000-3500*2-1750</f>
        <v>-13750</v>
      </c>
      <c r="E18" s="5">
        <v>-25000</v>
      </c>
      <c r="F18" s="5">
        <v>-5000</v>
      </c>
      <c r="G18" s="5">
        <v>-5000</v>
      </c>
      <c r="H18" s="5">
        <v>-5000</v>
      </c>
      <c r="I18" s="5">
        <f>-65000-5000</f>
        <v>-70000</v>
      </c>
      <c r="J18" s="10">
        <f t="shared" si="0"/>
        <v>-139450</v>
      </c>
      <c r="K18" s="5"/>
      <c r="L18" s="5"/>
      <c r="M18" s="5"/>
      <c r="N18" s="5"/>
      <c r="O18" s="5"/>
      <c r="P18" s="10"/>
      <c r="Q18" s="11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7" t="s">
        <v>6</v>
      </c>
      <c r="B19" s="7"/>
      <c r="C19" s="12"/>
      <c r="D19" s="5"/>
      <c r="E19" s="5"/>
      <c r="F19" s="5"/>
      <c r="G19" s="5"/>
      <c r="H19" s="5">
        <f>-3668*2</f>
        <v>-7336</v>
      </c>
      <c r="I19" s="5"/>
      <c r="J19" s="10">
        <f t="shared" si="0"/>
        <v>-7336</v>
      </c>
      <c r="K19" s="5"/>
      <c r="L19" s="5"/>
      <c r="M19" s="5"/>
      <c r="N19" s="5"/>
      <c r="O19" s="5"/>
      <c r="P19" s="10"/>
      <c r="Q19" s="11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7" t="s">
        <v>8</v>
      </c>
      <c r="B20" s="7"/>
      <c r="C20" s="10"/>
      <c r="D20" s="5"/>
      <c r="E20" s="5"/>
      <c r="F20" s="5"/>
      <c r="G20" s="5"/>
      <c r="H20" s="5">
        <f>-919*1.1</f>
        <v>-1010.9000000000001</v>
      </c>
      <c r="I20" s="5"/>
      <c r="J20" s="10">
        <f t="shared" si="0"/>
        <v>-1010.9000000000001</v>
      </c>
      <c r="K20" s="5"/>
      <c r="L20" s="5"/>
      <c r="M20" s="5"/>
      <c r="N20" s="5"/>
      <c r="O20" s="5"/>
      <c r="P20" s="10"/>
      <c r="Q20" s="11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7" t="s">
        <v>7</v>
      </c>
      <c r="B21" s="7"/>
      <c r="C21" s="10"/>
      <c r="D21" s="5"/>
      <c r="E21" s="5"/>
      <c r="F21" s="5"/>
      <c r="G21" s="5"/>
      <c r="H21" s="5">
        <f>-2226*1.1</f>
        <v>-2448.6000000000004</v>
      </c>
      <c r="I21" s="5"/>
      <c r="J21" s="10">
        <f t="shared" si="0"/>
        <v>-2448.6000000000004</v>
      </c>
      <c r="K21" s="5"/>
      <c r="L21" s="5"/>
      <c r="M21" s="5"/>
      <c r="N21" s="5"/>
      <c r="O21" s="5"/>
      <c r="P21" s="10"/>
      <c r="Q21" s="11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7" t="s">
        <v>9</v>
      </c>
      <c r="B22" s="7"/>
      <c r="C22" s="10"/>
      <c r="D22" s="5"/>
      <c r="E22" s="5"/>
      <c r="F22" s="5"/>
      <c r="G22" s="5"/>
      <c r="H22" s="5">
        <v>-14250</v>
      </c>
      <c r="I22" s="5"/>
      <c r="J22" s="10">
        <f t="shared" si="0"/>
        <v>-14250</v>
      </c>
      <c r="K22" s="5"/>
      <c r="L22" s="5"/>
      <c r="M22" s="5"/>
      <c r="N22" s="5"/>
      <c r="O22" s="5"/>
      <c r="P22" s="10"/>
      <c r="Q22" s="11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7" t="s">
        <v>10</v>
      </c>
      <c r="B23" s="7"/>
      <c r="C23" s="10"/>
      <c r="D23" s="5"/>
      <c r="E23" s="5"/>
      <c r="F23" s="5"/>
      <c r="G23" s="5"/>
      <c r="H23" s="5"/>
      <c r="I23" s="5"/>
      <c r="J23" s="10">
        <f t="shared" si="0"/>
        <v>0</v>
      </c>
      <c r="K23" s="5"/>
      <c r="L23" s="5"/>
      <c r="M23" s="5"/>
      <c r="N23" s="5"/>
      <c r="O23" s="5"/>
      <c r="P23" s="10"/>
      <c r="Q23" s="11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s="2" customFormat="1" x14ac:dyDescent="0.2">
      <c r="A24" s="9" t="s">
        <v>35</v>
      </c>
      <c r="B24" s="9"/>
      <c r="C24" s="10">
        <f>SUM(C6:C23)</f>
        <v>-94787</v>
      </c>
      <c r="D24" s="10">
        <f t="shared" ref="D24:J24" si="2">SUM(D6:D23)</f>
        <v>-117662</v>
      </c>
      <c r="E24" s="10">
        <f t="shared" si="2"/>
        <v>-119512</v>
      </c>
      <c r="F24" s="10">
        <f t="shared" si="2"/>
        <v>-114472</v>
      </c>
      <c r="G24" s="10">
        <f t="shared" si="2"/>
        <v>-213272</v>
      </c>
      <c r="H24" s="10">
        <f t="shared" si="2"/>
        <v>-139817.5</v>
      </c>
      <c r="I24" s="10">
        <f>SUM(I6:I23)</f>
        <v>-185752</v>
      </c>
      <c r="J24" s="10">
        <f t="shared" si="2"/>
        <v>-985274.5</v>
      </c>
      <c r="K24" s="10"/>
      <c r="L24" s="10"/>
      <c r="M24" s="10"/>
      <c r="N24" s="10"/>
      <c r="O24" s="10"/>
      <c r="P24" s="10"/>
      <c r="Q24" s="11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s="23" customFormat="1" x14ac:dyDescent="0.2">
      <c r="A25" s="20" t="s">
        <v>13</v>
      </c>
      <c r="B25" s="20"/>
      <c r="C25" s="21">
        <v>-100000</v>
      </c>
      <c r="D25" s="21">
        <v>-143000</v>
      </c>
      <c r="E25" s="21">
        <v>-155000</v>
      </c>
      <c r="F25" s="21">
        <v>-160000</v>
      </c>
      <c r="G25" s="21">
        <f>-155000-170000</f>
        <v>-325000</v>
      </c>
      <c r="H25" s="21">
        <v>-135000</v>
      </c>
      <c r="I25" s="21">
        <v>-150000</v>
      </c>
      <c r="J25" s="21">
        <f t="shared" si="0"/>
        <v>-1168000</v>
      </c>
      <c r="K25" s="21"/>
      <c r="L25" s="21"/>
      <c r="M25" s="21"/>
      <c r="N25" s="21"/>
      <c r="O25" s="21"/>
      <c r="P25" s="21"/>
      <c r="Q25" s="22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 spans="1:31" x14ac:dyDescent="0.2">
      <c r="A26" s="7" t="s">
        <v>25</v>
      </c>
      <c r="B26" s="5">
        <f>3800+250+8325.02+549.53</f>
        <v>12924.550000000001</v>
      </c>
      <c r="C26" s="5">
        <f>C5+C24+C25+B26</f>
        <v>1666.5500000000011</v>
      </c>
      <c r="D26" s="5">
        <f t="shared" ref="D26:I26" si="3">D5+D24+D25</f>
        <v>778</v>
      </c>
      <c r="E26" s="5">
        <f t="shared" si="3"/>
        <v>88</v>
      </c>
      <c r="F26" s="5">
        <f t="shared" si="3"/>
        <v>128</v>
      </c>
      <c r="G26" s="5">
        <f t="shared" si="3"/>
        <v>5185</v>
      </c>
      <c r="H26" s="5">
        <f t="shared" si="3"/>
        <v>-217.5</v>
      </c>
      <c r="I26" s="5">
        <f t="shared" si="3"/>
        <v>3848</v>
      </c>
      <c r="J26" s="10">
        <f t="shared" si="0"/>
        <v>11476.050000000001</v>
      </c>
      <c r="K26" s="5"/>
      <c r="L26" s="5"/>
      <c r="M26" s="5"/>
      <c r="N26" s="5"/>
      <c r="O26" s="5"/>
      <c r="P26" s="10"/>
      <c r="Q26" s="11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7" t="s">
        <v>26</v>
      </c>
      <c r="B27" s="7"/>
      <c r="C27" s="6">
        <f>-C25/C5</f>
        <v>0.54487301734330817</v>
      </c>
      <c r="D27" s="6">
        <f t="shared" ref="D27:I27" si="4">-D25/D5</f>
        <v>0.54697062423500609</v>
      </c>
      <c r="E27" s="6">
        <f t="shared" si="4"/>
        <v>0.56445739257101235</v>
      </c>
      <c r="F27" s="6">
        <f t="shared" si="4"/>
        <v>0.58266569555717407</v>
      </c>
      <c r="G27" s="6">
        <f t="shared" si="4"/>
        <v>0.59802339467519972</v>
      </c>
      <c r="H27" s="6">
        <f t="shared" si="4"/>
        <v>0.49162418062636565</v>
      </c>
      <c r="I27" s="6">
        <f t="shared" si="4"/>
        <v>0.44169611307420492</v>
      </c>
      <c r="J27" s="18"/>
      <c r="K27" s="5"/>
      <c r="L27" s="5"/>
      <c r="M27" s="5"/>
      <c r="N27" s="5"/>
      <c r="O27" s="5"/>
      <c r="P27" s="10"/>
      <c r="Q27" s="11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7"/>
      <c r="B28" s="7"/>
      <c r="C28" s="6"/>
      <c r="D28" s="6"/>
      <c r="E28" s="6"/>
      <c r="F28" s="6"/>
      <c r="G28" s="6"/>
      <c r="H28" s="6"/>
      <c r="I28" s="6"/>
      <c r="J28" s="18"/>
      <c r="K28" s="5"/>
      <c r="L28" s="5"/>
      <c r="M28" s="5"/>
      <c r="N28" s="5"/>
      <c r="O28" s="5"/>
      <c r="P28" s="10"/>
      <c r="Q28" s="11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s="2" customFormat="1" x14ac:dyDescent="0.2">
      <c r="A29" s="9" t="s">
        <v>15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7" t="s">
        <v>16</v>
      </c>
      <c r="B30" s="5">
        <v>1060226.8899999999</v>
      </c>
      <c r="C30" s="5">
        <f>-16809-3419</f>
        <v>-20228</v>
      </c>
      <c r="D30" s="5">
        <f>50000+75000+1950</f>
        <v>126950</v>
      </c>
      <c r="E30" s="5">
        <f>-10000+78000-26000-1000+78000</f>
        <v>119000</v>
      </c>
      <c r="F30" s="10">
        <f>-240-140-1900-73000-1300-10150-24000-219-700+80000-73000+7000+70000</f>
        <v>-27649</v>
      </c>
      <c r="G30" s="12">
        <f>80000-10000+262200-76000-1500-100000</f>
        <v>154700</v>
      </c>
      <c r="H30" s="12"/>
      <c r="I30" s="5">
        <v>251551</v>
      </c>
      <c r="J30" s="10">
        <f t="shared" ref="J30:J38" si="5">SUM(B30:I30)</f>
        <v>1664550.89</v>
      </c>
      <c r="K30" s="5"/>
      <c r="L30" s="5"/>
      <c r="M30" s="5"/>
      <c r="N30" s="5"/>
      <c r="O30" s="5"/>
      <c r="P30" s="10"/>
      <c r="Q30" s="11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A31" s="7" t="s">
        <v>37</v>
      </c>
      <c r="B31" s="5"/>
      <c r="C31" s="5">
        <f>(B30+C30)*4%/365*30</f>
        <v>3419.1744328767118</v>
      </c>
      <c r="D31" s="5">
        <v>3605.23</v>
      </c>
      <c r="E31" s="5">
        <v>4001.8</v>
      </c>
      <c r="F31" s="5">
        <v>4124.26</v>
      </c>
      <c r="G31" s="5">
        <v>4379.9399999999996</v>
      </c>
      <c r="H31" s="5">
        <f>SUM($B$30:G31)*4%/365*30</f>
        <v>4709.6886392313754</v>
      </c>
      <c r="I31" s="5">
        <v>5340.57</v>
      </c>
      <c r="J31" s="10">
        <f t="shared" si="5"/>
        <v>29580.663072108087</v>
      </c>
      <c r="K31" s="5">
        <f>C31*12</f>
        <v>41030.093194520538</v>
      </c>
      <c r="L31" s="5">
        <f>1000000*4.25%</f>
        <v>42500</v>
      </c>
      <c r="M31" s="5"/>
      <c r="N31" s="5"/>
      <c r="O31" s="5"/>
      <c r="P31" s="10"/>
      <c r="Q31" s="11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7" t="s">
        <v>17</v>
      </c>
      <c r="B32" s="5">
        <v>820000</v>
      </c>
      <c r="C32" s="5">
        <v>100000</v>
      </c>
      <c r="D32" s="5"/>
      <c r="E32" s="5"/>
      <c r="F32" s="10"/>
      <c r="G32" s="12">
        <f>-10000-1806.31</f>
        <v>-11806.31</v>
      </c>
      <c r="H32" s="12"/>
      <c r="I32" s="5">
        <v>73875</v>
      </c>
      <c r="J32" s="10">
        <f t="shared" si="5"/>
        <v>982068.69</v>
      </c>
      <c r="K32" s="5"/>
      <c r="L32" s="5"/>
      <c r="M32" s="5"/>
      <c r="N32" s="5"/>
      <c r="O32" s="5"/>
      <c r="P32" s="10"/>
      <c r="Q32" s="11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A33" s="7" t="s">
        <v>38</v>
      </c>
      <c r="B33" s="5"/>
      <c r="C33" s="5">
        <f>2138.19+602.31</f>
        <v>2740.5</v>
      </c>
      <c r="D33" s="5">
        <f>1465.48+2930.95</f>
        <v>4396.43</v>
      </c>
      <c r="E33" s="5">
        <f>3149.73+1574.86</f>
        <v>4724.59</v>
      </c>
      <c r="F33" s="5">
        <f>1498.95+2997.9</f>
        <v>4496.8500000000004</v>
      </c>
      <c r="G33" s="5">
        <f>3113.11+2334.83</f>
        <v>5447.9400000000005</v>
      </c>
      <c r="H33" s="5">
        <f>SUM($B$32:G33)*4%/365*30</f>
        <v>3057.5342465753415</v>
      </c>
      <c r="I33" s="5">
        <f>SUM($B$32:H33)*4%/365*30</f>
        <v>3067.5864139613432</v>
      </c>
      <c r="J33" s="10">
        <f t="shared" si="5"/>
        <v>27931.430660536687</v>
      </c>
      <c r="K33" s="5">
        <f>C33*12</f>
        <v>32886</v>
      </c>
      <c r="L33" s="5">
        <f>1000000*4.25%</f>
        <v>42500</v>
      </c>
      <c r="M33" s="5"/>
      <c r="N33" s="5"/>
      <c r="O33" s="5"/>
      <c r="P33" s="10"/>
      <c r="Q33" s="11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A34" s="7" t="s">
        <v>44</v>
      </c>
      <c r="B34" s="5">
        <v>150000</v>
      </c>
      <c r="C34" s="5"/>
      <c r="D34" s="5">
        <v>45000</v>
      </c>
      <c r="E34" s="5"/>
      <c r="F34" s="10"/>
      <c r="G34" s="12"/>
      <c r="H34" s="12"/>
      <c r="I34" s="5"/>
      <c r="J34" s="10">
        <f t="shared" si="5"/>
        <v>195000</v>
      </c>
      <c r="K34" s="5"/>
      <c r="L34" s="5"/>
      <c r="M34" s="5"/>
      <c r="N34" s="5"/>
      <c r="O34" s="5"/>
      <c r="P34" s="10"/>
      <c r="Q34" s="11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s="2" customFormat="1" x14ac:dyDescent="0.2">
      <c r="A35" s="9" t="s">
        <v>27</v>
      </c>
      <c r="B35" s="10">
        <f>SUM(B30:B34)</f>
        <v>2030226.89</v>
      </c>
      <c r="C35" s="10">
        <f>SUM(C30:C34)</f>
        <v>85931.674432876709</v>
      </c>
      <c r="D35" s="10">
        <f t="shared" ref="D35:I35" si="6">SUM(D30:D34)</f>
        <v>179951.66</v>
      </c>
      <c r="E35" s="10">
        <f t="shared" si="6"/>
        <v>127726.39</v>
      </c>
      <c r="F35" s="10">
        <f t="shared" si="6"/>
        <v>-19027.89</v>
      </c>
      <c r="G35" s="10">
        <f t="shared" si="6"/>
        <v>152721.57</v>
      </c>
      <c r="H35" s="10">
        <f t="shared" si="6"/>
        <v>7767.2228858067174</v>
      </c>
      <c r="I35" s="10">
        <f t="shared" si="6"/>
        <v>333834.15641396138</v>
      </c>
      <c r="J35" s="24">
        <f t="shared" si="5"/>
        <v>2899131.6737326444</v>
      </c>
      <c r="K35" s="10"/>
      <c r="L35" s="10"/>
      <c r="M35" s="10"/>
      <c r="N35" s="10"/>
      <c r="O35" s="10"/>
      <c r="P35" s="10"/>
      <c r="Q35" s="11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7" t="s">
        <v>19</v>
      </c>
      <c r="B36" s="5">
        <v>3000</v>
      </c>
      <c r="C36" s="5"/>
      <c r="D36" s="5"/>
      <c r="E36" s="5"/>
      <c r="F36" s="10"/>
      <c r="G36" s="12"/>
      <c r="H36" s="12"/>
      <c r="I36" s="5"/>
      <c r="J36" s="10">
        <f t="shared" si="5"/>
        <v>3000</v>
      </c>
      <c r="K36" s="5"/>
      <c r="L36" s="5"/>
      <c r="M36" s="5"/>
      <c r="N36" s="5"/>
      <c r="O36" s="5"/>
      <c r="P36" s="10"/>
      <c r="Q36" s="11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A37" s="7" t="s">
        <v>20</v>
      </c>
      <c r="B37" s="5">
        <v>1000</v>
      </c>
      <c r="C37" s="5">
        <v>1.75</v>
      </c>
      <c r="D37" s="5"/>
      <c r="E37" s="5"/>
      <c r="F37" s="10"/>
      <c r="G37" s="12"/>
      <c r="H37" s="12"/>
      <c r="I37" s="5">
        <v>-1002</v>
      </c>
      <c r="J37" s="10">
        <f t="shared" si="5"/>
        <v>-0.25</v>
      </c>
      <c r="K37" s="5"/>
      <c r="L37" s="5"/>
      <c r="M37" s="5"/>
      <c r="N37" s="5"/>
      <c r="O37" s="5"/>
      <c r="P37" s="10"/>
      <c r="Q37" s="11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s="2" customFormat="1" x14ac:dyDescent="0.2">
      <c r="A38" s="2" t="s">
        <v>28</v>
      </c>
      <c r="B38" s="10">
        <f>SUM(B36:B37)</f>
        <v>4000</v>
      </c>
      <c r="C38" s="10">
        <f t="shared" ref="C38:I38" si="7">SUM(C36:C37)</f>
        <v>1.75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0</v>
      </c>
      <c r="I38" s="10">
        <f t="shared" si="7"/>
        <v>-1002</v>
      </c>
      <c r="J38" s="24">
        <f t="shared" si="5"/>
        <v>2999.75</v>
      </c>
      <c r="K38" s="10"/>
      <c r="L38" s="10"/>
      <c r="M38" s="10"/>
      <c r="N38" s="10"/>
      <c r="O38" s="10"/>
      <c r="P38" s="10"/>
      <c r="Q38" s="11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s="2" customFormat="1" x14ac:dyDescent="0.2">
      <c r="A39" s="2" t="s">
        <v>29</v>
      </c>
      <c r="B39" s="10">
        <f t="shared" ref="B39:H39" si="8">B35+B38*B48</f>
        <v>2319306.8899999997</v>
      </c>
      <c r="C39" s="10">
        <f t="shared" si="8"/>
        <v>86058.146932876713</v>
      </c>
      <c r="D39" s="10">
        <f>D35+D38*D48+(D48-C48)*($B$38+$C$38)</f>
        <v>183513.2175</v>
      </c>
      <c r="E39" s="10">
        <f>E35+E38*E48+(E48-D48)*($B$38+$C$38)</f>
        <v>126285.75999999999</v>
      </c>
      <c r="F39" s="10">
        <f>F35+F38*F48</f>
        <v>-19027.89</v>
      </c>
      <c r="G39" s="10">
        <f>G35+G38*G48</f>
        <v>152721.57</v>
      </c>
      <c r="H39" s="10">
        <f t="shared" si="8"/>
        <v>7767.2228858067174</v>
      </c>
      <c r="I39" s="10">
        <f>I35+I38*I48</f>
        <v>256249.29641396139</v>
      </c>
      <c r="J39" s="10">
        <f>J35+J38*I48</f>
        <v>3131402.3162326445</v>
      </c>
      <c r="K39" s="10"/>
      <c r="L39" s="10"/>
      <c r="M39" s="10"/>
      <c r="N39" s="10"/>
      <c r="O39" s="10"/>
      <c r="P39" s="10"/>
      <c r="Q39" s="11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s="2" customFormat="1" x14ac:dyDescent="0.2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1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2" t="s">
        <v>21</v>
      </c>
      <c r="B41" s="5"/>
      <c r="C41" s="5"/>
      <c r="D41" s="5"/>
      <c r="E41" s="5"/>
      <c r="F41" s="10"/>
      <c r="G41" s="12"/>
      <c r="H41" s="12"/>
      <c r="I41" s="5"/>
      <c r="J41" s="10"/>
    </row>
    <row r="42" spans="1:31" x14ac:dyDescent="0.2">
      <c r="A42" s="1" t="s">
        <v>47</v>
      </c>
      <c r="B42" s="5">
        <f>B44-B43</f>
        <v>433357.89</v>
      </c>
      <c r="C42" s="5"/>
      <c r="D42" s="5"/>
      <c r="E42" s="5">
        <f>450000-B42</f>
        <v>16642.109999999986</v>
      </c>
      <c r="F42" s="12">
        <f>575282-B42-E42</f>
        <v>125282</v>
      </c>
      <c r="G42" s="12">
        <f>792429-B42-E42-F42</f>
        <v>217147</v>
      </c>
      <c r="H42" s="12"/>
      <c r="I42" s="5">
        <f>822717-B42-E42-F42-G42</f>
        <v>30288</v>
      </c>
      <c r="J42" s="10">
        <f>SUM(B42:I42)</f>
        <v>822717</v>
      </c>
    </row>
    <row r="43" spans="1:31" x14ac:dyDescent="0.2">
      <c r="A43" s="1" t="s">
        <v>48</v>
      </c>
      <c r="B43" s="5">
        <f>56886.02+29163.09</f>
        <v>86049.11</v>
      </c>
      <c r="C43" s="5"/>
      <c r="D43" s="5"/>
      <c r="E43" s="5">
        <f>56716.08+29161.51-B43</f>
        <v>-171.52000000000407</v>
      </c>
      <c r="F43" s="12">
        <f>58548.83+27905.87-B43-E43</f>
        <v>577.11000000000058</v>
      </c>
      <c r="G43" s="12">
        <f>75044.04+30742.59-B43-E43-F43</f>
        <v>19331.929999999993</v>
      </c>
      <c r="H43" s="12"/>
      <c r="I43" s="5">
        <f>43085.68-40756</f>
        <v>2329.6800000000003</v>
      </c>
      <c r="J43" s="10">
        <f>SUM(B43:I43)</f>
        <v>108116.31</v>
      </c>
    </row>
    <row r="44" spans="1:31" x14ac:dyDescent="0.2">
      <c r="A44" s="2" t="s">
        <v>46</v>
      </c>
      <c r="B44" s="10">
        <v>519407</v>
      </c>
      <c r="C44" s="10">
        <f>C42+C43</f>
        <v>0</v>
      </c>
      <c r="D44" s="10">
        <f t="shared" ref="D44:I44" si="9">D42+D43</f>
        <v>0</v>
      </c>
      <c r="E44" s="10">
        <f t="shared" si="9"/>
        <v>16470.589999999982</v>
      </c>
      <c r="F44" s="10">
        <f t="shared" si="9"/>
        <v>125859.11</v>
      </c>
      <c r="G44" s="10">
        <f t="shared" si="9"/>
        <v>236478.93</v>
      </c>
      <c r="H44" s="10">
        <f t="shared" si="9"/>
        <v>0</v>
      </c>
      <c r="I44" s="10">
        <f t="shared" si="9"/>
        <v>32617.68</v>
      </c>
      <c r="J44" s="24">
        <f>J42+J43</f>
        <v>930833.31</v>
      </c>
      <c r="L44" s="5"/>
    </row>
    <row r="45" spans="1:31" x14ac:dyDescent="0.2">
      <c r="A45" s="2"/>
      <c r="B45" s="10"/>
      <c r="C45" s="10"/>
      <c r="D45" s="10"/>
      <c r="E45" s="10"/>
      <c r="F45" s="10"/>
      <c r="G45" s="10"/>
      <c r="H45" s="10"/>
      <c r="I45" s="10"/>
      <c r="J45" s="10"/>
    </row>
    <row r="46" spans="1:31" x14ac:dyDescent="0.2">
      <c r="A46" s="2" t="s">
        <v>40</v>
      </c>
      <c r="B46" s="10">
        <f>B39+B44+B26</f>
        <v>2851638.4399999995</v>
      </c>
      <c r="C46" s="10">
        <f t="shared" ref="C46:H46" si="10">C39+C44+C26+B46</f>
        <v>2939363.136932876</v>
      </c>
      <c r="D46" s="10">
        <f t="shared" si="10"/>
        <v>3123654.3544328758</v>
      </c>
      <c r="E46" s="10">
        <f>E39+E44+E26+D46</f>
        <v>3266498.7044328758</v>
      </c>
      <c r="F46" s="10">
        <f t="shared" si="10"/>
        <v>3373457.9244328761</v>
      </c>
      <c r="G46" s="10">
        <f>G39+G44+G26+F46</f>
        <v>3767843.4244328761</v>
      </c>
      <c r="H46" s="10">
        <f t="shared" si="10"/>
        <v>3775393.1473186826</v>
      </c>
      <c r="I46" s="10">
        <f>I39+I44+I26+H46</f>
        <v>4068108.1237326441</v>
      </c>
      <c r="J46" s="24">
        <f>J39+J44</f>
        <v>4062235.6262326445</v>
      </c>
    </row>
    <row r="47" spans="1:31" x14ac:dyDescent="0.2">
      <c r="A47" s="2"/>
      <c r="B47" s="10"/>
    </row>
    <row r="48" spans="1:31" x14ac:dyDescent="0.2">
      <c r="A48" s="1" t="s">
        <v>22</v>
      </c>
      <c r="B48" s="1">
        <v>72.27</v>
      </c>
      <c r="C48" s="1">
        <v>72.27</v>
      </c>
      <c r="D48" s="1">
        <v>73.16</v>
      </c>
      <c r="E48" s="1">
        <v>72.8</v>
      </c>
      <c r="F48" s="3">
        <v>72.569999999999993</v>
      </c>
      <c r="G48" s="3">
        <v>73.150000000000006</v>
      </c>
      <c r="I48" s="3">
        <v>77.430000000000007</v>
      </c>
      <c r="J48" s="3"/>
    </row>
    <row r="49" spans="1:31" x14ac:dyDescent="0.2">
      <c r="A49" s="1" t="s">
        <v>23</v>
      </c>
      <c r="B49" s="1">
        <v>78.58</v>
      </c>
      <c r="C49" s="1">
        <v>78.58</v>
      </c>
      <c r="D49" s="1">
        <v>80.747500000000002</v>
      </c>
      <c r="E49" s="1">
        <v>81.015000000000001</v>
      </c>
      <c r="F49" s="3">
        <v>78.351200000000006</v>
      </c>
      <c r="G49" s="3">
        <v>79.42</v>
      </c>
      <c r="I49" s="3"/>
      <c r="J49" s="3"/>
    </row>
    <row r="50" spans="1:31" x14ac:dyDescent="0.2">
      <c r="A50" s="1" t="s">
        <v>31</v>
      </c>
      <c r="B50" s="1">
        <v>86.064999999999998</v>
      </c>
      <c r="C50" s="1">
        <v>86.064999999999998</v>
      </c>
      <c r="D50" s="1">
        <v>86.75</v>
      </c>
      <c r="E50" s="1">
        <v>86.79</v>
      </c>
      <c r="F50" s="3">
        <v>84.16</v>
      </c>
      <c r="G50" s="3">
        <v>82.76</v>
      </c>
      <c r="I50" s="3"/>
      <c r="J50" s="3"/>
    </row>
    <row r="52" spans="1:31" s="23" customFormat="1" x14ac:dyDescent="0.2">
      <c r="A52" s="20" t="s">
        <v>39</v>
      </c>
      <c r="B52" s="20"/>
      <c r="C52" s="21">
        <f t="shared" ref="C52:I52" si="11">C30+C32</f>
        <v>79772</v>
      </c>
      <c r="D52" s="21">
        <f t="shared" si="11"/>
        <v>126950</v>
      </c>
      <c r="E52" s="21">
        <f>E30+E32</f>
        <v>119000</v>
      </c>
      <c r="F52" s="21">
        <f>F30+F32+73000+73000</f>
        <v>118351</v>
      </c>
      <c r="G52" s="21">
        <f>G30+G32+200000</f>
        <v>342893.69</v>
      </c>
      <c r="H52" s="21">
        <f t="shared" si="11"/>
        <v>0</v>
      </c>
      <c r="I52" s="21">
        <f t="shared" si="11"/>
        <v>325426</v>
      </c>
      <c r="J52" s="21"/>
      <c r="K52" s="21"/>
      <c r="L52" s="21"/>
      <c r="M52" s="21"/>
      <c r="N52" s="21"/>
      <c r="O52" s="21"/>
      <c r="P52" s="21"/>
      <c r="Q52" s="22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 x14ac:dyDescent="0.2">
      <c r="A53" s="1" t="s">
        <v>41</v>
      </c>
      <c r="C53" s="5">
        <f t="shared" ref="C53:I53" si="12">C52+C25</f>
        <v>-20228</v>
      </c>
      <c r="D53" s="5">
        <f t="shared" si="12"/>
        <v>-16050</v>
      </c>
      <c r="E53" s="5">
        <f>E52+E25</f>
        <v>-36000</v>
      </c>
      <c r="F53" s="5">
        <f t="shared" si="12"/>
        <v>-41649</v>
      </c>
      <c r="G53" s="5">
        <f t="shared" si="12"/>
        <v>17893.690000000002</v>
      </c>
      <c r="H53" s="5">
        <f t="shared" si="12"/>
        <v>-135000</v>
      </c>
      <c r="I53" s="5">
        <f t="shared" si="12"/>
        <v>175426</v>
      </c>
    </row>
    <row r="55" spans="1:31" x14ac:dyDescent="0.2">
      <c r="A55" s="7" t="s">
        <v>45</v>
      </c>
      <c r="C55" s="5">
        <f>12000+3.19</f>
        <v>12003.19</v>
      </c>
      <c r="D55" s="5">
        <f>16200+4.61</f>
        <v>16204.61</v>
      </c>
      <c r="E55" s="5">
        <f>16000+61.71+16263.44</f>
        <v>32325.15</v>
      </c>
      <c r="F55" s="12">
        <v>16000</v>
      </c>
      <c r="G55" s="3">
        <f>16000+60000</f>
        <v>76000</v>
      </c>
      <c r="H55" s="3">
        <v>16479.52</v>
      </c>
      <c r="I55" s="1">
        <f>16093.32+580.95+954</f>
        <v>17628.27</v>
      </c>
    </row>
    <row r="56" spans="1:31" x14ac:dyDescent="0.2">
      <c r="C56" s="5"/>
      <c r="D56" s="5"/>
      <c r="E56" s="5">
        <f>16200*10.5</f>
        <v>170100</v>
      </c>
      <c r="F56" s="10"/>
      <c r="G56" s="12">
        <f>E56+16200*2</f>
        <v>202500</v>
      </c>
      <c r="I56" s="1">
        <f>G56+16200*2</f>
        <v>234900</v>
      </c>
    </row>
    <row r="57" spans="1:31" x14ac:dyDescent="0.2">
      <c r="C57" s="5"/>
      <c r="D57" s="5"/>
      <c r="E57" s="5">
        <f>C55+D55+E55</f>
        <v>60532.950000000004</v>
      </c>
      <c r="F57" s="10"/>
      <c r="G57" s="12">
        <f>E57+F55+G55</f>
        <v>152532.95000000001</v>
      </c>
      <c r="I57" s="5">
        <f>G57+H55+I55</f>
        <v>186640.74</v>
      </c>
      <c r="K57" s="5"/>
    </row>
    <row r="58" spans="1:31" x14ac:dyDescent="0.2">
      <c r="E58" s="5">
        <f>E56-E57</f>
        <v>109567.04999999999</v>
      </c>
      <c r="G58" s="5">
        <f>G56-G57</f>
        <v>49967.049999999988</v>
      </c>
      <c r="I58" s="5">
        <f>I56-I57</f>
        <v>48259.260000000009</v>
      </c>
    </row>
  </sheetData>
  <pageMargins left="0.7" right="0.7" top="0.75" bottom="0.75" header="0.3" footer="0.3"/>
  <pageSetup paperSize="9" scale="69" fitToHeight="0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26FD-677A-4EEA-BF1A-74A5588EBC0F}">
  <sheetPr>
    <pageSetUpPr fitToPage="1"/>
  </sheetPr>
  <dimension ref="A1:T60"/>
  <sheetViews>
    <sheetView tabSelected="1" workbookViewId="0">
      <pane ySplit="4" topLeftCell="A32" activePane="bottomLeft" state="frozen"/>
      <selection pane="bottomLeft" activeCell="I60" sqref="I60:I61"/>
    </sheetView>
  </sheetViews>
  <sheetFormatPr defaultColWidth="10.85546875" defaultRowHeight="15.75" x14ac:dyDescent="0.25"/>
  <cols>
    <col min="1" max="1" width="12.42578125" style="55" customWidth="1"/>
    <col min="2" max="3" width="10.85546875" style="55"/>
    <col min="4" max="4" width="14.42578125" style="55" customWidth="1"/>
    <col min="5" max="5" width="15.140625" style="55" customWidth="1"/>
    <col min="6" max="6" width="10.85546875" style="81"/>
    <col min="7" max="7" width="13.5703125" style="54" bestFit="1" customWidth="1"/>
    <col min="8" max="8" width="14.28515625" style="54" customWidth="1"/>
    <col min="9" max="9" width="14.7109375" style="55" customWidth="1"/>
    <col min="10" max="10" width="14.140625" style="55" customWidth="1"/>
    <col min="11" max="11" width="14" style="55" customWidth="1"/>
    <col min="12" max="13" width="13.5703125" style="55" customWidth="1"/>
    <col min="14" max="14" width="13.42578125" style="55" customWidth="1"/>
    <col min="15" max="15" width="13.42578125" style="55" bestFit="1" customWidth="1"/>
    <col min="16" max="16" width="13.42578125" style="55" customWidth="1"/>
    <col min="17" max="17" width="14.140625" style="55" customWidth="1"/>
    <col min="18" max="19" width="14.7109375" style="55" bestFit="1" customWidth="1"/>
    <col min="20" max="20" width="10.85546875" style="55"/>
    <col min="21" max="21" width="10.85546875" style="55" customWidth="1"/>
    <col min="22" max="16384" width="10.85546875" style="55"/>
  </cols>
  <sheetData>
    <row r="1" spans="1:20" x14ac:dyDescent="0.25">
      <c r="A1" s="55" t="s">
        <v>189</v>
      </c>
      <c r="B1" s="54">
        <f>SUM(S5:S56)</f>
        <v>244365.43383388972</v>
      </c>
      <c r="O1" s="55">
        <f>T6*0.07</f>
        <v>3.0767695000000006</v>
      </c>
    </row>
    <row r="2" spans="1:20" x14ac:dyDescent="0.25">
      <c r="A2" s="55" t="s">
        <v>190</v>
      </c>
      <c r="B2" s="54">
        <v>200000</v>
      </c>
    </row>
    <row r="3" spans="1:20" x14ac:dyDescent="0.25">
      <c r="A3" s="55" t="s">
        <v>191</v>
      </c>
      <c r="B3" s="54">
        <f>B1-B2</f>
        <v>44365.433833889721</v>
      </c>
    </row>
    <row r="4" spans="1:20" s="69" customFormat="1" x14ac:dyDescent="0.25">
      <c r="A4" s="69" t="s">
        <v>168</v>
      </c>
      <c r="B4" s="69" t="s">
        <v>170</v>
      </c>
      <c r="C4" s="69" t="s">
        <v>171</v>
      </c>
      <c r="D4" s="69" t="s">
        <v>172</v>
      </c>
      <c r="F4" s="82" t="s">
        <v>199</v>
      </c>
      <c r="G4" s="80" t="s">
        <v>200</v>
      </c>
      <c r="H4" s="80" t="s">
        <v>164</v>
      </c>
      <c r="I4" s="80" t="s">
        <v>165</v>
      </c>
      <c r="J4" s="80" t="s">
        <v>110</v>
      </c>
      <c r="K4" s="80" t="s">
        <v>176</v>
      </c>
      <c r="L4" s="80" t="s">
        <v>178</v>
      </c>
      <c r="M4" s="80" t="s">
        <v>179</v>
      </c>
      <c r="N4" s="80" t="s">
        <v>181</v>
      </c>
      <c r="O4" s="80" t="s">
        <v>225</v>
      </c>
      <c r="P4" s="80"/>
      <c r="Q4" s="80" t="s">
        <v>194</v>
      </c>
      <c r="R4" s="69" t="s">
        <v>201</v>
      </c>
      <c r="S4" s="69" t="s">
        <v>224</v>
      </c>
    </row>
    <row r="5" spans="1:20" s="69" customFormat="1" x14ac:dyDescent="0.25">
      <c r="A5" s="69" t="s">
        <v>146</v>
      </c>
      <c r="B5" s="70">
        <v>7.61</v>
      </c>
      <c r="C5" s="70">
        <v>2.69</v>
      </c>
      <c r="D5" s="70">
        <v>2.6</v>
      </c>
      <c r="F5" s="81"/>
      <c r="G5" s="85">
        <v>500</v>
      </c>
      <c r="H5" s="85">
        <v>1000</v>
      </c>
      <c r="I5" s="80">
        <v>1000</v>
      </c>
      <c r="J5" s="80">
        <v>560</v>
      </c>
      <c r="K5" s="80">
        <v>320</v>
      </c>
      <c r="L5" s="80">
        <v>300</v>
      </c>
      <c r="M5" s="80">
        <v>320</v>
      </c>
      <c r="N5" s="80">
        <v>300</v>
      </c>
      <c r="O5" s="80">
        <v>560</v>
      </c>
      <c r="P5" s="80"/>
      <c r="Q5" s="80">
        <v>1000</v>
      </c>
    </row>
    <row r="6" spans="1:20" s="69" customFormat="1" x14ac:dyDescent="0.25">
      <c r="B6" s="70"/>
      <c r="C6" s="70"/>
      <c r="D6" s="70"/>
      <c r="E6" s="69" t="s">
        <v>162</v>
      </c>
      <c r="F6" s="81">
        <f>B5*C5</f>
        <v>20.4709</v>
      </c>
      <c r="G6" s="84">
        <f>$F$6*G5</f>
        <v>10235.450000000001</v>
      </c>
      <c r="H6" s="84">
        <f>$F$6*H5</f>
        <v>20470.900000000001</v>
      </c>
      <c r="I6" s="84">
        <f>$F$6*I5</f>
        <v>20470.900000000001</v>
      </c>
      <c r="J6" s="84"/>
      <c r="K6" s="84"/>
      <c r="L6" s="84"/>
      <c r="M6" s="84"/>
      <c r="N6" s="84"/>
      <c r="O6" s="84"/>
      <c r="P6" s="84"/>
      <c r="Q6" s="84"/>
      <c r="T6" s="90">
        <f>F6+F15+F29+F38+F46</f>
        <v>43.953850000000003</v>
      </c>
    </row>
    <row r="7" spans="1:20" s="69" customFormat="1" x14ac:dyDescent="0.25">
      <c r="B7" s="70"/>
      <c r="C7" s="70"/>
      <c r="D7" s="70"/>
      <c r="E7" s="69" t="s">
        <v>173</v>
      </c>
      <c r="F7" s="81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</row>
    <row r="8" spans="1:20" x14ac:dyDescent="0.25">
      <c r="B8" s="68"/>
      <c r="C8" s="68"/>
      <c r="D8" s="68"/>
      <c r="E8" s="55" t="s">
        <v>195</v>
      </c>
      <c r="F8" s="81">
        <f>C5*D5</f>
        <v>6.9939999999999998</v>
      </c>
      <c r="G8" s="84"/>
      <c r="H8" s="84"/>
      <c r="I8" s="84"/>
      <c r="J8" s="84">
        <f>$F8*J$5</f>
        <v>3916.64</v>
      </c>
      <c r="K8" s="84">
        <f t="shared" ref="K8:N11" si="0">$F8*K$5</f>
        <v>2238.08</v>
      </c>
      <c r="L8" s="84">
        <f t="shared" si="0"/>
        <v>2098.1999999999998</v>
      </c>
      <c r="M8" s="84">
        <f t="shared" si="0"/>
        <v>2238.08</v>
      </c>
      <c r="N8" s="84">
        <f t="shared" si="0"/>
        <v>2098.1999999999998</v>
      </c>
      <c r="O8" s="84"/>
      <c r="P8" s="84"/>
      <c r="Q8" s="84"/>
    </row>
    <row r="9" spans="1:20" x14ac:dyDescent="0.25">
      <c r="B9" s="68"/>
      <c r="C9" s="68"/>
      <c r="D9" s="68"/>
      <c r="E9" s="55" t="s">
        <v>196</v>
      </c>
      <c r="F9" s="81">
        <f>B5*D5</f>
        <v>19.786000000000001</v>
      </c>
      <c r="G9" s="84"/>
      <c r="H9" s="84"/>
      <c r="I9" s="84"/>
      <c r="J9" s="84">
        <f>$F9*J$5</f>
        <v>11080.16</v>
      </c>
      <c r="K9" s="84">
        <f t="shared" si="0"/>
        <v>6331.52</v>
      </c>
      <c r="L9" s="84">
        <f t="shared" si="0"/>
        <v>5935.8</v>
      </c>
      <c r="M9" s="84">
        <f t="shared" si="0"/>
        <v>6331.52</v>
      </c>
      <c r="N9" s="84">
        <f t="shared" si="0"/>
        <v>5935.8</v>
      </c>
      <c r="O9" s="84"/>
      <c r="P9" s="84"/>
      <c r="Q9" s="84"/>
    </row>
    <row r="10" spans="1:20" x14ac:dyDescent="0.25">
      <c r="B10" s="68"/>
      <c r="C10" s="68"/>
      <c r="D10" s="68"/>
      <c r="E10" s="55" t="s">
        <v>197</v>
      </c>
      <c r="F10" s="81">
        <f>C5*D5</f>
        <v>6.9939999999999998</v>
      </c>
      <c r="G10" s="84"/>
      <c r="H10" s="84"/>
      <c r="I10" s="84"/>
      <c r="J10" s="84">
        <f>$F10*J$5</f>
        <v>3916.64</v>
      </c>
      <c r="K10" s="84">
        <f t="shared" si="0"/>
        <v>2238.08</v>
      </c>
      <c r="L10" s="84">
        <f t="shared" si="0"/>
        <v>2098.1999999999998</v>
      </c>
      <c r="M10" s="84">
        <f t="shared" si="0"/>
        <v>2238.08</v>
      </c>
      <c r="N10" s="84">
        <f t="shared" si="0"/>
        <v>2098.1999999999998</v>
      </c>
      <c r="O10" s="84"/>
      <c r="P10" s="84"/>
      <c r="Q10" s="84">
        <f>F10*Q5</f>
        <v>6994</v>
      </c>
    </row>
    <row r="11" spans="1:20" x14ac:dyDescent="0.25">
      <c r="B11" s="68"/>
      <c r="C11" s="68"/>
      <c r="D11" s="68"/>
      <c r="E11" s="55" t="s">
        <v>198</v>
      </c>
      <c r="F11" s="81">
        <f>B5*D5</f>
        <v>19.786000000000001</v>
      </c>
      <c r="G11" s="84"/>
      <c r="H11" s="84"/>
      <c r="I11" s="84"/>
      <c r="J11" s="84">
        <f>$F11*J$5</f>
        <v>11080.16</v>
      </c>
      <c r="K11" s="84">
        <f t="shared" si="0"/>
        <v>6331.52</v>
      </c>
      <c r="L11" s="84">
        <f t="shared" si="0"/>
        <v>5935.8</v>
      </c>
      <c r="M11" s="84">
        <f t="shared" si="0"/>
        <v>6331.52</v>
      </c>
      <c r="N11" s="84">
        <f t="shared" si="0"/>
        <v>5935.8</v>
      </c>
      <c r="O11" s="84"/>
      <c r="P11" s="84"/>
      <c r="Q11" s="84"/>
    </row>
    <row r="12" spans="1:20" s="69" customFormat="1" x14ac:dyDescent="0.25">
      <c r="B12" s="70"/>
      <c r="C12" s="70"/>
      <c r="D12" s="70"/>
      <c r="E12" s="69" t="s">
        <v>182</v>
      </c>
      <c r="F12" s="81">
        <f>B5*C5</f>
        <v>20.4709</v>
      </c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</row>
    <row r="13" spans="1:20" s="69" customFormat="1" x14ac:dyDescent="0.25">
      <c r="B13" s="70"/>
      <c r="C13" s="70"/>
      <c r="D13" s="70" t="s">
        <v>201</v>
      </c>
      <c r="F13" s="81"/>
      <c r="G13" s="86">
        <f>SUM(G6:G12)</f>
        <v>10235.450000000001</v>
      </c>
      <c r="H13" s="86">
        <f t="shared" ref="H13:Q13" si="1">SUM(H6:H12)</f>
        <v>20470.900000000001</v>
      </c>
      <c r="I13" s="84">
        <f t="shared" si="1"/>
        <v>20470.900000000001</v>
      </c>
      <c r="J13" s="86">
        <f t="shared" si="1"/>
        <v>29993.599999999999</v>
      </c>
      <c r="K13" s="86">
        <f t="shared" si="1"/>
        <v>17139.2</v>
      </c>
      <c r="L13" s="84">
        <f t="shared" si="1"/>
        <v>16068</v>
      </c>
      <c r="M13" s="84">
        <f t="shared" si="1"/>
        <v>17139.2</v>
      </c>
      <c r="N13" s="84">
        <f t="shared" si="1"/>
        <v>16068</v>
      </c>
      <c r="O13" s="86">
        <v>20000</v>
      </c>
      <c r="P13" s="84">
        <v>20000</v>
      </c>
      <c r="Q13" s="86">
        <f t="shared" si="1"/>
        <v>6994</v>
      </c>
      <c r="R13" s="83">
        <f>SUM(G13:Q13)</f>
        <v>194579.25</v>
      </c>
      <c r="S13" s="83">
        <f>G13+J13+O13+Q13+K13+H13</f>
        <v>104833.15</v>
      </c>
    </row>
    <row r="14" spans="1:20" s="69" customFormat="1" x14ac:dyDescent="0.25">
      <c r="A14" s="69" t="s">
        <v>202</v>
      </c>
      <c r="B14" s="70">
        <f>1.38*2</f>
        <v>2.76</v>
      </c>
      <c r="C14" s="70">
        <v>1.5</v>
      </c>
      <c r="D14" s="70">
        <v>2.6</v>
      </c>
      <c r="F14" s="81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3"/>
    </row>
    <row r="15" spans="1:20" x14ac:dyDescent="0.25">
      <c r="B15" s="68">
        <v>1.58</v>
      </c>
      <c r="C15" s="68">
        <v>1.1200000000000001</v>
      </c>
      <c r="D15" s="68"/>
      <c r="E15" s="69" t="s">
        <v>162</v>
      </c>
      <c r="F15" s="81">
        <f>$C$14*$B$14+$B$14/2*$C$15+$B$15*$C$17+$B$15/2</f>
        <v>9.5565999999999995</v>
      </c>
      <c r="G15" s="84">
        <f>$F15*G$5</f>
        <v>4778.3</v>
      </c>
      <c r="H15" s="84">
        <f>$F15*H$5</f>
        <v>9556.6</v>
      </c>
      <c r="I15" s="84">
        <f>$F15*I$5</f>
        <v>9556.6</v>
      </c>
      <c r="J15" s="84"/>
      <c r="K15" s="84"/>
      <c r="L15" s="84"/>
      <c r="M15" s="84"/>
      <c r="N15" s="84"/>
      <c r="O15" s="84"/>
      <c r="P15" s="84"/>
      <c r="Q15" s="84"/>
      <c r="R15" s="83"/>
    </row>
    <row r="16" spans="1:20" x14ac:dyDescent="0.25">
      <c r="B16" s="68">
        <v>2.52</v>
      </c>
      <c r="C16" s="68">
        <v>0.5</v>
      </c>
      <c r="D16" s="68"/>
      <c r="E16" s="69" t="s">
        <v>173</v>
      </c>
      <c r="F16" s="81">
        <v>18</v>
      </c>
      <c r="G16" s="84"/>
      <c r="H16" s="84"/>
      <c r="I16" s="84"/>
      <c r="J16" s="84">
        <f>$F16*J$5</f>
        <v>10080</v>
      </c>
      <c r="K16" s="84">
        <f>$F16*K$5</f>
        <v>5760</v>
      </c>
      <c r="L16" s="84">
        <f>$F16*L$5</f>
        <v>5400</v>
      </c>
      <c r="M16" s="84">
        <f>$F16*M$5</f>
        <v>5760</v>
      </c>
      <c r="N16" s="84">
        <f>$F16*N$5</f>
        <v>5400</v>
      </c>
      <c r="O16" s="84"/>
      <c r="P16" s="84"/>
      <c r="Q16" s="84"/>
      <c r="R16" s="83"/>
    </row>
    <row r="17" spans="1:19" x14ac:dyDescent="0.25">
      <c r="B17" s="68"/>
      <c r="C17" s="68">
        <v>1.95</v>
      </c>
      <c r="D17" s="68"/>
      <c r="E17" s="88" t="s">
        <v>204</v>
      </c>
      <c r="F17" s="89">
        <f>C14*D14</f>
        <v>3.9000000000000004</v>
      </c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3"/>
    </row>
    <row r="18" spans="1:19" x14ac:dyDescent="0.25">
      <c r="B18" s="68"/>
      <c r="C18" s="68"/>
      <c r="D18" s="68"/>
      <c r="E18" s="88" t="s">
        <v>205</v>
      </c>
      <c r="F18" s="89">
        <f>B14*D14</f>
        <v>7.1759999999999993</v>
      </c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3"/>
    </row>
    <row r="19" spans="1:19" x14ac:dyDescent="0.25">
      <c r="B19" s="68"/>
      <c r="C19" s="68"/>
      <c r="D19" s="68"/>
      <c r="E19" s="88" t="s">
        <v>206</v>
      </c>
      <c r="F19" s="89">
        <f>B16*D14</f>
        <v>6.5520000000000005</v>
      </c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3"/>
    </row>
    <row r="20" spans="1:19" x14ac:dyDescent="0.25">
      <c r="B20" s="68"/>
      <c r="C20" s="68"/>
      <c r="D20" s="68"/>
      <c r="E20" s="88" t="s">
        <v>207</v>
      </c>
      <c r="F20" s="89">
        <f>C17*D14</f>
        <v>5.07</v>
      </c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3"/>
    </row>
    <row r="21" spans="1:19" x14ac:dyDescent="0.25">
      <c r="B21" s="68"/>
      <c r="C21" s="68"/>
      <c r="D21" s="68"/>
      <c r="E21" s="88" t="s">
        <v>208</v>
      </c>
      <c r="F21" s="89">
        <f>B15*D14</f>
        <v>4.1080000000000005</v>
      </c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3"/>
    </row>
    <row r="22" spans="1:19" x14ac:dyDescent="0.25">
      <c r="B22" s="68"/>
      <c r="C22" s="68"/>
      <c r="D22" s="68"/>
      <c r="E22" s="88" t="s">
        <v>209</v>
      </c>
      <c r="F22" s="89">
        <f>C16*D14</f>
        <v>1.3</v>
      </c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3"/>
    </row>
    <row r="23" spans="1:19" x14ac:dyDescent="0.25">
      <c r="B23" s="68"/>
      <c r="C23" s="68"/>
      <c r="D23" s="68"/>
      <c r="E23" s="88" t="s">
        <v>210</v>
      </c>
      <c r="F23" s="89">
        <f>B14*D14/2</f>
        <v>3.5879999999999996</v>
      </c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>
        <f>$F23*Q$5</f>
        <v>3587.9999999999995</v>
      </c>
      <c r="R23" s="83"/>
    </row>
    <row r="24" spans="1:19" x14ac:dyDescent="0.25">
      <c r="B24" s="68"/>
      <c r="C24" s="68"/>
      <c r="D24" s="68"/>
      <c r="E24" s="55" t="s">
        <v>227</v>
      </c>
      <c r="F24" s="81">
        <f>24+3.4</f>
        <v>27.4</v>
      </c>
      <c r="G24" s="84"/>
      <c r="H24" s="84"/>
      <c r="I24" s="84"/>
      <c r="J24" s="84">
        <f t="shared" ref="J24:N26" si="2">$F24*J$5</f>
        <v>15344</v>
      </c>
      <c r="K24" s="84">
        <f t="shared" si="2"/>
        <v>8768</v>
      </c>
      <c r="L24" s="84">
        <f t="shared" si="2"/>
        <v>8220</v>
      </c>
      <c r="M24" s="84">
        <f t="shared" si="2"/>
        <v>8768</v>
      </c>
      <c r="N24" s="84">
        <f t="shared" si="2"/>
        <v>8220</v>
      </c>
      <c r="O24" s="84"/>
      <c r="P24" s="84"/>
      <c r="Q24" s="84"/>
      <c r="R24" s="83"/>
    </row>
    <row r="25" spans="1:19" x14ac:dyDescent="0.25">
      <c r="B25" s="68"/>
      <c r="C25" s="68"/>
      <c r="D25" s="68"/>
      <c r="E25" s="55" t="s">
        <v>230</v>
      </c>
      <c r="F25" s="81">
        <v>13.09</v>
      </c>
      <c r="G25" s="84"/>
      <c r="H25" s="84"/>
      <c r="I25" s="84"/>
      <c r="J25" s="84">
        <f t="shared" si="2"/>
        <v>7330.4</v>
      </c>
      <c r="K25" s="84">
        <f t="shared" si="2"/>
        <v>4188.8</v>
      </c>
      <c r="L25" s="84">
        <f t="shared" si="2"/>
        <v>3927</v>
      </c>
      <c r="M25" s="84">
        <f t="shared" si="2"/>
        <v>4188.8</v>
      </c>
      <c r="N25" s="84">
        <f t="shared" si="2"/>
        <v>3927</v>
      </c>
      <c r="O25" s="84"/>
      <c r="P25" s="84"/>
      <c r="Q25" s="84"/>
      <c r="R25" s="83"/>
    </row>
    <row r="26" spans="1:19" x14ac:dyDescent="0.25">
      <c r="E26" s="69" t="s">
        <v>182</v>
      </c>
      <c r="F26" s="81">
        <f>$C$14*$B$14+$B$15*$C$17+$B$15/2</f>
        <v>8.0109999999999992</v>
      </c>
      <c r="G26" s="84"/>
      <c r="H26" s="84"/>
      <c r="I26" s="84"/>
      <c r="J26" s="84">
        <f t="shared" si="2"/>
        <v>4486.16</v>
      </c>
      <c r="K26" s="84">
        <f t="shared" si="2"/>
        <v>2563.5199999999995</v>
      </c>
      <c r="L26" s="84">
        <f t="shared" si="2"/>
        <v>2403.2999999999997</v>
      </c>
      <c r="M26" s="84">
        <f t="shared" si="2"/>
        <v>2563.5199999999995</v>
      </c>
      <c r="N26" s="84">
        <f t="shared" si="2"/>
        <v>2403.2999999999997</v>
      </c>
      <c r="O26" s="95"/>
      <c r="P26" s="95"/>
      <c r="Q26" s="84"/>
      <c r="R26" s="83"/>
    </row>
    <row r="27" spans="1:19" x14ac:dyDescent="0.25">
      <c r="D27" s="70" t="s">
        <v>201</v>
      </c>
      <c r="G27" s="86">
        <f>SUM(G15:G26)</f>
        <v>4778.3</v>
      </c>
      <c r="H27" s="86">
        <f t="shared" ref="H27:Q27" si="3">SUM(H15:H26)</f>
        <v>9556.6</v>
      </c>
      <c r="I27" s="84">
        <f t="shared" si="3"/>
        <v>9556.6</v>
      </c>
      <c r="J27" s="86">
        <f t="shared" si="3"/>
        <v>37240.559999999998</v>
      </c>
      <c r="K27" s="86">
        <f t="shared" si="3"/>
        <v>21280.32</v>
      </c>
      <c r="L27" s="84">
        <f t="shared" si="3"/>
        <v>19950.3</v>
      </c>
      <c r="M27" s="84">
        <f t="shared" si="3"/>
        <v>21280.32</v>
      </c>
      <c r="N27" s="84">
        <f t="shared" si="3"/>
        <v>19950.3</v>
      </c>
      <c r="O27" s="95"/>
      <c r="P27" s="95"/>
      <c r="Q27" s="95">
        <f t="shared" si="3"/>
        <v>3587.9999999999995</v>
      </c>
      <c r="R27" s="83">
        <f>SUM(G27:Q27)</f>
        <v>147181.29999999999</v>
      </c>
      <c r="S27" s="87">
        <f>J27+G27+H27+K27</f>
        <v>72855.78</v>
      </c>
    </row>
    <row r="28" spans="1:19" s="69" customFormat="1" x14ac:dyDescent="0.25">
      <c r="A28" s="69" t="s">
        <v>203</v>
      </c>
      <c r="B28" s="70">
        <v>1.38</v>
      </c>
      <c r="C28" s="70">
        <v>1.1200000000000001</v>
      </c>
      <c r="D28" s="70">
        <v>2.6</v>
      </c>
      <c r="F28" s="81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3"/>
    </row>
    <row r="29" spans="1:19" x14ac:dyDescent="0.25">
      <c r="E29" s="69" t="s">
        <v>162</v>
      </c>
      <c r="F29" s="81">
        <f>B28*C28</f>
        <v>1.5456000000000001</v>
      </c>
      <c r="G29" s="84">
        <f>$F29*G$5</f>
        <v>772.80000000000007</v>
      </c>
      <c r="H29" s="84">
        <f>$F29*H$5</f>
        <v>1545.6000000000001</v>
      </c>
      <c r="I29" s="84">
        <f>$F29*I$5</f>
        <v>1545.6000000000001</v>
      </c>
      <c r="J29" s="84"/>
      <c r="K29" s="84"/>
      <c r="L29" s="84"/>
      <c r="M29" s="84"/>
      <c r="N29" s="84"/>
      <c r="O29" s="84"/>
      <c r="P29" s="84"/>
      <c r="Q29" s="84"/>
      <c r="R29" s="83"/>
    </row>
    <row r="30" spans="1:19" x14ac:dyDescent="0.25">
      <c r="E30" s="69" t="s">
        <v>173</v>
      </c>
      <c r="F30" s="81">
        <v>9</v>
      </c>
      <c r="G30" s="84"/>
      <c r="H30" s="84"/>
      <c r="I30" s="84"/>
      <c r="J30" s="84">
        <f>$F$30*J5</f>
        <v>5040</v>
      </c>
      <c r="K30" s="84">
        <f t="shared" ref="K30:N30" si="4">$F$30*K5</f>
        <v>2880</v>
      </c>
      <c r="L30" s="84">
        <f t="shared" si="4"/>
        <v>2700</v>
      </c>
      <c r="M30" s="84">
        <f t="shared" si="4"/>
        <v>2880</v>
      </c>
      <c r="N30" s="84">
        <f t="shared" si="4"/>
        <v>2700</v>
      </c>
      <c r="O30" s="84"/>
      <c r="P30" s="84"/>
      <c r="Q30" s="84"/>
      <c r="R30" s="83"/>
    </row>
    <row r="31" spans="1:19" x14ac:dyDescent="0.25">
      <c r="E31" s="55" t="s">
        <v>211</v>
      </c>
      <c r="F31" s="81">
        <f>C28*D28</f>
        <v>2.9120000000000004</v>
      </c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3"/>
    </row>
    <row r="32" spans="1:19" x14ac:dyDescent="0.25">
      <c r="E32" s="55" t="s">
        <v>212</v>
      </c>
      <c r="F32" s="81">
        <f>1*$B$28+1.6*$B$28/2</f>
        <v>2.484</v>
      </c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3"/>
    </row>
    <row r="33" spans="1:19" x14ac:dyDescent="0.25">
      <c r="E33" s="55" t="s">
        <v>213</v>
      </c>
      <c r="F33" s="81">
        <f>C28*1</f>
        <v>1.1200000000000001</v>
      </c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>
        <f>$F33*Q$5</f>
        <v>1120</v>
      </c>
      <c r="R33" s="83"/>
    </row>
    <row r="34" spans="1:19" x14ac:dyDescent="0.25">
      <c r="E34" s="55" t="s">
        <v>214</v>
      </c>
      <c r="F34" s="81">
        <f>1*$B$28+1.6*$B$28/2</f>
        <v>2.484</v>
      </c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3"/>
    </row>
    <row r="35" spans="1:19" x14ac:dyDescent="0.25">
      <c r="E35" s="69" t="s">
        <v>182</v>
      </c>
      <c r="F35" s="81">
        <f>(B28^2+1.6^2)^0.5*C28</f>
        <v>2.3664622033744807</v>
      </c>
      <c r="G35" s="84"/>
      <c r="H35" s="84"/>
      <c r="I35" s="84"/>
      <c r="J35" s="84">
        <f>$F35*J$5</f>
        <v>1325.2188338897092</v>
      </c>
      <c r="K35" s="84">
        <f>$F35*K$5</f>
        <v>757.26790507983378</v>
      </c>
      <c r="L35" s="84">
        <f>$F35*L$5</f>
        <v>709.93866101234414</v>
      </c>
      <c r="M35" s="84">
        <f>$F35*M$5</f>
        <v>757.26790507983378</v>
      </c>
      <c r="N35" s="84">
        <f>$F35*N$5</f>
        <v>709.93866101234414</v>
      </c>
      <c r="O35" s="95"/>
      <c r="P35" s="95"/>
      <c r="Q35" s="84"/>
      <c r="R35" s="83"/>
    </row>
    <row r="36" spans="1:19" x14ac:dyDescent="0.25">
      <c r="D36" s="70" t="s">
        <v>201</v>
      </c>
      <c r="G36" s="86">
        <f>SUM(G29:G35)</f>
        <v>772.80000000000007</v>
      </c>
      <c r="H36" s="86">
        <f t="shared" ref="H36:Q36" si="5">SUM(H29:H35)</f>
        <v>1545.6000000000001</v>
      </c>
      <c r="I36" s="84">
        <f t="shared" si="5"/>
        <v>1545.6000000000001</v>
      </c>
      <c r="J36" s="86">
        <f t="shared" si="5"/>
        <v>6365.2188338897095</v>
      </c>
      <c r="K36" s="95">
        <f t="shared" si="5"/>
        <v>3637.2679050798338</v>
      </c>
      <c r="L36" s="84">
        <f t="shared" si="5"/>
        <v>3409.9386610123443</v>
      </c>
      <c r="M36" s="84">
        <f t="shared" si="5"/>
        <v>3637.2679050798338</v>
      </c>
      <c r="N36" s="84">
        <f t="shared" si="5"/>
        <v>3409.9386610123443</v>
      </c>
      <c r="O36" s="95"/>
      <c r="P36" s="95"/>
      <c r="Q36" s="95">
        <f t="shared" si="5"/>
        <v>1120</v>
      </c>
      <c r="R36" s="83">
        <f>SUM(G36:Q36)</f>
        <v>25443.631966074066</v>
      </c>
      <c r="S36" s="87">
        <f>J36+G36+H36</f>
        <v>8683.61883388971</v>
      </c>
    </row>
    <row r="37" spans="1:19" s="69" customFormat="1" x14ac:dyDescent="0.25">
      <c r="A37" s="69" t="s">
        <v>215</v>
      </c>
      <c r="B37" s="69">
        <v>1.01</v>
      </c>
      <c r="C37" s="69">
        <v>1.95</v>
      </c>
      <c r="D37" s="69">
        <v>2.6</v>
      </c>
      <c r="F37" s="81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3"/>
    </row>
    <row r="38" spans="1:19" x14ac:dyDescent="0.25">
      <c r="B38" s="55">
        <v>2.15</v>
      </c>
      <c r="E38" s="69" t="s">
        <v>162</v>
      </c>
      <c r="F38" s="81">
        <f>B37*C37/2</f>
        <v>0.98475000000000001</v>
      </c>
      <c r="G38" s="84">
        <f>$F38*G$5</f>
        <v>492.375</v>
      </c>
      <c r="H38" s="84">
        <f>$F38*H$5</f>
        <v>984.75</v>
      </c>
      <c r="I38" s="84">
        <f>$F38*I$5</f>
        <v>984.75</v>
      </c>
      <c r="J38" s="84"/>
      <c r="K38" s="84"/>
      <c r="L38" s="84"/>
      <c r="M38" s="84"/>
      <c r="N38" s="84"/>
      <c r="O38" s="84"/>
      <c r="P38" s="84"/>
      <c r="Q38" s="84"/>
      <c r="R38" s="83"/>
    </row>
    <row r="39" spans="1:19" s="54" customFormat="1" x14ac:dyDescent="0.25">
      <c r="E39" s="69" t="s">
        <v>173</v>
      </c>
      <c r="F39" s="81">
        <v>7</v>
      </c>
      <c r="G39" s="84"/>
      <c r="H39" s="84"/>
      <c r="I39" s="84"/>
      <c r="J39" s="84">
        <f>$F39*J$5</f>
        <v>3920</v>
      </c>
      <c r="K39" s="84">
        <f>$F39*K$5</f>
        <v>2240</v>
      </c>
      <c r="L39" s="84">
        <f>$F39*L$5</f>
        <v>2100</v>
      </c>
      <c r="M39" s="84">
        <f>$F39*M$5</f>
        <v>2240</v>
      </c>
      <c r="N39" s="84">
        <f>$F39*N$5</f>
        <v>2100</v>
      </c>
      <c r="O39" s="84"/>
      <c r="P39" s="84"/>
      <c r="Q39" s="84"/>
      <c r="R39" s="83"/>
    </row>
    <row r="40" spans="1:19" s="54" customFormat="1" x14ac:dyDescent="0.25">
      <c r="E40" s="55" t="s">
        <v>216</v>
      </c>
      <c r="F40" s="81">
        <f>C37*D37</f>
        <v>5.07</v>
      </c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3"/>
    </row>
    <row r="41" spans="1:19" s="54" customFormat="1" x14ac:dyDescent="0.25">
      <c r="E41" s="55" t="s">
        <v>217</v>
      </c>
      <c r="F41" s="81">
        <f>B38*D37</f>
        <v>5.59</v>
      </c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3"/>
    </row>
    <row r="42" spans="1:19" s="54" customFormat="1" x14ac:dyDescent="0.25">
      <c r="E42" s="55" t="s">
        <v>218</v>
      </c>
      <c r="F42" s="81">
        <f>B37*D37</f>
        <v>2.6260000000000003</v>
      </c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3"/>
    </row>
    <row r="43" spans="1:19" s="54" customFormat="1" x14ac:dyDescent="0.25">
      <c r="E43" s="69" t="s">
        <v>182</v>
      </c>
      <c r="F43" s="81">
        <f>B37*C37/2</f>
        <v>0.98475000000000001</v>
      </c>
      <c r="G43" s="84"/>
      <c r="H43" s="84"/>
      <c r="I43" s="84"/>
      <c r="J43" s="84">
        <f t="shared" ref="J42:N43" si="6">$F43*J$5</f>
        <v>551.46</v>
      </c>
      <c r="K43" s="84">
        <f t="shared" si="6"/>
        <v>315.12</v>
      </c>
      <c r="L43" s="84">
        <f t="shared" si="6"/>
        <v>295.42500000000001</v>
      </c>
      <c r="M43" s="84">
        <f t="shared" si="6"/>
        <v>315.12</v>
      </c>
      <c r="N43" s="84">
        <f t="shared" si="6"/>
        <v>295.42500000000001</v>
      </c>
      <c r="O43" s="84"/>
      <c r="P43" s="84"/>
      <c r="Q43" s="84"/>
      <c r="R43" s="83"/>
    </row>
    <row r="44" spans="1:19" s="54" customFormat="1" x14ac:dyDescent="0.25">
      <c r="D44" s="70" t="s">
        <v>201</v>
      </c>
      <c r="E44" s="69"/>
      <c r="F44" s="81"/>
      <c r="G44" s="86">
        <f>SUM(G38:G43)</f>
        <v>492.375</v>
      </c>
      <c r="H44" s="86">
        <f t="shared" ref="H44:Q44" si="7">SUM(H38:H43)</f>
        <v>984.75</v>
      </c>
      <c r="I44" s="84">
        <f t="shared" si="7"/>
        <v>984.75</v>
      </c>
      <c r="J44" s="84">
        <f t="shared" si="7"/>
        <v>4471.46</v>
      </c>
      <c r="K44" s="84">
        <f t="shared" si="7"/>
        <v>2555.12</v>
      </c>
      <c r="L44" s="84">
        <f t="shared" si="7"/>
        <v>2395.4250000000002</v>
      </c>
      <c r="M44" s="84">
        <f t="shared" si="7"/>
        <v>2555.12</v>
      </c>
      <c r="N44" s="84">
        <f t="shared" si="7"/>
        <v>2395.4250000000002</v>
      </c>
      <c r="O44" s="84"/>
      <c r="P44" s="84"/>
      <c r="Q44" s="84"/>
      <c r="R44" s="83">
        <f>SUM(G44:Q44)</f>
        <v>16834.424999999999</v>
      </c>
      <c r="S44" s="85">
        <f>G44+H44</f>
        <v>1477.125</v>
      </c>
    </row>
    <row r="45" spans="1:19" s="54" customFormat="1" x14ac:dyDescent="0.25">
      <c r="A45" s="69" t="s">
        <v>219</v>
      </c>
      <c r="B45" s="70">
        <v>3.85</v>
      </c>
      <c r="C45" s="70">
        <v>2.96</v>
      </c>
      <c r="D45" s="70">
        <v>2.6</v>
      </c>
      <c r="E45" s="69"/>
      <c r="F45" s="81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3"/>
    </row>
    <row r="46" spans="1:19" s="54" customFormat="1" x14ac:dyDescent="0.25">
      <c r="A46" s="55"/>
      <c r="B46" s="55"/>
      <c r="C46" s="55"/>
      <c r="D46" s="55"/>
      <c r="E46" s="69" t="s">
        <v>162</v>
      </c>
      <c r="F46" s="81">
        <f>B45*C45</f>
        <v>11.396000000000001</v>
      </c>
      <c r="G46" s="84">
        <f>$F46*G$5</f>
        <v>5698</v>
      </c>
      <c r="H46" s="84">
        <f>$F46*H$5</f>
        <v>11396</v>
      </c>
      <c r="I46" s="84">
        <f>$F46*I$5</f>
        <v>11396</v>
      </c>
      <c r="J46" s="84"/>
      <c r="K46" s="84"/>
      <c r="L46" s="84"/>
      <c r="M46" s="84"/>
      <c r="N46" s="84"/>
      <c r="O46" s="84"/>
      <c r="P46" s="84"/>
      <c r="Q46" s="84"/>
      <c r="R46" s="83"/>
    </row>
    <row r="47" spans="1:19" s="54" customFormat="1" x14ac:dyDescent="0.25">
      <c r="E47" s="69" t="s">
        <v>173</v>
      </c>
      <c r="F47" s="81">
        <v>24</v>
      </c>
      <c r="G47" s="84"/>
      <c r="H47" s="84"/>
      <c r="I47" s="84"/>
      <c r="J47" s="84">
        <f>$F$47*J5</f>
        <v>13440</v>
      </c>
      <c r="K47" s="84">
        <f t="shared" ref="K47:N47" si="8">$F$47*K5</f>
        <v>7680</v>
      </c>
      <c r="L47" s="84">
        <f t="shared" si="8"/>
        <v>7200</v>
      </c>
      <c r="M47" s="84">
        <f t="shared" si="8"/>
        <v>7680</v>
      </c>
      <c r="N47" s="84">
        <f t="shared" si="8"/>
        <v>7200</v>
      </c>
      <c r="O47" s="84"/>
      <c r="P47" s="84"/>
      <c r="Q47" s="84"/>
      <c r="R47" s="83"/>
    </row>
    <row r="48" spans="1:19" s="54" customFormat="1" x14ac:dyDescent="0.25">
      <c r="E48" s="55" t="s">
        <v>220</v>
      </c>
      <c r="F48" s="81">
        <f>B45*D45</f>
        <v>10.01</v>
      </c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3"/>
    </row>
    <row r="49" spans="4:19" s="54" customFormat="1" x14ac:dyDescent="0.25">
      <c r="E49" s="55" t="s">
        <v>221</v>
      </c>
      <c r="F49" s="81">
        <f>C45*D45</f>
        <v>7.6959999999999997</v>
      </c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3"/>
    </row>
    <row r="50" spans="4:19" s="54" customFormat="1" x14ac:dyDescent="0.25">
      <c r="E50" s="55" t="s">
        <v>222</v>
      </c>
      <c r="F50" s="81">
        <f>B45*D45</f>
        <v>10.01</v>
      </c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3"/>
    </row>
    <row r="51" spans="4:19" s="54" customFormat="1" x14ac:dyDescent="0.25">
      <c r="E51" s="55" t="s">
        <v>223</v>
      </c>
      <c r="F51" s="81">
        <f>C45*D45</f>
        <v>7.6959999999999997</v>
      </c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3"/>
    </row>
    <row r="52" spans="4:19" s="54" customFormat="1" x14ac:dyDescent="0.25">
      <c r="E52" s="55" t="s">
        <v>226</v>
      </c>
      <c r="F52" s="81">
        <v>27</v>
      </c>
      <c r="G52" s="84"/>
      <c r="H52" s="84"/>
      <c r="I52" s="84"/>
      <c r="J52" s="84">
        <f t="shared" ref="J52:N54" si="9">$F52*J$5</f>
        <v>15120</v>
      </c>
      <c r="K52" s="84">
        <f t="shared" si="9"/>
        <v>8640</v>
      </c>
      <c r="L52" s="84">
        <f t="shared" si="9"/>
        <v>8100</v>
      </c>
      <c r="M52" s="84">
        <f t="shared" si="9"/>
        <v>8640</v>
      </c>
      <c r="N52" s="84">
        <f t="shared" si="9"/>
        <v>8100</v>
      </c>
      <c r="O52" s="84"/>
      <c r="P52" s="84"/>
      <c r="Q52" s="84"/>
      <c r="R52" s="83"/>
    </row>
    <row r="53" spans="4:19" s="54" customFormat="1" x14ac:dyDescent="0.25">
      <c r="E53" s="55" t="s">
        <v>228</v>
      </c>
      <c r="F53" s="81">
        <v>8</v>
      </c>
      <c r="G53" s="84"/>
      <c r="H53" s="84"/>
      <c r="I53" s="84"/>
      <c r="J53" s="84">
        <f t="shared" si="9"/>
        <v>4480</v>
      </c>
      <c r="K53" s="84">
        <f t="shared" si="9"/>
        <v>2560</v>
      </c>
      <c r="L53" s="84">
        <f t="shared" si="9"/>
        <v>2400</v>
      </c>
      <c r="M53" s="84">
        <f t="shared" si="9"/>
        <v>2560</v>
      </c>
      <c r="N53" s="84">
        <f t="shared" si="9"/>
        <v>2400</v>
      </c>
      <c r="O53" s="84"/>
      <c r="P53" s="84"/>
      <c r="Q53" s="84"/>
      <c r="R53" s="83"/>
    </row>
    <row r="54" spans="4:19" s="54" customFormat="1" x14ac:dyDescent="0.25">
      <c r="E54" s="69" t="s">
        <v>182</v>
      </c>
      <c r="F54" s="81">
        <f>B45*C45</f>
        <v>11.396000000000001</v>
      </c>
      <c r="G54" s="84"/>
      <c r="H54" s="84"/>
      <c r="I54" s="84"/>
      <c r="J54" s="84">
        <f t="shared" si="9"/>
        <v>6381.76</v>
      </c>
      <c r="K54" s="84">
        <f t="shared" si="9"/>
        <v>3646.7200000000003</v>
      </c>
      <c r="L54" s="84">
        <f t="shared" si="9"/>
        <v>3418.8</v>
      </c>
      <c r="M54" s="84">
        <f t="shared" si="9"/>
        <v>3646.7200000000003</v>
      </c>
      <c r="N54" s="84">
        <f t="shared" si="9"/>
        <v>3418.8</v>
      </c>
      <c r="O54" s="84"/>
      <c r="P54" s="84"/>
      <c r="Q54" s="84"/>
      <c r="R54" s="83"/>
    </row>
    <row r="55" spans="4:19" s="54" customFormat="1" x14ac:dyDescent="0.25">
      <c r="D55" s="70" t="s">
        <v>201</v>
      </c>
      <c r="E55" s="55"/>
      <c r="F55" s="81"/>
      <c r="G55" s="86">
        <f>SUM(G46:G54)</f>
        <v>5698</v>
      </c>
      <c r="H55" s="86">
        <f t="shared" ref="H55:Q55" si="10">SUM(H46:H54)</f>
        <v>11396</v>
      </c>
      <c r="I55" s="84">
        <f t="shared" si="10"/>
        <v>11396</v>
      </c>
      <c r="J55" s="86">
        <f t="shared" si="10"/>
        <v>39421.760000000002</v>
      </c>
      <c r="K55" s="84">
        <f t="shared" si="10"/>
        <v>22526.720000000001</v>
      </c>
      <c r="L55" s="84">
        <f t="shared" si="10"/>
        <v>21118.799999999999</v>
      </c>
      <c r="M55" s="84">
        <f t="shared" si="10"/>
        <v>22526.720000000001</v>
      </c>
      <c r="N55" s="84">
        <f t="shared" si="10"/>
        <v>21118.799999999999</v>
      </c>
      <c r="O55" s="84"/>
      <c r="P55" s="84"/>
      <c r="Q55" s="84"/>
      <c r="R55" s="83">
        <f>SUM(G55:Q55)</f>
        <v>155202.79999999999</v>
      </c>
      <c r="S55" s="85">
        <f>G55+H55+J55</f>
        <v>56515.76</v>
      </c>
    </row>
    <row r="56" spans="4:19" s="54" customFormat="1" x14ac:dyDescent="0.25">
      <c r="D56" s="54" t="s">
        <v>229</v>
      </c>
      <c r="E56" s="55">
        <v>500</v>
      </c>
      <c r="F56" s="81"/>
    </row>
    <row r="57" spans="4:19" x14ac:dyDescent="0.25">
      <c r="D57" s="55" t="s">
        <v>231</v>
      </c>
    </row>
    <row r="58" spans="4:19" x14ac:dyDescent="0.25">
      <c r="D58" s="80" t="s">
        <v>201</v>
      </c>
    </row>
    <row r="60" spans="4:19" x14ac:dyDescent="0.25">
      <c r="H60" s="54" t="s">
        <v>232</v>
      </c>
    </row>
  </sheetData>
  <phoneticPr fontId="16" type="noConversion"/>
  <pageMargins left="0.7" right="0.7" top="0.75" bottom="0.75" header="0.3" footer="0.3"/>
  <pageSetup paperSize="9" scale="5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20AA-4932-46F9-9C60-896A8BDA135A}">
  <dimension ref="B5:E10"/>
  <sheetViews>
    <sheetView workbookViewId="0">
      <selection activeCell="E11" sqref="E11"/>
    </sheetView>
  </sheetViews>
  <sheetFormatPr defaultRowHeight="15" x14ac:dyDescent="0.25"/>
  <cols>
    <col min="5" max="5" width="129.5703125" customWidth="1"/>
  </cols>
  <sheetData>
    <row r="5" spans="2:5" ht="15.75" thickBot="1" x14ac:dyDescent="0.3"/>
    <row r="6" spans="2:5" ht="15.75" thickBot="1" x14ac:dyDescent="0.3">
      <c r="B6" s="91"/>
      <c r="C6" s="92"/>
      <c r="D6" s="93"/>
      <c r="E6" s="94"/>
    </row>
    <row r="7" spans="2:5" x14ac:dyDescent="0.25">
      <c r="E7" s="94"/>
    </row>
    <row r="8" spans="2:5" x14ac:dyDescent="0.25">
      <c r="E8" s="94"/>
    </row>
    <row r="9" spans="2:5" x14ac:dyDescent="0.25">
      <c r="E9" s="94"/>
    </row>
    <row r="10" spans="2:5" x14ac:dyDescent="0.25">
      <c r="E10" s="9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2024</vt:lpstr>
      <vt:lpstr>2023</vt:lpstr>
      <vt:lpstr>смета работы</vt:lpstr>
      <vt:lpstr>Ремонт</vt:lpstr>
      <vt:lpstr>план накопления</vt:lpstr>
      <vt:lpstr>2022</vt:lpstr>
      <vt:lpstr>2021</vt:lpstr>
      <vt:lpstr>смета работы (2)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2023-12-28T13:25:36Z</dcterms:modified>
</cp:coreProperties>
</file>