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kerja\AIS code\"/>
    </mc:Choice>
  </mc:AlternateContent>
  <xr:revisionPtr revIDLastSave="0" documentId="13_ncr:1_{178A5CC8-5336-460C-A45E-83F131250D58}" xr6:coauthVersionLast="47" xr6:coauthVersionMax="47" xr10:uidLastSave="{00000000-0000-0000-0000-000000000000}"/>
  <bookViews>
    <workbookView xWindow="-108" yWindow="-108" windowWidth="23256" windowHeight="13176" activeTab="1" xr2:uid="{268A7C96-1EDF-47F4-AF34-801CD3B39BFB}"/>
  </bookViews>
  <sheets>
    <sheet name="Sheet1" sheetId="1" r:id="rId1"/>
    <sheet name="brc" sheetId="2" r:id="rId2"/>
    <sheet name="nasional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3" l="1"/>
  <c r="B37" i="3" s="1" a="1"/>
  <c r="B37" i="3" s="1"/>
  <c r="B36" i="2"/>
  <c r="G5" i="2"/>
  <c r="E5" i="2"/>
  <c r="F17" i="2"/>
  <c r="G5" i="3"/>
  <c r="G19" i="3" s="1"/>
  <c r="E5" i="3"/>
  <c r="E6" i="3" s="1"/>
  <c r="E7" i="3" s="1"/>
  <c r="E8" i="3" s="1"/>
  <c r="F17" i="3"/>
  <c r="D17" i="3"/>
  <c r="D31" i="3" s="1"/>
  <c r="C17" i="3"/>
  <c r="F16" i="3"/>
  <c r="F30" i="3" s="1"/>
  <c r="C16" i="3"/>
  <c r="C30" i="3" s="1"/>
  <c r="F15" i="3"/>
  <c r="F29" i="3" s="1"/>
  <c r="C15" i="3"/>
  <c r="C29" i="3" s="1"/>
  <c r="F14" i="3"/>
  <c r="F28" i="3" s="1"/>
  <c r="C14" i="3"/>
  <c r="C28" i="3" s="1"/>
  <c r="F13" i="3"/>
  <c r="F27" i="3" s="1"/>
  <c r="C13" i="3"/>
  <c r="C27" i="3" s="1"/>
  <c r="F12" i="3"/>
  <c r="F26" i="3" s="1"/>
  <c r="C12" i="3"/>
  <c r="C26" i="3" s="1"/>
  <c r="F11" i="3"/>
  <c r="F25" i="3" s="1"/>
  <c r="C11" i="3"/>
  <c r="C25" i="3" s="1"/>
  <c r="F10" i="3"/>
  <c r="F24" i="3" s="1"/>
  <c r="C10" i="3"/>
  <c r="C24" i="3" s="1"/>
  <c r="F9" i="3"/>
  <c r="C9" i="3"/>
  <c r="C23" i="3" s="1"/>
  <c r="F8" i="3"/>
  <c r="F22" i="3" s="1"/>
  <c r="C8" i="3"/>
  <c r="C22" i="3" s="1"/>
  <c r="F7" i="3"/>
  <c r="F21" i="3" s="1"/>
  <c r="C7" i="3"/>
  <c r="C21" i="3" s="1"/>
  <c r="F6" i="3"/>
  <c r="F20" i="3" s="1"/>
  <c r="C6" i="3"/>
  <c r="C20" i="3" s="1"/>
  <c r="J5" i="3"/>
  <c r="J19" i="3" s="1"/>
  <c r="I5" i="3"/>
  <c r="H5" i="3"/>
  <c r="F5" i="3"/>
  <c r="F19" i="3" s="1"/>
  <c r="C5" i="3"/>
  <c r="J5" i="2"/>
  <c r="A61" i="2"/>
  <c r="A73" i="2"/>
  <c r="A62" i="2"/>
  <c r="A63" i="2"/>
  <c r="A64" i="2"/>
  <c r="A65" i="2"/>
  <c r="A66" i="2"/>
  <c r="A67" i="2"/>
  <c r="A68" i="2"/>
  <c r="A69" i="2"/>
  <c r="A70" i="2"/>
  <c r="A71" i="2"/>
  <c r="A72" i="2"/>
  <c r="E56" i="2"/>
  <c r="E45" i="2"/>
  <c r="E46" i="2"/>
  <c r="E47" i="2"/>
  <c r="E48" i="2"/>
  <c r="E49" i="2"/>
  <c r="E50" i="2"/>
  <c r="E51" i="2"/>
  <c r="E52" i="2"/>
  <c r="E53" i="2"/>
  <c r="E54" i="2"/>
  <c r="E55" i="2"/>
  <c r="E44" i="2"/>
  <c r="D45" i="2"/>
  <c r="D46" i="2"/>
  <c r="D47" i="2"/>
  <c r="D48" i="2"/>
  <c r="D49" i="2"/>
  <c r="D50" i="2"/>
  <c r="D51" i="2"/>
  <c r="D52" i="2"/>
  <c r="D53" i="2"/>
  <c r="D54" i="2"/>
  <c r="D55" i="2"/>
  <c r="D44" i="2"/>
  <c r="C45" i="2"/>
  <c r="C46" i="2"/>
  <c r="C47" i="2"/>
  <c r="C48" i="2"/>
  <c r="C49" i="2"/>
  <c r="C50" i="2"/>
  <c r="C51" i="2"/>
  <c r="C52" i="2"/>
  <c r="C53" i="2"/>
  <c r="C54" i="2"/>
  <c r="C55" i="2"/>
  <c r="C44" i="2"/>
  <c r="J7" i="1"/>
  <c r="J6" i="1" a="1"/>
  <c r="J6" i="1" s="1"/>
  <c r="B37" i="2" a="1"/>
  <c r="B37" i="2" s="1"/>
  <c r="G19" i="2"/>
  <c r="E19" i="2"/>
  <c r="O33" i="1"/>
  <c r="N33" i="1"/>
  <c r="I5" i="2"/>
  <c r="O32" i="1"/>
  <c r="H5" i="2"/>
  <c r="N32" i="1"/>
  <c r="G6" i="2"/>
  <c r="G7" i="2" s="1"/>
  <c r="J32" i="1"/>
  <c r="H5" i="1"/>
  <c r="F6" i="2"/>
  <c r="F20" i="2" s="1"/>
  <c r="F7" i="2"/>
  <c r="F21" i="2" s="1"/>
  <c r="F8" i="2"/>
  <c r="F22" i="2" s="1"/>
  <c r="F9" i="2"/>
  <c r="F23" i="2" s="1"/>
  <c r="F10" i="2"/>
  <c r="F24" i="2" s="1"/>
  <c r="F11" i="2"/>
  <c r="F25" i="2" s="1"/>
  <c r="F12" i="2"/>
  <c r="F26" i="2" s="1"/>
  <c r="F13" i="2"/>
  <c r="F27" i="2" s="1"/>
  <c r="F14" i="2"/>
  <c r="F28" i="2" s="1"/>
  <c r="F15" i="2"/>
  <c r="F29" i="2" s="1"/>
  <c r="F16" i="2"/>
  <c r="F30" i="2" s="1"/>
  <c r="F5" i="2"/>
  <c r="G10" i="1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8" i="1"/>
  <c r="D17" i="2"/>
  <c r="D31" i="2" s="1"/>
  <c r="C17" i="2"/>
  <c r="C16" i="2"/>
  <c r="C30" i="2" s="1"/>
  <c r="C15" i="2"/>
  <c r="C29" i="2" s="1"/>
  <c r="C14" i="2"/>
  <c r="C28" i="2" s="1"/>
  <c r="C13" i="2"/>
  <c r="C27" i="2" s="1"/>
  <c r="C12" i="2"/>
  <c r="C26" i="2" s="1"/>
  <c r="C11" i="2"/>
  <c r="C25" i="2" s="1"/>
  <c r="C10" i="2"/>
  <c r="C24" i="2" s="1"/>
  <c r="C9" i="2"/>
  <c r="C23" i="2" s="1"/>
  <c r="C8" i="2"/>
  <c r="C22" i="2" s="1"/>
  <c r="C7" i="2"/>
  <c r="C21" i="2" s="1"/>
  <c r="C6" i="2"/>
  <c r="C20" i="2" s="1"/>
  <c r="C5" i="2"/>
  <c r="C19" i="2" s="1"/>
  <c r="H6" i="2" l="1"/>
  <c r="I6" i="2"/>
  <c r="H7" i="2" s="1"/>
  <c r="E19" i="3"/>
  <c r="J6" i="3"/>
  <c r="J20" i="3" s="1"/>
  <c r="E9" i="3"/>
  <c r="E10" i="3" s="1"/>
  <c r="E11" i="3" s="1"/>
  <c r="E12" i="3" s="1"/>
  <c r="E13" i="3" s="1"/>
  <c r="E22" i="3"/>
  <c r="C33" i="3" a="1"/>
  <c r="C33" i="3" s="1"/>
  <c r="F33" i="3" a="1"/>
  <c r="F33" i="3" s="1"/>
  <c r="G6" i="3"/>
  <c r="G7" i="3" s="1"/>
  <c r="G8" i="3" s="1"/>
  <c r="G9" i="3" s="1"/>
  <c r="G10" i="3" s="1"/>
  <c r="G11" i="3" s="1"/>
  <c r="C19" i="3"/>
  <c r="C31" i="3" s="1"/>
  <c r="E20" i="3"/>
  <c r="E21" i="3"/>
  <c r="F23" i="3"/>
  <c r="F31" i="3" s="1"/>
  <c r="C38" i="3"/>
  <c r="C39" i="3" s="1"/>
  <c r="F38" i="3"/>
  <c r="F39" i="3" s="1"/>
  <c r="H6" i="3"/>
  <c r="I6" i="3" s="1"/>
  <c r="J7" i="3" s="1"/>
  <c r="J6" i="2"/>
  <c r="J20" i="2" s="1"/>
  <c r="F38" i="2"/>
  <c r="F39" i="2" s="1"/>
  <c r="E28" i="2"/>
  <c r="F19" i="2"/>
  <c r="F31" i="2" s="1"/>
  <c r="E38" i="2"/>
  <c r="E39" i="2" s="1"/>
  <c r="C38" i="2"/>
  <c r="C39" i="2" s="1"/>
  <c r="C31" i="2"/>
  <c r="F33" i="2" a="1"/>
  <c r="F33" i="2" s="1"/>
  <c r="G20" i="2"/>
  <c r="E30" i="2"/>
  <c r="E29" i="2"/>
  <c r="G8" i="2"/>
  <c r="G21" i="2"/>
  <c r="J19" i="2"/>
  <c r="C33" i="2" a="1"/>
  <c r="C33" i="2" s="1"/>
  <c r="E26" i="2"/>
  <c r="E24" i="2"/>
  <c r="E23" i="2"/>
  <c r="E20" i="2"/>
  <c r="E27" i="2"/>
  <c r="E25" i="2"/>
  <c r="E33" i="2" a="1"/>
  <c r="E33" i="2" s="1"/>
  <c r="E22" i="2"/>
  <c r="E21" i="2"/>
  <c r="G20" i="3" l="1"/>
  <c r="G24" i="3"/>
  <c r="G21" i="3"/>
  <c r="G23" i="3"/>
  <c r="E24" i="3"/>
  <c r="G22" i="3"/>
  <c r="E26" i="3"/>
  <c r="E25" i="3"/>
  <c r="E23" i="3"/>
  <c r="G12" i="3"/>
  <c r="G25" i="3"/>
  <c r="E14" i="3"/>
  <c r="E27" i="3"/>
  <c r="J21" i="3"/>
  <c r="H7" i="3"/>
  <c r="I7" i="3" s="1"/>
  <c r="H8" i="3" s="1"/>
  <c r="E31" i="2"/>
  <c r="G9" i="2"/>
  <c r="G22" i="2"/>
  <c r="G13" i="3" l="1"/>
  <c r="G26" i="3"/>
  <c r="E15" i="3"/>
  <c r="E28" i="3"/>
  <c r="J8" i="3"/>
  <c r="I8" i="3"/>
  <c r="J9" i="3" s="1"/>
  <c r="J23" i="3" s="1"/>
  <c r="J7" i="2"/>
  <c r="J21" i="2" s="1"/>
  <c r="G10" i="2"/>
  <c r="G23" i="2"/>
  <c r="I7" i="2"/>
  <c r="V20" i="1"/>
  <c r="T31" i="1"/>
  <c r="U31" i="1" s="1"/>
  <c r="S31" i="1"/>
  <c r="V19" i="1"/>
  <c r="V18" i="1"/>
  <c r="V17" i="1"/>
  <c r="V16" i="1"/>
  <c r="V15" i="1"/>
  <c r="V14" i="1"/>
  <c r="V13" i="1"/>
  <c r="V12" i="1"/>
  <c r="V11" i="1"/>
  <c r="V10" i="1"/>
  <c r="V9" i="1"/>
  <c r="V8" i="1"/>
  <c r="I5" i="1"/>
  <c r="N34" i="1"/>
  <c r="O34" i="1" s="1"/>
  <c r="P33" i="1"/>
  <c r="L30" i="1"/>
  <c r="L31" i="1" s="1"/>
  <c r="B23" i="1"/>
  <c r="B22" i="1"/>
  <c r="G22" i="1"/>
  <c r="G11" i="1"/>
  <c r="G12" i="1"/>
  <c r="G13" i="1"/>
  <c r="G14" i="1"/>
  <c r="G15" i="1"/>
  <c r="G16" i="1"/>
  <c r="G17" i="1"/>
  <c r="G18" i="1"/>
  <c r="G19" i="1"/>
  <c r="G20" i="1"/>
  <c r="G21" i="1"/>
  <c r="H7" i="1"/>
  <c r="H6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E16" i="3" l="1"/>
  <c r="E29" i="3"/>
  <c r="G14" i="3"/>
  <c r="G27" i="3"/>
  <c r="J22" i="3"/>
  <c r="H9" i="3"/>
  <c r="I9" i="3" s="1"/>
  <c r="J10" i="3" s="1"/>
  <c r="J24" i="3" s="1"/>
  <c r="J8" i="2"/>
  <c r="J22" i="2" s="1"/>
  <c r="H8" i="2"/>
  <c r="I8" i="2" s="1"/>
  <c r="G11" i="2"/>
  <c r="G24" i="2"/>
  <c r="W9" i="1"/>
  <c r="W10" i="1" s="1"/>
  <c r="H8" i="1"/>
  <c r="J8" i="1"/>
  <c r="J33" i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E7" i="1"/>
  <c r="E8" i="1" s="1"/>
  <c r="S32" i="1"/>
  <c r="T32" i="1" s="1"/>
  <c r="S33" i="1" s="1"/>
  <c r="T33" i="1" s="1"/>
  <c r="S34" i="1" s="1"/>
  <c r="N35" i="1"/>
  <c r="O35" i="1" s="1"/>
  <c r="N36" i="1" s="1"/>
  <c r="P34" i="1"/>
  <c r="P35" i="1"/>
  <c r="G15" i="3" l="1"/>
  <c r="G28" i="3"/>
  <c r="E17" i="3"/>
  <c r="E30" i="3"/>
  <c r="E31" i="3" s="1"/>
  <c r="E38" i="3"/>
  <c r="E39" i="3" s="1"/>
  <c r="E33" i="3" a="1"/>
  <c r="E33" i="3" s="1"/>
  <c r="H10" i="3"/>
  <c r="H9" i="2"/>
  <c r="I9" i="2" s="1"/>
  <c r="G12" i="2"/>
  <c r="G25" i="2"/>
  <c r="J9" i="2"/>
  <c r="U32" i="1"/>
  <c r="L32" i="1"/>
  <c r="L33" i="1" s="1"/>
  <c r="U33" i="1"/>
  <c r="T34" i="1"/>
  <c r="S35" i="1" s="1"/>
  <c r="T35" i="1" s="1"/>
  <c r="S36" i="1" s="1"/>
  <c r="P36" i="1"/>
  <c r="O36" i="1"/>
  <c r="P37" i="1" s="1"/>
  <c r="G16" i="3" l="1"/>
  <c r="G29" i="3"/>
  <c r="I10" i="3"/>
  <c r="H11" i="3" s="1"/>
  <c r="H10" i="2"/>
  <c r="I10" i="2" s="1"/>
  <c r="J11" i="2" s="1"/>
  <c r="J25" i="2" s="1"/>
  <c r="J23" i="2"/>
  <c r="J10" i="2"/>
  <c r="J24" i="2" s="1"/>
  <c r="G13" i="2"/>
  <c r="G26" i="2"/>
  <c r="U34" i="1"/>
  <c r="U35" i="1"/>
  <c r="T36" i="1"/>
  <c r="U36" i="1" s="1"/>
  <c r="N37" i="1"/>
  <c r="O37" i="1" s="1"/>
  <c r="P38" i="1" s="1"/>
  <c r="G17" i="3" l="1"/>
  <c r="G30" i="3"/>
  <c r="G31" i="3" s="1"/>
  <c r="G38" i="3"/>
  <c r="G39" i="3" s="1"/>
  <c r="G33" i="3" a="1"/>
  <c r="G33" i="3" s="1"/>
  <c r="I11" i="3"/>
  <c r="J12" i="3" s="1"/>
  <c r="J26" i="3" s="1"/>
  <c r="J11" i="3"/>
  <c r="H11" i="2"/>
  <c r="G14" i="2"/>
  <c r="G27" i="2"/>
  <c r="S37" i="1"/>
  <c r="T37" i="1" s="1"/>
  <c r="S38" i="1" s="1"/>
  <c r="N38" i="1"/>
  <c r="J25" i="3" l="1"/>
  <c r="H12" i="3"/>
  <c r="I11" i="2"/>
  <c r="H12" i="2" s="1"/>
  <c r="G15" i="2"/>
  <c r="G28" i="2"/>
  <c r="U37" i="1"/>
  <c r="T38" i="1"/>
  <c r="S39" i="1" s="1"/>
  <c r="O38" i="1"/>
  <c r="P39" i="1" s="1"/>
  <c r="I12" i="3" l="1"/>
  <c r="J13" i="3" s="1"/>
  <c r="J27" i="3" s="1"/>
  <c r="G16" i="2"/>
  <c r="G29" i="2"/>
  <c r="I12" i="2"/>
  <c r="H13" i="2" s="1"/>
  <c r="J12" i="2"/>
  <c r="J26" i="2" s="1"/>
  <c r="U38" i="1"/>
  <c r="T39" i="1"/>
  <c r="S40" i="1" s="1"/>
  <c r="N39" i="1"/>
  <c r="O39" i="1" s="1"/>
  <c r="N40" i="1" s="1"/>
  <c r="O40" i="1" s="1"/>
  <c r="N41" i="1" s="1"/>
  <c r="G38" i="2" l="1"/>
  <c r="G39" i="2" s="1"/>
  <c r="G17" i="2"/>
  <c r="H13" i="3"/>
  <c r="I13" i="3" s="1"/>
  <c r="H14" i="3" s="1"/>
  <c r="I13" i="2"/>
  <c r="H14" i="2" s="1"/>
  <c r="J13" i="2"/>
  <c r="J27" i="2" s="1"/>
  <c r="G30" i="2"/>
  <c r="G31" i="2" s="1"/>
  <c r="G33" i="2" a="1"/>
  <c r="G33" i="2" s="1"/>
  <c r="P40" i="1"/>
  <c r="U39" i="1"/>
  <c r="T40" i="1"/>
  <c r="S41" i="1" s="1"/>
  <c r="P41" i="1"/>
  <c r="O41" i="1"/>
  <c r="N42" i="1" s="1"/>
  <c r="J14" i="3" l="1"/>
  <c r="J28" i="3" s="1"/>
  <c r="I14" i="3"/>
  <c r="H15" i="3" s="1"/>
  <c r="I14" i="2"/>
  <c r="H15" i="2" s="1"/>
  <c r="J14" i="2"/>
  <c r="J28" i="2" s="1"/>
  <c r="U40" i="1"/>
  <c r="T41" i="1"/>
  <c r="S42" i="1" s="1"/>
  <c r="P42" i="1"/>
  <c r="O42" i="1"/>
  <c r="N43" i="1" s="1"/>
  <c r="J15" i="3" l="1"/>
  <c r="J29" i="3" s="1"/>
  <c r="I15" i="3"/>
  <c r="H16" i="3" s="1"/>
  <c r="I15" i="2"/>
  <c r="H16" i="2" s="1"/>
  <c r="J15" i="2"/>
  <c r="J29" i="2" s="1"/>
  <c r="U41" i="1"/>
  <c r="T42" i="1"/>
  <c r="S43" i="1" s="1"/>
  <c r="O43" i="1"/>
  <c r="N44" i="1" s="1"/>
  <c r="O44" i="1" s="1"/>
  <c r="P43" i="1"/>
  <c r="M32" i="1" s="1"/>
  <c r="I16" i="3" l="1"/>
  <c r="J17" i="3" s="1"/>
  <c r="J16" i="3"/>
  <c r="I16" i="2"/>
  <c r="J16" i="2"/>
  <c r="J38" i="2" s="1"/>
  <c r="J39" i="2" s="1"/>
  <c r="T43" i="1"/>
  <c r="U43" i="1" s="1"/>
  <c r="U42" i="1"/>
  <c r="P44" i="1"/>
  <c r="J17" i="2" l="1"/>
  <c r="J30" i="3"/>
  <c r="J31" i="3" s="1"/>
  <c r="J33" i="3" a="1"/>
  <c r="J33" i="3" s="1"/>
  <c r="J38" i="3"/>
  <c r="J39" i="3" s="1"/>
  <c r="J30" i="2"/>
  <c r="J31" i="2" s="1"/>
  <c r="J33" i="2" a="1"/>
  <c r="J33" i="2" s="1"/>
  <c r="M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<sst xmlns="http://schemas.openxmlformats.org/spreadsheetml/2006/main" count="119" uniqueCount="51">
  <si>
    <t>LF  691 A</t>
  </si>
  <si>
    <t>brc: 81</t>
  </si>
  <si>
    <t>national</t>
  </si>
  <si>
    <t>alpha</t>
  </si>
  <si>
    <t>period</t>
  </si>
  <si>
    <t>quantity</t>
  </si>
  <si>
    <t>slope</t>
  </si>
  <si>
    <t>intercept</t>
  </si>
  <si>
    <t>r-squared</t>
  </si>
  <si>
    <t>prediction</t>
  </si>
  <si>
    <t>WMA</t>
  </si>
  <si>
    <t>rl</t>
  </si>
  <si>
    <t>ewma</t>
  </si>
  <si>
    <t>PR 2 red</t>
  </si>
  <si>
    <t>PR 3 blue</t>
  </si>
  <si>
    <t>SES</t>
  </si>
  <si>
    <t>actual</t>
  </si>
  <si>
    <t>predicted</t>
  </si>
  <si>
    <t>mean</t>
  </si>
  <si>
    <t>SST</t>
  </si>
  <si>
    <t>SSR</t>
  </si>
  <si>
    <t>R2</t>
  </si>
  <si>
    <t>DES</t>
  </si>
  <si>
    <t>beta</t>
  </si>
  <si>
    <t>LEVEL</t>
  </si>
  <si>
    <t>TREND</t>
  </si>
  <si>
    <t>FORECAST</t>
  </si>
  <si>
    <t>MA</t>
  </si>
  <si>
    <t>LVL</t>
  </si>
  <si>
    <t>Data</t>
  </si>
  <si>
    <t>EWMA</t>
  </si>
  <si>
    <t>LR</t>
  </si>
  <si>
    <t>NaN</t>
  </si>
  <si>
    <t>Period</t>
  </si>
  <si>
    <t>FD</t>
  </si>
  <si>
    <t>alpha EWMA</t>
  </si>
  <si>
    <t>MAE</t>
  </si>
  <si>
    <t>RMSE</t>
  </si>
  <si>
    <t>AVG</t>
  </si>
  <si>
    <t>alpha SES DES</t>
  </si>
  <si>
    <t>beta DES</t>
  </si>
  <si>
    <t>period ^2</t>
  </si>
  <si>
    <t>a2</t>
  </si>
  <si>
    <t>a3</t>
  </si>
  <si>
    <t>a1</t>
  </si>
  <si>
    <t>a0</t>
  </si>
  <si>
    <t>period ^3</t>
  </si>
  <si>
    <t>forecast</t>
  </si>
  <si>
    <t>polynomial 2nd</t>
  </si>
  <si>
    <t>polynomial 3rd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</si>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</sst>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Sheet1!$B$7:$B$18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17</c:v>
                </c:pt>
                <c:pt idx="6" formatCode="#,##0">
                  <c:v>28.650500000000001</c:v>
                </c:pt>
                <c:pt idx="7">
                  <c:v>17</c:v>
                </c:pt>
                <c:pt idx="8">
                  <c:v>19</c:v>
                </c:pt>
                <c:pt idx="9">
                  <c:v>12</c:v>
                </c:pt>
                <c:pt idx="10">
                  <c:v>17</c:v>
                </c:pt>
                <c:pt idx="1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6-4A58-86A1-4440E2BA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30623"/>
        <c:axId val="574737343"/>
      </c:scatterChart>
      <c:valAx>
        <c:axId val="57473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37343"/>
        <c:crosses val="autoZero"/>
        <c:crossBetween val="midCat"/>
      </c:valAx>
      <c:valAx>
        <c:axId val="5747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3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brc 81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Sheet1!$I$31:$I$42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17</c:v>
                </c:pt>
                <c:pt idx="6">
                  <c:v>28.650500000000001</c:v>
                </c:pt>
                <c:pt idx="7">
                  <c:v>17</c:v>
                </c:pt>
                <c:pt idx="8">
                  <c:v>19</c:v>
                </c:pt>
                <c:pt idx="9">
                  <c:v>12</c:v>
                </c:pt>
                <c:pt idx="10">
                  <c:v>17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8-4B94-B639-63E3D71CDFC0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Sheet1!$P$33:$P$44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8.4825000000000017</c:v>
                </c:pt>
                <c:pt idx="5">
                  <c:v>19.142743750000001</c:v>
                </c:pt>
                <c:pt idx="6">
                  <c:v>33.227672765625002</c:v>
                </c:pt>
                <c:pt idx="7">
                  <c:v>25.837978637148442</c:v>
                </c:pt>
                <c:pt idx="8">
                  <c:v>22.551476940815721</c:v>
                </c:pt>
                <c:pt idx="9">
                  <c:v>13.764894341910672</c:v>
                </c:pt>
                <c:pt idx="10">
                  <c:v>14.885858837285033</c:v>
                </c:pt>
                <c:pt idx="11">
                  <c:v>4.5865827007601876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8-4B94-B639-63E3D71CD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962335"/>
        <c:axId val="49095177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Sheet1!$N$31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Sheet1!$N$32:$N$43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5.8500000000000005</c:v>
                      </c:pt>
                      <c:pt idx="5">
                        <c:v>14.018875000000001</c:v>
                      </c:pt>
                      <c:pt idx="6">
                        <c:v>25.322785312500002</c:v>
                      </c:pt>
                      <c:pt idx="7">
                        <c:v>22.679685467968753</c:v>
                      </c:pt>
                      <c:pt idx="8">
                        <c:v>21.393292523001953</c:v>
                      </c:pt>
                      <c:pt idx="9">
                        <c:v>15.693016929285502</c:v>
                      </c:pt>
                      <c:pt idx="10">
                        <c:v>15.867713019668734</c:v>
                      </c:pt>
                      <c:pt idx="11">
                        <c:v>8.4600505930497611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9E8-4B94-B639-63E3D71CDFC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Sheet1!$O$31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Sheet1!$O$32:$O$43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2.6325000000000003</c:v>
                      </c:pt>
                      <c:pt idx="5">
                        <c:v>5.1238687499999997</c:v>
                      </c:pt>
                      <c:pt idx="6">
                        <c:v>7.9048874531250011</c:v>
                      </c:pt>
                      <c:pt idx="7">
                        <c:v>3.1582931691796885</c:v>
                      </c:pt>
                      <c:pt idx="8">
                        <c:v>1.1581844178137692</c:v>
                      </c:pt>
                      <c:pt idx="9">
                        <c:v>-1.9281225873748302</c:v>
                      </c:pt>
                      <c:pt idx="10">
                        <c:v>-0.98185418238370203</c:v>
                      </c:pt>
                      <c:pt idx="11">
                        <c:v>-3.873467892289574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9E8-4B94-B639-63E3D71CDFC0}"/>
                  </c:ext>
                </c:extLst>
              </c15:ser>
            </c15:filteredLineSeries>
          </c:ext>
        </c:extLst>
      </c:lineChart>
      <c:catAx>
        <c:axId val="49096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51775"/>
        <c:crosses val="autoZero"/>
        <c:auto val="1"/>
        <c:lblAlgn val="ctr"/>
        <c:lblOffset val="100"/>
        <c:noMultiLvlLbl val="0"/>
      </c:catAx>
      <c:valAx>
        <c:axId val="4909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6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Nasional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Sheet1!$R$30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Sheet1!$R$31:$R$43</c:f>
              <c:numCache>
                <c:formatCode>General</c:formatCode>
                <c:ptCount val="13"/>
                <c:pt idx="0">
                  <c:v>625</c:v>
                </c:pt>
                <c:pt idx="1">
                  <c:v>762</c:v>
                </c:pt>
                <c:pt idx="2">
                  <c:v>786</c:v>
                </c:pt>
                <c:pt idx="3">
                  <c:v>1004</c:v>
                </c:pt>
                <c:pt idx="4">
                  <c:v>1080</c:v>
                </c:pt>
                <c:pt idx="5">
                  <c:v>916</c:v>
                </c:pt>
                <c:pt idx="6">
                  <c:v>952</c:v>
                </c:pt>
                <c:pt idx="7">
                  <c:v>843</c:v>
                </c:pt>
                <c:pt idx="8">
                  <c:v>840</c:v>
                </c:pt>
                <c:pt idx="9">
                  <c:v>1007</c:v>
                </c:pt>
                <c:pt idx="10">
                  <c:v>1095</c:v>
                </c:pt>
                <c:pt idx="11">
                  <c:v>895</c:v>
                </c:pt>
                <c:pt idx="12">
                  <c:v>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7-44D1-B973-CE569E1A91F9}"/>
            </c:ext>
          </c:extLst>
        </c:ser>
        <c:ser>
          <c:idx val="1"/>
          <c:order val="1"/>
          <c:tx>
            <c:strRef>
              <c:f>Sheet1!$S$30</c:f>
              <c:strCache>
                <c:ptCount val="1"/>
                <c:pt idx="0">
                  <c:v>LVL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Sheet1!$S$31:$S$43</c:f>
              <c:numCache>
                <c:formatCode>General</c:formatCode>
                <c:ptCount val="13"/>
                <c:pt idx="0">
                  <c:v>625</c:v>
                </c:pt>
                <c:pt idx="1">
                  <c:v>762</c:v>
                </c:pt>
                <c:pt idx="2">
                  <c:v>825.55</c:v>
                </c:pt>
                <c:pt idx="3">
                  <c:v>977.924125</c:v>
                </c:pt>
                <c:pt idx="4">
                  <c:v>1088.2822621875</c:v>
                </c:pt>
                <c:pt idx="5">
                  <c:v>1017.8850485132812</c:v>
                </c:pt>
                <c:pt idx="6">
                  <c:v>986.84464703716992</c:v>
                </c:pt>
                <c:pt idx="7">
                  <c:v>894.93844726215877</c:v>
                </c:pt>
                <c:pt idx="8">
                  <c:v>845.62928151672338</c:v>
                </c:pt>
                <c:pt idx="9">
                  <c:v>935.27450866217941</c:v>
                </c:pt>
                <c:pt idx="10">
                  <c:v>1044.8300443794014</c:v>
                </c:pt>
                <c:pt idx="11">
                  <c:v>967.84919389945424</c:v>
                </c:pt>
                <c:pt idx="12">
                  <c:v>1080.7975070158823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7-44D1-B973-CE569E1A91F9}"/>
            </c:ext>
          </c:extLst>
        </c:ser>
        <c:ser>
          <c:idx val="2"/>
          <c:order val="2"/>
          <c:tx>
            <c:strRef>
              <c:f>Sheet1!$T$30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Sheet1!$T$31:$T$43</c:f>
              <c:numCache>
                <c:formatCode>General</c:formatCode>
                <c:ptCount val="13"/>
                <c:pt idx="0">
                  <c:v>137</c:v>
                </c:pt>
                <c:pt idx="1">
                  <c:v>137</c:v>
                </c:pt>
                <c:pt idx="2">
                  <c:v>103.94749999999999</c:v>
                </c:pt>
                <c:pt idx="3">
                  <c:v>125.73948125000001</c:v>
                </c:pt>
                <c:pt idx="4">
                  <c:v>118.81787642187501</c:v>
                </c:pt>
                <c:pt idx="5">
                  <c:v>33.67108587863278</c:v>
                </c:pt>
                <c:pt idx="6">
                  <c:v>4.5509165689979696</c:v>
                </c:pt>
                <c:pt idx="7">
                  <c:v>-38.854785785806129</c:v>
                </c:pt>
                <c:pt idx="8">
                  <c:v>-43.559256767639297</c:v>
                </c:pt>
                <c:pt idx="9">
                  <c:v>16.382760993253605</c:v>
                </c:pt>
                <c:pt idx="10">
                  <c:v>58.310509619039394</c:v>
                </c:pt>
                <c:pt idx="11">
                  <c:v>-2.5706024255045747</c:v>
                </c:pt>
                <c:pt idx="12">
                  <c:v>49.412909568365109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7-44D1-B973-CE569E1A91F9}"/>
            </c:ext>
          </c:extLst>
        </c:ser>
        <c:ser>
          <c:idx val="3"/>
          <c:order val="3"/>
          <c:tx>
            <c:strRef>
              <c:f>Sheet1!$U$30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Sheet1!$U$31:$U$43</c:f>
              <c:numCache>
                <c:formatCode>General</c:formatCode>
                <c:ptCount val="13"/>
                <c:pt idx="0">
                  <c:v>762</c:v>
                </c:pt>
                <c:pt idx="1">
                  <c:v>899</c:v>
                </c:pt>
                <c:pt idx="2">
                  <c:v>929.49749999999995</c:v>
                </c:pt>
                <c:pt idx="3">
                  <c:v>1103.6636062499999</c:v>
                </c:pt>
                <c:pt idx="4">
                  <c:v>1207.1001386093751</c:v>
                </c:pt>
                <c:pt idx="5">
                  <c:v>1051.5561343919139</c:v>
                </c:pt>
                <c:pt idx="6">
                  <c:v>991.39556360616791</c:v>
                </c:pt>
                <c:pt idx="7">
                  <c:v>856.08366147635263</c:v>
                </c:pt>
                <c:pt idx="8">
                  <c:v>802.07002474908404</c:v>
                </c:pt>
                <c:pt idx="9">
                  <c:v>951.65726965543297</c:v>
                </c:pt>
                <c:pt idx="10">
                  <c:v>1103.1405539984407</c:v>
                </c:pt>
                <c:pt idx="11">
                  <c:v>965.27859147394963</c:v>
                </c:pt>
                <c:pt idx="12">
                  <c:v>1130.2104165842475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7-44D1-B973-CE569E1A9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939391"/>
        <c:axId val="676958111"/>
      </c:lineChart>
      <c:catAx>
        <c:axId val="67693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58111"/>
        <c:crosses val="autoZero"/>
        <c:auto val="1"/>
        <c:lblAlgn val="ctr"/>
        <c:lblOffset val="100"/>
        <c:noMultiLvlLbl val="0"/>
      </c:catAx>
      <c:valAx>
        <c:axId val="6769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3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Sheet1!$B$7:$B$18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17</c:v>
                </c:pt>
                <c:pt idx="6" formatCode="#,##0">
                  <c:v>28.650500000000001</c:v>
                </c:pt>
                <c:pt idx="7">
                  <c:v>17</c:v>
                </c:pt>
                <c:pt idx="8">
                  <c:v>19</c:v>
                </c:pt>
                <c:pt idx="9">
                  <c:v>12</c:v>
                </c:pt>
                <c:pt idx="10">
                  <c:v>17</c:v>
                </c:pt>
                <c:pt idx="1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1-4F70-ABA4-29CF4D8E2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150111"/>
        <c:axId val="1824145791"/>
      </c:scatterChart>
      <c:valAx>
        <c:axId val="18241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45791"/>
        <c:crosses val="autoZero"/>
        <c:crossBetween val="midCat"/>
      </c:valAx>
      <c:valAx>
        <c:axId val="182414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5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Polynomial</a:t>
            </a:r>
            <a:r>
              <a:rPr lang="en-ID" baseline="0"/>
              <a:t> 2nd &amp; 3rd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brc!$B$3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layout>
                <c:manualLayout>
                  <c:x val="0.12155271216097978"/>
                  <c:y val="-7.2109215514727321E-2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brc!$A$5:$A$16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brc!$B$5:$B$16</c:f>
              <c:numCache>
                <c:formatCode>General</c:formatCode>
                <c:ptCount val="12"/>
                <c:pt idx="0">
                  <c:v>5</c:v>
                </c:pt>
                <c:pt idx="1">
                  <c:v>41</c:v>
                </c:pt>
                <c:pt idx="2">
                  <c:v>28</c:v>
                </c:pt>
                <c:pt idx="3">
                  <c:v>15</c:v>
                </c:pt>
                <c:pt idx="4">
                  <c:v>29</c:v>
                </c:pt>
                <c:pt idx="5">
                  <c:v>12</c:v>
                </c:pt>
                <c:pt idx="6">
                  <c:v>85</c:v>
                </c:pt>
                <c:pt idx="7">
                  <c:v>22</c:v>
                </c:pt>
                <c:pt idx="8">
                  <c:v>38</c:v>
                </c:pt>
                <c:pt idx="9">
                  <c:v>22</c:v>
                </c:pt>
                <c:pt idx="10">
                  <c:v>105.1833</c:v>
                </c:pt>
                <c:pt idx="11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2-41E1-A6A3-03E8E83D2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777535"/>
        <c:axId val="1910692351"/>
      </c:scatterChart>
      <c:valAx>
        <c:axId val="13707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92351"/>
        <c:crosses val="autoZero"/>
        <c:crossBetween val="midCat"/>
      </c:valAx>
      <c:valAx>
        <c:axId val="19106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77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Polynom Derajat 2 &amp;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nasional!$B$3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nasional!$A$4:$A$16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nasional!$B$4:$B$16</c:f>
              <c:numCache>
                <c:formatCode>General</c:formatCode>
                <c:ptCount val="13"/>
                <c:pt idx="1">
                  <c:v>584</c:v>
                </c:pt>
                <c:pt idx="2">
                  <c:v>737.22370000000001</c:v>
                </c:pt>
                <c:pt idx="3">
                  <c:v>405</c:v>
                </c:pt>
                <c:pt idx="4">
                  <c:v>331</c:v>
                </c:pt>
                <c:pt idx="5">
                  <c:v>465</c:v>
                </c:pt>
                <c:pt idx="6">
                  <c:v>462</c:v>
                </c:pt>
                <c:pt idx="7">
                  <c:v>259</c:v>
                </c:pt>
                <c:pt idx="8">
                  <c:v>282</c:v>
                </c:pt>
                <c:pt idx="9">
                  <c:v>216</c:v>
                </c:pt>
                <c:pt idx="10">
                  <c:v>730</c:v>
                </c:pt>
                <c:pt idx="11">
                  <c:v>480</c:v>
                </c:pt>
                <c:pt idx="12">
                  <c:v>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9-48A0-AEB3-665B3A736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579679"/>
        <c:axId val="860568639"/>
      </c:scatterChart>
      <c:valAx>
        <c:axId val="86057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68639"/>
        <c:crosses val="autoZero"/>
        <c:crossBetween val="midCat"/>
      </c:valAx>
      <c:valAx>
        <c:axId val="8605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604670</xdr:colOff>
      <xdr:row>8</xdr:row>
      <xdr:rowOff>6722</xdr:rowOff>
    </xdr:from>
    <xdr:to>
      <xdr:col>14</xdr:col>
      <xdr:colOff>299870</xdr:colOff>
      <xdr:row>22</xdr:row>
      <xdr:rowOff>170776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6117A-0255-1494-2E52-20EC25EF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281860</xdr:colOff>
      <xdr:row>45</xdr:row>
      <xdr:rowOff>33327</xdr:rowOff>
    </xdr:from>
    <xdr:to>
      <xdr:col>10</xdr:col>
      <xdr:colOff>507145</xdr:colOff>
      <xdr:row>68</xdr:row>
      <xdr:rowOff>168409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66AE84-D73E-1268-5BF6-157FD16D3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587830</xdr:colOff>
      <xdr:row>45</xdr:row>
      <xdr:rowOff>142151</xdr:rowOff>
    </xdr:from>
    <xdr:to>
      <xdr:col>21</xdr:col>
      <xdr:colOff>435430</xdr:colOff>
      <xdr:row>69</xdr:row>
      <xdr:rowOff>80682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9A3504-D389-2633-27B4-C1C68A4DD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156882</xdr:colOff>
      <xdr:row>24</xdr:row>
      <xdr:rowOff>49306</xdr:rowOff>
    </xdr:from>
    <xdr:to>
      <xdr:col>7</xdr:col>
      <xdr:colOff>363070</xdr:colOff>
      <xdr:row>39</xdr:row>
      <xdr:rowOff>103094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C728AA-3C35-8839-F519-DF9B9894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7620</xdr:rowOff>
    </xdr:from>
    <xdr:to>
      <xdr:col>17</xdr:col>
      <xdr:colOff>365760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0CE7D-B87A-DB31-D3EB-6C3B4547D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</xdr:row>
      <xdr:rowOff>168185</xdr:rowOff>
    </xdr:from>
    <xdr:to>
      <xdr:col>17</xdr:col>
      <xdr:colOff>327660</xdr:colOff>
      <xdr:row>16</xdr:row>
      <xdr:rowOff>168185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7D830-37F8-AB76-6D22-B0829BABA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F21C-61EF-41C8-B3B0-7C934418C154}">
  <dimension ref="A1:W44"/>
  <sheetViews>
    <sheetView zoomScale="85" zoomScaleNormal="85" workbookViewId="0">
      <selection activeCell="P44" sqref="P44"/>
    </sheetView>
  </sheetViews>
  <sheetFormatPr defaultRowHeight="14.4" x14ac:dyDescent="0.3"/>
  <cols>
    <col min="2" max="2" width="10.33203125" bestFit="1" customWidth="1"/>
  </cols>
  <sheetData>
    <row r="1" spans="1:23" x14ac:dyDescent="0.3">
      <c r="A1" s="1">
        <v>3</v>
      </c>
      <c r="B1" s="1">
        <v>5</v>
      </c>
      <c r="C1" s="1">
        <v>17</v>
      </c>
      <c r="D1" s="1">
        <v>12</v>
      </c>
      <c r="E1" s="1">
        <v>19</v>
      </c>
      <c r="F1" s="1">
        <v>17</v>
      </c>
      <c r="G1" s="1">
        <v>28.650500000000001</v>
      </c>
      <c r="H1" s="1">
        <v>17</v>
      </c>
      <c r="I1" s="1">
        <v>9</v>
      </c>
      <c r="J1" s="1">
        <v>0</v>
      </c>
      <c r="K1" s="1">
        <v>0</v>
      </c>
      <c r="L1" s="1">
        <v>0</v>
      </c>
      <c r="M1" s="1">
        <v>0</v>
      </c>
      <c r="O1" t="s">
        <v>0</v>
      </c>
      <c r="P1" t="s">
        <v>1</v>
      </c>
    </row>
    <row r="3" spans="1:23" x14ac:dyDescent="0.3">
      <c r="A3">
        <v>625</v>
      </c>
      <c r="B3">
        <v>762</v>
      </c>
      <c r="C3">
        <v>786</v>
      </c>
      <c r="D3">
        <v>1004</v>
      </c>
      <c r="E3">
        <v>1080</v>
      </c>
      <c r="F3">
        <v>916</v>
      </c>
      <c r="G3">
        <v>952</v>
      </c>
      <c r="H3">
        <v>843</v>
      </c>
      <c r="I3">
        <v>840</v>
      </c>
      <c r="J3">
        <v>1007</v>
      </c>
      <c r="K3">
        <v>1095</v>
      </c>
      <c r="L3">
        <v>895</v>
      </c>
      <c r="M3">
        <v>1143</v>
      </c>
      <c r="O3" t="s">
        <v>0</v>
      </c>
      <c r="P3" t="s">
        <v>2</v>
      </c>
    </row>
    <row r="5" spans="1:23" x14ac:dyDescent="0.3">
      <c r="D5" t="s">
        <v>12</v>
      </c>
      <c r="G5" t="s">
        <v>8</v>
      </c>
      <c r="H5">
        <f>RSQ(B7:B18,A7:A18)</f>
        <v>0.31103997723283161</v>
      </c>
      <c r="I5">
        <f>AVERAGE(B7:B18)</f>
        <v>10.387541666666666</v>
      </c>
    </row>
    <row r="6" spans="1:23" x14ac:dyDescent="0.3">
      <c r="A6" t="s">
        <v>4</v>
      </c>
      <c r="B6" t="s">
        <v>5</v>
      </c>
      <c r="C6" t="s">
        <v>3</v>
      </c>
      <c r="D6">
        <v>0.4</v>
      </c>
      <c r="E6">
        <v>946.30569904916672</v>
      </c>
      <c r="G6" t="s">
        <v>6</v>
      </c>
      <c r="H6">
        <f>SLOPE(B7:B18,A7:A18)</f>
        <v>1.4777989510489513</v>
      </c>
      <c r="I6" t="s">
        <v>19</v>
      </c>
      <c r="J6" cm="1">
        <f t="array" ref="J6">SUM((B7:B18-I5)^2)</f>
        <v>1004.0388877291668</v>
      </c>
    </row>
    <row r="7" spans="1:23" x14ac:dyDescent="0.3">
      <c r="A7">
        <v>1</v>
      </c>
      <c r="B7">
        <v>0</v>
      </c>
      <c r="D7">
        <v>0</v>
      </c>
      <c r="E7">
        <f>SUMXMY2(B7:B18,D7:D18)</f>
        <v>291.8006961776336</v>
      </c>
      <c r="G7" t="s">
        <v>7</v>
      </c>
      <c r="H7">
        <f>INTERCEPT(B7:B18,A7:A18)</f>
        <v>0.78184848484848146</v>
      </c>
      <c r="I7" t="s">
        <v>20</v>
      </c>
      <c r="J7">
        <f>SUMXMY2(B7:B18,G10:G21)</f>
        <v>691.74265494900931</v>
      </c>
      <c r="T7" t="s">
        <v>27</v>
      </c>
    </row>
    <row r="8" spans="1:23" x14ac:dyDescent="0.3">
      <c r="A8">
        <v>2</v>
      </c>
      <c r="B8">
        <v>0</v>
      </c>
      <c r="D8">
        <f>$D$6*B8+(1-$D$6)*D7</f>
        <v>0</v>
      </c>
      <c r="E8">
        <f>1 - (E7/E6)</f>
        <v>0.69164224999296697</v>
      </c>
      <c r="G8" t="s">
        <v>9</v>
      </c>
      <c r="H8">
        <f>H6*13+H7</f>
        <v>19.99323484848485</v>
      </c>
      <c r="I8" t="s">
        <v>21</v>
      </c>
      <c r="J8">
        <f>1 - (J7/J6)</f>
        <v>0.3110399772328315</v>
      </c>
      <c r="T8">
        <v>1</v>
      </c>
      <c r="U8">
        <v>0</v>
      </c>
      <c r="V8">
        <f>AVERAGE(U8)</f>
        <v>0</v>
      </c>
      <c r="W8">
        <v>946.30569904916672</v>
      </c>
    </row>
    <row r="9" spans="1:23" x14ac:dyDescent="0.3">
      <c r="A9">
        <v>3</v>
      </c>
      <c r="B9">
        <v>0</v>
      </c>
      <c r="D9">
        <f t="shared" ref="D9:D18" si="0">$D$6*B9+(1-$D$6)*D8</f>
        <v>0</v>
      </c>
      <c r="G9" t="s">
        <v>11</v>
      </c>
      <c r="T9">
        <v>2</v>
      </c>
      <c r="U9">
        <v>0</v>
      </c>
      <c r="V9">
        <f>AVERAGE(U8:U9)</f>
        <v>0</v>
      </c>
      <c r="W9">
        <f>SUMXMY2(U8:U19,V8:V19)</f>
        <v>860.65502584587182</v>
      </c>
    </row>
    <row r="10" spans="1:23" x14ac:dyDescent="0.3">
      <c r="A10">
        <v>4</v>
      </c>
      <c r="B10">
        <v>0</v>
      </c>
      <c r="D10">
        <f t="shared" si="0"/>
        <v>0</v>
      </c>
      <c r="F10">
        <v>1</v>
      </c>
      <c r="G10">
        <f>_xlfn.FORECAST.LINEAR(A7,$B$7:$B$18,$A$7:$A$18)</f>
        <v>2.259647435897433</v>
      </c>
      <c r="T10">
        <v>3</v>
      </c>
      <c r="U10">
        <v>0</v>
      </c>
      <c r="V10">
        <f>AVERAGE(U8:U10)</f>
        <v>0</v>
      </c>
      <c r="W10">
        <f>1 - (W9/W8)</f>
        <v>9.0510575271136373E-2</v>
      </c>
    </row>
    <row r="11" spans="1:23" x14ac:dyDescent="0.3">
      <c r="A11">
        <v>5</v>
      </c>
      <c r="B11">
        <v>9</v>
      </c>
      <c r="D11">
        <f t="shared" si="0"/>
        <v>3.6</v>
      </c>
      <c r="F11">
        <v>2</v>
      </c>
      <c r="G11">
        <f t="shared" ref="G11:G21" si="1">_xlfn.FORECAST.LINEAR(A8,$B$7:$B$18,$A$7:$A$18)</f>
        <v>3.7374463869463841</v>
      </c>
      <c r="T11">
        <v>4</v>
      </c>
      <c r="U11">
        <v>0</v>
      </c>
      <c r="V11">
        <f>AVERAGE(U8:U11)</f>
        <v>0</v>
      </c>
    </row>
    <row r="12" spans="1:23" x14ac:dyDescent="0.3">
      <c r="A12">
        <v>6</v>
      </c>
      <c r="B12">
        <v>17</v>
      </c>
      <c r="D12">
        <f t="shared" si="0"/>
        <v>8.9600000000000009</v>
      </c>
      <c r="F12">
        <v>3</v>
      </c>
      <c r="G12">
        <f t="shared" si="1"/>
        <v>5.2152453379953352</v>
      </c>
      <c r="T12">
        <v>5</v>
      </c>
      <c r="U12">
        <v>9</v>
      </c>
      <c r="V12">
        <f>AVERAGE(U8:U12)</f>
        <v>1.8</v>
      </c>
    </row>
    <row r="13" spans="1:23" x14ac:dyDescent="0.3">
      <c r="A13">
        <v>7</v>
      </c>
      <c r="B13" s="1">
        <v>28.650500000000001</v>
      </c>
      <c r="D13">
        <f t="shared" si="0"/>
        <v>16.836200000000002</v>
      </c>
      <c r="F13">
        <v>4</v>
      </c>
      <c r="G13">
        <f t="shared" si="1"/>
        <v>6.6930442890442867</v>
      </c>
      <c r="T13">
        <v>6</v>
      </c>
      <c r="U13">
        <v>17</v>
      </c>
      <c r="V13">
        <f>AVERAGE(U8:U13)</f>
        <v>4.333333333333333</v>
      </c>
    </row>
    <row r="14" spans="1:23" x14ac:dyDescent="0.3">
      <c r="A14">
        <v>8</v>
      </c>
      <c r="B14">
        <v>17</v>
      </c>
      <c r="D14">
        <f t="shared" si="0"/>
        <v>16.901720000000001</v>
      </c>
      <c r="F14">
        <v>5</v>
      </c>
      <c r="G14">
        <f t="shared" si="1"/>
        <v>8.1708432400932374</v>
      </c>
      <c r="T14">
        <v>7</v>
      </c>
      <c r="U14">
        <v>28.650500000000001</v>
      </c>
      <c r="V14">
        <f>AVERAGE(U8:U14)</f>
        <v>7.8072142857142861</v>
      </c>
    </row>
    <row r="15" spans="1:23" x14ac:dyDescent="0.3">
      <c r="A15">
        <v>9</v>
      </c>
      <c r="B15">
        <v>19</v>
      </c>
      <c r="D15">
        <f t="shared" si="0"/>
        <v>17.741032000000001</v>
      </c>
      <c r="F15">
        <v>6</v>
      </c>
      <c r="G15">
        <f t="shared" si="1"/>
        <v>9.6486421911421889</v>
      </c>
      <c r="T15">
        <v>8</v>
      </c>
      <c r="U15">
        <v>17</v>
      </c>
      <c r="V15">
        <f>AVERAGE(U8:U15)</f>
        <v>8.9563124999999992</v>
      </c>
    </row>
    <row r="16" spans="1:23" x14ac:dyDescent="0.3">
      <c r="A16">
        <v>10</v>
      </c>
      <c r="B16">
        <v>12</v>
      </c>
      <c r="D16">
        <f t="shared" si="0"/>
        <v>15.4446192</v>
      </c>
      <c r="F16">
        <v>7</v>
      </c>
      <c r="G16">
        <f t="shared" si="1"/>
        <v>11.12644114219114</v>
      </c>
      <c r="T16">
        <v>9</v>
      </c>
      <c r="U16">
        <v>19</v>
      </c>
      <c r="V16">
        <f>AVERAGE(U8:U16)</f>
        <v>10.072277777777778</v>
      </c>
    </row>
    <row r="17" spans="1:22" x14ac:dyDescent="0.3">
      <c r="A17">
        <v>11</v>
      </c>
      <c r="B17">
        <v>17</v>
      </c>
      <c r="D17">
        <f t="shared" si="0"/>
        <v>16.06677152</v>
      </c>
      <c r="F17">
        <v>8</v>
      </c>
      <c r="G17">
        <f t="shared" si="1"/>
        <v>12.604240093240092</v>
      </c>
      <c r="T17">
        <v>10</v>
      </c>
      <c r="U17">
        <v>12</v>
      </c>
      <c r="V17">
        <f>AVERAGE(U8:U17)</f>
        <v>10.265049999999999</v>
      </c>
    </row>
    <row r="18" spans="1:22" x14ac:dyDescent="0.3">
      <c r="A18">
        <v>12</v>
      </c>
      <c r="B18">
        <v>5</v>
      </c>
      <c r="D18">
        <f t="shared" si="0"/>
        <v>11.640062911999999</v>
      </c>
      <c r="F18">
        <v>9</v>
      </c>
      <c r="G18">
        <f t="shared" si="1"/>
        <v>14.082039044289044</v>
      </c>
      <c r="T18">
        <v>11</v>
      </c>
      <c r="U18">
        <v>17</v>
      </c>
      <c r="V18">
        <f>AVERAGE(U8:U18)</f>
        <v>10.877318181818181</v>
      </c>
    </row>
    <row r="19" spans="1:22" x14ac:dyDescent="0.3">
      <c r="A19">
        <v>13</v>
      </c>
      <c r="D19">
        <f>(1-$D$6)*D18</f>
        <v>6.9840377471999995</v>
      </c>
      <c r="F19">
        <v>10</v>
      </c>
      <c r="G19">
        <f t="shared" si="1"/>
        <v>15.559837995337995</v>
      </c>
      <c r="T19">
        <v>12</v>
      </c>
      <c r="U19">
        <v>5</v>
      </c>
      <c r="V19">
        <f>AVERAGE(U8:U19)</f>
        <v>10.387541666666666</v>
      </c>
    </row>
    <row r="20" spans="1:22" x14ac:dyDescent="0.3">
      <c r="F20">
        <v>11</v>
      </c>
      <c r="G20">
        <f t="shared" si="1"/>
        <v>17.037636946386947</v>
      </c>
      <c r="V20">
        <f>AVERAGE(U8:U20)</f>
        <v>10.387541666666666</v>
      </c>
    </row>
    <row r="21" spans="1:22" x14ac:dyDescent="0.3">
      <c r="B21" t="s">
        <v>10</v>
      </c>
      <c r="F21">
        <v>12</v>
      </c>
      <c r="G21">
        <f t="shared" si="1"/>
        <v>18.515435897435896</v>
      </c>
    </row>
    <row r="22" spans="1:22" x14ac:dyDescent="0.3">
      <c r="A22">
        <v>12</v>
      </c>
      <c r="B22">
        <f>0.14*B18+0.13*B17+0.12*B16+0.11*B15+0.1*B14+0.09*B13+0.08*B12+0.06*B11+0.05*B10+0.04*B9+0.04*B8+0.04*B7</f>
        <v>12.618545000000001</v>
      </c>
      <c r="F22">
        <v>13</v>
      </c>
      <c r="G22">
        <f>_xlfn.FORECAST.LINEAR(A19,$B$7:$B$18,$A$7:$A$18)</f>
        <v>19.99323484848485</v>
      </c>
    </row>
    <row r="23" spans="1:22" x14ac:dyDescent="0.3">
      <c r="A23">
        <v>13</v>
      </c>
      <c r="B23">
        <f>0.13*B18+0.12*B17+0.11*B16+0.1*B15+0.09*B14+0.08*B13+0.06*B12+0.05*B11+0.04*B10+0.04*B9+0.04*B8</f>
        <v>11.20204</v>
      </c>
    </row>
    <row r="24" spans="1:22" x14ac:dyDescent="0.3">
      <c r="B24" t="s">
        <v>13</v>
      </c>
      <c r="C24" t="s">
        <v>14</v>
      </c>
    </row>
    <row r="29" spans="1:22" x14ac:dyDescent="0.3">
      <c r="I29" t="s">
        <v>15</v>
      </c>
      <c r="J29" t="s">
        <v>3</v>
      </c>
      <c r="K29">
        <v>0.65</v>
      </c>
      <c r="N29" t="s">
        <v>22</v>
      </c>
      <c r="O29" t="s">
        <v>3</v>
      </c>
      <c r="P29">
        <v>0.65</v>
      </c>
    </row>
    <row r="30" spans="1:22" x14ac:dyDescent="0.3">
      <c r="I30" t="s">
        <v>16</v>
      </c>
      <c r="J30" t="s">
        <v>17</v>
      </c>
      <c r="K30" t="s">
        <v>18</v>
      </c>
      <c r="L30">
        <f>AVERAGE(I31:I42)</f>
        <v>10.387541666666666</v>
      </c>
      <c r="O30" t="s">
        <v>23</v>
      </c>
      <c r="P30">
        <v>0.45</v>
      </c>
      <c r="R30" t="s">
        <v>16</v>
      </c>
      <c r="S30" t="s">
        <v>28</v>
      </c>
      <c r="T30" t="s">
        <v>25</v>
      </c>
      <c r="U30" t="s">
        <v>26</v>
      </c>
    </row>
    <row r="31" spans="1:22" x14ac:dyDescent="0.3">
      <c r="I31">
        <v>0</v>
      </c>
      <c r="J31">
        <v>0</v>
      </c>
      <c r="K31" t="s">
        <v>19</v>
      </c>
      <c r="L31">
        <f>(I31-L30)^2+(I32-L30)^2+(I33-L30)^2+(I34-L30)^2+(I35-L30)^2+(I36-L30)^2+(I37-L30)^2+(I38-L30)^2+(I39-L30)^2+(I40-L30)^2+(I41-L30)^2+(I42-L30)^2</f>
        <v>1004.0388877291668</v>
      </c>
      <c r="N31" t="s">
        <v>24</v>
      </c>
      <c r="O31" t="s">
        <v>25</v>
      </c>
      <c r="P31" t="s">
        <v>26</v>
      </c>
      <c r="R31">
        <v>625</v>
      </c>
      <c r="S31">
        <f>R31</f>
        <v>625</v>
      </c>
      <c r="T31">
        <f>R32-R31</f>
        <v>137</v>
      </c>
      <c r="U31">
        <f>S31+T31</f>
        <v>762</v>
      </c>
    </row>
    <row r="32" spans="1:22" x14ac:dyDescent="0.3">
      <c r="I32">
        <v>0</v>
      </c>
      <c r="J32">
        <f>$K$29*I31+(1-$K$29)*J31</f>
        <v>0</v>
      </c>
      <c r="K32" t="s">
        <v>20</v>
      </c>
      <c r="L32">
        <f>SUMXMY2(I31:I42,J31:J42)</f>
        <v>665.55889815103785</v>
      </c>
      <c r="M32">
        <f>SUMXMY2(I31:I42,P32:P43)</f>
        <v>773.57032959201388</v>
      </c>
      <c r="N32">
        <f>I31</f>
        <v>0</v>
      </c>
      <c r="O32">
        <f>I32-I31</f>
        <v>0</v>
      </c>
      <c r="P32">
        <v>0</v>
      </c>
      <c r="R32">
        <v>762</v>
      </c>
      <c r="S32">
        <f>$P$29*R32+(1-$P$29)*(T31+S31)</f>
        <v>762</v>
      </c>
      <c r="T32">
        <f>$P$30*(S32-S31)+(1-$P$30)*T31</f>
        <v>137</v>
      </c>
      <c r="U32">
        <f t="shared" ref="U32:U43" si="2">S32+T32</f>
        <v>899</v>
      </c>
    </row>
    <row r="33" spans="9:21" x14ac:dyDescent="0.3">
      <c r="I33">
        <v>0</v>
      </c>
      <c r="J33">
        <f t="shared" ref="J33:J41" si="3">$K$29*I32+(1-$K$29)*J32</f>
        <v>0</v>
      </c>
      <c r="K33" t="s">
        <v>21</v>
      </c>
      <c r="L33">
        <f>1 - (L32/L31)</f>
        <v>0.3371184061841157</v>
      </c>
      <c r="M33">
        <f>1 - (M32/L31)</f>
        <v>0.22954146592708513</v>
      </c>
      <c r="N33">
        <f>$P$29*I32+(1-$P$29)*(N32+O32)</f>
        <v>0</v>
      </c>
      <c r="O33">
        <f>$P$30*(N33-N32)+(1-$P$30)*O32</f>
        <v>0</v>
      </c>
      <c r="P33">
        <f t="shared" ref="P33:P44" si="4">N32+O32</f>
        <v>0</v>
      </c>
      <c r="R33">
        <v>786</v>
      </c>
      <c r="S33">
        <f t="shared" ref="S33:S43" si="5">$P$29*R33+(1-$P$29)*(T32+S32)</f>
        <v>825.55</v>
      </c>
      <c r="T33">
        <f t="shared" ref="T33:T43" si="6">$P$30*(S33-S32)+(1-$P$30)*T32</f>
        <v>103.94749999999999</v>
      </c>
      <c r="U33">
        <f t="shared" si="2"/>
        <v>929.49749999999995</v>
      </c>
    </row>
    <row r="34" spans="9:21" x14ac:dyDescent="0.3">
      <c r="I34">
        <v>0</v>
      </c>
      <c r="J34">
        <f t="shared" si="3"/>
        <v>0</v>
      </c>
      <c r="N34">
        <f t="shared" ref="N34:N44" si="7">$P$29*I33+(1-$P$29)*(N33+O33)</f>
        <v>0</v>
      </c>
      <c r="O34">
        <f t="shared" ref="O34:O44" si="8">$P$30*(N34-N33)+(1-$P$30)*O33</f>
        <v>0</v>
      </c>
      <c r="P34">
        <f t="shared" si="4"/>
        <v>0</v>
      </c>
      <c r="R34">
        <v>1004</v>
      </c>
      <c r="S34">
        <f t="shared" si="5"/>
        <v>977.924125</v>
      </c>
      <c r="T34">
        <f t="shared" si="6"/>
        <v>125.73948125000001</v>
      </c>
      <c r="U34">
        <f t="shared" si="2"/>
        <v>1103.6636062499999</v>
      </c>
    </row>
    <row r="35" spans="9:21" x14ac:dyDescent="0.3">
      <c r="I35">
        <v>9</v>
      </c>
      <c r="J35">
        <f t="shared" si="3"/>
        <v>0</v>
      </c>
      <c r="N35">
        <f>$P$29*I34+(1-$P$29)*(N34+O34)</f>
        <v>0</v>
      </c>
      <c r="O35">
        <f t="shared" si="8"/>
        <v>0</v>
      </c>
      <c r="P35">
        <f t="shared" si="4"/>
        <v>0</v>
      </c>
      <c r="R35">
        <v>1080</v>
      </c>
      <c r="S35">
        <f t="shared" si="5"/>
        <v>1088.2822621875</v>
      </c>
      <c r="T35">
        <f t="shared" si="6"/>
        <v>118.81787642187501</v>
      </c>
      <c r="U35">
        <f t="shared" si="2"/>
        <v>1207.1001386093751</v>
      </c>
    </row>
    <row r="36" spans="9:21" x14ac:dyDescent="0.3">
      <c r="I36">
        <v>17</v>
      </c>
      <c r="J36">
        <f t="shared" si="3"/>
        <v>5.8500000000000005</v>
      </c>
      <c r="N36">
        <f t="shared" si="7"/>
        <v>5.8500000000000005</v>
      </c>
      <c r="O36">
        <f t="shared" si="8"/>
        <v>2.6325000000000003</v>
      </c>
      <c r="P36">
        <f t="shared" si="4"/>
        <v>0</v>
      </c>
      <c r="R36">
        <v>916</v>
      </c>
      <c r="S36">
        <f t="shared" si="5"/>
        <v>1017.8850485132812</v>
      </c>
      <c r="T36">
        <f t="shared" si="6"/>
        <v>33.67108587863278</v>
      </c>
      <c r="U36">
        <f t="shared" si="2"/>
        <v>1051.5561343919139</v>
      </c>
    </row>
    <row r="37" spans="9:21" x14ac:dyDescent="0.3">
      <c r="I37">
        <v>28.650500000000001</v>
      </c>
      <c r="J37">
        <f t="shared" si="3"/>
        <v>13.0975</v>
      </c>
      <c r="N37">
        <f t="shared" si="7"/>
        <v>14.018875000000001</v>
      </c>
      <c r="O37">
        <f t="shared" si="8"/>
        <v>5.1238687499999997</v>
      </c>
      <c r="P37">
        <f t="shared" si="4"/>
        <v>8.4825000000000017</v>
      </c>
      <c r="R37">
        <v>952</v>
      </c>
      <c r="S37">
        <f t="shared" si="5"/>
        <v>986.84464703716992</v>
      </c>
      <c r="T37">
        <f t="shared" si="6"/>
        <v>4.5509165689979696</v>
      </c>
      <c r="U37">
        <f t="shared" si="2"/>
        <v>991.39556360616791</v>
      </c>
    </row>
    <row r="38" spans="9:21" x14ac:dyDescent="0.3">
      <c r="I38">
        <v>17</v>
      </c>
      <c r="J38">
        <f t="shared" si="3"/>
        <v>23.206950000000003</v>
      </c>
      <c r="N38">
        <f t="shared" si="7"/>
        <v>25.322785312500002</v>
      </c>
      <c r="O38">
        <f t="shared" si="8"/>
        <v>7.9048874531250011</v>
      </c>
      <c r="P38">
        <f t="shared" si="4"/>
        <v>19.142743750000001</v>
      </c>
      <c r="R38">
        <v>843</v>
      </c>
      <c r="S38">
        <f t="shared" si="5"/>
        <v>894.93844726215877</v>
      </c>
      <c r="T38">
        <f t="shared" si="6"/>
        <v>-38.854785785806129</v>
      </c>
      <c r="U38">
        <f t="shared" si="2"/>
        <v>856.08366147635263</v>
      </c>
    </row>
    <row r="39" spans="9:21" x14ac:dyDescent="0.3">
      <c r="I39">
        <v>19</v>
      </c>
      <c r="J39">
        <f t="shared" si="3"/>
        <v>19.172432499999999</v>
      </c>
      <c r="N39">
        <f t="shared" si="7"/>
        <v>22.679685467968753</v>
      </c>
      <c r="O39">
        <f t="shared" si="8"/>
        <v>3.1582931691796885</v>
      </c>
      <c r="P39">
        <f t="shared" si="4"/>
        <v>33.227672765625002</v>
      </c>
      <c r="R39">
        <v>840</v>
      </c>
      <c r="S39">
        <f t="shared" si="5"/>
        <v>845.62928151672338</v>
      </c>
      <c r="T39">
        <f t="shared" si="6"/>
        <v>-43.559256767639297</v>
      </c>
      <c r="U39">
        <f t="shared" si="2"/>
        <v>802.07002474908404</v>
      </c>
    </row>
    <row r="40" spans="9:21" x14ac:dyDescent="0.3">
      <c r="I40">
        <v>12</v>
      </c>
      <c r="J40">
        <f t="shared" si="3"/>
        <v>19.060351375</v>
      </c>
      <c r="N40">
        <f t="shared" si="7"/>
        <v>21.393292523001953</v>
      </c>
      <c r="O40">
        <f t="shared" si="8"/>
        <v>1.1581844178137692</v>
      </c>
      <c r="P40">
        <f t="shared" si="4"/>
        <v>25.837978637148442</v>
      </c>
      <c r="R40">
        <v>1007</v>
      </c>
      <c r="S40">
        <f t="shared" si="5"/>
        <v>935.27450866217941</v>
      </c>
      <c r="T40">
        <f t="shared" si="6"/>
        <v>16.382760993253605</v>
      </c>
      <c r="U40">
        <f t="shared" si="2"/>
        <v>951.65726965543297</v>
      </c>
    </row>
    <row r="41" spans="9:21" x14ac:dyDescent="0.3">
      <c r="I41">
        <v>17</v>
      </c>
      <c r="J41">
        <f t="shared" si="3"/>
        <v>14.471122981250002</v>
      </c>
      <c r="N41">
        <f t="shared" si="7"/>
        <v>15.693016929285502</v>
      </c>
      <c r="O41">
        <f t="shared" si="8"/>
        <v>-1.9281225873748302</v>
      </c>
      <c r="P41">
        <f t="shared" si="4"/>
        <v>22.551476940815721</v>
      </c>
      <c r="R41">
        <v>1095</v>
      </c>
      <c r="S41">
        <f t="shared" si="5"/>
        <v>1044.8300443794014</v>
      </c>
      <c r="T41">
        <f t="shared" si="6"/>
        <v>58.310509619039394</v>
      </c>
      <c r="U41">
        <f t="shared" si="2"/>
        <v>1103.1405539984407</v>
      </c>
    </row>
    <row r="42" spans="9:21" x14ac:dyDescent="0.3">
      <c r="I42">
        <v>5</v>
      </c>
      <c r="J42">
        <f>$K$29*I41+(1-$K$29)*J41</f>
        <v>16.114893043437501</v>
      </c>
      <c r="N42">
        <f t="shared" si="7"/>
        <v>15.867713019668734</v>
      </c>
      <c r="O42">
        <f t="shared" si="8"/>
        <v>-0.98185418238370203</v>
      </c>
      <c r="P42">
        <f t="shared" si="4"/>
        <v>13.764894341910672</v>
      </c>
      <c r="R42">
        <v>895</v>
      </c>
      <c r="S42">
        <f t="shared" si="5"/>
        <v>967.84919389945424</v>
      </c>
      <c r="T42">
        <f t="shared" si="6"/>
        <v>-2.5706024255045747</v>
      </c>
      <c r="U42">
        <f t="shared" si="2"/>
        <v>965.27859147394963</v>
      </c>
    </row>
    <row r="43" spans="9:21" x14ac:dyDescent="0.3">
      <c r="J43">
        <f>$K$29*I42+(1-$K$29)*J42</f>
        <v>8.8902125652031252</v>
      </c>
      <c r="N43">
        <f t="shared" si="7"/>
        <v>8.4600505930497611</v>
      </c>
      <c r="O43">
        <f t="shared" si="8"/>
        <v>-3.873467892289574</v>
      </c>
      <c r="P43">
        <f t="shared" si="4"/>
        <v>14.885858837285033</v>
      </c>
      <c r="R43">
        <v>1143</v>
      </c>
      <c r="S43">
        <f t="shared" si="5"/>
        <v>1080.7975070158823</v>
      </c>
      <c r="T43">
        <f t="shared" si="6"/>
        <v>49.412909568365109</v>
      </c>
      <c r="U43">
        <f t="shared" si="2"/>
        <v>1130.2104165842475</v>
      </c>
    </row>
    <row r="44" spans="9:21" x14ac:dyDescent="0.3">
      <c r="N44">
        <f t="shared" si="7"/>
        <v>1.6053039452660656</v>
      </c>
      <c r="O44">
        <f t="shared" si="8"/>
        <v>-5.2150433322619296</v>
      </c>
      <c r="P44">
        <f t="shared" si="4"/>
        <v>4.5865827007601876</v>
      </c>
    </row>
  </sheetData>
  <sortState xmlns:xlrd2="http://schemas.microsoft.com/office/spreadsheetml/2017/richdata2" ref="G52:G62">
    <sortCondition ref="G5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5A6A-DC2B-4669-8755-A6AE240C06E1}">
  <dimension ref="A1:J73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14" bestFit="1" customWidth="1"/>
    <col min="2" max="3" width="12" bestFit="1" customWidth="1"/>
    <col min="4" max="4" width="10" bestFit="1" customWidth="1"/>
    <col min="5" max="8" width="12" bestFit="1" customWidth="1"/>
    <col min="9" max="9" width="12.6640625" bestFit="1" customWidth="1"/>
    <col min="10" max="10" width="12" bestFit="1" customWidth="1"/>
  </cols>
  <sheetData>
    <row r="1" spans="1:10" x14ac:dyDescent="0.3">
      <c r="A1" s="2"/>
      <c r="B1" s="2"/>
      <c r="C1" s="2"/>
      <c r="D1" s="2"/>
      <c r="E1" s="2" t="s">
        <v>35</v>
      </c>
      <c r="F1" s="2"/>
      <c r="G1" s="2" t="s">
        <v>39</v>
      </c>
      <c r="H1" s="2" t="s">
        <v>40</v>
      </c>
      <c r="I1" s="4">
        <v>0.45</v>
      </c>
      <c r="J1" s="2"/>
    </row>
    <row r="2" spans="1:10" x14ac:dyDescent="0.3">
      <c r="A2" s="2"/>
      <c r="B2" s="2"/>
      <c r="C2" s="2"/>
      <c r="D2" s="2"/>
      <c r="E2" s="3">
        <v>0.4</v>
      </c>
      <c r="F2" s="2"/>
      <c r="G2" s="3">
        <v>0.65</v>
      </c>
      <c r="H2" s="2"/>
      <c r="I2" s="2"/>
      <c r="J2" s="2"/>
    </row>
    <row r="3" spans="1:10" x14ac:dyDescent="0.3">
      <c r="A3" s="7" t="s">
        <v>33</v>
      </c>
      <c r="B3" s="7" t="s">
        <v>29</v>
      </c>
      <c r="C3" s="7" t="s">
        <v>27</v>
      </c>
      <c r="D3" s="7" t="s">
        <v>10</v>
      </c>
      <c r="E3" s="7" t="s">
        <v>30</v>
      </c>
      <c r="F3" s="7" t="s">
        <v>31</v>
      </c>
      <c r="G3" s="7" t="s">
        <v>15</v>
      </c>
      <c r="H3" s="9" t="s">
        <v>22</v>
      </c>
      <c r="I3" s="10"/>
      <c r="J3" s="11"/>
    </row>
    <row r="4" spans="1:10" x14ac:dyDescent="0.3">
      <c r="A4" s="8"/>
      <c r="B4" s="8"/>
      <c r="C4" s="8"/>
      <c r="D4" s="8"/>
      <c r="E4" s="8"/>
      <c r="F4" s="8"/>
      <c r="G4" s="8"/>
      <c r="H4" s="2" t="s">
        <v>28</v>
      </c>
      <c r="I4" s="2" t="s">
        <v>25</v>
      </c>
      <c r="J4" s="2" t="s">
        <v>34</v>
      </c>
    </row>
    <row r="5" spans="1:10" x14ac:dyDescent="0.3">
      <c r="A5" s="2">
        <v>1</v>
      </c>
      <c r="B5" s="2">
        <v>5</v>
      </c>
      <c r="C5" s="2">
        <f>AVERAGE(B5)</f>
        <v>5</v>
      </c>
      <c r="D5" s="2" t="s">
        <v>32</v>
      </c>
      <c r="E5" s="2">
        <f>B5</f>
        <v>5</v>
      </c>
      <c r="F5" s="2">
        <f t="shared" ref="F5:F17" si="0">_xlfn.FORECAST.LINEAR(A5,$B$5:$B$16,$A$5:$A$16)</f>
        <v>12.983550000000005</v>
      </c>
      <c r="G5" s="2">
        <f>B5</f>
        <v>5</v>
      </c>
      <c r="H5" s="2">
        <f>B5</f>
        <v>5</v>
      </c>
      <c r="I5" s="2">
        <f>B6-B5</f>
        <v>36</v>
      </c>
      <c r="J5" s="2">
        <f>B5</f>
        <v>5</v>
      </c>
    </row>
    <row r="6" spans="1:10" x14ac:dyDescent="0.3">
      <c r="A6" s="2">
        <v>2</v>
      </c>
      <c r="B6" s="2">
        <v>41</v>
      </c>
      <c r="C6" s="2">
        <f>AVERAGE(B5:B6)</f>
        <v>23</v>
      </c>
      <c r="D6" s="2" t="s">
        <v>32</v>
      </c>
      <c r="E6" s="2">
        <f t="shared" ref="E6:E16" si="1">$E$2*B6+(1-$E$2)*E5</f>
        <v>19.400000000000002</v>
      </c>
      <c r="F6" s="2">
        <f t="shared" si="0"/>
        <v>17.671136363636368</v>
      </c>
      <c r="G6" s="2">
        <f>$G$2*B5+(1-$G$2)*G5</f>
        <v>5</v>
      </c>
      <c r="H6" s="2">
        <f>$G$2*B6+(1-$G$2)*(H5+I5)</f>
        <v>41</v>
      </c>
      <c r="I6" s="2">
        <f>$I$1*(H6-H5)+(1-$I$1)*I5</f>
        <v>36</v>
      </c>
      <c r="J6" s="2">
        <f>H5+I5</f>
        <v>41</v>
      </c>
    </row>
    <row r="7" spans="1:10" x14ac:dyDescent="0.3">
      <c r="A7" s="2">
        <v>3</v>
      </c>
      <c r="B7" s="2">
        <v>28</v>
      </c>
      <c r="C7" s="2">
        <f>AVERAGE(B5:B7)</f>
        <v>24.666666666666668</v>
      </c>
      <c r="D7" s="2" t="s">
        <v>32</v>
      </c>
      <c r="E7" s="2">
        <f t="shared" si="1"/>
        <v>22.840000000000003</v>
      </c>
      <c r="F7" s="2">
        <f t="shared" si="0"/>
        <v>22.358722727272731</v>
      </c>
      <c r="G7" s="2">
        <f t="shared" ref="G7:G17" si="2">$G$2*B6+(1-$G$2)*G6</f>
        <v>28.400000000000002</v>
      </c>
      <c r="H7" s="2">
        <f t="shared" ref="H7:H17" si="3">$G$2*B7+(1-$G$2)*(H6+I6)</f>
        <v>45.15</v>
      </c>
      <c r="I7" s="2">
        <f t="shared" ref="I7:I17" si="4">$I$1*(H7-H6)+(1-$I$1)*I6</f>
        <v>21.6675</v>
      </c>
      <c r="J7" s="2">
        <f t="shared" ref="J7:J18" si="5">H6+I6</f>
        <v>77</v>
      </c>
    </row>
    <row r="8" spans="1:10" x14ac:dyDescent="0.3">
      <c r="A8" s="2">
        <v>4</v>
      </c>
      <c r="B8" s="2">
        <v>15</v>
      </c>
      <c r="C8" s="2">
        <f>AVERAGE(B5:B8)</f>
        <v>22.25</v>
      </c>
      <c r="D8" s="2" t="s">
        <v>32</v>
      </c>
      <c r="E8" s="2">
        <f t="shared" si="1"/>
        <v>19.704000000000001</v>
      </c>
      <c r="F8" s="2">
        <f t="shared" si="0"/>
        <v>27.046309090909094</v>
      </c>
      <c r="G8" s="2">
        <f t="shared" si="2"/>
        <v>28.14</v>
      </c>
      <c r="H8" s="2">
        <f t="shared" si="3"/>
        <v>33.136124999999993</v>
      </c>
      <c r="I8" s="2">
        <f t="shared" si="4"/>
        <v>6.510881249999998</v>
      </c>
      <c r="J8" s="2">
        <f t="shared" si="5"/>
        <v>66.817499999999995</v>
      </c>
    </row>
    <row r="9" spans="1:10" x14ac:dyDescent="0.3">
      <c r="A9" s="2">
        <v>5</v>
      </c>
      <c r="B9" s="2">
        <v>29</v>
      </c>
      <c r="C9" s="2">
        <f>AVERAGE(B5:B9)</f>
        <v>23.6</v>
      </c>
      <c r="D9" s="2" t="s">
        <v>32</v>
      </c>
      <c r="E9" s="2">
        <f t="shared" si="1"/>
        <v>23.422400000000003</v>
      </c>
      <c r="F9" s="2">
        <f t="shared" si="0"/>
        <v>31.733895454545458</v>
      </c>
      <c r="G9" s="2">
        <f t="shared" si="2"/>
        <v>19.599</v>
      </c>
      <c r="H9" s="2">
        <f t="shared" si="3"/>
        <v>32.726452187500001</v>
      </c>
      <c r="I9" s="2">
        <f t="shared" si="4"/>
        <v>3.3966319218750032</v>
      </c>
      <c r="J9" s="2">
        <f t="shared" si="5"/>
        <v>39.64700624999999</v>
      </c>
    </row>
    <row r="10" spans="1:10" x14ac:dyDescent="0.3">
      <c r="A10" s="2">
        <v>6</v>
      </c>
      <c r="B10" s="2">
        <v>12</v>
      </c>
      <c r="C10" s="2">
        <f>AVERAGE(B5:B10)</f>
        <v>21.666666666666668</v>
      </c>
      <c r="D10" s="2" t="s">
        <v>32</v>
      </c>
      <c r="E10" s="2">
        <f t="shared" si="1"/>
        <v>18.853440000000003</v>
      </c>
      <c r="F10" s="2">
        <f t="shared" si="0"/>
        <v>36.421481818181817</v>
      </c>
      <c r="G10" s="2">
        <f t="shared" si="2"/>
        <v>25.70965</v>
      </c>
      <c r="H10" s="2">
        <f t="shared" si="3"/>
        <v>20.443079438281252</v>
      </c>
      <c r="I10" s="2">
        <f t="shared" si="4"/>
        <v>-3.6593701801171852</v>
      </c>
      <c r="J10" s="2">
        <f t="shared" si="5"/>
        <v>36.123084109375007</v>
      </c>
    </row>
    <row r="11" spans="1:10" x14ac:dyDescent="0.3">
      <c r="A11" s="2">
        <v>7</v>
      </c>
      <c r="B11" s="2">
        <v>85</v>
      </c>
      <c r="C11" s="2">
        <f>AVERAGE(B5:B11)</f>
        <v>30.714285714285715</v>
      </c>
      <c r="D11" s="2" t="s">
        <v>32</v>
      </c>
      <c r="E11" s="2">
        <f t="shared" si="1"/>
        <v>45.312063999999999</v>
      </c>
      <c r="F11" s="2">
        <f t="shared" si="0"/>
        <v>41.109068181818188</v>
      </c>
      <c r="G11" s="2">
        <f t="shared" si="2"/>
        <v>16.798377500000001</v>
      </c>
      <c r="H11" s="2">
        <f t="shared" si="3"/>
        <v>61.124298240357419</v>
      </c>
      <c r="I11" s="2">
        <f t="shared" si="4"/>
        <v>16.293894861869823</v>
      </c>
      <c r="J11" s="2">
        <f t="shared" si="5"/>
        <v>16.783709258164066</v>
      </c>
    </row>
    <row r="12" spans="1:10" x14ac:dyDescent="0.3">
      <c r="A12" s="2">
        <v>8</v>
      </c>
      <c r="B12" s="2">
        <v>22</v>
      </c>
      <c r="C12" s="2">
        <f>AVERAGE(B5:B12)</f>
        <v>29.625</v>
      </c>
      <c r="D12" s="2" t="s">
        <v>32</v>
      </c>
      <c r="E12" s="2">
        <f t="shared" si="1"/>
        <v>35.987238399999995</v>
      </c>
      <c r="F12" s="2">
        <f t="shared" si="0"/>
        <v>45.796654545454544</v>
      </c>
      <c r="G12" s="2">
        <f t="shared" si="2"/>
        <v>61.129432125000001</v>
      </c>
      <c r="H12" s="2">
        <f t="shared" si="3"/>
        <v>41.396367585779529</v>
      </c>
      <c r="I12" s="2">
        <f t="shared" si="4"/>
        <v>8.4073379468353693E-2</v>
      </c>
      <c r="J12" s="2">
        <f t="shared" si="5"/>
        <v>77.418193102227235</v>
      </c>
    </row>
    <row r="13" spans="1:10" x14ac:dyDescent="0.3">
      <c r="A13" s="2">
        <v>9</v>
      </c>
      <c r="B13" s="2">
        <v>38</v>
      </c>
      <c r="C13" s="2">
        <f>AVERAGE(B5:B13)</f>
        <v>30.555555555555557</v>
      </c>
      <c r="D13" s="2" t="s">
        <v>32</v>
      </c>
      <c r="E13" s="2">
        <f t="shared" si="1"/>
        <v>36.792343039999999</v>
      </c>
      <c r="F13" s="2">
        <f t="shared" si="0"/>
        <v>50.484240909090914</v>
      </c>
      <c r="G13" s="2">
        <f t="shared" si="2"/>
        <v>35.695301243749995</v>
      </c>
      <c r="H13" s="2">
        <f t="shared" si="3"/>
        <v>39.218154337836758</v>
      </c>
      <c r="I13" s="2">
        <f t="shared" si="4"/>
        <v>-0.93395560286665269</v>
      </c>
      <c r="J13" s="2">
        <f t="shared" si="5"/>
        <v>41.48044096524788</v>
      </c>
    </row>
    <row r="14" spans="1:10" x14ac:dyDescent="0.3">
      <c r="A14" s="2">
        <v>10</v>
      </c>
      <c r="B14" s="2">
        <v>22</v>
      </c>
      <c r="C14" s="2">
        <f>AVERAGE(B5:B14)</f>
        <v>29.7</v>
      </c>
      <c r="D14" s="2" t="s">
        <v>32</v>
      </c>
      <c r="E14" s="2">
        <f t="shared" si="1"/>
        <v>30.875405823999998</v>
      </c>
      <c r="F14" s="2">
        <f t="shared" si="0"/>
        <v>55.17182727272727</v>
      </c>
      <c r="G14" s="2">
        <f t="shared" si="2"/>
        <v>37.193355435312498</v>
      </c>
      <c r="H14" s="2">
        <f t="shared" si="3"/>
        <v>27.699469557239539</v>
      </c>
      <c r="I14" s="2">
        <f t="shared" si="4"/>
        <v>-5.6970837328454076</v>
      </c>
      <c r="J14" s="2">
        <f t="shared" si="5"/>
        <v>38.284198734970104</v>
      </c>
    </row>
    <row r="15" spans="1:10" x14ac:dyDescent="0.3">
      <c r="A15" s="2">
        <v>11</v>
      </c>
      <c r="B15" s="2">
        <v>105.1833</v>
      </c>
      <c r="C15" s="2">
        <f>AVERAGE(B5:B15)</f>
        <v>36.562118181818185</v>
      </c>
      <c r="D15" s="2" t="s">
        <v>32</v>
      </c>
      <c r="E15" s="2">
        <f t="shared" si="1"/>
        <v>60.598563494399997</v>
      </c>
      <c r="F15" s="2">
        <f t="shared" si="0"/>
        <v>59.859413636363641</v>
      </c>
      <c r="G15" s="2">
        <f t="shared" si="2"/>
        <v>27.317674402359373</v>
      </c>
      <c r="H15" s="2">
        <f t="shared" si="3"/>
        <v>76.069980038537949</v>
      </c>
      <c r="I15" s="2">
        <f t="shared" si="4"/>
        <v>18.633333663519313</v>
      </c>
      <c r="J15" s="2">
        <f t="shared" si="5"/>
        <v>22.002385824394132</v>
      </c>
    </row>
    <row r="16" spans="1:10" x14ac:dyDescent="0.3">
      <c r="A16" s="2">
        <v>12</v>
      </c>
      <c r="B16" s="2">
        <v>63</v>
      </c>
      <c r="C16" s="2">
        <f>AVERAGE(B5:B16)</f>
        <v>38.765275000000003</v>
      </c>
      <c r="D16" s="2" t="s">
        <v>32</v>
      </c>
      <c r="E16" s="2">
        <f t="shared" si="1"/>
        <v>61.559138096639998</v>
      </c>
      <c r="F16" s="2">
        <f t="shared" si="0"/>
        <v>64.546999999999997</v>
      </c>
      <c r="G16" s="2">
        <f t="shared" si="2"/>
        <v>77.930331040825777</v>
      </c>
      <c r="H16" s="2">
        <f t="shared" si="3"/>
        <v>74.096159795720041</v>
      </c>
      <c r="I16" s="2">
        <f t="shared" si="4"/>
        <v>9.3601144056675647</v>
      </c>
      <c r="J16" s="2">
        <f t="shared" si="5"/>
        <v>94.703313702057258</v>
      </c>
    </row>
    <row r="17" spans="1:10" x14ac:dyDescent="0.3">
      <c r="A17" s="2">
        <v>13</v>
      </c>
      <c r="B17" s="2">
        <v>433</v>
      </c>
      <c r="C17" s="5">
        <f>AVERAGE(B5:B16)</f>
        <v>38.765275000000003</v>
      </c>
      <c r="D17" s="5">
        <f>0.14*B16+0.13*B15+0.12*B14+0.11*B13+0.1*B12+0.09*B11+0.08*B10+0.06*B9+0.05*B8+0.04*B7+0.04*B6+0.04*B5</f>
        <v>45.573829000000003</v>
      </c>
      <c r="E17" s="5">
        <f>(1-$E$2)*E16</f>
        <v>36.935482857983999</v>
      </c>
      <c r="F17" s="5">
        <f>_xlfn.FORECAST.LINEAR(A17,$B$5:$B$16,$A$5:$A$16)</f>
        <v>69.234586363636367</v>
      </c>
      <c r="G17" s="5">
        <f>$G$2*B16+(1-$G$2)*G16</f>
        <v>68.225615864289026</v>
      </c>
      <c r="H17" s="2"/>
      <c r="I17" s="2"/>
      <c r="J17" s="14">
        <f t="shared" si="5"/>
        <v>83.4562742013876</v>
      </c>
    </row>
    <row r="18" spans="1:10" x14ac:dyDescent="0.3">
      <c r="J18" s="13"/>
    </row>
    <row r="19" spans="1:10" x14ac:dyDescent="0.3">
      <c r="A19" t="s">
        <v>36</v>
      </c>
      <c r="B19" t="s">
        <v>50</v>
      </c>
      <c r="C19">
        <f>ABS(B5-C5)</f>
        <v>0</v>
      </c>
      <c r="E19">
        <f>ABS(B5-E5)</f>
        <v>0</v>
      </c>
      <c r="F19">
        <f>ABS(B5-F5)</f>
        <v>7.9835500000000046</v>
      </c>
      <c r="G19">
        <f>ABS(B5-G5)</f>
        <v>0</v>
      </c>
      <c r="J19">
        <f>ABS(B5-J5)</f>
        <v>0</v>
      </c>
    </row>
    <row r="20" spans="1:10" x14ac:dyDescent="0.3">
      <c r="C20">
        <f t="shared" ref="C20:C30" si="6">ABS(B6-C6)</f>
        <v>18</v>
      </c>
      <c r="E20">
        <f t="shared" ref="E20:E30" si="7">ABS(B6-E6)</f>
        <v>21.599999999999998</v>
      </c>
      <c r="F20">
        <f t="shared" ref="F20:F30" si="8">ABS(B6-F6)</f>
        <v>23.328863636363632</v>
      </c>
      <c r="G20">
        <f t="shared" ref="G20:G30" si="9">ABS(B6-G6)</f>
        <v>36</v>
      </c>
      <c r="J20">
        <f t="shared" ref="J20:J30" si="10">ABS(B6-J6)</f>
        <v>0</v>
      </c>
    </row>
    <row r="21" spans="1:10" x14ac:dyDescent="0.3">
      <c r="C21">
        <f t="shared" si="6"/>
        <v>3.3333333333333321</v>
      </c>
      <c r="E21">
        <f t="shared" si="7"/>
        <v>5.1599999999999966</v>
      </c>
      <c r="F21">
        <f t="shared" si="8"/>
        <v>5.6412772727272689</v>
      </c>
      <c r="G21">
        <f t="shared" si="9"/>
        <v>0.40000000000000213</v>
      </c>
      <c r="J21">
        <f t="shared" si="10"/>
        <v>49</v>
      </c>
    </row>
    <row r="22" spans="1:10" x14ac:dyDescent="0.3">
      <c r="C22">
        <f t="shared" si="6"/>
        <v>7.25</v>
      </c>
      <c r="E22">
        <f t="shared" si="7"/>
        <v>4.7040000000000006</v>
      </c>
      <c r="F22">
        <f t="shared" si="8"/>
        <v>12.046309090909094</v>
      </c>
      <c r="G22">
        <f t="shared" si="9"/>
        <v>13.14</v>
      </c>
      <c r="J22">
        <f t="shared" si="10"/>
        <v>51.817499999999995</v>
      </c>
    </row>
    <row r="23" spans="1:10" x14ac:dyDescent="0.3">
      <c r="C23">
        <f t="shared" si="6"/>
        <v>5.3999999999999986</v>
      </c>
      <c r="E23">
        <f t="shared" si="7"/>
        <v>5.5775999999999968</v>
      </c>
      <c r="F23">
        <f t="shared" si="8"/>
        <v>2.7338954545454577</v>
      </c>
      <c r="G23">
        <f t="shared" si="9"/>
        <v>9.4009999999999998</v>
      </c>
      <c r="J23">
        <f t="shared" si="10"/>
        <v>10.64700624999999</v>
      </c>
    </row>
    <row r="24" spans="1:10" x14ac:dyDescent="0.3">
      <c r="C24">
        <f t="shared" si="6"/>
        <v>9.6666666666666679</v>
      </c>
      <c r="E24">
        <f t="shared" si="7"/>
        <v>6.8534400000000026</v>
      </c>
      <c r="F24">
        <f t="shared" si="8"/>
        <v>24.421481818181817</v>
      </c>
      <c r="G24">
        <f t="shared" si="9"/>
        <v>13.70965</v>
      </c>
      <c r="J24">
        <f t="shared" si="10"/>
        <v>24.123084109375007</v>
      </c>
    </row>
    <row r="25" spans="1:10" x14ac:dyDescent="0.3">
      <c r="C25">
        <f t="shared" si="6"/>
        <v>54.285714285714285</v>
      </c>
      <c r="E25">
        <f t="shared" si="7"/>
        <v>39.687936000000001</v>
      </c>
      <c r="F25">
        <f t="shared" si="8"/>
        <v>43.890931818181812</v>
      </c>
      <c r="G25">
        <f t="shared" si="9"/>
        <v>68.201622499999999</v>
      </c>
      <c r="J25">
        <f t="shared" si="10"/>
        <v>68.216290741835934</v>
      </c>
    </row>
    <row r="26" spans="1:10" x14ac:dyDescent="0.3">
      <c r="C26">
        <f>ABS(B12-C12)</f>
        <v>7.625</v>
      </c>
      <c r="E26">
        <f t="shared" si="7"/>
        <v>13.987238399999995</v>
      </c>
      <c r="F26">
        <f t="shared" si="8"/>
        <v>23.796654545454544</v>
      </c>
      <c r="G26">
        <f t="shared" si="9"/>
        <v>39.129432125000001</v>
      </c>
      <c r="J26">
        <f t="shared" si="10"/>
        <v>55.418193102227235</v>
      </c>
    </row>
    <row r="27" spans="1:10" x14ac:dyDescent="0.3">
      <c r="C27">
        <f t="shared" si="6"/>
        <v>7.4444444444444429</v>
      </c>
      <c r="E27">
        <f t="shared" si="7"/>
        <v>1.2076569600000013</v>
      </c>
      <c r="F27">
        <f t="shared" si="8"/>
        <v>12.484240909090914</v>
      </c>
      <c r="G27">
        <f t="shared" si="9"/>
        <v>2.304698756250005</v>
      </c>
      <c r="J27">
        <f t="shared" si="10"/>
        <v>3.4804409652478796</v>
      </c>
    </row>
    <row r="28" spans="1:10" x14ac:dyDescent="0.3">
      <c r="C28">
        <f t="shared" si="6"/>
        <v>7.6999999999999993</v>
      </c>
      <c r="E28">
        <f t="shared" si="7"/>
        <v>8.8754058239999978</v>
      </c>
      <c r="F28">
        <f t="shared" si="8"/>
        <v>33.17182727272727</v>
      </c>
      <c r="G28">
        <f t="shared" si="9"/>
        <v>15.193355435312498</v>
      </c>
      <c r="J28">
        <f t="shared" si="10"/>
        <v>16.284198734970104</v>
      </c>
    </row>
    <row r="29" spans="1:10" x14ac:dyDescent="0.3">
      <c r="C29">
        <f t="shared" si="6"/>
        <v>68.62118181818181</v>
      </c>
      <c r="E29">
        <f t="shared" si="7"/>
        <v>44.584736505600006</v>
      </c>
      <c r="F29">
        <f t="shared" si="8"/>
        <v>45.323886363636362</v>
      </c>
      <c r="G29">
        <f t="shared" si="9"/>
        <v>77.86562559764063</v>
      </c>
      <c r="J29">
        <f t="shared" si="10"/>
        <v>83.180914175605864</v>
      </c>
    </row>
    <row r="30" spans="1:10" x14ac:dyDescent="0.3">
      <c r="A30">
        <v>12</v>
      </c>
      <c r="C30">
        <f t="shared" si="6"/>
        <v>24.234724999999997</v>
      </c>
      <c r="E30">
        <f t="shared" si="7"/>
        <v>1.4408619033600019</v>
      </c>
      <c r="F30">
        <f t="shared" si="8"/>
        <v>1.546999999999997</v>
      </c>
      <c r="G30">
        <f t="shared" si="9"/>
        <v>14.930331040825777</v>
      </c>
      <c r="J30">
        <f t="shared" si="10"/>
        <v>31.703313702057258</v>
      </c>
    </row>
    <row r="31" spans="1:10" x14ac:dyDescent="0.3">
      <c r="C31" s="6">
        <f>(SUM(C19:C30))/A30</f>
        <v>17.796755462361713</v>
      </c>
      <c r="D31" s="6">
        <f>ABS(B17-D17)</f>
        <v>387.42617100000001</v>
      </c>
      <c r="E31" s="6">
        <f>(SUM(E19:E30))/A30</f>
        <v>12.806572966079999</v>
      </c>
      <c r="F31" s="6">
        <f>(SUM(F19:F30))/A30</f>
        <v>19.697493181818182</v>
      </c>
      <c r="G31" s="6">
        <f>(SUM(G19:G30))/A30</f>
        <v>24.189642954585739</v>
      </c>
      <c r="J31" s="6">
        <f>(SUM(J19:J30))/A30</f>
        <v>32.82257848177661</v>
      </c>
    </row>
    <row r="33" spans="1:10" x14ac:dyDescent="0.3">
      <c r="A33" t="s">
        <v>37</v>
      </c>
      <c r="C33" s="6" cm="1">
        <f t="array" ref="C33">SQRT(SUMSQ(C5:C16-$B$5:$B$16)/COUNTA(C5:C16))</f>
        <v>27.273698714912396</v>
      </c>
      <c r="E33" s="6" cm="1">
        <f t="array" ref="E33">SQRT(SUMSQ(E5:E16-$B$5:$B$16)/COUNTA(E5:E16))</f>
        <v>19.222975957094061</v>
      </c>
      <c r="F33" s="6" cm="1">
        <f t="array" ref="F33">SQRT(SUMSQ(F5:F16-$B$5:$B$16)/COUNTA(F5:F16))</f>
        <v>24.485305836555501</v>
      </c>
      <c r="G33" s="6" cm="1">
        <f t="array" ref="G33">SQRT(SUMSQ(G5:G16-$B$5:$B$16)/COUNTA(G5:G16))</f>
        <v>34.700920730605716</v>
      </c>
      <c r="J33" s="6" cm="1">
        <f t="array" ref="J33">SQRT(SUMSQ(J5:J16-$B$5:$B$16)/COUNTA(J5:J16))</f>
        <v>42.531779162869398</v>
      </c>
    </row>
    <row r="35" spans="1:10" x14ac:dyDescent="0.3">
      <c r="A35" t="s">
        <v>21</v>
      </c>
    </row>
    <row r="36" spans="1:10" x14ac:dyDescent="0.3">
      <c r="A36" t="s">
        <v>38</v>
      </c>
      <c r="B36">
        <f>AVERAGE(B5:B17)</f>
        <v>69.091023076923079</v>
      </c>
    </row>
    <row r="37" spans="1:10" x14ac:dyDescent="0.3">
      <c r="A37" t="s">
        <v>19</v>
      </c>
      <c r="B37" cm="1">
        <f t="array" ref="B37">SUM((B5:B16-B36)^2)</f>
        <v>21372.380006082549</v>
      </c>
    </row>
    <row r="38" spans="1:10" x14ac:dyDescent="0.3">
      <c r="A38" t="s">
        <v>20</v>
      </c>
      <c r="C38">
        <f>SUMXMY2($B$5:$B$16,C5:C16)</f>
        <v>8926.25569910177</v>
      </c>
      <c r="E38">
        <f>SUMXMY2($B$5:$B$16,E5:E16)</f>
        <v>4434.2736557641956</v>
      </c>
      <c r="F38">
        <f>SUMXMY2($B$5:$B$16,F5:F16)</f>
        <v>7194.3624229159068</v>
      </c>
      <c r="G38">
        <f>SUMXMY2($B$5:$B$16,G5:G16)</f>
        <v>14449.84679462138</v>
      </c>
      <c r="J38">
        <f>SUMXMY2($B$5:$B$16,J5:J16)</f>
        <v>21707.426865109097</v>
      </c>
    </row>
    <row r="39" spans="1:10" x14ac:dyDescent="0.3">
      <c r="A39" t="s">
        <v>21</v>
      </c>
      <c r="C39" s="6">
        <f>1 - (C38 / $B$37)</f>
        <v>0.58234620119231595</v>
      </c>
      <c r="E39" s="6">
        <f>1 - (E38 / $B$37)</f>
        <v>0.79252316988083649</v>
      </c>
      <c r="F39" s="6">
        <f>1 - (F38 / $B$37)</f>
        <v>0.66338038061889215</v>
      </c>
      <c r="G39" s="6">
        <f>1 - (G38 / $B$37)</f>
        <v>0.32390090432095187</v>
      </c>
      <c r="J39" s="6">
        <f>1 - (J38 / $B$37)</f>
        <v>-1.5676628383511471E-2</v>
      </c>
    </row>
    <row r="41" spans="1:10" x14ac:dyDescent="0.3">
      <c r="C41" t="s">
        <v>42</v>
      </c>
      <c r="D41" t="s">
        <v>44</v>
      </c>
      <c r="E41" t="s">
        <v>45</v>
      </c>
    </row>
    <row r="42" spans="1:10" x14ac:dyDescent="0.3">
      <c r="A42" t="s">
        <v>48</v>
      </c>
      <c r="C42">
        <v>-0.49020000000000002</v>
      </c>
      <c r="D42">
        <v>7.8503999999999996</v>
      </c>
      <c r="E42">
        <v>-14.0876</v>
      </c>
    </row>
    <row r="43" spans="1:10" x14ac:dyDescent="0.3">
      <c r="A43" t="s">
        <v>4</v>
      </c>
      <c r="B43" t="s">
        <v>5</v>
      </c>
      <c r="C43" t="s">
        <v>41</v>
      </c>
      <c r="D43" t="s">
        <v>46</v>
      </c>
      <c r="E43" t="s">
        <v>47</v>
      </c>
    </row>
    <row r="44" spans="1:10" x14ac:dyDescent="0.3">
      <c r="A44">
        <v>1</v>
      </c>
      <c r="B44">
        <v>0</v>
      </c>
      <c r="C44">
        <f>A44^2</f>
        <v>1</v>
      </c>
      <c r="D44">
        <f>A44^3</f>
        <v>1</v>
      </c>
      <c r="E44">
        <f>($C$42*B44^2)+($D$42*B44)+$E$42</f>
        <v>-14.0876</v>
      </c>
    </row>
    <row r="45" spans="1:10" x14ac:dyDescent="0.3">
      <c r="A45">
        <v>2</v>
      </c>
      <c r="B45">
        <v>0</v>
      </c>
      <c r="C45">
        <f t="shared" ref="C45:C56" si="11">A45^2</f>
        <v>4</v>
      </c>
      <c r="D45">
        <f t="shared" ref="D45:D56" si="12">A45^3</f>
        <v>8</v>
      </c>
      <c r="E45">
        <f t="shared" ref="E45:E56" si="13">($C$42*B45^2)+($D$42*B45)+$E$42</f>
        <v>-14.0876</v>
      </c>
    </row>
    <row r="46" spans="1:10" x14ac:dyDescent="0.3">
      <c r="A46">
        <v>3</v>
      </c>
      <c r="B46">
        <v>0</v>
      </c>
      <c r="C46">
        <f t="shared" si="11"/>
        <v>9</v>
      </c>
      <c r="D46">
        <f t="shared" si="12"/>
        <v>27</v>
      </c>
      <c r="E46">
        <f t="shared" si="13"/>
        <v>-14.0876</v>
      </c>
    </row>
    <row r="47" spans="1:10" x14ac:dyDescent="0.3">
      <c r="A47">
        <v>4</v>
      </c>
      <c r="B47">
        <v>0</v>
      </c>
      <c r="C47">
        <f t="shared" si="11"/>
        <v>16</v>
      </c>
      <c r="D47">
        <f t="shared" si="12"/>
        <v>64</v>
      </c>
      <c r="E47">
        <f t="shared" si="13"/>
        <v>-14.0876</v>
      </c>
    </row>
    <row r="48" spans="1:10" x14ac:dyDescent="0.3">
      <c r="A48">
        <v>5</v>
      </c>
      <c r="B48">
        <v>9</v>
      </c>
      <c r="C48">
        <f t="shared" si="11"/>
        <v>25</v>
      </c>
      <c r="D48">
        <f t="shared" si="12"/>
        <v>125</v>
      </c>
      <c r="E48">
        <f t="shared" si="13"/>
        <v>16.859799999999993</v>
      </c>
    </row>
    <row r="49" spans="1:5" x14ac:dyDescent="0.3">
      <c r="A49">
        <v>6</v>
      </c>
      <c r="B49">
        <v>17</v>
      </c>
      <c r="C49">
        <f t="shared" si="11"/>
        <v>36</v>
      </c>
      <c r="D49">
        <f t="shared" si="12"/>
        <v>216</v>
      </c>
      <c r="E49">
        <f t="shared" si="13"/>
        <v>-22.298600000000015</v>
      </c>
    </row>
    <row r="50" spans="1:5" x14ac:dyDescent="0.3">
      <c r="A50">
        <v>7</v>
      </c>
      <c r="B50">
        <v>28.650500000000001</v>
      </c>
      <c r="C50">
        <f t="shared" si="11"/>
        <v>49</v>
      </c>
      <c r="D50">
        <f t="shared" si="12"/>
        <v>343</v>
      </c>
      <c r="E50">
        <f t="shared" si="13"/>
        <v>-191.55094865255006</v>
      </c>
    </row>
    <row r="51" spans="1:5" x14ac:dyDescent="0.3">
      <c r="A51">
        <v>8</v>
      </c>
      <c r="B51">
        <v>17</v>
      </c>
      <c r="C51">
        <f t="shared" si="11"/>
        <v>64</v>
      </c>
      <c r="D51">
        <f t="shared" si="12"/>
        <v>512</v>
      </c>
      <c r="E51">
        <f t="shared" si="13"/>
        <v>-22.298600000000015</v>
      </c>
    </row>
    <row r="52" spans="1:5" x14ac:dyDescent="0.3">
      <c r="A52">
        <v>9</v>
      </c>
      <c r="B52">
        <v>19</v>
      </c>
      <c r="C52">
        <f t="shared" si="11"/>
        <v>81</v>
      </c>
      <c r="D52">
        <f t="shared" si="12"/>
        <v>729</v>
      </c>
      <c r="E52">
        <f t="shared" si="13"/>
        <v>-41.892199999999995</v>
      </c>
    </row>
    <row r="53" spans="1:5" x14ac:dyDescent="0.3">
      <c r="A53">
        <v>10</v>
      </c>
      <c r="B53">
        <v>12</v>
      </c>
      <c r="C53">
        <f t="shared" si="11"/>
        <v>100</v>
      </c>
      <c r="D53">
        <f t="shared" si="12"/>
        <v>1000</v>
      </c>
      <c r="E53">
        <f t="shared" si="13"/>
        <v>9.5283999999999853</v>
      </c>
    </row>
    <row r="54" spans="1:5" x14ac:dyDescent="0.3">
      <c r="A54">
        <v>11</v>
      </c>
      <c r="B54">
        <v>17</v>
      </c>
      <c r="C54">
        <f t="shared" si="11"/>
        <v>121</v>
      </c>
      <c r="D54">
        <f t="shared" si="12"/>
        <v>1331</v>
      </c>
      <c r="E54">
        <f t="shared" si="13"/>
        <v>-22.298600000000015</v>
      </c>
    </row>
    <row r="55" spans="1:5" x14ac:dyDescent="0.3">
      <c r="A55">
        <v>12</v>
      </c>
      <c r="B55">
        <v>5</v>
      </c>
      <c r="C55">
        <f t="shared" si="11"/>
        <v>144</v>
      </c>
      <c r="D55">
        <f t="shared" si="12"/>
        <v>1728</v>
      </c>
      <c r="E55">
        <f t="shared" si="13"/>
        <v>12.909399999999993</v>
      </c>
    </row>
    <row r="56" spans="1:5" x14ac:dyDescent="0.3">
      <c r="A56">
        <v>13</v>
      </c>
      <c r="E56">
        <f>($C$42*A56^2)+($D$42*A56)+$E$42</f>
        <v>5.1237999999999975</v>
      </c>
    </row>
    <row r="58" spans="1:5" x14ac:dyDescent="0.3">
      <c r="A58" t="s">
        <v>49</v>
      </c>
    </row>
    <row r="59" spans="1:5" x14ac:dyDescent="0.3">
      <c r="A59" t="s">
        <v>43</v>
      </c>
      <c r="B59" t="s">
        <v>42</v>
      </c>
      <c r="C59" t="s">
        <v>44</v>
      </c>
      <c r="D59" t="s">
        <v>45</v>
      </c>
    </row>
    <row r="60" spans="1:5" x14ac:dyDescent="0.3">
      <c r="A60">
        <v>-0.1096</v>
      </c>
      <c r="B60">
        <v>1.6476</v>
      </c>
      <c r="C60">
        <v>-3.7153999999999998</v>
      </c>
      <c r="D60">
        <v>0.87670000000000003</v>
      </c>
    </row>
    <row r="61" spans="1:5" x14ac:dyDescent="0.3">
      <c r="A61">
        <f>($A$60*B44^3)+($B$60*B44^2)+($C$60*B44)+$D$60</f>
        <v>0.87670000000000003</v>
      </c>
    </row>
    <row r="62" spans="1:5" x14ac:dyDescent="0.3">
      <c r="A62">
        <f t="shared" ref="A62:A74" si="14">($A$60*B45^3)+($B$60*B45^2)+($C$60*B45)+$D$60</f>
        <v>0.87670000000000003</v>
      </c>
    </row>
    <row r="63" spans="1:5" x14ac:dyDescent="0.3">
      <c r="A63">
        <f t="shared" si="14"/>
        <v>0.87670000000000003</v>
      </c>
    </row>
    <row r="64" spans="1:5" x14ac:dyDescent="0.3">
      <c r="A64">
        <f t="shared" si="14"/>
        <v>0.87670000000000003</v>
      </c>
    </row>
    <row r="65" spans="1:1" x14ac:dyDescent="0.3">
      <c r="A65">
        <f t="shared" si="14"/>
        <v>20.995300000000007</v>
      </c>
    </row>
    <row r="66" spans="1:1" x14ac:dyDescent="0.3">
      <c r="A66">
        <f t="shared" si="14"/>
        <v>-124.59350000000001</v>
      </c>
    </row>
    <row r="67" spans="1:1" x14ac:dyDescent="0.3">
      <c r="A67">
        <f t="shared" si="14"/>
        <v>-1330.687441022144</v>
      </c>
    </row>
    <row r="68" spans="1:1" x14ac:dyDescent="0.3">
      <c r="A68">
        <f t="shared" si="14"/>
        <v>-124.59350000000001</v>
      </c>
    </row>
    <row r="69" spans="1:1" x14ac:dyDescent="0.3">
      <c r="A69">
        <f t="shared" si="14"/>
        <v>-226.67870000000002</v>
      </c>
    </row>
    <row r="70" spans="1:1" x14ac:dyDescent="0.3">
      <c r="A70">
        <f t="shared" si="14"/>
        <v>4.1574999999999989</v>
      </c>
    </row>
    <row r="71" spans="1:1" x14ac:dyDescent="0.3">
      <c r="A71">
        <f t="shared" si="14"/>
        <v>-124.59350000000001</v>
      </c>
    </row>
    <row r="72" spans="1:1" x14ac:dyDescent="0.3">
      <c r="A72">
        <f t="shared" si="14"/>
        <v>9.7896999999999963</v>
      </c>
    </row>
    <row r="73" spans="1:1" x14ac:dyDescent="0.3">
      <c r="A73">
        <f>($A$60*A56^3)+($B$60*A56^2)+($C$60*A56)+$D$60</f>
        <v>-9.7703000000000273</v>
      </c>
    </row>
  </sheetData>
  <mergeCells count="8">
    <mergeCell ref="C3:C4"/>
    <mergeCell ref="B3:B4"/>
    <mergeCell ref="A3:A4"/>
    <mergeCell ref="H3:J3"/>
    <mergeCell ref="G3:G4"/>
    <mergeCell ref="F3:F4"/>
    <mergeCell ref="E3:E4"/>
    <mergeCell ref="D3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A07-EE17-4948-8A02-DD9A5A54CC49}">
  <dimension ref="A1:J39"/>
  <sheetViews>
    <sheetView zoomScale="85" zoomScaleNormal="85" workbookViewId="0">
      <selection activeCell="C5" sqref="C5"/>
    </sheetView>
  </sheetViews>
  <sheetFormatPr defaultRowHeight="14.4" x14ac:dyDescent="0.3"/>
  <sheetData>
    <row r="1" spans="1:10" x14ac:dyDescent="0.3">
      <c r="A1" s="2"/>
      <c r="B1" s="2"/>
      <c r="C1" s="2"/>
      <c r="D1" s="2"/>
      <c r="E1" s="2" t="s">
        <v>35</v>
      </c>
      <c r="F1" s="2"/>
      <c r="G1" s="2" t="s">
        <v>39</v>
      </c>
      <c r="H1" s="2" t="s">
        <v>40</v>
      </c>
      <c r="I1" s="4">
        <v>0.45</v>
      </c>
      <c r="J1" s="2"/>
    </row>
    <row r="2" spans="1:10" x14ac:dyDescent="0.3">
      <c r="A2" s="2"/>
      <c r="B2" s="2"/>
      <c r="C2" s="2"/>
      <c r="D2" s="2"/>
      <c r="E2" s="3">
        <v>0.4</v>
      </c>
      <c r="F2" s="2"/>
      <c r="G2" s="3">
        <v>0.65</v>
      </c>
      <c r="H2" s="2"/>
      <c r="I2" s="2"/>
      <c r="J2" s="2"/>
    </row>
    <row r="3" spans="1:10" x14ac:dyDescent="0.3">
      <c r="A3" s="7" t="s">
        <v>33</v>
      </c>
      <c r="B3" s="7" t="s">
        <v>29</v>
      </c>
      <c r="C3" s="7" t="s">
        <v>27</v>
      </c>
      <c r="D3" s="7" t="s">
        <v>10</v>
      </c>
      <c r="E3" s="7" t="s">
        <v>30</v>
      </c>
      <c r="F3" s="7" t="s">
        <v>31</v>
      </c>
      <c r="G3" s="7" t="s">
        <v>15</v>
      </c>
      <c r="H3" s="9" t="s">
        <v>22</v>
      </c>
      <c r="I3" s="10"/>
      <c r="J3" s="11"/>
    </row>
    <row r="4" spans="1:10" x14ac:dyDescent="0.3">
      <c r="A4" s="8"/>
      <c r="B4" s="8"/>
      <c r="C4" s="8"/>
      <c r="D4" s="8"/>
      <c r="E4" s="8"/>
      <c r="F4" s="8"/>
      <c r="G4" s="8"/>
      <c r="H4" s="2" t="s">
        <v>28</v>
      </c>
      <c r="I4" s="2" t="s">
        <v>25</v>
      </c>
      <c r="J4" s="2" t="s">
        <v>34</v>
      </c>
    </row>
    <row r="5" spans="1:10" x14ac:dyDescent="0.3">
      <c r="A5" s="2">
        <v>1</v>
      </c>
      <c r="B5" s="2">
        <v>584</v>
      </c>
      <c r="C5" s="2">
        <f>AVERAGE(B5)</f>
        <v>584</v>
      </c>
      <c r="D5" s="2" t="s">
        <v>32</v>
      </c>
      <c r="E5" s="2">
        <f>B5</f>
        <v>584</v>
      </c>
      <c r="F5" s="2">
        <f t="shared" ref="F5:F17" si="0">_xlfn.FORECAST.LINEAR(A5,$B$5:$B$16,$A$5:$A$16)</f>
        <v>481.40351282051284</v>
      </c>
      <c r="G5" s="2">
        <f>B5</f>
        <v>584</v>
      </c>
      <c r="H5" s="2">
        <f>B5</f>
        <v>584</v>
      </c>
      <c r="I5" s="2">
        <f>B6-B5</f>
        <v>153.22370000000001</v>
      </c>
      <c r="J5" s="2">
        <f>B5</f>
        <v>584</v>
      </c>
    </row>
    <row r="6" spans="1:10" x14ac:dyDescent="0.3">
      <c r="A6" s="2">
        <v>2</v>
      </c>
      <c r="B6" s="2">
        <v>737.22370000000001</v>
      </c>
      <c r="C6" s="2">
        <f>AVERAGE(B5:B6)</f>
        <v>660.61185</v>
      </c>
      <c r="D6" s="2" t="s">
        <v>32</v>
      </c>
      <c r="E6" s="2">
        <f t="shared" ref="E6:E16" si="1">$E$2*B6+(1-$E$2)*E5</f>
        <v>645.28947999999991</v>
      </c>
      <c r="F6" s="2">
        <f t="shared" si="0"/>
        <v>478.4698998834499</v>
      </c>
      <c r="G6" s="2">
        <f>$G$2*B5+(1-$G$2)*G5</f>
        <v>584</v>
      </c>
      <c r="H6" s="2">
        <f>$G$2*B6+(1-$G$2)*(H5+I5)</f>
        <v>737.22370000000001</v>
      </c>
      <c r="I6" s="2">
        <f>$I$1*(H6-H5)+(1-$I$1)*I5</f>
        <v>153.22370000000001</v>
      </c>
      <c r="J6" s="2">
        <f>H5+I5</f>
        <v>737.22370000000001</v>
      </c>
    </row>
    <row r="7" spans="1:10" x14ac:dyDescent="0.3">
      <c r="A7" s="2">
        <v>3</v>
      </c>
      <c r="B7" s="2">
        <v>405</v>
      </c>
      <c r="C7" s="2">
        <f>AVERAGE(B5:B7)</f>
        <v>575.40790000000004</v>
      </c>
      <c r="D7" s="2" t="s">
        <v>32</v>
      </c>
      <c r="E7" s="2">
        <f t="shared" si="1"/>
        <v>549.17368799999986</v>
      </c>
      <c r="F7" s="2">
        <f t="shared" si="0"/>
        <v>475.53628694638701</v>
      </c>
      <c r="G7" s="2">
        <f t="shared" ref="G7:G17" si="2">$G$2*B6+(1-$G$2)*G6</f>
        <v>683.59540500000003</v>
      </c>
      <c r="H7" s="2">
        <f t="shared" ref="H7:H17" si="3">$G$2*B7+(1-$G$2)*(H6+I6)</f>
        <v>574.90659000000005</v>
      </c>
      <c r="I7" s="2">
        <f t="shared" ref="I7:I17" si="4">$I$1*(H7-H6)+(1-$I$1)*I6</f>
        <v>11.230335500000024</v>
      </c>
      <c r="J7" s="2">
        <f t="shared" ref="J7:J17" si="5">H6+I6</f>
        <v>890.44740000000002</v>
      </c>
    </row>
    <row r="8" spans="1:10" x14ac:dyDescent="0.3">
      <c r="A8" s="2">
        <v>4</v>
      </c>
      <c r="B8" s="2">
        <v>331</v>
      </c>
      <c r="C8" s="2">
        <f>AVERAGE(B5:B8)</f>
        <v>514.305925</v>
      </c>
      <c r="D8" s="2" t="s">
        <v>32</v>
      </c>
      <c r="E8" s="2">
        <f t="shared" si="1"/>
        <v>461.90421279999987</v>
      </c>
      <c r="F8" s="2">
        <f t="shared" si="0"/>
        <v>472.60267400932406</v>
      </c>
      <c r="G8" s="2">
        <f t="shared" si="2"/>
        <v>502.50839174999999</v>
      </c>
      <c r="H8" s="2">
        <f t="shared" si="3"/>
        <v>420.29792392500002</v>
      </c>
      <c r="I8" s="2">
        <f t="shared" si="4"/>
        <v>-63.397215208749998</v>
      </c>
      <c r="J8" s="2">
        <f t="shared" si="5"/>
        <v>586.13692550000007</v>
      </c>
    </row>
    <row r="9" spans="1:10" x14ac:dyDescent="0.3">
      <c r="A9" s="2">
        <v>5</v>
      </c>
      <c r="B9" s="2">
        <v>465</v>
      </c>
      <c r="C9" s="2">
        <f>AVERAGE(B5:B9)</f>
        <v>504.44474000000002</v>
      </c>
      <c r="D9" s="2" t="s">
        <v>32</v>
      </c>
      <c r="E9" s="2">
        <f t="shared" si="1"/>
        <v>463.14252767999989</v>
      </c>
      <c r="F9" s="2">
        <f t="shared" si="0"/>
        <v>469.66906107226112</v>
      </c>
      <c r="G9" s="2">
        <f t="shared" si="2"/>
        <v>391.02793711250001</v>
      </c>
      <c r="H9" s="2">
        <f t="shared" si="3"/>
        <v>427.16524805068752</v>
      </c>
      <c r="I9" s="2">
        <f t="shared" si="4"/>
        <v>-31.778172508253125</v>
      </c>
      <c r="J9" s="2">
        <f t="shared" si="5"/>
        <v>356.90070871625005</v>
      </c>
    </row>
    <row r="10" spans="1:10" x14ac:dyDescent="0.3">
      <c r="A10" s="2">
        <v>6</v>
      </c>
      <c r="B10" s="2">
        <v>462</v>
      </c>
      <c r="C10" s="2">
        <f>AVERAGE(B5:B10)</f>
        <v>497.37061666666665</v>
      </c>
      <c r="D10" s="2" t="s">
        <v>32</v>
      </c>
      <c r="E10" s="2">
        <f t="shared" si="1"/>
        <v>462.68551660799994</v>
      </c>
      <c r="F10" s="2">
        <f t="shared" si="0"/>
        <v>466.73544813519817</v>
      </c>
      <c r="G10" s="2">
        <f t="shared" si="2"/>
        <v>439.109777989375</v>
      </c>
      <c r="H10" s="2">
        <f t="shared" si="3"/>
        <v>438.68547643985204</v>
      </c>
      <c r="I10" s="2">
        <f t="shared" si="4"/>
        <v>-12.293892104415189</v>
      </c>
      <c r="J10" s="2">
        <f t="shared" si="5"/>
        <v>395.38707554243439</v>
      </c>
    </row>
    <row r="11" spans="1:10" x14ac:dyDescent="0.3">
      <c r="A11" s="2">
        <v>7</v>
      </c>
      <c r="B11" s="2">
        <v>259</v>
      </c>
      <c r="C11" s="2">
        <f>AVERAGE(B5:B11)</f>
        <v>463.31767142857143</v>
      </c>
      <c r="D11" s="2" t="s">
        <v>32</v>
      </c>
      <c r="E11" s="2">
        <f t="shared" si="1"/>
        <v>381.21130996479997</v>
      </c>
      <c r="F11" s="2">
        <f t="shared" si="0"/>
        <v>463.80183519813522</v>
      </c>
      <c r="G11" s="2">
        <f t="shared" si="2"/>
        <v>453.98842229628121</v>
      </c>
      <c r="H11" s="2">
        <f t="shared" si="3"/>
        <v>317.58705451740286</v>
      </c>
      <c r="I11" s="2">
        <f t="shared" si="4"/>
        <v>-61.255930522530484</v>
      </c>
      <c r="J11" s="2">
        <f t="shared" si="5"/>
        <v>426.39158433543685</v>
      </c>
    </row>
    <row r="12" spans="1:10" x14ac:dyDescent="0.3">
      <c r="A12" s="2">
        <v>8</v>
      </c>
      <c r="B12" s="2">
        <v>282</v>
      </c>
      <c r="C12" s="2">
        <f>AVERAGE(B5:B12)</f>
        <v>440.6529625</v>
      </c>
      <c r="D12" s="2" t="s">
        <v>32</v>
      </c>
      <c r="E12" s="2">
        <f t="shared" si="1"/>
        <v>341.52678597887996</v>
      </c>
      <c r="F12" s="2">
        <f t="shared" si="0"/>
        <v>460.86822226107228</v>
      </c>
      <c r="G12" s="2">
        <f t="shared" si="2"/>
        <v>327.24594780369841</v>
      </c>
      <c r="H12" s="2">
        <f t="shared" si="3"/>
        <v>273.01589339820532</v>
      </c>
      <c r="I12" s="2">
        <f t="shared" si="4"/>
        <v>-53.747784291030669</v>
      </c>
      <c r="J12" s="2">
        <f t="shared" si="5"/>
        <v>256.33112399487237</v>
      </c>
    </row>
    <row r="13" spans="1:10" x14ac:dyDescent="0.3">
      <c r="A13" s="2">
        <v>9</v>
      </c>
      <c r="B13" s="2">
        <v>216</v>
      </c>
      <c r="C13" s="2">
        <f>AVERAGE(B5:B13)</f>
        <v>415.6915222222222</v>
      </c>
      <c r="D13" s="2" t="s">
        <v>32</v>
      </c>
      <c r="E13" s="2">
        <f t="shared" si="1"/>
        <v>291.316071587328</v>
      </c>
      <c r="F13" s="2">
        <f t="shared" si="0"/>
        <v>457.93460932400933</v>
      </c>
      <c r="G13" s="2">
        <f t="shared" si="2"/>
        <v>297.83608173129443</v>
      </c>
      <c r="H13" s="2">
        <f t="shared" si="3"/>
        <v>217.14383818751114</v>
      </c>
      <c r="I13" s="2">
        <f t="shared" si="4"/>
        <v>-54.703706204879254</v>
      </c>
      <c r="J13" s="2">
        <f t="shared" si="5"/>
        <v>219.26810910717467</v>
      </c>
    </row>
    <row r="14" spans="1:10" x14ac:dyDescent="0.3">
      <c r="A14" s="2">
        <v>10</v>
      </c>
      <c r="B14" s="2">
        <v>730</v>
      </c>
      <c r="C14" s="2">
        <f>AVERAGE(B5:B14)</f>
        <v>447.12237000000005</v>
      </c>
      <c r="D14" s="2" t="s">
        <v>32</v>
      </c>
      <c r="E14" s="2">
        <f t="shared" si="1"/>
        <v>466.78964295239678</v>
      </c>
      <c r="F14" s="2">
        <f t="shared" si="0"/>
        <v>455.00099638694644</v>
      </c>
      <c r="G14" s="2">
        <f t="shared" si="2"/>
        <v>244.64262860595306</v>
      </c>
      <c r="H14" s="2">
        <f t="shared" si="3"/>
        <v>531.35404619392114</v>
      </c>
      <c r="I14" s="2">
        <f t="shared" si="4"/>
        <v>111.3075551902009</v>
      </c>
      <c r="J14" s="2">
        <f t="shared" si="5"/>
        <v>162.4401319826319</v>
      </c>
    </row>
    <row r="15" spans="1:10" x14ac:dyDescent="0.3">
      <c r="A15" s="2">
        <v>11</v>
      </c>
      <c r="B15" s="2">
        <v>480</v>
      </c>
      <c r="C15" s="2">
        <f>AVERAGE(B5:B15)</f>
        <v>450.1112454545455</v>
      </c>
      <c r="D15" s="2" t="s">
        <v>32</v>
      </c>
      <c r="E15" s="2">
        <f t="shared" si="1"/>
        <v>472.07378577143805</v>
      </c>
      <c r="F15" s="2">
        <f t="shared" si="0"/>
        <v>452.06738344988349</v>
      </c>
      <c r="G15" s="2">
        <f t="shared" si="2"/>
        <v>560.12492001208352</v>
      </c>
      <c r="H15" s="2">
        <f t="shared" si="3"/>
        <v>536.93156048444268</v>
      </c>
      <c r="I15" s="2">
        <f t="shared" si="4"/>
        <v>63.729036785345194</v>
      </c>
      <c r="J15" s="2">
        <f t="shared" si="5"/>
        <v>642.66160138412204</v>
      </c>
    </row>
    <row r="16" spans="1:10" x14ac:dyDescent="0.3">
      <c r="A16" s="2">
        <v>12</v>
      </c>
      <c r="B16" s="2">
        <v>632</v>
      </c>
      <c r="C16" s="2">
        <f>AVERAGE(B5:B16)</f>
        <v>465.26864166666672</v>
      </c>
      <c r="D16" s="2" t="s">
        <v>32</v>
      </c>
      <c r="E16" s="2">
        <f t="shared" si="1"/>
        <v>536.04427146286275</v>
      </c>
      <c r="F16" s="2">
        <f t="shared" si="0"/>
        <v>449.13377051282055</v>
      </c>
      <c r="G16" s="2">
        <f t="shared" si="2"/>
        <v>508.04372200422921</v>
      </c>
      <c r="H16" s="2">
        <f t="shared" si="3"/>
        <v>621.03120904442574</v>
      </c>
      <c r="I16" s="2">
        <f t="shared" si="4"/>
        <v>72.895812083932242</v>
      </c>
      <c r="J16" s="2">
        <f t="shared" si="5"/>
        <v>600.6605972697879</v>
      </c>
    </row>
    <row r="17" spans="1:10" x14ac:dyDescent="0.3">
      <c r="A17" s="2">
        <v>13</v>
      </c>
      <c r="B17" s="2"/>
      <c r="C17" s="5">
        <f>AVERAGE(B5:B16)</f>
        <v>465.26864166666672</v>
      </c>
      <c r="D17" s="5">
        <f>0.14*B16+0.13*B15+0.12*B14+0.11*B13+0.1*B12+0.09*B11+0.08*B10+0.06*B9+0.05*B8+0.04*B7+0.04*B6+0.04*B5</f>
        <v>464.20894799999996</v>
      </c>
      <c r="E17" s="5">
        <f>(1-$E$2)*E16</f>
        <v>321.62656287771762</v>
      </c>
      <c r="F17" s="5">
        <f t="shared" si="0"/>
        <v>446.2001575757576</v>
      </c>
      <c r="G17" s="5">
        <f t="shared" si="2"/>
        <v>588.61530270148023</v>
      </c>
      <c r="H17" s="2"/>
      <c r="I17" s="2"/>
      <c r="J17" s="12">
        <f t="shared" si="5"/>
        <v>693.92702112835798</v>
      </c>
    </row>
    <row r="18" spans="1:10" x14ac:dyDescent="0.3">
      <c r="J18" s="5"/>
    </row>
    <row r="19" spans="1:10" x14ac:dyDescent="0.3">
      <c r="A19" t="s">
        <v>36</v>
      </c>
      <c r="C19">
        <f>ABS(B5-C5)</f>
        <v>0</v>
      </c>
      <c r="E19">
        <f>ABS(B5-E5)</f>
        <v>0</v>
      </c>
      <c r="F19">
        <f>ABS(B5-F5)</f>
        <v>102.59648717948716</v>
      </c>
      <c r="G19">
        <f>ABS(B5-G5)</f>
        <v>0</v>
      </c>
      <c r="J19">
        <f>ABS(B5-J5)</f>
        <v>0</v>
      </c>
    </row>
    <row r="20" spans="1:10" x14ac:dyDescent="0.3">
      <c r="C20">
        <f t="shared" ref="C20:C30" si="6">ABS(B6-C6)</f>
        <v>76.611850000000004</v>
      </c>
      <c r="E20">
        <f t="shared" ref="E20:E30" si="7">ABS(B6-E6)</f>
        <v>91.934220000000096</v>
      </c>
      <c r="F20">
        <f t="shared" ref="F20:F30" si="8">ABS(B6-F6)</f>
        <v>258.75380011655011</v>
      </c>
      <c r="G20">
        <f>ABS(B6-G6)</f>
        <v>153.22370000000001</v>
      </c>
      <c r="J20">
        <f t="shared" ref="J20:J30" si="9">ABS(B6-J6)</f>
        <v>0</v>
      </c>
    </row>
    <row r="21" spans="1:10" x14ac:dyDescent="0.3">
      <c r="C21">
        <f t="shared" si="6"/>
        <v>170.40790000000004</v>
      </c>
      <c r="E21">
        <f t="shared" si="7"/>
        <v>144.17368799999986</v>
      </c>
      <c r="F21">
        <f t="shared" si="8"/>
        <v>70.536286946387008</v>
      </c>
      <c r="G21">
        <f t="shared" ref="G20:G30" si="10">ABS(B7-G7)</f>
        <v>278.59540500000003</v>
      </c>
      <c r="J21">
        <f t="shared" si="9"/>
        <v>485.44740000000002</v>
      </c>
    </row>
    <row r="22" spans="1:10" x14ac:dyDescent="0.3">
      <c r="C22">
        <f t="shared" si="6"/>
        <v>183.305925</v>
      </c>
      <c r="E22">
        <f t="shared" si="7"/>
        <v>130.90421279999987</v>
      </c>
      <c r="F22">
        <f t="shared" si="8"/>
        <v>141.60267400932406</v>
      </c>
      <c r="G22">
        <f t="shared" si="10"/>
        <v>171.50839174999999</v>
      </c>
      <c r="J22">
        <f t="shared" si="9"/>
        <v>255.13692550000007</v>
      </c>
    </row>
    <row r="23" spans="1:10" x14ac:dyDescent="0.3">
      <c r="C23">
        <f t="shared" si="6"/>
        <v>39.444740000000024</v>
      </c>
      <c r="E23">
        <f t="shared" si="7"/>
        <v>1.8574723200001131</v>
      </c>
      <c r="F23">
        <f t="shared" si="8"/>
        <v>4.6690610722611154</v>
      </c>
      <c r="G23">
        <f t="shared" si="10"/>
        <v>73.972062887499987</v>
      </c>
      <c r="J23">
        <f t="shared" si="9"/>
        <v>108.09929128374995</v>
      </c>
    </row>
    <row r="24" spans="1:10" x14ac:dyDescent="0.3">
      <c r="C24">
        <f t="shared" si="6"/>
        <v>35.370616666666649</v>
      </c>
      <c r="E24">
        <f t="shared" si="7"/>
        <v>0.68551660799994352</v>
      </c>
      <c r="F24">
        <f t="shared" si="8"/>
        <v>4.735448135198169</v>
      </c>
      <c r="G24">
        <f t="shared" si="10"/>
        <v>22.890222010624996</v>
      </c>
      <c r="J24">
        <f t="shared" si="9"/>
        <v>66.612924457565612</v>
      </c>
    </row>
    <row r="25" spans="1:10" x14ac:dyDescent="0.3">
      <c r="C25">
        <f t="shared" si="6"/>
        <v>204.31767142857143</v>
      </c>
      <c r="E25">
        <f t="shared" si="7"/>
        <v>122.21130996479997</v>
      </c>
      <c r="F25">
        <f t="shared" si="8"/>
        <v>204.80183519813522</v>
      </c>
      <c r="G25">
        <f t="shared" si="10"/>
        <v>194.98842229628121</v>
      </c>
      <c r="J25">
        <f t="shared" si="9"/>
        <v>167.39158433543685</v>
      </c>
    </row>
    <row r="26" spans="1:10" x14ac:dyDescent="0.3">
      <c r="C26">
        <f>ABS(B12-C12)</f>
        <v>158.6529625</v>
      </c>
      <c r="E26">
        <f t="shared" si="7"/>
        <v>59.526785978879957</v>
      </c>
      <c r="F26">
        <f t="shared" si="8"/>
        <v>178.86822226107228</v>
      </c>
      <c r="G26">
        <f t="shared" si="10"/>
        <v>45.245947803698414</v>
      </c>
      <c r="J26">
        <f t="shared" si="9"/>
        <v>25.668876005127629</v>
      </c>
    </row>
    <row r="27" spans="1:10" x14ac:dyDescent="0.3">
      <c r="C27">
        <f t="shared" si="6"/>
        <v>199.6915222222222</v>
      </c>
      <c r="E27">
        <f t="shared" si="7"/>
        <v>75.316071587327997</v>
      </c>
      <c r="F27">
        <f t="shared" si="8"/>
        <v>241.93460932400933</v>
      </c>
      <c r="G27">
        <f t="shared" si="10"/>
        <v>81.836081731294428</v>
      </c>
      <c r="J27">
        <f t="shared" si="9"/>
        <v>3.2681091071746664</v>
      </c>
    </row>
    <row r="28" spans="1:10" x14ac:dyDescent="0.3">
      <c r="C28">
        <f t="shared" si="6"/>
        <v>282.87762999999995</v>
      </c>
      <c r="E28">
        <f t="shared" si="7"/>
        <v>263.21035704760322</v>
      </c>
      <c r="F28">
        <f t="shared" si="8"/>
        <v>274.99900361305356</v>
      </c>
      <c r="G28">
        <f t="shared" si="10"/>
        <v>485.35737139404694</v>
      </c>
      <c r="J28">
        <f t="shared" si="9"/>
        <v>567.5598680173681</v>
      </c>
    </row>
    <row r="29" spans="1:10" x14ac:dyDescent="0.3">
      <c r="C29">
        <f t="shared" si="6"/>
        <v>29.888754545454503</v>
      </c>
      <c r="E29">
        <f t="shared" si="7"/>
        <v>7.9262142285619461</v>
      </c>
      <c r="F29">
        <f t="shared" si="8"/>
        <v>27.932616550116506</v>
      </c>
      <c r="G29">
        <f t="shared" si="10"/>
        <v>80.124920012083521</v>
      </c>
      <c r="J29">
        <f t="shared" si="9"/>
        <v>162.66160138412204</v>
      </c>
    </row>
    <row r="30" spans="1:10" x14ac:dyDescent="0.3">
      <c r="A30">
        <v>12</v>
      </c>
      <c r="C30">
        <f t="shared" si="6"/>
        <v>166.73135833333328</v>
      </c>
      <c r="E30">
        <f t="shared" si="7"/>
        <v>95.955728537137247</v>
      </c>
      <c r="F30">
        <f t="shared" si="8"/>
        <v>182.86622948717945</v>
      </c>
      <c r="G30">
        <f t="shared" si="10"/>
        <v>123.95627799577079</v>
      </c>
      <c r="J30">
        <f t="shared" si="9"/>
        <v>31.3394027302121</v>
      </c>
    </row>
    <row r="31" spans="1:10" x14ac:dyDescent="0.3">
      <c r="C31" s="6">
        <f>(SUM(C19:C30))/A30</f>
        <v>128.94174422468734</v>
      </c>
      <c r="D31" s="6">
        <f>ABS(625-D17)</f>
        <v>160.79105200000004</v>
      </c>
      <c r="E31" s="6">
        <f>(SUM(E19:E30))/A30</f>
        <v>82.808464756025842</v>
      </c>
      <c r="F31" s="6">
        <f>(SUM(F19:F30))/A30</f>
        <v>141.19135615773115</v>
      </c>
      <c r="G31" s="6">
        <f>(SUM(G19:G30))/A30</f>
        <v>142.64156690677501</v>
      </c>
      <c r="J31" s="6">
        <f>(SUM(J19:J30))/A30</f>
        <v>156.09883190172977</v>
      </c>
    </row>
    <row r="33" spans="1:10" x14ac:dyDescent="0.3">
      <c r="A33" t="s">
        <v>37</v>
      </c>
      <c r="C33" s="6" cm="1">
        <f t="array" ref="C33">SQRT(SUMSQ(C5:C16-$B$5:$B$16)/COUNTA(C5:C16))</f>
        <v>154.60214330926121</v>
      </c>
      <c r="E33" s="6" cm="1">
        <f t="array" ref="E33">SQRT(SUMSQ(E5:E16-$B$5:$B$16)/COUNTA(E5:E16))</f>
        <v>111.45976782513976</v>
      </c>
      <c r="F33" s="6" cm="1">
        <f t="array" ref="F33">SQRT(SUMSQ(F5:F16-$B$5:$B$16)/COUNTA(F5:F16))</f>
        <v>169.52512269226384</v>
      </c>
      <c r="G33" s="6" cm="1">
        <f t="array" ref="G33">SQRT(SUMSQ(G5:G16-$B$5:$B$16)/COUNTA(G5:G16))</f>
        <v>191.62150697934652</v>
      </c>
      <c r="J33" s="6" cm="1">
        <f t="array" ref="J33">SQRT(SUMSQ(J5:J16-$B$5:$B$16)/COUNTA(J5:J16))</f>
        <v>240.68157389523461</v>
      </c>
    </row>
    <row r="35" spans="1:10" x14ac:dyDescent="0.3">
      <c r="A35" t="s">
        <v>21</v>
      </c>
    </row>
    <row r="36" spans="1:10" x14ac:dyDescent="0.3">
      <c r="A36" t="s">
        <v>38</v>
      </c>
      <c r="B36">
        <f>AVERAGE(B5:B16)</f>
        <v>465.26864166666672</v>
      </c>
    </row>
    <row r="37" spans="1:10" x14ac:dyDescent="0.3">
      <c r="A37" t="s">
        <v>19</v>
      </c>
      <c r="B37" cm="1">
        <f t="array" ref="B37">SUM((B5:B16-B36)^2)</f>
        <v>346095.87682154914</v>
      </c>
    </row>
    <row r="38" spans="1:10" x14ac:dyDescent="0.3">
      <c r="A38" t="s">
        <v>20</v>
      </c>
      <c r="C38">
        <f>SUMXMY2($B$5:$B$16,C5:C16)</f>
        <v>286821.87258980807</v>
      </c>
      <c r="E38">
        <f>SUMXMY2($B$5:$B$16,E5:E16)</f>
        <v>149079.35812360872</v>
      </c>
      <c r="F38">
        <f>SUMXMY2($B$5:$B$16,F5:F16)</f>
        <v>344865.20668592525</v>
      </c>
      <c r="G38">
        <f>SUMXMY2($B$5:$B$16,G5:G16)</f>
        <v>440625.62324442889</v>
      </c>
      <c r="J38">
        <f>SUMXMY2($B$5:$B$16,J5:J16)</f>
        <v>695131.44015224732</v>
      </c>
    </row>
    <row r="39" spans="1:10" x14ac:dyDescent="0.3">
      <c r="A39" t="s">
        <v>21</v>
      </c>
      <c r="C39" s="6">
        <f>1 - (C38 / $B$37)</f>
        <v>0.17126469340258399</v>
      </c>
      <c r="E39" s="6">
        <f>1 - (E38 / $B$37)</f>
        <v>0.56925416305818732</v>
      </c>
      <c r="F39" s="6">
        <f>1 - (F38 / $B$37)</f>
        <v>3.5558647705544733E-3</v>
      </c>
      <c r="G39" s="6">
        <f>1 - (G38 / $B$37)</f>
        <v>-0.27313167464176513</v>
      </c>
      <c r="J39" s="6">
        <f>1 - (J38 / $B$37)</f>
        <v>-1.0084938501323575</v>
      </c>
    </row>
  </sheetData>
  <mergeCells count="8">
    <mergeCell ref="G3:G4"/>
    <mergeCell ref="H3:J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brc</vt:lpstr>
      <vt:lpstr>nasional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Brandon</dc:creator>
  <cp:lastModifiedBy>Michael Brandon</cp:lastModifiedBy>
  <dcterms:created xsi:type="dcterms:W3CDTF">2025-01-07T01:22:07Z</dcterms:created>
  <dcterms:modified xsi:type="dcterms:W3CDTF">2025-01-13T08:25:32Z</dcterms:modified>
</cp:coreProperties>
</file>