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MLS2012" sheetId="1" r:id="rId1"/>
    <sheet name="TeamAttrs" sheetId="10" r:id="rId2"/>
    <sheet name="City" sheetId="11" r:id="rId3"/>
    <sheet name="Graphics" sheetId="12" r:id="rId4"/>
  </sheets>
  <calcPr calcId="145621"/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AA2" i="1" l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F321" i="1" l="1"/>
  <c r="K5" i="10"/>
  <c r="K4" i="10"/>
  <c r="K18" i="10"/>
  <c r="K8" i="10"/>
  <c r="K17" i="10"/>
  <c r="K10" i="10"/>
  <c r="K7" i="10"/>
  <c r="K9" i="10"/>
  <c r="K2" i="10"/>
  <c r="K14" i="10"/>
  <c r="K19" i="10"/>
  <c r="K3" i="10"/>
  <c r="K20" i="10"/>
  <c r="K11" i="10"/>
  <c r="K6" i="10"/>
  <c r="K13" i="10"/>
  <c r="K12" i="10"/>
  <c r="K16" i="10"/>
  <c r="K15" i="10"/>
  <c r="F101" i="1" l="1"/>
  <c r="F194" i="1"/>
  <c r="F222" i="1"/>
  <c r="F97" i="1"/>
  <c r="F195" i="1"/>
  <c r="F322" i="1"/>
  <c r="F108" i="1"/>
  <c r="F232" i="1"/>
  <c r="F294" i="1"/>
  <c r="F129" i="1"/>
  <c r="F234" i="1"/>
  <c r="F277" i="1"/>
  <c r="F148" i="1"/>
  <c r="F272" i="1"/>
  <c r="F306" i="1"/>
  <c r="F72" i="1"/>
  <c r="F172" i="1"/>
  <c r="F281" i="1"/>
  <c r="F64" i="1"/>
  <c r="F147" i="1"/>
  <c r="F248" i="1"/>
  <c r="F331" i="1"/>
  <c r="F336" i="1"/>
  <c r="F126" i="1"/>
  <c r="F186" i="1"/>
  <c r="F223" i="1"/>
  <c r="F320" i="1"/>
  <c r="F119" i="1"/>
  <c r="F244" i="1"/>
  <c r="F316" i="1"/>
  <c r="F207" i="1"/>
  <c r="F254" i="1"/>
  <c r="F302" i="1"/>
  <c r="F116" i="1"/>
  <c r="F140" i="1"/>
  <c r="F278" i="1"/>
  <c r="F34" i="1"/>
  <c r="F237" i="1"/>
  <c r="F325" i="1"/>
  <c r="F98" i="1"/>
  <c r="F111" i="1"/>
  <c r="F156" i="1"/>
  <c r="F259" i="1"/>
  <c r="F268" i="1"/>
  <c r="F314" i="1"/>
  <c r="F333" i="1"/>
  <c r="F334" i="1"/>
  <c r="F41" i="1"/>
  <c r="F149" i="1"/>
  <c r="F313" i="1"/>
  <c r="F75" i="1"/>
  <c r="F191" i="1"/>
  <c r="F211" i="1"/>
  <c r="F309" i="1"/>
  <c r="F30" i="1"/>
  <c r="F105" i="1"/>
  <c r="F202" i="1"/>
  <c r="F121" i="1"/>
  <c r="F173" i="1"/>
  <c r="F273" i="1"/>
  <c r="F157" i="1"/>
  <c r="F291" i="1"/>
  <c r="F85" i="1"/>
  <c r="F103" i="1"/>
  <c r="F303" i="1"/>
  <c r="F43" i="1"/>
  <c r="F196" i="1"/>
  <c r="F210" i="1"/>
  <c r="F179" i="1"/>
  <c r="F212" i="1"/>
  <c r="F48" i="1"/>
  <c r="F117" i="1"/>
  <c r="F269" i="1"/>
  <c r="F50" i="1"/>
  <c r="F250" i="1"/>
  <c r="F289" i="1"/>
  <c r="F91" i="1"/>
  <c r="F150" i="1"/>
  <c r="F287" i="1"/>
  <c r="F62" i="1"/>
  <c r="F209" i="1"/>
  <c r="F264" i="1"/>
  <c r="F146" i="1"/>
  <c r="F178" i="1"/>
  <c r="F27" i="1"/>
  <c r="F39" i="1"/>
  <c r="F271" i="1"/>
  <c r="F55" i="1"/>
  <c r="F153" i="1"/>
  <c r="F243" i="1"/>
  <c r="F102" i="1"/>
  <c r="F159" i="1"/>
  <c r="F276" i="1"/>
  <c r="F323" i="1"/>
  <c r="F61" i="1"/>
  <c r="F145" i="1"/>
  <c r="F181" i="1"/>
  <c r="F4" i="1"/>
  <c r="F23" i="1"/>
  <c r="F125" i="1"/>
  <c r="F137" i="1"/>
  <c r="F288" i="1"/>
  <c r="F300" i="1"/>
  <c r="F21" i="1"/>
  <c r="F171" i="1"/>
  <c r="F252" i="1"/>
  <c r="F238" i="1"/>
  <c r="F318" i="1"/>
  <c r="F177" i="1"/>
  <c r="F205" i="1"/>
  <c r="F305" i="1"/>
  <c r="F32" i="1"/>
  <c r="F167" i="1"/>
  <c r="F282" i="1"/>
  <c r="F169" i="1"/>
  <c r="F185" i="1"/>
  <c r="F266" i="1"/>
  <c r="F332" i="1"/>
  <c r="F335" i="1"/>
  <c r="F128" i="1"/>
  <c r="F241" i="1"/>
  <c r="F261" i="1"/>
  <c r="F87" i="1"/>
  <c r="F176" i="1"/>
  <c r="F218" i="1"/>
  <c r="F20" i="1"/>
  <c r="F224" i="1"/>
  <c r="F296" i="1"/>
  <c r="F96" i="1"/>
  <c r="F164" i="1"/>
  <c r="F307" i="1"/>
  <c r="F330" i="1"/>
  <c r="F337" i="1"/>
  <c r="F33" i="1"/>
  <c r="F219" i="1"/>
  <c r="F283" i="1"/>
  <c r="F132" i="1"/>
  <c r="F187" i="1"/>
  <c r="F301" i="1"/>
  <c r="F12" i="1"/>
  <c r="F267" i="1"/>
  <c r="F110" i="1"/>
  <c r="F199" i="1"/>
  <c r="F221" i="1"/>
  <c r="F324" i="1"/>
  <c r="F44" i="1"/>
  <c r="F86" i="1"/>
  <c r="F198" i="1"/>
  <c r="F42" i="1"/>
  <c r="F47" i="1"/>
  <c r="F133" i="1"/>
  <c r="F180" i="1"/>
  <c r="F184" i="1"/>
  <c r="F203" i="1"/>
  <c r="F130" i="1"/>
  <c r="F233" i="1"/>
  <c r="F256" i="1"/>
  <c r="F58" i="1"/>
  <c r="F67" i="1"/>
  <c r="F229" i="1"/>
  <c r="F265" i="1"/>
  <c r="F295" i="1"/>
  <c r="F308" i="1"/>
  <c r="F123" i="1"/>
  <c r="F228" i="1"/>
  <c r="F311" i="1"/>
  <c r="F319" i="1"/>
  <c r="F36" i="1"/>
  <c r="F92" i="1"/>
  <c r="F54" i="1"/>
  <c r="F158" i="1"/>
  <c r="F257" i="1"/>
  <c r="F328" i="1"/>
  <c r="F52" i="1"/>
  <c r="F135" i="1"/>
  <c r="F245" i="1"/>
  <c r="F298" i="1"/>
  <c r="F3" i="1"/>
  <c r="F220" i="1"/>
  <c r="F78" i="1"/>
  <c r="F114" i="1"/>
  <c r="F215" i="1"/>
  <c r="F240" i="1"/>
  <c r="F263" i="1"/>
  <c r="F327" i="1"/>
  <c r="F339" i="1"/>
  <c r="F341" i="1"/>
  <c r="F151" i="1"/>
  <c r="F251" i="1"/>
  <c r="F260" i="1"/>
  <c r="F59" i="1"/>
  <c r="F235" i="1"/>
  <c r="F65" i="1"/>
  <c r="F120" i="1"/>
  <c r="F231" i="1"/>
  <c r="F51" i="1"/>
  <c r="F168" i="1"/>
  <c r="F200" i="1"/>
  <c r="F144" i="1"/>
  <c r="F317" i="1"/>
  <c r="F10" i="1"/>
  <c r="F165" i="1"/>
  <c r="F297" i="1"/>
  <c r="F142" i="1"/>
  <c r="F190" i="1"/>
  <c r="F253" i="1"/>
  <c r="F329" i="1"/>
  <c r="F247" i="1"/>
  <c r="F275" i="1"/>
  <c r="F312" i="1"/>
  <c r="F131" i="1"/>
  <c r="F160" i="1"/>
  <c r="F286" i="1"/>
  <c r="F84" i="1"/>
  <c r="F163" i="1"/>
  <c r="F280" i="1"/>
  <c r="F2" i="1"/>
  <c r="F28" i="1"/>
  <c r="F161" i="1"/>
  <c r="F262" i="1"/>
  <c r="F69" i="1"/>
  <c r="F93" i="1"/>
  <c r="F182" i="1"/>
  <c r="F338" i="1"/>
  <c r="F340" i="1"/>
  <c r="F141" i="1"/>
  <c r="F304" i="1"/>
  <c r="F326" i="1"/>
  <c r="F70" i="1"/>
  <c r="F201" i="1"/>
  <c r="F246" i="1"/>
  <c r="F16" i="1"/>
  <c r="F197" i="1"/>
  <c r="F213" i="1"/>
  <c r="F88" i="1"/>
  <c r="F136" i="1"/>
  <c r="F206" i="1"/>
  <c r="F242" i="1"/>
  <c r="F104" i="1"/>
  <c r="F189" i="1"/>
  <c r="F154" i="1"/>
  <c r="F285" i="1"/>
  <c r="F310" i="1"/>
  <c r="F35" i="1"/>
  <c r="F45" i="1"/>
  <c r="F8" i="1"/>
  <c r="F7" i="1"/>
  <c r="F118" i="1"/>
  <c r="F342" i="1"/>
  <c r="F90" i="1"/>
  <c r="F208" i="1"/>
  <c r="F217" i="1"/>
  <c r="F166" i="1"/>
  <c r="F188" i="1"/>
  <c r="F293" i="1"/>
  <c r="F122" i="1"/>
  <c r="F100" i="1"/>
  <c r="F60" i="1"/>
  <c r="F138" i="1"/>
  <c r="F216" i="1"/>
  <c r="F46" i="1"/>
  <c r="F152" i="1"/>
  <c r="F38" i="1"/>
  <c r="F56" i="1"/>
  <c r="F18" i="1"/>
  <c r="F143" i="1"/>
  <c r="F193" i="1"/>
  <c r="F299" i="1"/>
  <c r="F106" i="1"/>
  <c r="F290" i="1"/>
  <c r="F14" i="1"/>
  <c r="F115" i="1"/>
  <c r="F26" i="1"/>
  <c r="F11" i="1"/>
  <c r="F192" i="1"/>
  <c r="F214" i="1"/>
  <c r="F74" i="1"/>
  <c r="F89" i="1"/>
  <c r="F258" i="1"/>
  <c r="F315" i="1"/>
  <c r="F66" i="1"/>
  <c r="F109" i="1"/>
  <c r="F79" i="1"/>
  <c r="F170" i="1"/>
  <c r="F76" i="1"/>
  <c r="F63" i="1"/>
  <c r="F227" i="1"/>
  <c r="F270" i="1"/>
  <c r="F175" i="1"/>
  <c r="F99" i="1"/>
  <c r="F204" i="1"/>
  <c r="F255" i="1"/>
  <c r="F19" i="1"/>
  <c r="F239" i="1"/>
  <c r="F37" i="1"/>
  <c r="F124" i="1"/>
  <c r="F13" i="1"/>
  <c r="F274" i="1"/>
  <c r="F225" i="1"/>
  <c r="F113" i="1"/>
  <c r="F81" i="1"/>
  <c r="F68" i="1"/>
  <c r="F15" i="1"/>
  <c r="F174" i="1"/>
  <c r="F226" i="1"/>
  <c r="F107" i="1"/>
  <c r="F82" i="1"/>
  <c r="F53" i="1"/>
  <c r="F279" i="1"/>
  <c r="F24" i="1"/>
  <c r="F127" i="1"/>
  <c r="F6" i="1"/>
  <c r="F284" i="1"/>
  <c r="F17" i="1"/>
  <c r="F40" i="1"/>
  <c r="F71" i="1"/>
  <c r="F292" i="1"/>
  <c r="F25" i="1"/>
  <c r="F83" i="1"/>
  <c r="F57" i="1"/>
  <c r="F162" i="1"/>
  <c r="F9" i="1"/>
  <c r="F183" i="1"/>
  <c r="F31" i="1"/>
  <c r="F77" i="1"/>
  <c r="F139" i="1"/>
  <c r="F236" i="1"/>
  <c r="F112" i="1"/>
  <c r="F80" i="1"/>
  <c r="F134" i="1"/>
  <c r="F94" i="1"/>
  <c r="F155" i="1"/>
  <c r="F73" i="1"/>
  <c r="F95" i="1"/>
  <c r="F230" i="1"/>
  <c r="F22" i="1"/>
  <c r="F49" i="1"/>
  <c r="F249" i="1"/>
  <c r="F29" i="1"/>
  <c r="F5" i="1"/>
  <c r="H5" i="10" l="1"/>
  <c r="H4" i="10"/>
  <c r="H18" i="10"/>
  <c r="H8" i="10"/>
  <c r="H17" i="10"/>
  <c r="H10" i="10"/>
  <c r="H7" i="10"/>
  <c r="H9" i="10"/>
  <c r="H2" i="10"/>
  <c r="H14" i="10"/>
  <c r="H19" i="10"/>
  <c r="H3" i="10"/>
  <c r="H20" i="10"/>
  <c r="H11" i="10"/>
  <c r="H6" i="10"/>
  <c r="H13" i="10"/>
  <c r="H12" i="10"/>
  <c r="H16" i="10"/>
  <c r="H15" i="10"/>
  <c r="G5" i="10"/>
  <c r="G4" i="10"/>
  <c r="G18" i="10"/>
  <c r="G8" i="10"/>
  <c r="G17" i="10"/>
  <c r="G10" i="10"/>
  <c r="G7" i="10"/>
  <c r="G9" i="10"/>
  <c r="G2" i="10"/>
  <c r="G14" i="10"/>
  <c r="G19" i="10"/>
  <c r="G3" i="10"/>
  <c r="G20" i="10"/>
  <c r="G11" i="10"/>
  <c r="G6" i="10"/>
  <c r="G13" i="10"/>
  <c r="G12" i="10"/>
  <c r="G16" i="10"/>
  <c r="G15" i="10"/>
  <c r="W40" i="1" l="1"/>
  <c r="W12" i="1"/>
  <c r="W109" i="1"/>
  <c r="W292" i="1"/>
  <c r="W81" i="1"/>
  <c r="W84" i="1"/>
  <c r="W220" i="1"/>
  <c r="W216" i="1"/>
  <c r="W287" i="1"/>
  <c r="W184" i="1"/>
  <c r="W79" i="1"/>
  <c r="W114" i="1"/>
  <c r="W134" i="1"/>
  <c r="W11" i="1"/>
  <c r="W141" i="1"/>
  <c r="W258" i="1"/>
  <c r="W254" i="1"/>
  <c r="W261" i="1"/>
  <c r="W164" i="1"/>
  <c r="W282" i="1"/>
  <c r="W53" i="1"/>
  <c r="W34" i="1"/>
  <c r="W246" i="1"/>
  <c r="W133" i="1"/>
  <c r="W36" i="1"/>
  <c r="W200" i="1"/>
  <c r="W2" i="1"/>
  <c r="W115" i="1"/>
  <c r="W99" i="1"/>
  <c r="W93" i="1"/>
  <c r="W290" i="1"/>
  <c r="W154" i="1"/>
  <c r="W332" i="1"/>
  <c r="W310" i="1"/>
  <c r="W275" i="1"/>
  <c r="W187" i="1"/>
  <c r="W61" i="1"/>
  <c r="W77" i="1"/>
  <c r="W293" i="1"/>
  <c r="W276" i="1"/>
  <c r="W204" i="1"/>
  <c r="W316" i="1"/>
  <c r="W131" i="1"/>
  <c r="W221" i="1"/>
  <c r="W56" i="1"/>
  <c r="W25" i="1"/>
  <c r="W6" i="1"/>
  <c r="W227" i="1"/>
  <c r="Q175" i="1"/>
  <c r="R175" i="1"/>
  <c r="K175" i="1"/>
  <c r="J175" i="1"/>
  <c r="L175" i="1" s="1"/>
  <c r="Q132" i="1"/>
  <c r="R132" i="1"/>
  <c r="Q139" i="1"/>
  <c r="R139" i="1"/>
  <c r="Q187" i="1"/>
  <c r="R187" i="1"/>
  <c r="Q301" i="1"/>
  <c r="R301" i="1"/>
  <c r="Q322" i="1"/>
  <c r="R322" i="1"/>
  <c r="K322" i="1"/>
  <c r="J322" i="1"/>
  <c r="L322" i="1" s="1"/>
  <c r="K301" i="1"/>
  <c r="J301" i="1"/>
  <c r="L301" i="1" s="1"/>
  <c r="K187" i="1"/>
  <c r="J187" i="1"/>
  <c r="L187" i="1" s="1"/>
  <c r="K139" i="1"/>
  <c r="J139" i="1"/>
  <c r="L139" i="1" s="1"/>
  <c r="K132" i="1"/>
  <c r="J132" i="1"/>
  <c r="L132" i="1" s="1"/>
  <c r="Q72" i="1"/>
  <c r="R72" i="1"/>
  <c r="Q95" i="1"/>
  <c r="R95" i="1"/>
  <c r="Q123" i="1"/>
  <c r="R123" i="1"/>
  <c r="Q172" i="1"/>
  <c r="R172" i="1"/>
  <c r="Q228" i="1"/>
  <c r="R228" i="1"/>
  <c r="Q281" i="1"/>
  <c r="R281" i="1"/>
  <c r="Q311" i="1"/>
  <c r="R311" i="1"/>
  <c r="K311" i="1"/>
  <c r="J311" i="1"/>
  <c r="L311" i="1" s="1"/>
  <c r="K281" i="1"/>
  <c r="J281" i="1"/>
  <c r="L281" i="1" s="1"/>
  <c r="K228" i="1"/>
  <c r="J228" i="1"/>
  <c r="L228" i="1" s="1"/>
  <c r="K172" i="1"/>
  <c r="J172" i="1"/>
  <c r="L172" i="1" s="1"/>
  <c r="K123" i="1"/>
  <c r="J123" i="1"/>
  <c r="L123" i="1" s="1"/>
  <c r="K95" i="1"/>
  <c r="J95" i="1"/>
  <c r="L95" i="1" s="1"/>
  <c r="K72" i="1"/>
  <c r="J72" i="1"/>
  <c r="L72" i="1" s="1"/>
  <c r="Q39" i="1"/>
  <c r="R39" i="1"/>
  <c r="Q68" i="1"/>
  <c r="R68" i="1"/>
  <c r="Q116" i="1"/>
  <c r="R116" i="1"/>
  <c r="Q128" i="1"/>
  <c r="R128" i="1"/>
  <c r="Q140" i="1"/>
  <c r="R140" i="1"/>
  <c r="Q241" i="1"/>
  <c r="R241" i="1"/>
  <c r="Q261" i="1"/>
  <c r="R261" i="1"/>
  <c r="Q271" i="1"/>
  <c r="R271" i="1"/>
  <c r="Q278" i="1"/>
  <c r="R278" i="1"/>
  <c r="K278" i="1"/>
  <c r="J278" i="1"/>
  <c r="L278" i="1" s="1"/>
  <c r="K271" i="1"/>
  <c r="J271" i="1"/>
  <c r="L271" i="1" s="1"/>
  <c r="K261" i="1"/>
  <c r="J261" i="1"/>
  <c r="L261" i="1" s="1"/>
  <c r="K241" i="1"/>
  <c r="J241" i="1"/>
  <c r="L241" i="1" s="1"/>
  <c r="K140" i="1"/>
  <c r="J140" i="1"/>
  <c r="L140" i="1" s="1"/>
  <c r="K128" i="1"/>
  <c r="J128" i="1"/>
  <c r="L128" i="1" s="1"/>
  <c r="K116" i="1"/>
  <c r="J116" i="1"/>
  <c r="L116" i="1" s="1"/>
  <c r="K68" i="1"/>
  <c r="J68" i="1"/>
  <c r="L68" i="1" s="1"/>
  <c r="K39" i="1"/>
  <c r="J39" i="1"/>
  <c r="L39" i="1" s="1"/>
  <c r="Q20" i="1"/>
  <c r="R20" i="1"/>
  <c r="Q31" i="1"/>
  <c r="R31" i="1"/>
  <c r="Q50" i="1"/>
  <c r="R50" i="1"/>
  <c r="Q97" i="1"/>
  <c r="R97" i="1"/>
  <c r="Q195" i="1"/>
  <c r="R195" i="1"/>
  <c r="Q207" i="1"/>
  <c r="R207" i="1"/>
  <c r="Q224" i="1"/>
  <c r="R224" i="1"/>
  <c r="Q250" i="1"/>
  <c r="R250" i="1"/>
  <c r="Q254" i="1"/>
  <c r="R254" i="1"/>
  <c r="Q289" i="1"/>
  <c r="R289" i="1"/>
  <c r="Q296" i="1"/>
  <c r="R296" i="1"/>
  <c r="Q302" i="1"/>
  <c r="R302" i="1"/>
  <c r="Q321" i="1"/>
  <c r="R321" i="1"/>
  <c r="K321" i="1"/>
  <c r="J321" i="1"/>
  <c r="L321" i="1" s="1"/>
  <c r="K302" i="1"/>
  <c r="J302" i="1"/>
  <c r="L302" i="1" s="1"/>
  <c r="K296" i="1"/>
  <c r="J296" i="1"/>
  <c r="L296" i="1" s="1"/>
  <c r="K289" i="1"/>
  <c r="J289" i="1"/>
  <c r="L289" i="1" s="1"/>
  <c r="K254" i="1"/>
  <c r="J254" i="1"/>
  <c r="L254" i="1" s="1"/>
  <c r="K250" i="1"/>
  <c r="J250" i="1"/>
  <c r="L250" i="1" s="1"/>
  <c r="K224" i="1"/>
  <c r="J224" i="1"/>
  <c r="L224" i="1" s="1"/>
  <c r="K207" i="1"/>
  <c r="J207" i="1"/>
  <c r="L207" i="1" s="1"/>
  <c r="K195" i="1"/>
  <c r="J195" i="1"/>
  <c r="L195" i="1" s="1"/>
  <c r="K97" i="1"/>
  <c r="J97" i="1"/>
  <c r="L97" i="1" s="1"/>
  <c r="K50" i="1"/>
  <c r="J50" i="1"/>
  <c r="L50" i="1" s="1"/>
  <c r="K31" i="1"/>
  <c r="J31" i="1"/>
  <c r="L31" i="1" s="1"/>
  <c r="K20" i="1"/>
  <c r="J20" i="1"/>
  <c r="L20" i="1" s="1"/>
  <c r="Q62" i="1"/>
  <c r="R62" i="1"/>
  <c r="Q75" i="1"/>
  <c r="R75" i="1"/>
  <c r="Q121" i="1"/>
  <c r="R121" i="1"/>
  <c r="Q146" i="1"/>
  <c r="R146" i="1"/>
  <c r="Q157" i="1"/>
  <c r="R157" i="1"/>
  <c r="Q173" i="1"/>
  <c r="R173" i="1"/>
  <c r="Q174" i="1"/>
  <c r="R174" i="1"/>
  <c r="Q178" i="1"/>
  <c r="R178" i="1"/>
  <c r="Q209" i="1"/>
  <c r="R209" i="1"/>
  <c r="Q237" i="1"/>
  <c r="R237" i="1"/>
  <c r="Q264" i="1"/>
  <c r="R264" i="1"/>
  <c r="Q273" i="1"/>
  <c r="R273" i="1"/>
  <c r="Q291" i="1"/>
  <c r="R291" i="1"/>
  <c r="Q325" i="1"/>
  <c r="R325" i="1"/>
  <c r="R34" i="1"/>
  <c r="Q34" i="1"/>
  <c r="K325" i="1"/>
  <c r="J325" i="1"/>
  <c r="L325" i="1" s="1"/>
  <c r="K291" i="1"/>
  <c r="J291" i="1"/>
  <c r="L291" i="1" s="1"/>
  <c r="K273" i="1"/>
  <c r="J273" i="1"/>
  <c r="L273" i="1" s="1"/>
  <c r="K264" i="1"/>
  <c r="J264" i="1"/>
  <c r="L264" i="1" s="1"/>
  <c r="K237" i="1"/>
  <c r="J237" i="1"/>
  <c r="L237" i="1" s="1"/>
  <c r="K209" i="1"/>
  <c r="J209" i="1"/>
  <c r="L209" i="1" s="1"/>
  <c r="K178" i="1"/>
  <c r="J178" i="1"/>
  <c r="L178" i="1" s="1"/>
  <c r="K174" i="1"/>
  <c r="J174" i="1"/>
  <c r="L174" i="1" s="1"/>
  <c r="K173" i="1"/>
  <c r="J173" i="1"/>
  <c r="L173" i="1" s="1"/>
  <c r="K157" i="1"/>
  <c r="J157" i="1"/>
  <c r="L157" i="1" s="1"/>
  <c r="K146" i="1"/>
  <c r="J146" i="1"/>
  <c r="L146" i="1" s="1"/>
  <c r="K121" i="1"/>
  <c r="J121" i="1"/>
  <c r="L121" i="1" s="1"/>
  <c r="K75" i="1"/>
  <c r="J75" i="1"/>
  <c r="L75" i="1" s="1"/>
  <c r="K62" i="1"/>
  <c r="J62" i="1"/>
  <c r="L62" i="1" s="1"/>
  <c r="K34" i="1"/>
  <c r="J34" i="1"/>
  <c r="L34" i="1" s="1"/>
  <c r="Q25" i="1"/>
  <c r="R25" i="1"/>
  <c r="Q48" i="1"/>
  <c r="R48" i="1"/>
  <c r="Q64" i="1"/>
  <c r="R64" i="1"/>
  <c r="Q85" i="1"/>
  <c r="R85" i="1"/>
  <c r="Q103" i="1"/>
  <c r="R103" i="1"/>
  <c r="Q117" i="1"/>
  <c r="R117" i="1"/>
  <c r="Q129" i="1"/>
  <c r="R129" i="1"/>
  <c r="Q147" i="1"/>
  <c r="R147" i="1"/>
  <c r="Q191" i="1"/>
  <c r="R191" i="1"/>
  <c r="Q211" i="1"/>
  <c r="R211" i="1"/>
  <c r="Q234" i="1"/>
  <c r="R234" i="1"/>
  <c r="Q238" i="1"/>
  <c r="R238" i="1"/>
  <c r="Q248" i="1"/>
  <c r="R248" i="1"/>
  <c r="Q269" i="1"/>
  <c r="R269" i="1"/>
  <c r="Q277" i="1"/>
  <c r="R277" i="1"/>
  <c r="Q303" i="1"/>
  <c r="R303" i="1"/>
  <c r="Q309" i="1"/>
  <c r="R309" i="1"/>
  <c r="Q318" i="1"/>
  <c r="R318" i="1"/>
  <c r="Q331" i="1"/>
  <c r="R331" i="1"/>
  <c r="Q336" i="1"/>
  <c r="R336" i="1"/>
  <c r="K336" i="1"/>
  <c r="J336" i="1"/>
  <c r="L336" i="1" s="1"/>
  <c r="K331" i="1"/>
  <c r="J331" i="1"/>
  <c r="L331" i="1" s="1"/>
  <c r="K318" i="1"/>
  <c r="J318" i="1"/>
  <c r="L318" i="1" s="1"/>
  <c r="K309" i="1"/>
  <c r="J309" i="1"/>
  <c r="L309" i="1" s="1"/>
  <c r="K303" i="1"/>
  <c r="J303" i="1"/>
  <c r="L303" i="1" s="1"/>
  <c r="K277" i="1"/>
  <c r="J277" i="1"/>
  <c r="L277" i="1" s="1"/>
  <c r="K269" i="1"/>
  <c r="J269" i="1"/>
  <c r="L269" i="1" s="1"/>
  <c r="K248" i="1"/>
  <c r="J248" i="1"/>
  <c r="L248" i="1" s="1"/>
  <c r="K238" i="1"/>
  <c r="J238" i="1"/>
  <c r="L238" i="1" s="1"/>
  <c r="K234" i="1"/>
  <c r="J234" i="1"/>
  <c r="L234" i="1" s="1"/>
  <c r="K211" i="1"/>
  <c r="J211" i="1"/>
  <c r="L211" i="1" s="1"/>
  <c r="K191" i="1"/>
  <c r="J191" i="1"/>
  <c r="L191" i="1" s="1"/>
  <c r="K147" i="1"/>
  <c r="J147" i="1"/>
  <c r="L147" i="1" s="1"/>
  <c r="K129" i="1"/>
  <c r="J129" i="1"/>
  <c r="L129" i="1" s="1"/>
  <c r="K117" i="1"/>
  <c r="J117" i="1"/>
  <c r="L117" i="1" s="1"/>
  <c r="K103" i="1"/>
  <c r="J103" i="1"/>
  <c r="L103" i="1" s="1"/>
  <c r="K85" i="1"/>
  <c r="J85" i="1"/>
  <c r="L85" i="1" s="1"/>
  <c r="K64" i="1"/>
  <c r="J64" i="1"/>
  <c r="L64" i="1" s="1"/>
  <c r="K48" i="1"/>
  <c r="J48" i="1"/>
  <c r="L48" i="1" s="1"/>
  <c r="K25" i="1"/>
  <c r="J25" i="1"/>
  <c r="L25" i="1" s="1"/>
  <c r="Q12" i="1"/>
  <c r="R12" i="1"/>
  <c r="Q21" i="1"/>
  <c r="R21" i="1"/>
  <c r="Q30" i="1"/>
  <c r="R30" i="1"/>
  <c r="Q41" i="1"/>
  <c r="R41" i="1"/>
  <c r="Q55" i="1"/>
  <c r="R55" i="1"/>
  <c r="Q105" i="1"/>
  <c r="R105" i="1"/>
  <c r="Q149" i="1"/>
  <c r="R149" i="1"/>
  <c r="Q153" i="1"/>
  <c r="R153" i="1"/>
  <c r="Q171" i="1"/>
  <c r="R171" i="1"/>
  <c r="Q179" i="1"/>
  <c r="R179" i="1"/>
  <c r="Q186" i="1"/>
  <c r="R186" i="1"/>
  <c r="Q202" i="1"/>
  <c r="R202" i="1"/>
  <c r="Q212" i="1"/>
  <c r="R212" i="1"/>
  <c r="Q223" i="1"/>
  <c r="R223" i="1"/>
  <c r="Q243" i="1"/>
  <c r="R243" i="1"/>
  <c r="Q252" i="1"/>
  <c r="R252" i="1"/>
  <c r="Q267" i="1"/>
  <c r="R267" i="1"/>
  <c r="Q313" i="1"/>
  <c r="R313" i="1"/>
  <c r="Q320" i="1"/>
  <c r="R320" i="1"/>
  <c r="R6" i="1"/>
  <c r="Q6" i="1"/>
  <c r="K320" i="1"/>
  <c r="J320" i="1"/>
  <c r="L320" i="1" s="1"/>
  <c r="K313" i="1"/>
  <c r="J313" i="1"/>
  <c r="L313" i="1" s="1"/>
  <c r="K267" i="1"/>
  <c r="J267" i="1"/>
  <c r="L267" i="1" s="1"/>
  <c r="K252" i="1"/>
  <c r="J252" i="1"/>
  <c r="L252" i="1" s="1"/>
  <c r="K243" i="1"/>
  <c r="J243" i="1"/>
  <c r="L243" i="1" s="1"/>
  <c r="K223" i="1"/>
  <c r="J223" i="1"/>
  <c r="L223" i="1" s="1"/>
  <c r="K212" i="1"/>
  <c r="J212" i="1"/>
  <c r="L212" i="1" s="1"/>
  <c r="K202" i="1"/>
  <c r="J202" i="1"/>
  <c r="L202" i="1" s="1"/>
  <c r="K186" i="1"/>
  <c r="J186" i="1"/>
  <c r="L186" i="1" s="1"/>
  <c r="K179" i="1"/>
  <c r="J179" i="1"/>
  <c r="L179" i="1" s="1"/>
  <c r="K171" i="1"/>
  <c r="J171" i="1"/>
  <c r="L171" i="1" s="1"/>
  <c r="K153" i="1"/>
  <c r="J153" i="1"/>
  <c r="L153" i="1" s="1"/>
  <c r="K149" i="1"/>
  <c r="J149" i="1"/>
  <c r="L149" i="1" s="1"/>
  <c r="K105" i="1"/>
  <c r="J105" i="1"/>
  <c r="L105" i="1" s="1"/>
  <c r="K55" i="1"/>
  <c r="J55" i="1"/>
  <c r="L55" i="1" s="1"/>
  <c r="K41" i="1"/>
  <c r="J41" i="1"/>
  <c r="L41" i="1" s="1"/>
  <c r="K30" i="1"/>
  <c r="J30" i="1"/>
  <c r="L30" i="1" s="1"/>
  <c r="K21" i="1"/>
  <c r="J21" i="1"/>
  <c r="L21" i="1" s="1"/>
  <c r="K12" i="1"/>
  <c r="J12" i="1"/>
  <c r="L12" i="1" s="1"/>
  <c r="K6" i="1"/>
  <c r="J6" i="1"/>
  <c r="L6" i="1" s="1"/>
  <c r="K54" i="1"/>
  <c r="Q54" i="1"/>
  <c r="R54" i="1"/>
  <c r="K59" i="1"/>
  <c r="Q59" i="1"/>
  <c r="R59" i="1"/>
  <c r="K69" i="1"/>
  <c r="Q69" i="1"/>
  <c r="R69" i="1"/>
  <c r="K90" i="1"/>
  <c r="Q90" i="1"/>
  <c r="R90" i="1"/>
  <c r="K93" i="1"/>
  <c r="Q93" i="1"/>
  <c r="R93" i="1"/>
  <c r="K106" i="1"/>
  <c r="Q106" i="1"/>
  <c r="R106" i="1"/>
  <c r="K124" i="1"/>
  <c r="Q124" i="1"/>
  <c r="R124" i="1"/>
  <c r="K136" i="1"/>
  <c r="Q136" i="1"/>
  <c r="R136" i="1"/>
  <c r="K143" i="1"/>
  <c r="Q143" i="1"/>
  <c r="R143" i="1"/>
  <c r="K154" i="1"/>
  <c r="Q154" i="1"/>
  <c r="R154" i="1"/>
  <c r="K158" i="1"/>
  <c r="Q158" i="1"/>
  <c r="R158" i="1"/>
  <c r="K182" i="1"/>
  <c r="Q182" i="1"/>
  <c r="R182" i="1"/>
  <c r="K193" i="1"/>
  <c r="Q193" i="1"/>
  <c r="R193" i="1"/>
  <c r="K206" i="1"/>
  <c r="Q206" i="1"/>
  <c r="R206" i="1"/>
  <c r="K208" i="1"/>
  <c r="Q208" i="1"/>
  <c r="R208" i="1"/>
  <c r="K217" i="1"/>
  <c r="Q217" i="1"/>
  <c r="R217" i="1"/>
  <c r="K235" i="1"/>
  <c r="Q235" i="1"/>
  <c r="R235" i="1"/>
  <c r="K242" i="1"/>
  <c r="Q242" i="1"/>
  <c r="R242" i="1"/>
  <c r="K257" i="1"/>
  <c r="Q257" i="1"/>
  <c r="R257" i="1"/>
  <c r="K285" i="1"/>
  <c r="Q285" i="1"/>
  <c r="R285" i="1"/>
  <c r="K290" i="1"/>
  <c r="Q290" i="1"/>
  <c r="R290" i="1"/>
  <c r="K299" i="1"/>
  <c r="Q299" i="1"/>
  <c r="R299" i="1"/>
  <c r="K310" i="1"/>
  <c r="Q310" i="1"/>
  <c r="R310" i="1"/>
  <c r="K328" i="1"/>
  <c r="Q328" i="1"/>
  <c r="R328" i="1"/>
  <c r="K338" i="1"/>
  <c r="Q338" i="1"/>
  <c r="R338" i="1"/>
  <c r="K340" i="1"/>
  <c r="Q340" i="1"/>
  <c r="R340" i="1"/>
  <c r="J340" i="1"/>
  <c r="L340" i="1" s="1"/>
  <c r="J338" i="1"/>
  <c r="L338" i="1" s="1"/>
  <c r="J328" i="1"/>
  <c r="L328" i="1" s="1"/>
  <c r="J310" i="1"/>
  <c r="L310" i="1" s="1"/>
  <c r="J299" i="1"/>
  <c r="L299" i="1" s="1"/>
  <c r="J290" i="1"/>
  <c r="L290" i="1" s="1"/>
  <c r="J285" i="1"/>
  <c r="L285" i="1" s="1"/>
  <c r="J257" i="1"/>
  <c r="L257" i="1" s="1"/>
  <c r="J242" i="1"/>
  <c r="L242" i="1" s="1"/>
  <c r="J235" i="1"/>
  <c r="L235" i="1" s="1"/>
  <c r="J217" i="1"/>
  <c r="L217" i="1" s="1"/>
  <c r="J208" i="1"/>
  <c r="L208" i="1" s="1"/>
  <c r="J206" i="1"/>
  <c r="L206" i="1" s="1"/>
  <c r="J193" i="1"/>
  <c r="L193" i="1" s="1"/>
  <c r="J182" i="1"/>
  <c r="L182" i="1" s="1"/>
  <c r="J158" i="1"/>
  <c r="L158" i="1" s="1"/>
  <c r="J154" i="1"/>
  <c r="L154" i="1" s="1"/>
  <c r="J143" i="1"/>
  <c r="L143" i="1" s="1"/>
  <c r="J136" i="1"/>
  <c r="L136" i="1" s="1"/>
  <c r="J124" i="1"/>
  <c r="L124" i="1" s="1"/>
  <c r="J106" i="1"/>
  <c r="L106" i="1" s="1"/>
  <c r="J93" i="1"/>
  <c r="L93" i="1" s="1"/>
  <c r="J90" i="1"/>
  <c r="L90" i="1" s="1"/>
  <c r="J69" i="1"/>
  <c r="L69" i="1" s="1"/>
  <c r="J59" i="1"/>
  <c r="L59" i="1" s="1"/>
  <c r="J54" i="1"/>
  <c r="L54" i="1" s="1"/>
  <c r="Q56" i="1"/>
  <c r="R56" i="1"/>
  <c r="Q84" i="1"/>
  <c r="R84" i="1"/>
  <c r="Q91" i="1"/>
  <c r="R91" i="1"/>
  <c r="Q130" i="1"/>
  <c r="R130" i="1"/>
  <c r="Q144" i="1"/>
  <c r="R144" i="1"/>
  <c r="Q150" i="1"/>
  <c r="R150" i="1"/>
  <c r="Q163" i="1"/>
  <c r="R163" i="1"/>
  <c r="Q169" i="1"/>
  <c r="R169" i="1"/>
  <c r="Q177" i="1"/>
  <c r="R177" i="1"/>
  <c r="Q185" i="1"/>
  <c r="R185" i="1"/>
  <c r="Q197" i="1"/>
  <c r="R197" i="1"/>
  <c r="Q205" i="1"/>
  <c r="R205" i="1"/>
  <c r="Q213" i="1"/>
  <c r="R213" i="1"/>
  <c r="Q216" i="1"/>
  <c r="R216" i="1"/>
  <c r="Q220" i="1"/>
  <c r="R220" i="1"/>
  <c r="Q233" i="1"/>
  <c r="R233" i="1"/>
  <c r="Q247" i="1"/>
  <c r="R247" i="1"/>
  <c r="Q256" i="1"/>
  <c r="R256" i="1"/>
  <c r="Q266" i="1"/>
  <c r="R266" i="1"/>
  <c r="Q275" i="1"/>
  <c r="R275" i="1"/>
  <c r="Q280" i="1"/>
  <c r="R280" i="1"/>
  <c r="Q287" i="1"/>
  <c r="R287" i="1"/>
  <c r="Q305" i="1"/>
  <c r="R305" i="1"/>
  <c r="Q312" i="1"/>
  <c r="R312" i="1"/>
  <c r="Q317" i="1"/>
  <c r="R317" i="1"/>
  <c r="Q332" i="1"/>
  <c r="R332" i="1"/>
  <c r="Q335" i="1"/>
  <c r="R335" i="1"/>
  <c r="R16" i="1"/>
  <c r="Q16" i="1"/>
  <c r="R3" i="1"/>
  <c r="Q3" i="1"/>
  <c r="K335" i="1"/>
  <c r="J335" i="1"/>
  <c r="L335" i="1" s="1"/>
  <c r="K332" i="1"/>
  <c r="J332" i="1"/>
  <c r="L332" i="1" s="1"/>
  <c r="K317" i="1"/>
  <c r="J317" i="1"/>
  <c r="L317" i="1" s="1"/>
  <c r="K312" i="1"/>
  <c r="J312" i="1"/>
  <c r="L312" i="1" s="1"/>
  <c r="K305" i="1"/>
  <c r="J305" i="1"/>
  <c r="L305" i="1" s="1"/>
  <c r="K287" i="1"/>
  <c r="J287" i="1"/>
  <c r="L287" i="1" s="1"/>
  <c r="K280" i="1"/>
  <c r="J280" i="1"/>
  <c r="L280" i="1" s="1"/>
  <c r="K275" i="1"/>
  <c r="J275" i="1"/>
  <c r="L275" i="1" s="1"/>
  <c r="K266" i="1"/>
  <c r="J266" i="1"/>
  <c r="L266" i="1" s="1"/>
  <c r="K256" i="1"/>
  <c r="J256" i="1"/>
  <c r="L256" i="1" s="1"/>
  <c r="K247" i="1"/>
  <c r="J247" i="1"/>
  <c r="L247" i="1" s="1"/>
  <c r="K233" i="1"/>
  <c r="J233" i="1"/>
  <c r="L233" i="1" s="1"/>
  <c r="K220" i="1"/>
  <c r="J220" i="1"/>
  <c r="L220" i="1" s="1"/>
  <c r="K216" i="1"/>
  <c r="J216" i="1"/>
  <c r="L216" i="1" s="1"/>
  <c r="K213" i="1"/>
  <c r="J213" i="1"/>
  <c r="L213" i="1" s="1"/>
  <c r="K205" i="1"/>
  <c r="J205" i="1"/>
  <c r="L205" i="1" s="1"/>
  <c r="K197" i="1"/>
  <c r="J197" i="1"/>
  <c r="L197" i="1" s="1"/>
  <c r="K185" i="1"/>
  <c r="J185" i="1"/>
  <c r="L185" i="1" s="1"/>
  <c r="K177" i="1"/>
  <c r="J177" i="1"/>
  <c r="L177" i="1" s="1"/>
  <c r="K169" i="1"/>
  <c r="J169" i="1"/>
  <c r="L169" i="1" s="1"/>
  <c r="K163" i="1"/>
  <c r="J163" i="1"/>
  <c r="L163" i="1" s="1"/>
  <c r="K150" i="1"/>
  <c r="J150" i="1"/>
  <c r="L150" i="1" s="1"/>
  <c r="K144" i="1"/>
  <c r="J144" i="1"/>
  <c r="L144" i="1" s="1"/>
  <c r="K130" i="1"/>
  <c r="J130" i="1"/>
  <c r="L130" i="1" s="1"/>
  <c r="K91" i="1"/>
  <c r="J91" i="1"/>
  <c r="L91" i="1" s="1"/>
  <c r="K84" i="1"/>
  <c r="J84" i="1"/>
  <c r="L84" i="1" s="1"/>
  <c r="K56" i="1"/>
  <c r="J56" i="1"/>
  <c r="L56" i="1" s="1"/>
  <c r="K16" i="1"/>
  <c r="J16" i="1"/>
  <c r="L16" i="1" s="1"/>
  <c r="K3" i="1"/>
  <c r="J3" i="1"/>
  <c r="L3" i="1" s="1"/>
  <c r="W212" i="1" l="1"/>
  <c r="W219" i="1"/>
  <c r="W5" i="1"/>
  <c r="W336" i="1"/>
  <c r="W236" i="1"/>
  <c r="W338" i="1"/>
  <c r="W67" i="1"/>
  <c r="W339" i="1"/>
  <c r="W9" i="1"/>
  <c r="W271" i="1"/>
  <c r="W62" i="1"/>
  <c r="W48" i="1"/>
  <c r="W150" i="1"/>
  <c r="W296" i="1"/>
  <c r="W82" i="1"/>
  <c r="W326" i="1"/>
  <c r="W63" i="1"/>
  <c r="W312" i="1"/>
  <c r="W299" i="1"/>
  <c r="W47" i="1"/>
  <c r="W223" i="1"/>
  <c r="W57" i="1"/>
  <c r="W26" i="1"/>
  <c r="W291" i="1"/>
  <c r="W262" i="1"/>
  <c r="W58" i="1"/>
  <c r="W23" i="1"/>
  <c r="W243" i="1"/>
  <c r="M328" i="1"/>
  <c r="M217" i="1"/>
  <c r="M182" i="1"/>
  <c r="M136" i="1"/>
  <c r="M90" i="1"/>
  <c r="M285" i="1"/>
  <c r="W198" i="1"/>
  <c r="W314" i="1"/>
  <c r="W29" i="1"/>
  <c r="W4" i="1"/>
  <c r="W279" i="1"/>
  <c r="W120" i="1"/>
  <c r="W272" i="1"/>
  <c r="W238" i="1"/>
  <c r="W113" i="1"/>
  <c r="W265" i="1"/>
  <c r="W124" i="1"/>
  <c r="W139" i="1"/>
  <c r="W156" i="1"/>
  <c r="W188" i="1"/>
  <c r="W72" i="1"/>
  <c r="W185" i="1"/>
  <c r="W126" i="1"/>
  <c r="W210" i="1"/>
  <c r="W342" i="1"/>
  <c r="W162" i="1"/>
  <c r="W300" i="1"/>
  <c r="W313" i="1"/>
  <c r="W121" i="1"/>
  <c r="W226" i="1"/>
  <c r="W137" i="1"/>
  <c r="W74" i="1"/>
  <c r="W255" i="1"/>
  <c r="W311" i="1"/>
  <c r="W213" i="1"/>
  <c r="W38" i="1"/>
  <c r="W304" i="1"/>
  <c r="W309" i="1"/>
  <c r="W20" i="1"/>
  <c r="W66" i="1"/>
  <c r="W318" i="1"/>
  <c r="W294" i="1"/>
  <c r="W85" i="1"/>
  <c r="W273" i="1"/>
  <c r="W155" i="1"/>
  <c r="W35" i="1"/>
  <c r="W205" i="1"/>
  <c r="W157" i="1"/>
  <c r="W145" i="1"/>
  <c r="W95" i="1"/>
  <c r="W7" i="1"/>
  <c r="W308" i="1"/>
  <c r="W247" i="1"/>
  <c r="W169" i="1"/>
  <c r="W266" i="1"/>
  <c r="W122" i="1"/>
  <c r="W32" i="1"/>
  <c r="W159" i="1"/>
  <c r="W75" i="1"/>
  <c r="W143" i="1"/>
  <c r="W331" i="1"/>
  <c r="W28" i="1"/>
  <c r="W175" i="1"/>
  <c r="W138" i="1"/>
  <c r="W283" i="1"/>
  <c r="W177" i="1"/>
  <c r="W252" i="1"/>
  <c r="W92" i="1"/>
  <c r="W68" i="1"/>
  <c r="W321" i="1"/>
  <c r="W129" i="1"/>
  <c r="W76" i="1"/>
  <c r="W218" i="1"/>
  <c r="W256" i="1"/>
  <c r="W267" i="1"/>
  <c r="W235" i="1"/>
  <c r="W17" i="1"/>
  <c r="W327" i="1"/>
  <c r="W264" i="1"/>
  <c r="W22" i="1"/>
  <c r="W104" i="1"/>
  <c r="W46" i="1"/>
  <c r="W148" i="1"/>
  <c r="W127" i="1"/>
  <c r="W140" i="1"/>
  <c r="W83" i="1"/>
  <c r="W107" i="1"/>
  <c r="W98" i="1"/>
  <c r="W30" i="1"/>
  <c r="W147" i="1"/>
  <c r="W112" i="1"/>
  <c r="W90" i="1"/>
  <c r="W183" i="1"/>
  <c r="W158" i="1"/>
  <c r="W193" i="1"/>
  <c r="W136" i="1"/>
  <c r="W102" i="1"/>
  <c r="W229" i="1"/>
  <c r="W295" i="1"/>
  <c r="W329" i="1"/>
  <c r="W111" i="1"/>
  <c r="W324" i="1"/>
  <c r="W171" i="1"/>
  <c r="W222" i="1"/>
  <c r="W52" i="1"/>
  <c r="W186" i="1"/>
  <c r="W286" i="1"/>
  <c r="W44" i="1"/>
  <c r="W319" i="1"/>
  <c r="W135" i="1"/>
  <c r="W260" i="1"/>
  <c r="W80" i="1"/>
  <c r="W206" i="1"/>
  <c r="W189" i="1"/>
  <c r="W233" i="1"/>
  <c r="W231" i="1"/>
  <c r="W196" i="1"/>
  <c r="W43" i="1"/>
  <c r="W123" i="1"/>
  <c r="W161" i="1"/>
  <c r="W65" i="1"/>
  <c r="W270" i="1"/>
  <c r="W288" i="1"/>
  <c r="W165" i="1"/>
  <c r="W240" i="1"/>
  <c r="W130" i="1"/>
  <c r="W251" i="1"/>
  <c r="W214" i="1"/>
  <c r="W244" i="1"/>
  <c r="W105" i="1"/>
  <c r="W71" i="1"/>
  <c r="W163" i="1"/>
  <c r="W234" i="1"/>
  <c r="W248" i="1"/>
  <c r="W284" i="1"/>
  <c r="W55" i="1"/>
  <c r="W170" i="1"/>
  <c r="W132" i="1"/>
  <c r="W228" i="1"/>
  <c r="W33" i="1"/>
  <c r="W19" i="1"/>
  <c r="W51" i="1"/>
  <c r="W237" i="1"/>
  <c r="W116" i="1"/>
  <c r="W225" i="1"/>
  <c r="W305" i="1"/>
  <c r="W31" i="1"/>
  <c r="W277" i="1"/>
  <c r="W144" i="1"/>
  <c r="W179" i="1"/>
  <c r="W224" i="1"/>
  <c r="W174" i="1"/>
  <c r="W106" i="1"/>
  <c r="W117" i="1"/>
  <c r="W78" i="1"/>
  <c r="W96" i="1"/>
  <c r="W232" i="1"/>
  <c r="W207" i="1"/>
  <c r="W108" i="1"/>
  <c r="W190" i="1"/>
  <c r="W181" i="1"/>
  <c r="W86" i="1"/>
  <c r="W259" i="1"/>
  <c r="W195" i="1"/>
  <c r="W217" i="1"/>
  <c r="W208" i="1"/>
  <c r="W242" i="1"/>
  <c r="W182" i="1"/>
  <c r="W118" i="1"/>
  <c r="W176" i="1"/>
  <c r="W151" i="1"/>
  <c r="W333" i="1"/>
  <c r="W142" i="1"/>
  <c r="W253" i="1"/>
  <c r="W146" i="1"/>
  <c r="W13" i="1"/>
  <c r="W37" i="1"/>
  <c r="W337" i="1"/>
  <c r="W281" i="1"/>
  <c r="W172" i="1"/>
  <c r="W249" i="1"/>
  <c r="W192" i="1"/>
  <c r="W87" i="1"/>
  <c r="W268" i="1"/>
  <c r="W101" i="1"/>
  <c r="W10" i="1"/>
  <c r="W16" i="1"/>
  <c r="W197" i="1"/>
  <c r="W42" i="1"/>
  <c r="W203" i="1"/>
  <c r="W60" i="1"/>
  <c r="W202" i="1"/>
  <c r="W94" i="1"/>
  <c r="W41" i="1"/>
  <c r="W153" i="1"/>
  <c r="W64" i="1"/>
  <c r="W340" i="1"/>
  <c r="W269" i="1"/>
  <c r="W3" i="1"/>
  <c r="W328" i="1"/>
  <c r="W110" i="1"/>
  <c r="W330" i="1"/>
  <c r="W263" i="1"/>
  <c r="W341" i="1"/>
  <c r="W15" i="1"/>
  <c r="W191" i="1"/>
  <c r="W289" i="1"/>
  <c r="W39" i="1"/>
  <c r="W274" i="1"/>
  <c r="W173" i="1"/>
  <c r="W250" i="1"/>
  <c r="W73" i="1"/>
  <c r="W50" i="1"/>
  <c r="W239" i="1"/>
  <c r="W49" i="1"/>
  <c r="W160" i="1"/>
  <c r="W297" i="1"/>
  <c r="W14" i="1"/>
  <c r="W245" i="1"/>
  <c r="W334" i="1"/>
  <c r="W301" i="1"/>
  <c r="W298" i="1"/>
  <c r="W194" i="1"/>
  <c r="W70" i="1"/>
  <c r="W303" i="1"/>
  <c r="W24" i="1"/>
  <c r="W167" i="1"/>
  <c r="W199" i="1"/>
  <c r="W128" i="1"/>
  <c r="W178" i="1"/>
  <c r="W201" i="1"/>
  <c r="W89" i="1"/>
  <c r="W8" i="1"/>
  <c r="W166" i="1"/>
  <c r="W125" i="1"/>
  <c r="W317" i="1"/>
  <c r="W335" i="1"/>
  <c r="W27" i="1"/>
  <c r="W45" i="1"/>
  <c r="W180" i="1"/>
  <c r="W119" i="1"/>
  <c r="W323" i="1"/>
  <c r="W149" i="1"/>
  <c r="W320" i="1"/>
  <c r="W280" i="1"/>
  <c r="W230" i="1"/>
  <c r="W103" i="1"/>
  <c r="W69" i="1"/>
  <c r="W211" i="1"/>
  <c r="W100" i="1"/>
  <c r="W278" i="1"/>
  <c r="W257" i="1"/>
  <c r="W54" i="1"/>
  <c r="W209" i="1"/>
  <c r="W91" i="1"/>
  <c r="W88" i="1"/>
  <c r="W306" i="1"/>
  <c r="W168" i="1"/>
  <c r="W215" i="1"/>
  <c r="W315" i="1"/>
  <c r="W307" i="1"/>
  <c r="W21" i="1"/>
  <c r="W325" i="1"/>
  <c r="W59" i="1"/>
  <c r="W241" i="1"/>
  <c r="W152" i="1"/>
  <c r="W302" i="1"/>
  <c r="W322" i="1"/>
  <c r="W97" i="1"/>
  <c r="W18" i="1"/>
  <c r="W285" i="1"/>
  <c r="M139" i="1"/>
  <c r="M175" i="1"/>
  <c r="M299" i="1"/>
  <c r="M242" i="1"/>
  <c r="M206" i="1"/>
  <c r="M154" i="1"/>
  <c r="M106" i="1"/>
  <c r="M59" i="1"/>
  <c r="M340" i="1"/>
  <c r="M3" i="1"/>
  <c r="M56" i="1"/>
  <c r="M91" i="1"/>
  <c r="M144" i="1"/>
  <c r="M163" i="1"/>
  <c r="M177" i="1"/>
  <c r="M197" i="1"/>
  <c r="M213" i="1"/>
  <c r="M220" i="1"/>
  <c r="M247" i="1"/>
  <c r="M266" i="1"/>
  <c r="M280" i="1"/>
  <c r="M305" i="1"/>
  <c r="M317" i="1"/>
  <c r="M335" i="1"/>
  <c r="M12" i="1"/>
  <c r="M30" i="1"/>
  <c r="M55" i="1"/>
  <c r="M149" i="1"/>
  <c r="M171" i="1"/>
  <c r="M186" i="1"/>
  <c r="M212" i="1"/>
  <c r="M243" i="1"/>
  <c r="M267" i="1"/>
  <c r="M320" i="1"/>
  <c r="M48" i="1"/>
  <c r="M85" i="1"/>
  <c r="M117" i="1"/>
  <c r="M147" i="1"/>
  <c r="M211" i="1"/>
  <c r="M238" i="1"/>
  <c r="M269" i="1"/>
  <c r="M303" i="1"/>
  <c r="M318" i="1"/>
  <c r="M336" i="1"/>
  <c r="M62" i="1"/>
  <c r="M20" i="1"/>
  <c r="M50" i="1"/>
  <c r="M195" i="1"/>
  <c r="M224" i="1"/>
  <c r="M254" i="1"/>
  <c r="M296" i="1"/>
  <c r="M321" i="1"/>
  <c r="M68" i="1"/>
  <c r="M128" i="1"/>
  <c r="M241" i="1"/>
  <c r="M271" i="1"/>
  <c r="M72" i="1"/>
  <c r="M123" i="1"/>
  <c r="M228" i="1"/>
  <c r="M311" i="1"/>
  <c r="M301" i="1"/>
  <c r="M16" i="1"/>
  <c r="M84" i="1"/>
  <c r="M130" i="1"/>
  <c r="M150" i="1"/>
  <c r="M169" i="1"/>
  <c r="M185" i="1"/>
  <c r="M205" i="1"/>
  <c r="M216" i="1"/>
  <c r="M233" i="1"/>
  <c r="M256" i="1"/>
  <c r="M275" i="1"/>
  <c r="M287" i="1"/>
  <c r="M312" i="1"/>
  <c r="M332" i="1"/>
  <c r="M310" i="1"/>
  <c r="M257" i="1"/>
  <c r="M208" i="1"/>
  <c r="M158" i="1"/>
  <c r="M124" i="1"/>
  <c r="M69" i="1"/>
  <c r="M6" i="1"/>
  <c r="M21" i="1"/>
  <c r="M41" i="1"/>
  <c r="M105" i="1"/>
  <c r="M153" i="1"/>
  <c r="M179" i="1"/>
  <c r="M202" i="1"/>
  <c r="M223" i="1"/>
  <c r="M252" i="1"/>
  <c r="M313" i="1"/>
  <c r="M25" i="1"/>
  <c r="M64" i="1"/>
  <c r="M103" i="1"/>
  <c r="M129" i="1"/>
  <c r="M191" i="1"/>
  <c r="M234" i="1"/>
  <c r="M248" i="1"/>
  <c r="M277" i="1"/>
  <c r="M309" i="1"/>
  <c r="M331" i="1"/>
  <c r="M34" i="1"/>
  <c r="M75" i="1"/>
  <c r="M146" i="1"/>
  <c r="M173" i="1"/>
  <c r="M178" i="1"/>
  <c r="M237" i="1"/>
  <c r="M273" i="1"/>
  <c r="M325" i="1"/>
  <c r="M31" i="1"/>
  <c r="M97" i="1"/>
  <c r="M207" i="1"/>
  <c r="M250" i="1"/>
  <c r="M289" i="1"/>
  <c r="M302" i="1"/>
  <c r="M39" i="1"/>
  <c r="M116" i="1"/>
  <c r="M140" i="1"/>
  <c r="M261" i="1"/>
  <c r="M278" i="1"/>
  <c r="M95" i="1"/>
  <c r="M172" i="1"/>
  <c r="M281" i="1"/>
  <c r="M132" i="1"/>
  <c r="M187" i="1"/>
  <c r="M322" i="1"/>
  <c r="M338" i="1"/>
  <c r="M290" i="1"/>
  <c r="M235" i="1"/>
  <c r="M193" i="1"/>
  <c r="M143" i="1"/>
  <c r="M93" i="1"/>
  <c r="M54" i="1"/>
  <c r="M121" i="1"/>
  <c r="M157" i="1"/>
  <c r="M174" i="1"/>
  <c r="M209" i="1"/>
  <c r="M264" i="1"/>
  <c r="M291" i="1"/>
  <c r="P280" i="1"/>
  <c r="P275" i="1"/>
  <c r="P266" i="1"/>
  <c r="P185" i="1"/>
  <c r="P177" i="1"/>
  <c r="P169" i="1"/>
  <c r="P163" i="1"/>
  <c r="P153" i="1"/>
  <c r="P311" i="1"/>
  <c r="P336" i="1"/>
  <c r="P281" i="1"/>
  <c r="P273" i="1"/>
  <c r="P237" i="1"/>
  <c r="P209" i="1"/>
  <c r="P172" i="1"/>
  <c r="P322" i="1"/>
  <c r="P301" i="1"/>
  <c r="P299" i="1"/>
  <c r="P217" i="1"/>
  <c r="P154" i="1"/>
  <c r="P124" i="1"/>
  <c r="P93" i="1"/>
  <c r="P54" i="1"/>
  <c r="P278" i="1"/>
  <c r="P271" i="1"/>
  <c r="P140" i="1"/>
  <c r="P116" i="1"/>
  <c r="P296" i="1"/>
  <c r="P186" i="1"/>
  <c r="P179" i="1"/>
  <c r="P269" i="1"/>
  <c r="P238" i="1"/>
  <c r="P234" i="1"/>
  <c r="P211" i="1"/>
  <c r="P129" i="1"/>
  <c r="P117" i="1"/>
  <c r="P64" i="1"/>
  <c r="P150" i="1"/>
  <c r="P56" i="1"/>
  <c r="P12" i="1"/>
  <c r="P16" i="1"/>
  <c r="P320" i="1"/>
  <c r="P243" i="1"/>
  <c r="P318" i="1"/>
  <c r="P178" i="1"/>
  <c r="P146" i="1"/>
  <c r="P62" i="1"/>
  <c r="P332" i="1"/>
  <c r="P256" i="1"/>
  <c r="P216" i="1"/>
  <c r="P144" i="1"/>
  <c r="P130" i="1"/>
  <c r="P55" i="1"/>
  <c r="P97" i="1"/>
  <c r="P132" i="1"/>
  <c r="P335" i="1"/>
  <c r="P287" i="1"/>
  <c r="P310" i="1"/>
  <c r="P235" i="1"/>
  <c r="P193" i="1"/>
  <c r="P158" i="1"/>
  <c r="P59" i="1"/>
  <c r="P6" i="1"/>
  <c r="P41" i="1"/>
  <c r="P21" i="1"/>
  <c r="P303" i="1"/>
  <c r="P277" i="1"/>
  <c r="P254" i="1"/>
  <c r="P195" i="1"/>
  <c r="P39" i="1"/>
  <c r="P123" i="1"/>
  <c r="P247" i="1"/>
  <c r="P233" i="1"/>
  <c r="P220" i="1"/>
  <c r="P213" i="1"/>
  <c r="P205" i="1"/>
  <c r="P197" i="1"/>
  <c r="P340" i="1"/>
  <c r="P328" i="1"/>
  <c r="P290" i="1"/>
  <c r="P257" i="1"/>
  <c r="P208" i="1"/>
  <c r="P182" i="1"/>
  <c r="P143" i="1"/>
  <c r="P90" i="1"/>
  <c r="P223" i="1"/>
  <c r="P212" i="1"/>
  <c r="P248" i="1"/>
  <c r="P191" i="1"/>
  <c r="P173" i="1"/>
  <c r="P68" i="1"/>
  <c r="P228" i="1"/>
  <c r="P202" i="1"/>
  <c r="P3" i="1"/>
  <c r="P317" i="1"/>
  <c r="P312" i="1"/>
  <c r="P305" i="1"/>
  <c r="P267" i="1"/>
  <c r="P252" i="1"/>
  <c r="P105" i="1"/>
  <c r="P91" i="1"/>
  <c r="P84" i="1"/>
  <c r="P338" i="1"/>
  <c r="P285" i="1"/>
  <c r="P242" i="1"/>
  <c r="P206" i="1"/>
  <c r="P136" i="1"/>
  <c r="P106" i="1"/>
  <c r="P69" i="1"/>
  <c r="P313" i="1"/>
  <c r="P171" i="1"/>
  <c r="P149" i="1"/>
  <c r="P30" i="1"/>
  <c r="P331" i="1"/>
  <c r="P309" i="1"/>
  <c r="P147" i="1"/>
  <c r="P48" i="1"/>
  <c r="P325" i="1"/>
  <c r="P174" i="1"/>
  <c r="P75" i="1"/>
  <c r="P321" i="1"/>
  <c r="P302" i="1"/>
  <c r="P289" i="1"/>
  <c r="P261" i="1"/>
  <c r="P128" i="1"/>
  <c r="P95" i="1"/>
  <c r="P139" i="1"/>
  <c r="P175" i="1"/>
  <c r="P103" i="1"/>
  <c r="P85" i="1"/>
  <c r="P34" i="1"/>
  <c r="P291" i="1"/>
  <c r="P264" i="1"/>
  <c r="P157" i="1"/>
  <c r="P121" i="1"/>
  <c r="P250" i="1"/>
  <c r="P224" i="1"/>
  <c r="P207" i="1"/>
  <c r="P50" i="1"/>
  <c r="P20" i="1"/>
  <c r="P241" i="1"/>
  <c r="P72" i="1"/>
  <c r="P187" i="1"/>
  <c r="P31" i="1"/>
  <c r="P25" i="1"/>
  <c r="R270" i="1" l="1"/>
  <c r="Q270" i="1"/>
  <c r="K270" i="1"/>
  <c r="J270" i="1"/>
  <c r="L270" i="1" s="1"/>
  <c r="R227" i="1"/>
  <c r="Q227" i="1"/>
  <c r="K227" i="1"/>
  <c r="J227" i="1"/>
  <c r="L227" i="1" s="1"/>
  <c r="R161" i="1"/>
  <c r="Q161" i="1"/>
  <c r="K161" i="1"/>
  <c r="J161" i="1"/>
  <c r="L161" i="1" s="1"/>
  <c r="R126" i="1"/>
  <c r="Q126" i="1"/>
  <c r="K126" i="1"/>
  <c r="J126" i="1"/>
  <c r="L126" i="1" s="1"/>
  <c r="R110" i="1"/>
  <c r="Q110" i="1"/>
  <c r="K110" i="1"/>
  <c r="J110" i="1"/>
  <c r="L110" i="1" s="1"/>
  <c r="R104" i="1"/>
  <c r="Q104" i="1"/>
  <c r="K104" i="1"/>
  <c r="J104" i="1"/>
  <c r="L104" i="1" s="1"/>
  <c r="R92" i="1"/>
  <c r="Q92" i="1"/>
  <c r="K92" i="1"/>
  <c r="J92" i="1"/>
  <c r="L92" i="1" s="1"/>
  <c r="R63" i="1"/>
  <c r="Q63" i="1"/>
  <c r="K63" i="1"/>
  <c r="J63" i="1"/>
  <c r="L63" i="1" s="1"/>
  <c r="R46" i="1"/>
  <c r="Q46" i="1"/>
  <c r="K46" i="1"/>
  <c r="J46" i="1"/>
  <c r="L46" i="1" s="1"/>
  <c r="R38" i="1"/>
  <c r="Q38" i="1"/>
  <c r="K38" i="1"/>
  <c r="J38" i="1"/>
  <c r="L38" i="1" s="1"/>
  <c r="R28" i="1"/>
  <c r="Q28" i="1"/>
  <c r="K28" i="1"/>
  <c r="J28" i="1"/>
  <c r="L28" i="1" s="1"/>
  <c r="R27" i="1"/>
  <c r="Q27" i="1"/>
  <c r="K27" i="1"/>
  <c r="J27" i="1"/>
  <c r="L27" i="1" s="1"/>
  <c r="R8" i="1"/>
  <c r="Q8" i="1"/>
  <c r="K8" i="1"/>
  <c r="J8" i="1"/>
  <c r="L8" i="1" s="1"/>
  <c r="R342" i="1"/>
  <c r="Q342" i="1"/>
  <c r="K342" i="1"/>
  <c r="J342" i="1"/>
  <c r="L342" i="1" s="1"/>
  <c r="R329" i="1"/>
  <c r="Q329" i="1"/>
  <c r="K329" i="1"/>
  <c r="J329" i="1"/>
  <c r="L329" i="1" s="1"/>
  <c r="R279" i="1"/>
  <c r="Q279" i="1"/>
  <c r="K279" i="1"/>
  <c r="J279" i="1"/>
  <c r="L279" i="1" s="1"/>
  <c r="R253" i="1"/>
  <c r="Q253" i="1"/>
  <c r="K253" i="1"/>
  <c r="J253" i="1"/>
  <c r="L253" i="1" s="1"/>
  <c r="R246" i="1"/>
  <c r="Q246" i="1"/>
  <c r="K246" i="1"/>
  <c r="J246" i="1"/>
  <c r="L246" i="1" s="1"/>
  <c r="R225" i="1"/>
  <c r="Q225" i="1"/>
  <c r="K225" i="1"/>
  <c r="J225" i="1"/>
  <c r="L225" i="1" s="1"/>
  <c r="R201" i="1"/>
  <c r="Q201" i="1"/>
  <c r="K201" i="1"/>
  <c r="J201" i="1"/>
  <c r="L201" i="1" s="1"/>
  <c r="R190" i="1"/>
  <c r="Q190" i="1"/>
  <c r="K190" i="1"/>
  <c r="J190" i="1"/>
  <c r="L190" i="1" s="1"/>
  <c r="R170" i="1"/>
  <c r="Q170" i="1"/>
  <c r="K170" i="1"/>
  <c r="J170" i="1"/>
  <c r="L170" i="1" s="1"/>
  <c r="R162" i="1"/>
  <c r="Q162" i="1"/>
  <c r="K162" i="1"/>
  <c r="J162" i="1"/>
  <c r="L162" i="1" s="1"/>
  <c r="R142" i="1"/>
  <c r="Q142" i="1"/>
  <c r="K142" i="1"/>
  <c r="J142" i="1"/>
  <c r="L142" i="1" s="1"/>
  <c r="R118" i="1"/>
  <c r="Q118" i="1"/>
  <c r="K118" i="1"/>
  <c r="J118" i="1"/>
  <c r="L118" i="1" s="1"/>
  <c r="R94" i="1"/>
  <c r="Q94" i="1"/>
  <c r="K94" i="1"/>
  <c r="J94" i="1"/>
  <c r="L94" i="1" s="1"/>
  <c r="R80" i="1"/>
  <c r="Q80" i="1"/>
  <c r="K80" i="1"/>
  <c r="J80" i="1"/>
  <c r="L80" i="1" s="1"/>
  <c r="R70" i="1"/>
  <c r="Q70" i="1"/>
  <c r="K70" i="1"/>
  <c r="J70" i="1"/>
  <c r="L70" i="1" s="1"/>
  <c r="R45" i="1"/>
  <c r="Q45" i="1"/>
  <c r="K45" i="1"/>
  <c r="J45" i="1"/>
  <c r="L45" i="1" s="1"/>
  <c r="R29" i="1"/>
  <c r="Q29" i="1"/>
  <c r="K29" i="1"/>
  <c r="J29" i="1"/>
  <c r="L29" i="1" s="1"/>
  <c r="R17" i="1"/>
  <c r="Q17" i="1"/>
  <c r="K17" i="1"/>
  <c r="J17" i="1"/>
  <c r="L17" i="1" s="1"/>
  <c r="R326" i="1"/>
  <c r="Q326" i="1"/>
  <c r="K326" i="1"/>
  <c r="J326" i="1"/>
  <c r="L326" i="1" s="1"/>
  <c r="R304" i="1"/>
  <c r="Q304" i="1"/>
  <c r="K304" i="1"/>
  <c r="J304" i="1"/>
  <c r="L304" i="1" s="1"/>
  <c r="R297" i="1"/>
  <c r="Q297" i="1"/>
  <c r="K297" i="1"/>
  <c r="J297" i="1"/>
  <c r="L297" i="1" s="1"/>
  <c r="R284" i="1"/>
  <c r="Q284" i="1"/>
  <c r="K284" i="1"/>
  <c r="J284" i="1"/>
  <c r="L284" i="1" s="1"/>
  <c r="R274" i="1"/>
  <c r="Q274" i="1"/>
  <c r="K274" i="1"/>
  <c r="J274" i="1"/>
  <c r="L274" i="1" s="1"/>
  <c r="R249" i="1"/>
  <c r="Q249" i="1"/>
  <c r="K249" i="1"/>
  <c r="J249" i="1"/>
  <c r="L249" i="1" s="1"/>
  <c r="R222" i="1"/>
  <c r="Q222" i="1"/>
  <c r="K222" i="1"/>
  <c r="J222" i="1"/>
  <c r="L222" i="1" s="1"/>
  <c r="R194" i="1"/>
  <c r="Q194" i="1"/>
  <c r="K194" i="1"/>
  <c r="J194" i="1"/>
  <c r="L194" i="1" s="1"/>
  <c r="R165" i="1"/>
  <c r="Q165" i="1"/>
  <c r="K165" i="1"/>
  <c r="J165" i="1"/>
  <c r="L165" i="1" s="1"/>
  <c r="R141" i="1"/>
  <c r="Q141" i="1"/>
  <c r="K141" i="1"/>
  <c r="J141" i="1"/>
  <c r="L141" i="1" s="1"/>
  <c r="R134" i="1"/>
  <c r="Q134" i="1"/>
  <c r="K134" i="1"/>
  <c r="J134" i="1"/>
  <c r="L134" i="1" s="1"/>
  <c r="R112" i="1"/>
  <c r="Q112" i="1"/>
  <c r="K112" i="1"/>
  <c r="J112" i="1"/>
  <c r="L112" i="1" s="1"/>
  <c r="R101" i="1"/>
  <c r="Q101" i="1"/>
  <c r="K101" i="1"/>
  <c r="J101" i="1"/>
  <c r="L101" i="1" s="1"/>
  <c r="R79" i="1"/>
  <c r="Q79" i="1"/>
  <c r="K79" i="1"/>
  <c r="J79" i="1"/>
  <c r="L79" i="1" s="1"/>
  <c r="R57" i="1"/>
  <c r="Q57" i="1"/>
  <c r="K57" i="1"/>
  <c r="J57" i="1"/>
  <c r="L57" i="1" s="1"/>
  <c r="R53" i="1"/>
  <c r="Q53" i="1"/>
  <c r="K53" i="1"/>
  <c r="J53" i="1"/>
  <c r="L53" i="1" s="1"/>
  <c r="R35" i="1"/>
  <c r="Q35" i="1"/>
  <c r="K35" i="1"/>
  <c r="J35" i="1"/>
  <c r="L35" i="1" s="1"/>
  <c r="R10" i="1"/>
  <c r="Q10" i="1"/>
  <c r="K10" i="1"/>
  <c r="J10" i="1"/>
  <c r="L10" i="1" s="1"/>
  <c r="R7" i="1"/>
  <c r="Q7" i="1"/>
  <c r="K7" i="1"/>
  <c r="J7" i="1"/>
  <c r="L7" i="1" s="1"/>
  <c r="R319" i="1"/>
  <c r="Q319" i="1"/>
  <c r="K319" i="1"/>
  <c r="J319" i="1"/>
  <c r="L319" i="1" s="1"/>
  <c r="R308" i="1"/>
  <c r="Q308" i="1"/>
  <c r="K308" i="1"/>
  <c r="J308" i="1"/>
  <c r="L308" i="1" s="1"/>
  <c r="R295" i="1"/>
  <c r="Q295" i="1"/>
  <c r="K295" i="1"/>
  <c r="J295" i="1"/>
  <c r="L295" i="1" s="1"/>
  <c r="R286" i="1"/>
  <c r="Q286" i="1"/>
  <c r="K286" i="1"/>
  <c r="J286" i="1"/>
  <c r="L286" i="1" s="1"/>
  <c r="R265" i="1"/>
  <c r="Q265" i="1"/>
  <c r="K265" i="1"/>
  <c r="J265" i="1"/>
  <c r="L265" i="1" s="1"/>
  <c r="R229" i="1"/>
  <c r="Q229" i="1"/>
  <c r="K229" i="1"/>
  <c r="J229" i="1"/>
  <c r="L229" i="1" s="1"/>
  <c r="R218" i="1"/>
  <c r="Q218" i="1"/>
  <c r="K218" i="1"/>
  <c r="J218" i="1"/>
  <c r="L218" i="1" s="1"/>
  <c r="R189" i="1"/>
  <c r="Q189" i="1"/>
  <c r="K189" i="1"/>
  <c r="J189" i="1"/>
  <c r="L189" i="1" s="1"/>
  <c r="R176" i="1"/>
  <c r="Q176" i="1"/>
  <c r="K176" i="1"/>
  <c r="J176" i="1"/>
  <c r="L176" i="1" s="1"/>
  <c r="R160" i="1"/>
  <c r="Q160" i="1"/>
  <c r="K160" i="1"/>
  <c r="J160" i="1"/>
  <c r="L160" i="1" s="1"/>
  <c r="R131" i="1"/>
  <c r="Q131" i="1"/>
  <c r="K131" i="1"/>
  <c r="J131" i="1"/>
  <c r="L131" i="1" s="1"/>
  <c r="R115" i="1"/>
  <c r="Q115" i="1"/>
  <c r="K115" i="1"/>
  <c r="J115" i="1"/>
  <c r="L115" i="1" s="1"/>
  <c r="R102" i="1"/>
  <c r="Q102" i="1"/>
  <c r="K102" i="1"/>
  <c r="J102" i="1"/>
  <c r="L102" i="1" s="1"/>
  <c r="R100" i="1"/>
  <c r="Q100" i="1"/>
  <c r="K100" i="1"/>
  <c r="J100" i="1"/>
  <c r="L100" i="1" s="1"/>
  <c r="R87" i="1"/>
  <c r="Q87" i="1"/>
  <c r="K87" i="1"/>
  <c r="J87" i="1"/>
  <c r="L87" i="1" s="1"/>
  <c r="R76" i="1"/>
  <c r="Q76" i="1"/>
  <c r="K76" i="1"/>
  <c r="J76" i="1"/>
  <c r="L76" i="1" s="1"/>
  <c r="R67" i="1"/>
  <c r="Q67" i="1"/>
  <c r="K67" i="1"/>
  <c r="J67" i="1"/>
  <c r="L67" i="1" s="1"/>
  <c r="R58" i="1"/>
  <c r="Q58" i="1"/>
  <c r="K58" i="1"/>
  <c r="J58" i="1"/>
  <c r="L58" i="1" s="1"/>
  <c r="R36" i="1"/>
  <c r="Q36" i="1"/>
  <c r="K36" i="1"/>
  <c r="J36" i="1"/>
  <c r="L36" i="1" s="1"/>
  <c r="R26" i="1"/>
  <c r="Q26" i="1"/>
  <c r="K26" i="1"/>
  <c r="J26" i="1"/>
  <c r="L26" i="1" s="1"/>
  <c r="R18" i="1"/>
  <c r="Q18" i="1"/>
  <c r="K18" i="1"/>
  <c r="J18" i="1"/>
  <c r="L18" i="1" s="1"/>
  <c r="R2" i="1"/>
  <c r="Q2" i="1"/>
  <c r="K2" i="1"/>
  <c r="J2" i="1"/>
  <c r="L2" i="1" s="1"/>
  <c r="R334" i="1"/>
  <c r="Q334" i="1"/>
  <c r="K334" i="1"/>
  <c r="J334" i="1"/>
  <c r="L334" i="1" s="1"/>
  <c r="R333" i="1"/>
  <c r="Q333" i="1"/>
  <c r="K333" i="1"/>
  <c r="J333" i="1"/>
  <c r="L333" i="1" s="1"/>
  <c r="R314" i="1"/>
  <c r="Q314" i="1"/>
  <c r="K314" i="1"/>
  <c r="J314" i="1"/>
  <c r="L314" i="1" s="1"/>
  <c r="R298" i="1"/>
  <c r="Q298" i="1"/>
  <c r="K298" i="1"/>
  <c r="J298" i="1"/>
  <c r="L298" i="1" s="1"/>
  <c r="R293" i="1"/>
  <c r="Q293" i="1"/>
  <c r="K293" i="1"/>
  <c r="J293" i="1"/>
  <c r="L293" i="1" s="1"/>
  <c r="R268" i="1"/>
  <c r="Q268" i="1"/>
  <c r="K268" i="1"/>
  <c r="J268" i="1"/>
  <c r="L268" i="1" s="1"/>
  <c r="R259" i="1"/>
  <c r="Q259" i="1"/>
  <c r="K259" i="1"/>
  <c r="J259" i="1"/>
  <c r="L259" i="1" s="1"/>
  <c r="R245" i="1"/>
  <c r="Q245" i="1"/>
  <c r="K245" i="1"/>
  <c r="J245" i="1"/>
  <c r="L245" i="1" s="1"/>
  <c r="R230" i="1"/>
  <c r="Q230" i="1"/>
  <c r="K230" i="1"/>
  <c r="J230" i="1"/>
  <c r="L230" i="1" s="1"/>
  <c r="R204" i="1"/>
  <c r="Q204" i="1"/>
  <c r="K204" i="1"/>
  <c r="J204" i="1"/>
  <c r="L204" i="1" s="1"/>
  <c r="R198" i="1"/>
  <c r="Q198" i="1"/>
  <c r="K198" i="1"/>
  <c r="J198" i="1"/>
  <c r="L198" i="1" s="1"/>
  <c r="R188" i="1"/>
  <c r="Q188" i="1"/>
  <c r="K188" i="1"/>
  <c r="J188" i="1"/>
  <c r="L188" i="1" s="1"/>
  <c r="R166" i="1"/>
  <c r="Q166" i="1"/>
  <c r="K166" i="1"/>
  <c r="J166" i="1"/>
  <c r="L166" i="1" s="1"/>
  <c r="R156" i="1"/>
  <c r="Q156" i="1"/>
  <c r="K156" i="1"/>
  <c r="J156" i="1"/>
  <c r="L156" i="1" s="1"/>
  <c r="R135" i="1"/>
  <c r="Q135" i="1"/>
  <c r="K135" i="1"/>
  <c r="J135" i="1"/>
  <c r="L135" i="1" s="1"/>
  <c r="R122" i="1"/>
  <c r="Q122" i="1"/>
  <c r="K122" i="1"/>
  <c r="J122" i="1"/>
  <c r="L122" i="1" s="1"/>
  <c r="R111" i="1"/>
  <c r="Q111" i="1"/>
  <c r="K111" i="1"/>
  <c r="J111" i="1"/>
  <c r="L111" i="1" s="1"/>
  <c r="R107" i="1"/>
  <c r="Q107" i="1"/>
  <c r="K107" i="1"/>
  <c r="J107" i="1"/>
  <c r="L107" i="1" s="1"/>
  <c r="R98" i="1"/>
  <c r="Q98" i="1"/>
  <c r="K98" i="1"/>
  <c r="J98" i="1"/>
  <c r="L98" i="1" s="1"/>
  <c r="R86" i="1"/>
  <c r="Q86" i="1"/>
  <c r="K86" i="1"/>
  <c r="J86" i="1"/>
  <c r="L86" i="1" s="1"/>
  <c r="R77" i="1"/>
  <c r="Q77" i="1"/>
  <c r="K77" i="1"/>
  <c r="J77" i="1"/>
  <c r="L77" i="1" s="1"/>
  <c r="R73" i="1"/>
  <c r="Q73" i="1"/>
  <c r="K73" i="1"/>
  <c r="J73" i="1"/>
  <c r="L73" i="1" s="1"/>
  <c r="R49" i="1"/>
  <c r="Q49" i="1"/>
  <c r="K49" i="1"/>
  <c r="J49" i="1"/>
  <c r="L49" i="1" s="1"/>
  <c r="R44" i="1"/>
  <c r="Q44" i="1"/>
  <c r="K44" i="1"/>
  <c r="J44" i="1"/>
  <c r="L44" i="1" s="1"/>
  <c r="R24" i="1"/>
  <c r="Q24" i="1"/>
  <c r="K24" i="1"/>
  <c r="J24" i="1"/>
  <c r="L24" i="1" s="1"/>
  <c r="R14" i="1"/>
  <c r="Q14" i="1"/>
  <c r="K14" i="1"/>
  <c r="J14" i="1"/>
  <c r="L14" i="1" s="1"/>
  <c r="R5" i="1"/>
  <c r="Q5" i="1"/>
  <c r="K5" i="1"/>
  <c r="J5" i="1"/>
  <c r="L5" i="1" s="1"/>
  <c r="R324" i="1"/>
  <c r="Q324" i="1"/>
  <c r="K324" i="1"/>
  <c r="J324" i="1"/>
  <c r="L324" i="1" s="1"/>
  <c r="R300" i="1"/>
  <c r="Q300" i="1"/>
  <c r="K300" i="1"/>
  <c r="J300" i="1"/>
  <c r="L300" i="1" s="1"/>
  <c r="R288" i="1"/>
  <c r="Q288" i="1"/>
  <c r="K288" i="1"/>
  <c r="J288" i="1"/>
  <c r="L288" i="1" s="1"/>
  <c r="R262" i="1"/>
  <c r="Q262" i="1"/>
  <c r="K262" i="1"/>
  <c r="J262" i="1"/>
  <c r="L262" i="1" s="1"/>
  <c r="R255" i="1"/>
  <c r="Q255" i="1"/>
  <c r="K255" i="1"/>
  <c r="J255" i="1"/>
  <c r="L255" i="1" s="1"/>
  <c r="R239" i="1"/>
  <c r="Q239" i="1"/>
  <c r="K239" i="1"/>
  <c r="J239" i="1"/>
  <c r="L239" i="1" s="1"/>
  <c r="R231" i="1"/>
  <c r="Q231" i="1"/>
  <c r="K231" i="1"/>
  <c r="J231" i="1"/>
  <c r="L231" i="1" s="1"/>
  <c r="R221" i="1"/>
  <c r="Q221" i="1"/>
  <c r="K221" i="1"/>
  <c r="J221" i="1"/>
  <c r="L221" i="1" s="1"/>
  <c r="R210" i="1"/>
  <c r="Q210" i="1"/>
  <c r="K210" i="1"/>
  <c r="J210" i="1"/>
  <c r="L210" i="1" s="1"/>
  <c r="R199" i="1"/>
  <c r="Q199" i="1"/>
  <c r="K199" i="1"/>
  <c r="J199" i="1"/>
  <c r="L199" i="1" s="1"/>
  <c r="R196" i="1"/>
  <c r="Q196" i="1"/>
  <c r="K196" i="1"/>
  <c r="J196" i="1"/>
  <c r="L196" i="1" s="1"/>
  <c r="R181" i="1"/>
  <c r="Q181" i="1"/>
  <c r="K181" i="1"/>
  <c r="J181" i="1"/>
  <c r="L181" i="1" s="1"/>
  <c r="R152" i="1"/>
  <c r="Q152" i="1"/>
  <c r="K152" i="1"/>
  <c r="J152" i="1"/>
  <c r="L152" i="1" s="1"/>
  <c r="R145" i="1"/>
  <c r="Q145" i="1"/>
  <c r="K145" i="1"/>
  <c r="J145" i="1"/>
  <c r="L145" i="1" s="1"/>
  <c r="R137" i="1"/>
  <c r="Q137" i="1"/>
  <c r="K137" i="1"/>
  <c r="J137" i="1"/>
  <c r="L137" i="1" s="1"/>
  <c r="R125" i="1"/>
  <c r="Q125" i="1"/>
  <c r="K125" i="1"/>
  <c r="J125" i="1"/>
  <c r="L125" i="1" s="1"/>
  <c r="R120" i="1"/>
  <c r="Q120" i="1"/>
  <c r="K120" i="1"/>
  <c r="J120" i="1"/>
  <c r="L120" i="1" s="1"/>
  <c r="R88" i="1"/>
  <c r="Q88" i="1"/>
  <c r="K88" i="1"/>
  <c r="J88" i="1"/>
  <c r="L88" i="1" s="1"/>
  <c r="R82" i="1"/>
  <c r="Q82" i="1"/>
  <c r="K82" i="1"/>
  <c r="J82" i="1"/>
  <c r="L82" i="1" s="1"/>
  <c r="R74" i="1"/>
  <c r="Q74" i="1"/>
  <c r="K74" i="1"/>
  <c r="J74" i="1"/>
  <c r="L74" i="1" s="1"/>
  <c r="R65" i="1"/>
  <c r="Q65" i="1"/>
  <c r="K65" i="1"/>
  <c r="J65" i="1"/>
  <c r="L65" i="1" s="1"/>
  <c r="R61" i="1"/>
  <c r="Q61" i="1"/>
  <c r="K61" i="1"/>
  <c r="J61" i="1"/>
  <c r="L61" i="1" s="1"/>
  <c r="R52" i="1"/>
  <c r="Q52" i="1"/>
  <c r="K52" i="1"/>
  <c r="J52" i="1"/>
  <c r="L52" i="1" s="1"/>
  <c r="R43" i="1"/>
  <c r="Q43" i="1"/>
  <c r="K43" i="1"/>
  <c r="J43" i="1"/>
  <c r="L43" i="1" s="1"/>
  <c r="R37" i="1"/>
  <c r="Q37" i="1"/>
  <c r="K37" i="1"/>
  <c r="J37" i="1"/>
  <c r="L37" i="1" s="1"/>
  <c r="R23" i="1"/>
  <c r="Q23" i="1"/>
  <c r="K23" i="1"/>
  <c r="J23" i="1"/>
  <c r="L23" i="1" s="1"/>
  <c r="R13" i="1"/>
  <c r="Q13" i="1"/>
  <c r="K13" i="1"/>
  <c r="J13" i="1"/>
  <c r="L13" i="1" s="1"/>
  <c r="R4" i="1"/>
  <c r="Q4" i="1"/>
  <c r="K4" i="1"/>
  <c r="J4" i="1"/>
  <c r="L4" i="1" s="1"/>
  <c r="R323" i="1"/>
  <c r="Q323" i="1"/>
  <c r="K323" i="1"/>
  <c r="J323" i="1"/>
  <c r="L323" i="1" s="1"/>
  <c r="R316" i="1"/>
  <c r="Q316" i="1"/>
  <c r="K316" i="1"/>
  <c r="J316" i="1"/>
  <c r="L316" i="1" s="1"/>
  <c r="R292" i="1"/>
  <c r="Q292" i="1"/>
  <c r="K292" i="1"/>
  <c r="J292" i="1"/>
  <c r="L292" i="1" s="1"/>
  <c r="R282" i="1"/>
  <c r="Q282" i="1"/>
  <c r="K282" i="1"/>
  <c r="J282" i="1"/>
  <c r="L282" i="1" s="1"/>
  <c r="R276" i="1"/>
  <c r="Q276" i="1"/>
  <c r="K276" i="1"/>
  <c r="J276" i="1"/>
  <c r="L276" i="1" s="1"/>
  <c r="R260" i="1"/>
  <c r="Q260" i="1"/>
  <c r="K260" i="1"/>
  <c r="J260" i="1"/>
  <c r="L260" i="1" s="1"/>
  <c r="R251" i="1"/>
  <c r="Q251" i="1"/>
  <c r="K251" i="1"/>
  <c r="J251" i="1"/>
  <c r="L251" i="1" s="1"/>
  <c r="R244" i="1"/>
  <c r="Q244" i="1"/>
  <c r="K244" i="1"/>
  <c r="J244" i="1"/>
  <c r="L244" i="1" s="1"/>
  <c r="R236" i="1"/>
  <c r="Q236" i="1"/>
  <c r="K236" i="1"/>
  <c r="J236" i="1"/>
  <c r="L236" i="1" s="1"/>
  <c r="R226" i="1"/>
  <c r="Q226" i="1"/>
  <c r="K226" i="1"/>
  <c r="J226" i="1"/>
  <c r="L226" i="1" s="1"/>
  <c r="R214" i="1"/>
  <c r="Q214" i="1"/>
  <c r="K214" i="1"/>
  <c r="J214" i="1"/>
  <c r="L214" i="1" s="1"/>
  <c r="R203" i="1"/>
  <c r="Q203" i="1"/>
  <c r="K203" i="1"/>
  <c r="J203" i="1"/>
  <c r="L203" i="1" s="1"/>
  <c r="R192" i="1"/>
  <c r="Q192" i="1"/>
  <c r="K192" i="1"/>
  <c r="J192" i="1"/>
  <c r="L192" i="1" s="1"/>
  <c r="R184" i="1"/>
  <c r="Q184" i="1"/>
  <c r="K184" i="1"/>
  <c r="J184" i="1"/>
  <c r="L184" i="1" s="1"/>
  <c r="R180" i="1"/>
  <c r="Q180" i="1"/>
  <c r="K180" i="1"/>
  <c r="J180" i="1"/>
  <c r="L180" i="1" s="1"/>
  <c r="R167" i="1"/>
  <c r="Q167" i="1"/>
  <c r="K167" i="1"/>
  <c r="J167" i="1"/>
  <c r="L167" i="1" s="1"/>
  <c r="R159" i="1"/>
  <c r="Q159" i="1"/>
  <c r="K159" i="1"/>
  <c r="J159" i="1"/>
  <c r="L159" i="1" s="1"/>
  <c r="R151" i="1"/>
  <c r="Q151" i="1"/>
  <c r="K151" i="1"/>
  <c r="J151" i="1"/>
  <c r="L151" i="1" s="1"/>
  <c r="R133" i="1"/>
  <c r="Q133" i="1"/>
  <c r="K133" i="1"/>
  <c r="J133" i="1"/>
  <c r="L133" i="1" s="1"/>
  <c r="R119" i="1"/>
  <c r="Q119" i="1"/>
  <c r="K119" i="1"/>
  <c r="J119" i="1"/>
  <c r="L119" i="1" s="1"/>
  <c r="R109" i="1"/>
  <c r="Q109" i="1"/>
  <c r="K109" i="1"/>
  <c r="J109" i="1"/>
  <c r="L109" i="1" s="1"/>
  <c r="R99" i="1"/>
  <c r="Q99" i="1"/>
  <c r="K99" i="1"/>
  <c r="J99" i="1"/>
  <c r="L99" i="1" s="1"/>
  <c r="R81" i="1"/>
  <c r="Q81" i="1"/>
  <c r="K81" i="1"/>
  <c r="J81" i="1"/>
  <c r="L81" i="1" s="1"/>
  <c r="R71" i="1"/>
  <c r="Q71" i="1"/>
  <c r="K71" i="1"/>
  <c r="J71" i="1"/>
  <c r="L71" i="1" s="1"/>
  <c r="R60" i="1"/>
  <c r="Q60" i="1"/>
  <c r="K60" i="1"/>
  <c r="J60" i="1"/>
  <c r="L60" i="1" s="1"/>
  <c r="R47" i="1"/>
  <c r="Q47" i="1"/>
  <c r="K47" i="1"/>
  <c r="J47" i="1"/>
  <c r="L47" i="1" s="1"/>
  <c r="R42" i="1"/>
  <c r="Q42" i="1"/>
  <c r="K42" i="1"/>
  <c r="J42" i="1"/>
  <c r="L42" i="1" s="1"/>
  <c r="R32" i="1"/>
  <c r="Q32" i="1"/>
  <c r="K32" i="1"/>
  <c r="J32" i="1"/>
  <c r="L32" i="1" s="1"/>
  <c r="R22" i="1"/>
  <c r="Q22" i="1"/>
  <c r="K22" i="1"/>
  <c r="J22" i="1"/>
  <c r="L22" i="1" s="1"/>
  <c r="R11" i="1"/>
  <c r="Q11" i="1"/>
  <c r="K11" i="1"/>
  <c r="J11" i="1"/>
  <c r="L11" i="1" s="1"/>
  <c r="R9" i="1"/>
  <c r="Q9" i="1"/>
  <c r="K9" i="1"/>
  <c r="J9" i="1"/>
  <c r="L9" i="1" s="1"/>
  <c r="Q19" i="1"/>
  <c r="R19" i="1"/>
  <c r="Q33" i="1"/>
  <c r="R33" i="1"/>
  <c r="Q40" i="1"/>
  <c r="R40" i="1"/>
  <c r="Q51" i="1"/>
  <c r="R51" i="1"/>
  <c r="Q66" i="1"/>
  <c r="R66" i="1"/>
  <c r="Q78" i="1"/>
  <c r="R78" i="1"/>
  <c r="Q83" i="1"/>
  <c r="R83" i="1"/>
  <c r="Q89" i="1"/>
  <c r="R89" i="1"/>
  <c r="Q96" i="1"/>
  <c r="R96" i="1"/>
  <c r="Q108" i="1"/>
  <c r="R108" i="1"/>
  <c r="Q113" i="1"/>
  <c r="R113" i="1"/>
  <c r="Q114" i="1"/>
  <c r="R114" i="1"/>
  <c r="Q127" i="1"/>
  <c r="R127" i="1"/>
  <c r="Q138" i="1"/>
  <c r="R138" i="1"/>
  <c r="Q148" i="1"/>
  <c r="R148" i="1"/>
  <c r="Q155" i="1"/>
  <c r="R155" i="1"/>
  <c r="Q164" i="1"/>
  <c r="R164" i="1"/>
  <c r="Q168" i="1"/>
  <c r="R168" i="1"/>
  <c r="Q183" i="1"/>
  <c r="R183" i="1"/>
  <c r="Q200" i="1"/>
  <c r="R200" i="1"/>
  <c r="Q215" i="1"/>
  <c r="R215" i="1"/>
  <c r="Q219" i="1"/>
  <c r="R219" i="1"/>
  <c r="Q232" i="1"/>
  <c r="R232" i="1"/>
  <c r="Q240" i="1"/>
  <c r="R240" i="1"/>
  <c r="Q258" i="1"/>
  <c r="R258" i="1"/>
  <c r="Q263" i="1"/>
  <c r="R263" i="1"/>
  <c r="Q272" i="1"/>
  <c r="R272" i="1"/>
  <c r="Q283" i="1"/>
  <c r="R283" i="1"/>
  <c r="Q294" i="1"/>
  <c r="R294" i="1"/>
  <c r="Q306" i="1"/>
  <c r="R306" i="1"/>
  <c r="Q307" i="1"/>
  <c r="R307" i="1"/>
  <c r="Q315" i="1"/>
  <c r="R315" i="1"/>
  <c r="Q327" i="1"/>
  <c r="R327" i="1"/>
  <c r="Q330" i="1"/>
  <c r="R330" i="1"/>
  <c r="Q337" i="1"/>
  <c r="R337" i="1"/>
  <c r="Q339" i="1"/>
  <c r="R339" i="1"/>
  <c r="Q341" i="1"/>
  <c r="R341" i="1"/>
  <c r="R15" i="1"/>
  <c r="Q15" i="1"/>
  <c r="M270" i="1" l="1"/>
  <c r="M43" i="1"/>
  <c r="M61" i="1"/>
  <c r="M74" i="1"/>
  <c r="M88" i="1"/>
  <c r="M125" i="1"/>
  <c r="M145" i="1"/>
  <c r="M181" i="1"/>
  <c r="M199" i="1"/>
  <c r="M221" i="1"/>
  <c r="M239" i="1"/>
  <c r="M262" i="1"/>
  <c r="M300" i="1"/>
  <c r="M5" i="1"/>
  <c r="M24" i="1"/>
  <c r="M49" i="1"/>
  <c r="M111" i="1"/>
  <c r="M135" i="1"/>
  <c r="M166" i="1"/>
  <c r="M230" i="1"/>
  <c r="M259" i="1"/>
  <c r="M293" i="1"/>
  <c r="M314" i="1"/>
  <c r="M334" i="1"/>
  <c r="M36" i="1"/>
  <c r="M67" i="1"/>
  <c r="M87" i="1"/>
  <c r="M102" i="1"/>
  <c r="M131" i="1"/>
  <c r="M176" i="1"/>
  <c r="M218" i="1"/>
  <c r="M265" i="1"/>
  <c r="M295" i="1"/>
  <c r="M319" i="1"/>
  <c r="M10" i="1"/>
  <c r="M79" i="1"/>
  <c r="M112" i="1"/>
  <c r="M141" i="1"/>
  <c r="M194" i="1"/>
  <c r="M304" i="1"/>
  <c r="M17" i="1"/>
  <c r="M45" i="1"/>
  <c r="M80" i="1"/>
  <c r="M118" i="1"/>
  <c r="M162" i="1"/>
  <c r="M190" i="1"/>
  <c r="M225" i="1"/>
  <c r="M253" i="1"/>
  <c r="M329" i="1"/>
  <c r="M8" i="1"/>
  <c r="M28" i="1"/>
  <c r="M46" i="1"/>
  <c r="M92" i="1"/>
  <c r="M110" i="1"/>
  <c r="M161" i="1"/>
  <c r="M9" i="1"/>
  <c r="M22" i="1"/>
  <c r="M42" i="1"/>
  <c r="M60" i="1"/>
  <c r="M81" i="1"/>
  <c r="M109" i="1"/>
  <c r="M133" i="1"/>
  <c r="M159" i="1"/>
  <c r="M180" i="1"/>
  <c r="M192" i="1"/>
  <c r="M214" i="1"/>
  <c r="M236" i="1"/>
  <c r="M251" i="1"/>
  <c r="M276" i="1"/>
  <c r="M292" i="1"/>
  <c r="M323" i="1"/>
  <c r="M13" i="1"/>
  <c r="M37" i="1"/>
  <c r="M52" i="1"/>
  <c r="M65" i="1"/>
  <c r="M82" i="1"/>
  <c r="M120" i="1"/>
  <c r="M137" i="1"/>
  <c r="M152" i="1"/>
  <c r="M196" i="1"/>
  <c r="M210" i="1"/>
  <c r="M231" i="1"/>
  <c r="M255" i="1"/>
  <c r="M288" i="1"/>
  <c r="M324" i="1"/>
  <c r="M14" i="1"/>
  <c r="M44" i="1"/>
  <c r="M73" i="1"/>
  <c r="M86" i="1"/>
  <c r="M107" i="1"/>
  <c r="M122" i="1"/>
  <c r="M156" i="1"/>
  <c r="M188" i="1"/>
  <c r="M204" i="1"/>
  <c r="M245" i="1"/>
  <c r="M268" i="1"/>
  <c r="M298" i="1"/>
  <c r="M333" i="1"/>
  <c r="M2" i="1"/>
  <c r="M26" i="1"/>
  <c r="M58" i="1"/>
  <c r="M76" i="1"/>
  <c r="M100" i="1"/>
  <c r="M115" i="1"/>
  <c r="M160" i="1"/>
  <c r="M189" i="1"/>
  <c r="M229" i="1"/>
  <c r="M286" i="1"/>
  <c r="M308" i="1"/>
  <c r="M7" i="1"/>
  <c r="M35" i="1"/>
  <c r="M57" i="1"/>
  <c r="M101" i="1"/>
  <c r="M134" i="1"/>
  <c r="M165" i="1"/>
  <c r="M222" i="1"/>
  <c r="M274" i="1"/>
  <c r="M297" i="1"/>
  <c r="M326" i="1"/>
  <c r="M29" i="1"/>
  <c r="M70" i="1"/>
  <c r="M94" i="1"/>
  <c r="M142" i="1"/>
  <c r="M170" i="1"/>
  <c r="M201" i="1"/>
  <c r="M246" i="1"/>
  <c r="M279" i="1"/>
  <c r="M342" i="1"/>
  <c r="M27" i="1"/>
  <c r="M38" i="1"/>
  <c r="M63" i="1"/>
  <c r="M104" i="1"/>
  <c r="M126" i="1"/>
  <c r="M227" i="1"/>
  <c r="M11" i="1"/>
  <c r="M32" i="1"/>
  <c r="M47" i="1"/>
  <c r="M71" i="1"/>
  <c r="M99" i="1"/>
  <c r="M119" i="1"/>
  <c r="M151" i="1"/>
  <c r="M167" i="1"/>
  <c r="M184" i="1"/>
  <c r="M203" i="1"/>
  <c r="M226" i="1"/>
  <c r="M244" i="1"/>
  <c r="M260" i="1"/>
  <c r="M282" i="1"/>
  <c r="M316" i="1"/>
  <c r="M4" i="1"/>
  <c r="M23" i="1"/>
  <c r="M77" i="1"/>
  <c r="M98" i="1"/>
  <c r="M198" i="1"/>
  <c r="M18" i="1"/>
  <c r="M53" i="1"/>
  <c r="M249" i="1"/>
  <c r="M284" i="1"/>
  <c r="P304" i="1"/>
  <c r="P339" i="1"/>
  <c r="P337" i="1"/>
  <c r="P327" i="1"/>
  <c r="P315" i="1"/>
  <c r="P249" i="1"/>
  <c r="P297" i="1"/>
  <c r="P8" i="1"/>
  <c r="P38" i="1"/>
  <c r="P104" i="1"/>
  <c r="P45" i="1"/>
  <c r="P142" i="1"/>
  <c r="P253" i="1"/>
  <c r="P342" i="1"/>
  <c r="P60" i="1"/>
  <c r="P109" i="1"/>
  <c r="P151" i="1"/>
  <c r="P184" i="1"/>
  <c r="P260" i="1"/>
  <c r="P292" i="1"/>
  <c r="P4" i="1"/>
  <c r="P37" i="1"/>
  <c r="P65" i="1"/>
  <c r="P145" i="1"/>
  <c r="P221" i="1"/>
  <c r="P262" i="1"/>
  <c r="P2" i="1"/>
  <c r="P76" i="1"/>
  <c r="P115" i="1"/>
  <c r="P160" i="1"/>
  <c r="P229" i="1"/>
  <c r="P265" i="1"/>
  <c r="P274" i="1"/>
  <c r="P326" i="1"/>
  <c r="P22" i="1"/>
  <c r="P226" i="1"/>
  <c r="P111" i="1"/>
  <c r="P230" i="1"/>
  <c r="P308" i="1"/>
  <c r="P283" i="1"/>
  <c r="P240" i="1"/>
  <c r="P215" i="1"/>
  <c r="P200" i="1"/>
  <c r="P168" i="1"/>
  <c r="P19" i="1"/>
  <c r="P35" i="1"/>
  <c r="P112" i="1"/>
  <c r="P141" i="1"/>
  <c r="P284" i="1"/>
  <c r="P203" i="1"/>
  <c r="P244" i="1"/>
  <c r="P125" i="1"/>
  <c r="P199" i="1"/>
  <c r="P239" i="1"/>
  <c r="P288" i="1"/>
  <c r="P24" i="1"/>
  <c r="P58" i="1"/>
  <c r="P100" i="1"/>
  <c r="P176" i="1"/>
  <c r="P295" i="1"/>
  <c r="P227" i="1"/>
  <c r="P270" i="1"/>
  <c r="P164" i="1"/>
  <c r="P127" i="1"/>
  <c r="P113" i="1"/>
  <c r="P83" i="1"/>
  <c r="P9" i="1"/>
  <c r="P42" i="1"/>
  <c r="P81" i="1"/>
  <c r="P133" i="1"/>
  <c r="P167" i="1"/>
  <c r="P316" i="1"/>
  <c r="P23" i="1"/>
  <c r="P52" i="1"/>
  <c r="P82" i="1"/>
  <c r="P135" i="1"/>
  <c r="P166" i="1"/>
  <c r="P333" i="1"/>
  <c r="P26" i="1"/>
  <c r="P17" i="1"/>
  <c r="P94" i="1"/>
  <c r="P162" i="1"/>
  <c r="P225" i="1"/>
  <c r="P279" i="1"/>
  <c r="P10" i="1"/>
  <c r="P53" i="1"/>
  <c r="P27" i="1"/>
  <c r="P63" i="1"/>
  <c r="P181" i="1"/>
  <c r="P5" i="1"/>
  <c r="P44" i="1"/>
  <c r="P77" i="1"/>
  <c r="P156" i="1"/>
  <c r="P188" i="1"/>
  <c r="P314" i="1"/>
  <c r="P276" i="1"/>
  <c r="P98" i="1"/>
  <c r="P204" i="1"/>
  <c r="P259" i="1"/>
  <c r="P293" i="1"/>
  <c r="P307" i="1"/>
  <c r="P294" i="1"/>
  <c r="P32" i="1"/>
  <c r="P71" i="1"/>
  <c r="P119" i="1"/>
  <c r="P159" i="1"/>
  <c r="P192" i="1"/>
  <c r="P236" i="1"/>
  <c r="P13" i="1"/>
  <c r="P43" i="1"/>
  <c r="P74" i="1"/>
  <c r="P120" i="1"/>
  <c r="P152" i="1"/>
  <c r="P196" i="1"/>
  <c r="P231" i="1"/>
  <c r="P324" i="1"/>
  <c r="P14" i="1"/>
  <c r="P49" i="1"/>
  <c r="P86" i="1"/>
  <c r="P122" i="1"/>
  <c r="P198" i="1"/>
  <c r="P245" i="1"/>
  <c r="P18" i="1"/>
  <c r="P87" i="1"/>
  <c r="P131" i="1"/>
  <c r="P286" i="1"/>
  <c r="P319" i="1"/>
  <c r="P57" i="1"/>
  <c r="P101" i="1"/>
  <c r="P134" i="1"/>
  <c r="P194" i="1"/>
  <c r="P29" i="1"/>
  <c r="P70" i="1"/>
  <c r="P170" i="1"/>
  <c r="P201" i="1"/>
  <c r="P246" i="1"/>
  <c r="P329" i="1"/>
  <c r="P46" i="1"/>
  <c r="P110" i="1"/>
  <c r="P161" i="1"/>
  <c r="P15" i="1"/>
  <c r="P263" i="1"/>
  <c r="P219" i="1"/>
  <c r="P155" i="1"/>
  <c r="P138" i="1"/>
  <c r="P96" i="1"/>
  <c r="P66" i="1"/>
  <c r="P51" i="1"/>
  <c r="P33" i="1"/>
  <c r="P11" i="1"/>
  <c r="P47" i="1"/>
  <c r="P99" i="1"/>
  <c r="P180" i="1"/>
  <c r="P214" i="1"/>
  <c r="P251" i="1"/>
  <c r="P282" i="1"/>
  <c r="P323" i="1"/>
  <c r="P61" i="1"/>
  <c r="P88" i="1"/>
  <c r="P137" i="1"/>
  <c r="P210" i="1"/>
  <c r="P255" i="1"/>
  <c r="P300" i="1"/>
  <c r="P73" i="1"/>
  <c r="P107" i="1"/>
  <c r="P268" i="1"/>
  <c r="P298" i="1"/>
  <c r="P334" i="1"/>
  <c r="P36" i="1"/>
  <c r="P67" i="1"/>
  <c r="P102" i="1"/>
  <c r="P189" i="1"/>
  <c r="P218" i="1"/>
  <c r="P7" i="1"/>
  <c r="P79" i="1"/>
  <c r="P165" i="1"/>
  <c r="P222" i="1"/>
  <c r="P80" i="1"/>
  <c r="P118" i="1"/>
  <c r="P190" i="1"/>
  <c r="P28" i="1"/>
  <c r="P92" i="1"/>
  <c r="P126" i="1"/>
  <c r="P341" i="1"/>
  <c r="P232" i="1"/>
  <c r="P89" i="1"/>
  <c r="P78" i="1"/>
  <c r="P330" i="1"/>
  <c r="P183" i="1"/>
  <c r="P40" i="1"/>
  <c r="P306" i="1"/>
  <c r="P272" i="1"/>
  <c r="P258" i="1"/>
  <c r="P148" i="1"/>
  <c r="P114" i="1"/>
  <c r="P108" i="1"/>
  <c r="K341" i="1" l="1"/>
  <c r="J341" i="1"/>
  <c r="L341" i="1" s="1"/>
  <c r="K339" i="1"/>
  <c r="J339" i="1"/>
  <c r="L339" i="1" s="1"/>
  <c r="K337" i="1"/>
  <c r="J337" i="1"/>
  <c r="L337" i="1" s="1"/>
  <c r="K330" i="1"/>
  <c r="J330" i="1"/>
  <c r="L330" i="1" s="1"/>
  <c r="K327" i="1"/>
  <c r="J327" i="1"/>
  <c r="L327" i="1" s="1"/>
  <c r="K315" i="1"/>
  <c r="J315" i="1"/>
  <c r="L315" i="1" s="1"/>
  <c r="K307" i="1"/>
  <c r="J307" i="1"/>
  <c r="L307" i="1" s="1"/>
  <c r="J19" i="1"/>
  <c r="L19" i="1" s="1"/>
  <c r="K19" i="1"/>
  <c r="M19" i="1" s="1"/>
  <c r="J33" i="1"/>
  <c r="L33" i="1" s="1"/>
  <c r="K33" i="1"/>
  <c r="J40" i="1"/>
  <c r="L40" i="1" s="1"/>
  <c r="K40" i="1"/>
  <c r="M40" i="1" s="1"/>
  <c r="J51" i="1"/>
  <c r="L51" i="1" s="1"/>
  <c r="K51" i="1"/>
  <c r="J66" i="1"/>
  <c r="L66" i="1" s="1"/>
  <c r="K66" i="1"/>
  <c r="M66" i="1" s="1"/>
  <c r="J78" i="1"/>
  <c r="L78" i="1" s="1"/>
  <c r="K78" i="1"/>
  <c r="J83" i="1"/>
  <c r="L83" i="1" s="1"/>
  <c r="K83" i="1"/>
  <c r="M83" i="1" s="1"/>
  <c r="J89" i="1"/>
  <c r="L89" i="1" s="1"/>
  <c r="K89" i="1"/>
  <c r="J96" i="1"/>
  <c r="L96" i="1" s="1"/>
  <c r="K96" i="1"/>
  <c r="M96" i="1" s="1"/>
  <c r="J108" i="1"/>
  <c r="L108" i="1" s="1"/>
  <c r="K108" i="1"/>
  <c r="J113" i="1"/>
  <c r="L113" i="1" s="1"/>
  <c r="K113" i="1"/>
  <c r="M113" i="1" s="1"/>
  <c r="J114" i="1"/>
  <c r="L114" i="1" s="1"/>
  <c r="K114" i="1"/>
  <c r="J127" i="1"/>
  <c r="L127" i="1" s="1"/>
  <c r="K127" i="1"/>
  <c r="M127" i="1" s="1"/>
  <c r="J138" i="1"/>
  <c r="L138" i="1" s="1"/>
  <c r="K138" i="1"/>
  <c r="J148" i="1"/>
  <c r="L148" i="1" s="1"/>
  <c r="K148" i="1"/>
  <c r="M148" i="1" s="1"/>
  <c r="J155" i="1"/>
  <c r="L155" i="1" s="1"/>
  <c r="K155" i="1"/>
  <c r="J164" i="1"/>
  <c r="L164" i="1" s="1"/>
  <c r="K164" i="1"/>
  <c r="M164" i="1" s="1"/>
  <c r="J168" i="1"/>
  <c r="L168" i="1" s="1"/>
  <c r="K168" i="1"/>
  <c r="J183" i="1"/>
  <c r="L183" i="1" s="1"/>
  <c r="K183" i="1"/>
  <c r="M183" i="1" s="1"/>
  <c r="J200" i="1"/>
  <c r="L200" i="1" s="1"/>
  <c r="K200" i="1"/>
  <c r="J215" i="1"/>
  <c r="L215" i="1" s="1"/>
  <c r="K215" i="1"/>
  <c r="M215" i="1" s="1"/>
  <c r="J219" i="1"/>
  <c r="L219" i="1" s="1"/>
  <c r="K219" i="1"/>
  <c r="J232" i="1"/>
  <c r="L232" i="1" s="1"/>
  <c r="K232" i="1"/>
  <c r="M232" i="1" s="1"/>
  <c r="J240" i="1"/>
  <c r="L240" i="1" s="1"/>
  <c r="K240" i="1"/>
  <c r="J258" i="1"/>
  <c r="L258" i="1" s="1"/>
  <c r="K258" i="1"/>
  <c r="M258" i="1" s="1"/>
  <c r="J263" i="1"/>
  <c r="L263" i="1" s="1"/>
  <c r="K263" i="1"/>
  <c r="J272" i="1"/>
  <c r="L272" i="1" s="1"/>
  <c r="K272" i="1"/>
  <c r="M272" i="1" s="1"/>
  <c r="J283" i="1"/>
  <c r="L283" i="1" s="1"/>
  <c r="K283" i="1"/>
  <c r="J294" i="1"/>
  <c r="L294" i="1" s="1"/>
  <c r="K294" i="1"/>
  <c r="M294" i="1" s="1"/>
  <c r="J306" i="1"/>
  <c r="L306" i="1" s="1"/>
  <c r="K306" i="1"/>
  <c r="K15" i="1"/>
  <c r="J15" i="1"/>
  <c r="L15" i="1" s="1"/>
  <c r="M307" i="1" l="1"/>
  <c r="M327" i="1"/>
  <c r="M337" i="1"/>
  <c r="M341" i="1"/>
  <c r="M15" i="1"/>
  <c r="M315" i="1"/>
  <c r="M330" i="1"/>
  <c r="M339" i="1"/>
  <c r="M306" i="1"/>
  <c r="M283" i="1"/>
  <c r="M263" i="1"/>
  <c r="M240" i="1"/>
  <c r="M219" i="1"/>
  <c r="M200" i="1"/>
  <c r="M168" i="1"/>
  <c r="M155" i="1"/>
  <c r="M138" i="1"/>
  <c r="M114" i="1"/>
  <c r="M108" i="1"/>
  <c r="M89" i="1"/>
  <c r="M78" i="1"/>
  <c r="M51" i="1"/>
  <c r="M33" i="1"/>
</calcChain>
</file>

<file path=xl/sharedStrings.xml><?xml version="1.0" encoding="utf-8"?>
<sst xmlns="http://schemas.openxmlformats.org/spreadsheetml/2006/main" count="818" uniqueCount="96">
  <si>
    <t>Vancouver Whitecaps</t>
  </si>
  <si>
    <t>Montreal Impact</t>
  </si>
  <si>
    <t>Chivas USA</t>
  </si>
  <si>
    <t>D.C. United</t>
  </si>
  <si>
    <t>Philadelphia Union</t>
  </si>
  <si>
    <t>San Jose Earthquakes</t>
  </si>
  <si>
    <t>Sporting Kansas City</t>
  </si>
  <si>
    <t>FC Dallas</t>
  </si>
  <si>
    <t>Columbus Crew</t>
  </si>
  <si>
    <t>New England Revolution</t>
  </si>
  <si>
    <t>Toronto FC</t>
  </si>
  <si>
    <t>Seattle Sounders FC</t>
  </si>
  <si>
    <t>Portland Timbers</t>
  </si>
  <si>
    <t>Houston Dynamo</t>
  </si>
  <si>
    <t>Colorado Rapids</t>
  </si>
  <si>
    <t>New York Red Bulls</t>
  </si>
  <si>
    <t>Los Angeles Galaxy</t>
  </si>
  <si>
    <t>Chicago Fire</t>
  </si>
  <si>
    <t>Real Salt Lake</t>
  </si>
  <si>
    <t>Date</t>
  </si>
  <si>
    <t>HomeTeam</t>
  </si>
  <si>
    <t>HomeTeamScore</t>
  </si>
  <si>
    <t>VisitorScore</t>
  </si>
  <si>
    <t>VisitorTeam</t>
  </si>
  <si>
    <t>HomeWin</t>
  </si>
  <si>
    <t>Draw</t>
  </si>
  <si>
    <t>HomeLoss</t>
  </si>
  <si>
    <t>Dec 1/2012</t>
  </si>
  <si>
    <t>Team</t>
  </si>
  <si>
    <t>HomeTimeZone</t>
  </si>
  <si>
    <t>VisitorTimeZone</t>
  </si>
  <si>
    <t>VisitorTimeZoneDiff</t>
  </si>
  <si>
    <t>Conference</t>
  </si>
  <si>
    <t>East</t>
  </si>
  <si>
    <t>West</t>
  </si>
  <si>
    <t>HomeConf</t>
  </si>
  <si>
    <t>VisitorConf</t>
  </si>
  <si>
    <t>TeamSalary</t>
  </si>
  <si>
    <t>City</t>
  </si>
  <si>
    <t>Latitude</t>
  </si>
  <si>
    <t>Longitude</t>
  </si>
  <si>
    <t>Seattle</t>
  </si>
  <si>
    <t>Portland</t>
  </si>
  <si>
    <t>Salt Lake City</t>
  </si>
  <si>
    <t>San Jose</t>
  </si>
  <si>
    <t>Los Angeles</t>
  </si>
  <si>
    <t>Dallas</t>
  </si>
  <si>
    <t>Denver</t>
  </si>
  <si>
    <t>Vancouver</t>
  </si>
  <si>
    <t>Toronto</t>
  </si>
  <si>
    <t>Montreal</t>
  </si>
  <si>
    <t>Houston</t>
  </si>
  <si>
    <t>Kansas City</t>
  </si>
  <si>
    <t>Chicago</t>
  </si>
  <si>
    <t>Boston</t>
  </si>
  <si>
    <t>New York City</t>
  </si>
  <si>
    <t>Philadelphia</t>
  </si>
  <si>
    <t>Washington D.C.</t>
  </si>
  <si>
    <t>Columbus</t>
  </si>
  <si>
    <t>HomeLat</t>
  </si>
  <si>
    <t>HomeLong</t>
  </si>
  <si>
    <t>VisitorLat</t>
  </si>
  <si>
    <t>VisitorLong</t>
  </si>
  <si>
    <t>NauticalMiles</t>
  </si>
  <si>
    <t>HomeGoalDiff</t>
  </si>
  <si>
    <t>Attendance</t>
  </si>
  <si>
    <t>Capacity</t>
  </si>
  <si>
    <t>FractionCapacity</t>
  </si>
  <si>
    <t>HomeTeamSalary</t>
  </si>
  <si>
    <t>HomeTeamAttendance</t>
  </si>
  <si>
    <t>HomeTeamCapacity</t>
  </si>
  <si>
    <t>FractionFull</t>
  </si>
  <si>
    <t>HomePoints</t>
  </si>
  <si>
    <t>VisitorPoints</t>
  </si>
  <si>
    <t>TeamAbbr</t>
  </si>
  <si>
    <t>Chiv</t>
  </si>
  <si>
    <t>ColRa</t>
  </si>
  <si>
    <t>DCU</t>
  </si>
  <si>
    <t>Hou</t>
  </si>
  <si>
    <t>FCDal</t>
  </si>
  <si>
    <t>RSL</t>
  </si>
  <si>
    <t>SJE</t>
  </si>
  <si>
    <t>SKC</t>
  </si>
  <si>
    <t>Van</t>
  </si>
  <si>
    <t>Chi</t>
  </si>
  <si>
    <t>Colum</t>
  </si>
  <si>
    <t>LAGxy</t>
  </si>
  <si>
    <t>Mntrl</t>
  </si>
  <si>
    <t>NE</t>
  </si>
  <si>
    <t>NY</t>
  </si>
  <si>
    <t>Phil</t>
  </si>
  <si>
    <t>Port</t>
  </si>
  <si>
    <t>SEA</t>
  </si>
  <si>
    <t>Tor</t>
  </si>
  <si>
    <t>VisitorAbbr</t>
  </si>
  <si>
    <t>HomeAbbr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</si>
</sst>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6" fillId="0" borderId="0" xfId="0" applyFont="1"/>
    <xf numFmtId="0" fontId="18" fillId="0" borderId="0" xfId="0" applyFont="1"/>
    <xf numFmtId="1" fontId="18" fillId="0" borderId="0" xfId="0" applyNumberFormat="1" applyFon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73881792"/>
        <c:axId val="73882368"/>
      </c:scatterChart>
      <c:valAx>
        <c:axId val="738817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73882368"/>
        <c:crosses val="autoZero"/>
        <c:crossBetween val="midCat"/>
      </c:valAx>
      <c:valAx>
        <c:axId val="7388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881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576262</xdr:colOff>
      <xdr:row>5</xdr:row>
      <xdr:rowOff>161925</xdr:rowOff>
    </xdr:from>
    <xdr:to>
      <xdr:col>16</xdr:col>
      <xdr:colOff>271462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A342" totalsRowShown="0" headerRowDxfId="19">
  <autoFilter ref="A1:AA342"/>
  <sortState ref="A2:W342">
    <sortCondition ref="A2:A342"/>
    <sortCondition ref="B2:B342"/>
  </sortState>
  <tableColumns count="27">
    <tableColumn id="1" name="Date" dataDxfId="18"/>
    <tableColumn id="2" name="HomeTeam"/>
    <tableColumn id="26" name="HomeAbbr" dataDxfId="17">
      <calculatedColumnFormula>VLOOKUP(Table1[[#This Row],[HomeTeam]], TeamAttrs!$A$2:$B$20,2,FALSE)</calculatedColumnFormula>
    </tableColumn>
    <tableColumn id="3" name="HomeTeamScore"/>
    <tableColumn id="4" name="VisitorScore"/>
    <tableColumn id="19" name="HomeGoalDiff" dataDxfId="16">
      <calculatedColumnFormula>Table1[[#This Row],[HomeTeamScore]]-Table1[[#This Row],[VisitorScore]]</calculatedColumnFormula>
    </tableColumn>
    <tableColumn id="5" name="VisitorTeam"/>
    <tableColumn id="27" name="VisitorAbbr" dataDxfId="15">
      <calculatedColumnFormula>VLOOKUP(Table1[[#This Row],[VisitorTeam]],TeamAttrs!$A$2:$B$20, 2, FALSE)</calculatedColumnFormula>
    </tableColumn>
    <tableColumn id="6" name="HomeWin" dataDxfId="14">
      <calculatedColumnFormula>IF(D2&gt;E2, 1,0)</calculatedColumnFormula>
    </tableColumn>
    <tableColumn id="7" name="Draw">
      <calculatedColumnFormula>IF(D2=E2, 1, 0)</calculatedColumnFormula>
    </tableColumn>
    <tableColumn id="8" name="HomeLoss">
      <calculatedColumnFormula>IF(E2&gt;D2, 1,0)</calculatedColumnFormula>
    </tableColumn>
    <tableColumn id="24" name="HomePoints" dataDxfId="13">
      <calculatedColumnFormula>3*Table1[HomeWin] +Table1[Draw]</calculatedColumnFormula>
    </tableColumn>
    <tableColumn id="25" name="VisitorPoints" dataDxfId="12">
      <calculatedColumnFormula>3*Table1[HomeLoss]+Table1[Draw]</calculatedColumnFormula>
    </tableColumn>
    <tableColumn id="9" name="HomeTimeZone" dataDxfId="11">
      <calculatedColumnFormula>VLOOKUP(B2,TeamAttrs!$A$2:$C$20,3,FALSE)</calculatedColumnFormula>
    </tableColumn>
    <tableColumn id="10" name="VisitorTimeZone" dataDxfId="10">
      <calculatedColumnFormula>VLOOKUP(G2,TeamAttrs!$A$2:$C$20,3,FALSE)</calculatedColumnFormula>
    </tableColumn>
    <tableColumn id="11" name="VisitorTimeZoneDiff">
      <calculatedColumnFormula>O2-N2</calculatedColumnFormula>
    </tableColumn>
    <tableColumn id="12" name="HomeConf">
      <calculatedColumnFormula>VLOOKUP(B2,TeamAttrs!$A$2:$D$20,3,FALSE)</calculatedColumnFormula>
    </tableColumn>
    <tableColumn id="13" name="VisitorConf">
      <calculatedColumnFormula>VLOOKUP(G2,TeamAttrs!$A$2:$D$20,3,FALSE)</calculatedColumnFormula>
    </tableColumn>
    <tableColumn id="14" name="HomeLat" dataDxfId="9">
      <calculatedColumnFormula>RADIANS(VLOOKUP(Table1[[#This Row],[HomeTeam]],TeamAttrs!$A$2:$H$20,7, FALSE))</calculatedColumnFormula>
    </tableColumn>
    <tableColumn id="15" name="HomeLong" dataDxfId="0">
      <calculatedColumnFormula>RADIANS(VLOOKUP(Table1[[#This Row],[HomeTeam]],TeamAttrs!$A$2:$H$20, 8, FALSE))</calculatedColumnFormula>
    </tableColumn>
    <tableColumn id="16" name="VisitorLat" dataDxfId="8">
      <calculatedColumnFormula>RADIANS(VLOOKUP(Table1[[#This Row],[VisitorTeam]],TeamAttrs!$A$2:$H$20,7,FALSE))</calculatedColumnFormula>
    </tableColumn>
    <tableColumn id="17" name="VisitorLong" dataDxfId="7">
      <calculatedColumnFormula>RADIANS(VLOOKUP(Table1[[#This Row],[VisitorTeam]], TeamAttrs!$A$2:$H$20,8,FALSE))</calculatedColumnFormula>
    </tableColumn>
    <tableColumn id="18" name="NauticalMiles" dataDxfId="6">
      <calculatedColumnFormula>60*DEGREES(ACOS(SIN(Table1[[#This Row],[HomeLat]])*SIN(Table1[[#This Row],[VisitorLat]]) +COS(Table1[[#This Row],[HomeLat]])*COS(Table1[[#This Row],[VisitorLat]])*COS(ABS(Table1[[#This Row],[HomeLong]] -Table1[[#This Row],[VisitorLong]]))))</calculatedColumnFormula>
    </tableColumn>
    <tableColumn id="20" name="HomeTeamSalary" dataDxfId="5">
      <calculatedColumnFormula>VLOOKUP(Table1[[#This Row],[HomeTeam]],TeamAttrs!$A$2:$K$20,5,FALSE)</calculatedColumnFormula>
    </tableColumn>
    <tableColumn id="21" name="HomeTeamAttendance" dataDxfId="4">
      <calculatedColumnFormula>VLOOKUP(Table1[[#This Row],[HomeTeam]],TeamAttrs!$A$2:$K$20,9,FALSE)</calculatedColumnFormula>
    </tableColumn>
    <tableColumn id="22" name="HomeTeamCapacity" dataDxfId="3">
      <calculatedColumnFormula>VLOOKUP(Table1[[#This Row],[HomeTeam]],TeamAttrs!$A$2:$K$20,10,FALSE)</calculatedColumnFormula>
    </tableColumn>
    <tableColumn id="23" name="FractionFull" dataDxfId="2">
      <calculatedColumnFormula>VLOOKUP(Table1[[#This Row],[HomeTeam]],TeamAttrs!$A$2:$K$20,11,FALSE)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K20" totalsRowShown="0" headerRowDxfId="1">
  <autoFilter ref="A1:K20"/>
  <sortState ref="A2:K20">
    <sortCondition descending="1" ref="E1:E20"/>
  </sortState>
  <tableColumns count="11">
    <tableColumn id="1" name="Team"/>
    <tableColumn id="2" name="TeamAbbr"/>
    <tableColumn id="3" name="HomeTimeZone"/>
    <tableColumn id="4" name="Conference"/>
    <tableColumn id="5" name="TeamSalary"/>
    <tableColumn id="6" name="City"/>
    <tableColumn id="7" name="Latitude">
      <calculatedColumnFormula>VLOOKUP(F2,City!$A$2:$C$19,2,FALSE)</calculatedColumnFormula>
    </tableColumn>
    <tableColumn id="8" name="Longitude">
      <calculatedColumnFormula>VLOOKUP(F2,City!$A$2:$C$19,3,FALSE)</calculatedColumnFormula>
    </tableColumn>
    <tableColumn id="9" name="Attendance"/>
    <tableColumn id="10" name="Capacity"/>
    <tableColumn id="11" name="FractionCapacity">
      <calculatedColumnFormula>I2/J2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81"/>
  <sheetViews>
    <sheetView tabSelected="1" topLeftCell="O1" workbookViewId="0">
      <selection activeCell="E344" sqref="E344"/>
    </sheetView>
  </sheetViews>
  <sheetFormatPr defaultRowHeight="15" x14ac:dyDescent="0.25"/>
  <cols>
    <col min="1" max="1" width="10.7109375" bestFit="1" customWidth="1"/>
    <col min="2" max="2" width="23.140625" bestFit="1" customWidth="1"/>
    <col min="3" max="3" width="18.140625" customWidth="1"/>
    <col min="4" max="4" width="13.85546875" customWidth="1"/>
    <col min="5" max="5" width="16.140625" bestFit="1" customWidth="1"/>
    <col min="6" max="6" width="12.140625" customWidth="1"/>
    <col min="7" max="7" width="7.7109375" customWidth="1"/>
    <col min="8" max="8" width="12.140625" customWidth="1"/>
    <col min="9" max="9" width="17.28515625" customWidth="1"/>
    <col min="10" max="10" width="14.140625" bestFit="1" customWidth="1"/>
    <col min="11" max="11" width="14.140625" customWidth="1"/>
    <col min="12" max="12" width="17.85546875" customWidth="1"/>
    <col min="13" max="13" width="21.140625" customWidth="1"/>
    <col min="14" max="14" width="19.5703125" customWidth="1"/>
    <col min="15" max="15" width="16.85546875" customWidth="1"/>
    <col min="16" max="16" width="21.7109375" customWidth="1"/>
    <col min="20" max="20" width="19.7109375" style="5" customWidth="1"/>
    <col min="21" max="21" width="13.85546875" customWidth="1"/>
    <col min="22" max="22" width="15.5703125" customWidth="1"/>
  </cols>
  <sheetData>
    <row r="1" spans="1:27" x14ac:dyDescent="0.25">
      <c r="A1" s="2" t="s">
        <v>19</v>
      </c>
      <c r="B1" s="2" t="s">
        <v>20</v>
      </c>
      <c r="C1" s="2" t="s">
        <v>95</v>
      </c>
      <c r="D1" s="2" t="s">
        <v>21</v>
      </c>
      <c r="E1" s="2" t="s">
        <v>22</v>
      </c>
      <c r="F1" s="2" t="s">
        <v>64</v>
      </c>
      <c r="G1" s="2" t="s">
        <v>23</v>
      </c>
      <c r="H1" s="2" t="s">
        <v>94</v>
      </c>
      <c r="I1" s="2" t="s">
        <v>24</v>
      </c>
      <c r="J1" s="2" t="s">
        <v>25</v>
      </c>
      <c r="K1" s="2" t="s">
        <v>26</v>
      </c>
      <c r="L1" s="2" t="s">
        <v>72</v>
      </c>
      <c r="M1" s="2" t="s">
        <v>73</v>
      </c>
      <c r="N1" s="2" t="s">
        <v>29</v>
      </c>
      <c r="O1" s="2" t="s">
        <v>30</v>
      </c>
      <c r="P1" s="2" t="s">
        <v>31</v>
      </c>
      <c r="Q1" s="2" t="s">
        <v>35</v>
      </c>
      <c r="R1" s="2" t="s">
        <v>36</v>
      </c>
      <c r="S1" s="3" t="s">
        <v>59</v>
      </c>
      <c r="T1" s="3" t="s">
        <v>60</v>
      </c>
      <c r="U1" s="3" t="s">
        <v>61</v>
      </c>
      <c r="V1" s="3" t="s">
        <v>62</v>
      </c>
      <c r="W1" s="4" t="s">
        <v>63</v>
      </c>
      <c r="X1" s="3" t="s">
        <v>68</v>
      </c>
      <c r="Y1" s="3" t="s">
        <v>69</v>
      </c>
      <c r="Z1" s="3" t="s">
        <v>70</v>
      </c>
      <c r="AA1" s="3" t="s">
        <v>71</v>
      </c>
    </row>
    <row r="2" spans="1:27" x14ac:dyDescent="0.25">
      <c r="A2" s="1">
        <v>40978</v>
      </c>
      <c r="B2" t="s">
        <v>14</v>
      </c>
      <c r="C2" t="str">
        <f>VLOOKUP(Table1[[#This Row],[HomeTeam]], TeamAttrs!$A$2:$B$20,2,FALSE)</f>
        <v>ColRa</v>
      </c>
      <c r="D2">
        <v>2</v>
      </c>
      <c r="E2">
        <v>0</v>
      </c>
      <c r="F2">
        <f>Table1[[#This Row],[HomeTeamScore]]-Table1[[#This Row],[VisitorScore]]</f>
        <v>2</v>
      </c>
      <c r="G2" t="s">
        <v>8</v>
      </c>
      <c r="H2" t="str">
        <f>VLOOKUP(Table1[[#This Row],[VisitorTeam]],TeamAttrs!$A$2:$B$20, 2, FALSE)</f>
        <v>Colum</v>
      </c>
      <c r="I2">
        <f t="shared" ref="I2:I65" si="0">IF(D2&gt;E2, 1,0)</f>
        <v>1</v>
      </c>
      <c r="J2">
        <f t="shared" ref="J2:J65" si="1">IF(D2=E2, 1, 0)</f>
        <v>0</v>
      </c>
      <c r="K2">
        <f t="shared" ref="K2:K65" si="2">IF(E2&gt;D2, 1,0)</f>
        <v>0</v>
      </c>
      <c r="L2">
        <f>3*Table1[HomeWin] +Table1[Draw]</f>
        <v>3</v>
      </c>
      <c r="M2">
        <f>3*Table1[HomeLoss]+Table1[Draw]</f>
        <v>0</v>
      </c>
      <c r="N2">
        <f>VLOOKUP(B2,TeamAttrs!$A$2:$C$20,3,FALSE)</f>
        <v>7</v>
      </c>
      <c r="O2">
        <f>VLOOKUP(G2,TeamAttrs!$A$2:$C$20,3,FALSE)</f>
        <v>5</v>
      </c>
      <c r="P2">
        <f t="shared" ref="P2:P65" si="3">O2-N2</f>
        <v>-2</v>
      </c>
      <c r="Q2">
        <f>VLOOKUP(B2,TeamAttrs!$A$2:$D$20,3,FALSE)</f>
        <v>7</v>
      </c>
      <c r="R2">
        <f>VLOOKUP(G2,TeamAttrs!$A$2:$D$20,3,FALSE)</f>
        <v>5</v>
      </c>
      <c r="S2">
        <f>RADIANS(VLOOKUP(Table1[[#This Row],[HomeTeam]],TeamAttrs!$A$2:$H$20,7, FALSE))</f>
        <v>0.69376837766774602</v>
      </c>
      <c r="T2">
        <f>RADIANS(VLOOKUP(Table1[[#This Row],[HomeTeam]],TeamAttrs!$A$2:$H$20, 8, FALSE))</f>
        <v>-1.8302744266888937</v>
      </c>
      <c r="U2">
        <f>RADIANS(VLOOKUP(Table1[[#This Row],[VisitorTeam]],TeamAttrs!$A$2:$H$20,7,FALSE))</f>
        <v>0.69813170079773179</v>
      </c>
      <c r="V2">
        <f>RADIANS(VLOOKUP(Table1[[#This Row],[VisitorTeam]], TeamAttrs!$A$2:$H$20,8,FALSE))</f>
        <v>-1.4465864799182162</v>
      </c>
      <c r="W2" s="5">
        <f>60*DEGREES(ACOS(SIN(Table1[[#This Row],[HomeLat]])*SIN(Table1[[#This Row],[VisitorLat]]) +COS(Table1[[#This Row],[HomeLat]])*COS(Table1[[#This Row],[VisitorLat]])*COS(ABS(Table1[[#This Row],[HomeLong]] -Table1[[#This Row],[VisitorLong]]))))</f>
        <v>1009.8131993312966</v>
      </c>
      <c r="X2" s="6">
        <f>VLOOKUP(Table1[[#This Row],[HomeTeam]],TeamAttrs!$A$2:$K$20,5,FALSE)</f>
        <v>3430000</v>
      </c>
      <c r="Y2" s="6">
        <f>VLOOKUP(Table1[[#This Row],[HomeTeam]],TeamAttrs!$A$2:$K$20,9,FALSE)</f>
        <v>15175</v>
      </c>
      <c r="Z2" s="6">
        <f>VLOOKUP(Table1[[#This Row],[HomeTeam]],TeamAttrs!$A$2:$K$20,10,FALSE)</f>
        <v>18086</v>
      </c>
      <c r="AA2" s="6">
        <f>VLOOKUP(Table1[[#This Row],[HomeTeam]],TeamAttrs!$A$2:$K$20,11,FALSE)</f>
        <v>0.83904677651221937</v>
      </c>
    </row>
    <row r="3" spans="1:27" x14ac:dyDescent="0.25">
      <c r="A3" s="1">
        <v>40978</v>
      </c>
      <c r="B3" t="s">
        <v>3</v>
      </c>
      <c r="C3" t="str">
        <f>VLOOKUP(Table1[[#This Row],[HomeTeam]], TeamAttrs!$A$2:$B$20,2,FALSE)</f>
        <v>DCU</v>
      </c>
      <c r="D3">
        <v>0</v>
      </c>
      <c r="E3">
        <v>1</v>
      </c>
      <c r="F3">
        <f>Table1[[#This Row],[HomeTeamScore]]-Table1[[#This Row],[VisitorScore]]</f>
        <v>-1</v>
      </c>
      <c r="G3" t="s">
        <v>6</v>
      </c>
      <c r="H3" t="str">
        <f>VLOOKUP(Table1[[#This Row],[VisitorTeam]],TeamAttrs!$A$2:$B$20, 2, FALSE)</f>
        <v>SKC</v>
      </c>
      <c r="I3">
        <f t="shared" si="0"/>
        <v>0</v>
      </c>
      <c r="J3">
        <f t="shared" si="1"/>
        <v>0</v>
      </c>
      <c r="K3">
        <f t="shared" si="2"/>
        <v>1</v>
      </c>
      <c r="L3">
        <f>3*Table1[HomeWin] +Table1[Draw]</f>
        <v>0</v>
      </c>
      <c r="M3">
        <f>3*Table1[HomeLoss]+Table1[Draw]</f>
        <v>3</v>
      </c>
      <c r="N3">
        <f>VLOOKUP(B3,TeamAttrs!$A$2:$C$20,3,FALSE)</f>
        <v>5</v>
      </c>
      <c r="O3">
        <f>VLOOKUP(G3,TeamAttrs!$A$2:$C$20,3,FALSE)</f>
        <v>6</v>
      </c>
      <c r="P3">
        <f t="shared" si="3"/>
        <v>1</v>
      </c>
      <c r="Q3">
        <f>VLOOKUP(B3,TeamAttrs!$A$2:$D$20,3,FALSE)</f>
        <v>5</v>
      </c>
      <c r="R3">
        <f>VLOOKUP(G3,TeamAttrs!$A$2:$D$20,3,FALSE)</f>
        <v>6</v>
      </c>
      <c r="S3">
        <f>RADIANS(VLOOKUP(Table1[[#This Row],[HomeTeam]],TeamAttrs!$A$2:$H$20,7, FALSE))</f>
        <v>0.67806041439979703</v>
      </c>
      <c r="T3">
        <f>RADIANS(VLOOKUP(Table1[[#This Row],[HomeTeam]],TeamAttrs!$A$2:$H$20, 8, FALSE))</f>
        <v>-1.3444847186765478</v>
      </c>
      <c r="U3">
        <f>RADIANS(VLOOKUP(Table1[[#This Row],[VisitorTeam]],TeamAttrs!$A$2:$H$20,7,FALSE))</f>
        <v>0.68271520751486592</v>
      </c>
      <c r="V3">
        <f>RADIANS(VLOOKUP(Table1[[#This Row],[VisitorTeam]], TeamAttrs!$A$2:$H$20,8,FALSE))</f>
        <v>-1.65166266702755</v>
      </c>
      <c r="W3" s="5">
        <f>60*DEGREES(ACOS(SIN(Table1[[#This Row],[HomeLat]])*SIN(Table1[[#This Row],[VisitorLat]]) +COS(Table1[[#This Row],[HomeLat]])*COS(Table1[[#This Row],[VisitorLat]])*COS(ABS(Table1[[#This Row],[HomeLong]] -Table1[[#This Row],[VisitorLong]]))))</f>
        <v>819.72928138913846</v>
      </c>
      <c r="X3" s="6">
        <f>VLOOKUP(Table1[[#This Row],[HomeTeam]],TeamAttrs!$A$2:$K$20,5,FALSE)</f>
        <v>4190000.0000000005</v>
      </c>
      <c r="Y3" s="6">
        <f>VLOOKUP(Table1[[#This Row],[HomeTeam]],TeamAttrs!$A$2:$K$20,9,FALSE)</f>
        <v>13846</v>
      </c>
      <c r="Z3" s="6">
        <f>VLOOKUP(Table1[[#This Row],[HomeTeam]],TeamAttrs!$A$2:$K$20,10,FALSE)</f>
        <v>19467</v>
      </c>
      <c r="AA3" s="6">
        <f>VLOOKUP(Table1[[#This Row],[HomeTeam]],TeamAttrs!$A$2:$K$20,11,FALSE)</f>
        <v>0.71125494426465297</v>
      </c>
    </row>
    <row r="4" spans="1:27" x14ac:dyDescent="0.25">
      <c r="A4" s="1">
        <v>40978</v>
      </c>
      <c r="B4" t="s">
        <v>16</v>
      </c>
      <c r="C4" t="str">
        <f>VLOOKUP(Table1[[#This Row],[HomeTeam]], TeamAttrs!$A$2:$B$20,2,FALSE)</f>
        <v>LAGxy</v>
      </c>
      <c r="D4">
        <v>1</v>
      </c>
      <c r="E4">
        <v>3</v>
      </c>
      <c r="F4">
        <f>Table1[[#This Row],[HomeTeamScore]]-Table1[[#This Row],[VisitorScore]]</f>
        <v>-2</v>
      </c>
      <c r="G4" t="s">
        <v>18</v>
      </c>
      <c r="H4" t="str">
        <f>VLOOKUP(Table1[[#This Row],[VisitorTeam]],TeamAttrs!$A$2:$B$20, 2, FALSE)</f>
        <v>RSL</v>
      </c>
      <c r="I4">
        <f t="shared" si="0"/>
        <v>0</v>
      </c>
      <c r="J4">
        <f t="shared" si="1"/>
        <v>0</v>
      </c>
      <c r="K4">
        <f t="shared" si="2"/>
        <v>1</v>
      </c>
      <c r="L4">
        <f>3*Table1[HomeWin] +Table1[Draw]</f>
        <v>0</v>
      </c>
      <c r="M4">
        <f>3*Table1[HomeLoss]+Table1[Draw]</f>
        <v>3</v>
      </c>
      <c r="N4">
        <f>VLOOKUP(B4,TeamAttrs!$A$2:$C$20,3,FALSE)</f>
        <v>8</v>
      </c>
      <c r="O4">
        <f>VLOOKUP(G4,TeamAttrs!$A$2:$C$20,3,FALSE)</f>
        <v>7</v>
      </c>
      <c r="P4">
        <f t="shared" si="3"/>
        <v>-1</v>
      </c>
      <c r="Q4">
        <f>VLOOKUP(B4,TeamAttrs!$A$2:$D$20,3,FALSE)</f>
        <v>8</v>
      </c>
      <c r="R4">
        <f>VLOOKUP(G4,TeamAttrs!$A$2:$D$20,3,FALSE)</f>
        <v>7</v>
      </c>
      <c r="S4">
        <f>RADIANS(VLOOKUP(Table1[[#This Row],[HomeTeam]],TeamAttrs!$A$2:$H$20,7, FALSE))</f>
        <v>0.59224781106699187</v>
      </c>
      <c r="T4">
        <f>RADIANS(VLOOKUP(Table1[[#This Row],[HomeTeam]],TeamAttrs!$A$2:$H$20, 8, FALSE))</f>
        <v>-2.0664698343612864</v>
      </c>
      <c r="U4">
        <f>RADIANS(VLOOKUP(Table1[[#This Row],[VisitorTeam]],TeamAttrs!$A$2:$H$20,7,FALSE))</f>
        <v>0.71151314017277234</v>
      </c>
      <c r="V4">
        <f>RADIANS(VLOOKUP(Table1[[#This Row],[VisitorTeam]], TeamAttrs!$A$2:$H$20,8,FALSE))</f>
        <v>-1.954192803580491</v>
      </c>
      <c r="W4" s="5">
        <f>60*DEGREES(ACOS(SIN(Table1[[#This Row],[HomeLat]])*SIN(Table1[[#This Row],[VisitorLat]]) +COS(Table1[[#This Row],[HomeLat]])*COS(Table1[[#This Row],[VisitorLat]])*COS(ABS(Table1[[#This Row],[HomeLong]] -Table1[[#This Row],[VisitorLong]]))))</f>
        <v>511.76775855631945</v>
      </c>
      <c r="X4" s="6">
        <f>VLOOKUP(Table1[[#This Row],[HomeTeam]],TeamAttrs!$A$2:$K$20,5,FALSE)</f>
        <v>12630000</v>
      </c>
      <c r="Y4" s="6">
        <f>VLOOKUP(Table1[[#This Row],[HomeTeam]],TeamAttrs!$A$2:$K$20,9,FALSE)</f>
        <v>23136</v>
      </c>
      <c r="Z4" s="6">
        <f>VLOOKUP(Table1[[#This Row],[HomeTeam]],TeamAttrs!$A$2:$K$20,10,FALSE)</f>
        <v>27000</v>
      </c>
      <c r="AA4" s="6">
        <f>VLOOKUP(Table1[[#This Row],[HomeTeam]],TeamAttrs!$A$2:$K$20,11,FALSE)</f>
        <v>0.85688888888888892</v>
      </c>
    </row>
    <row r="5" spans="1:27" x14ac:dyDescent="0.25">
      <c r="A5" s="1">
        <v>40978</v>
      </c>
      <c r="B5" t="s">
        <v>5</v>
      </c>
      <c r="C5" t="str">
        <f>VLOOKUP(Table1[[#This Row],[HomeTeam]], TeamAttrs!$A$2:$B$20,2,FALSE)</f>
        <v>SJE</v>
      </c>
      <c r="D5">
        <v>1</v>
      </c>
      <c r="E5">
        <v>0</v>
      </c>
      <c r="F5">
        <f>Table1[[#This Row],[HomeTeamScore]]-Table1[[#This Row],[VisitorScore]]</f>
        <v>1</v>
      </c>
      <c r="G5" t="s">
        <v>9</v>
      </c>
      <c r="H5" t="str">
        <f>VLOOKUP(Table1[[#This Row],[VisitorTeam]],TeamAttrs!$A$2:$B$20, 2, FALSE)</f>
        <v>NE</v>
      </c>
      <c r="I5">
        <f t="shared" si="0"/>
        <v>1</v>
      </c>
      <c r="J5">
        <f t="shared" si="1"/>
        <v>0</v>
      </c>
      <c r="K5">
        <f t="shared" si="2"/>
        <v>0</v>
      </c>
      <c r="L5">
        <f>3*Table1[HomeWin] +Table1[Draw]</f>
        <v>3</v>
      </c>
      <c r="M5">
        <f>3*Table1[HomeLoss]+Table1[Draw]</f>
        <v>0</v>
      </c>
      <c r="N5">
        <f>VLOOKUP(B5,TeamAttrs!$A$2:$C$20,3,FALSE)</f>
        <v>8</v>
      </c>
      <c r="O5">
        <f>VLOOKUP(G5,TeamAttrs!$A$2:$C$20,3,FALSE)</f>
        <v>5</v>
      </c>
      <c r="P5">
        <f t="shared" si="3"/>
        <v>-3</v>
      </c>
      <c r="Q5">
        <f>VLOOKUP(B5,TeamAttrs!$A$2:$D$20,3,FALSE)</f>
        <v>8</v>
      </c>
      <c r="R5">
        <f>VLOOKUP(G5,TeamAttrs!$A$2:$D$20,3,FALSE)</f>
        <v>5</v>
      </c>
      <c r="S5">
        <f>RADIANS(VLOOKUP(Table1[[#This Row],[HomeTeam]],TeamAttrs!$A$2:$H$20,7, FALSE))</f>
        <v>0.65217194560496516</v>
      </c>
      <c r="T5">
        <f>RADIANS(VLOOKUP(Table1[[#This Row],[HomeTeam]],TeamAttrs!$A$2:$H$20, 8, FALSE))</f>
        <v>-2.1281323168342459</v>
      </c>
      <c r="U5">
        <f>RADIANS(VLOOKUP(Table1[[#This Row],[VisitorTeam]],TeamAttrs!$A$2:$H$20,7,FALSE))</f>
        <v>0.73943840820468165</v>
      </c>
      <c r="V5">
        <f>RADIANS(VLOOKUP(Table1[[#This Row],[VisitorTeam]], TeamAttrs!$A$2:$H$20,8,FALSE))</f>
        <v>-1.2397649635568881</v>
      </c>
      <c r="W5" s="5">
        <f>60*DEGREES(ACOS(SIN(Table1[[#This Row],[HomeLat]])*SIN(Table1[[#This Row],[VisitorLat]]) +COS(Table1[[#This Row],[HomeLat]])*COS(Table1[[#This Row],[VisitorLat]])*COS(ABS(Table1[[#This Row],[HomeLong]] -Table1[[#This Row],[VisitorLong]]))))</f>
        <v>2328.0677887114462</v>
      </c>
      <c r="X5" s="6">
        <f>VLOOKUP(Table1[[#This Row],[HomeTeam]],TeamAttrs!$A$2:$K$20,5,FALSE)</f>
        <v>3210000</v>
      </c>
      <c r="Y5" s="6">
        <f>VLOOKUP(Table1[[#This Row],[HomeTeam]],TeamAttrs!$A$2:$K$20,9,FALSE)</f>
        <v>13293</v>
      </c>
      <c r="Z5" s="6">
        <f>VLOOKUP(Table1[[#This Row],[HomeTeam]],TeamAttrs!$A$2:$K$20,10,FALSE)</f>
        <v>10525</v>
      </c>
      <c r="AA5" s="6">
        <f>VLOOKUP(Table1[[#This Row],[HomeTeam]],TeamAttrs!$A$2:$K$20,11,FALSE)</f>
        <v>1.2629928741092638</v>
      </c>
    </row>
    <row r="6" spans="1:27" x14ac:dyDescent="0.25">
      <c r="A6" s="1">
        <v>40978</v>
      </c>
      <c r="B6" t="s">
        <v>0</v>
      </c>
      <c r="C6" t="str">
        <f>VLOOKUP(Table1[[#This Row],[HomeTeam]], TeamAttrs!$A$2:$B$20,2,FALSE)</f>
        <v>Van</v>
      </c>
      <c r="D6">
        <v>2</v>
      </c>
      <c r="E6">
        <v>0</v>
      </c>
      <c r="F6">
        <f>Table1[[#This Row],[HomeTeamScore]]-Table1[[#This Row],[VisitorScore]]</f>
        <v>2</v>
      </c>
      <c r="G6" t="s">
        <v>1</v>
      </c>
      <c r="H6" t="str">
        <f>VLOOKUP(Table1[[#This Row],[VisitorTeam]],TeamAttrs!$A$2:$B$20, 2, FALSE)</f>
        <v>Mntrl</v>
      </c>
      <c r="I6">
        <f t="shared" si="0"/>
        <v>1</v>
      </c>
      <c r="J6">
        <f t="shared" si="1"/>
        <v>0</v>
      </c>
      <c r="K6">
        <f t="shared" si="2"/>
        <v>0</v>
      </c>
      <c r="L6">
        <f>3*Table1[HomeWin] +Table1[Draw]</f>
        <v>3</v>
      </c>
      <c r="M6">
        <f>3*Table1[HomeLoss]+Table1[Draw]</f>
        <v>0</v>
      </c>
      <c r="N6">
        <f>VLOOKUP(B6,TeamAttrs!$A$2:$C$20,3,FALSE)</f>
        <v>8</v>
      </c>
      <c r="O6">
        <f>VLOOKUP(G6,TeamAttrs!$A$2:$C$20,3,FALSE)</f>
        <v>5</v>
      </c>
      <c r="P6">
        <f t="shared" si="3"/>
        <v>-3</v>
      </c>
      <c r="Q6">
        <f>VLOOKUP(B6,TeamAttrs!$A$2:$D$20,3,FALSE)</f>
        <v>8</v>
      </c>
      <c r="R6">
        <f>VLOOKUP(G6,TeamAttrs!$A$2:$D$20,3,FALSE)</f>
        <v>5</v>
      </c>
      <c r="S6">
        <f>RADIANS(VLOOKUP(Table1[[#This Row],[HomeTeam]],TeamAttrs!$A$2:$H$20,7, FALSE))</f>
        <v>0.86015585124812133</v>
      </c>
      <c r="T6">
        <f>RADIANS(VLOOKUP(Table1[[#This Row],[HomeTeam]],TeamAttrs!$A$2:$H$20, 8, FALSE))</f>
        <v>-2.1487970151778586</v>
      </c>
      <c r="U6">
        <f>RADIANS(VLOOKUP(Table1[[#This Row],[VisitorTeam]],TeamAttrs!$A$2:$H$20,7,FALSE))</f>
        <v>0.79354361501650583</v>
      </c>
      <c r="V6">
        <f>RADIANS(VLOOKUP(Table1[[#This Row],[VisitorTeam]], TeamAttrs!$A$2:$H$20,8,FALSE))</f>
        <v>-1.2871803233458181</v>
      </c>
      <c r="W6" s="5">
        <f>60*DEGREES(ACOS(SIN(Table1[[#This Row],[HomeLat]])*SIN(Table1[[#This Row],[VisitorLat]]) +COS(Table1[[#This Row],[HomeLat]])*COS(Table1[[#This Row],[VisitorLat]])*COS(ABS(Table1[[#This Row],[HomeLong]] -Table1[[#This Row],[VisitorLong]]))))</f>
        <v>1982.8675041817439</v>
      </c>
      <c r="X6" s="6">
        <f>VLOOKUP(Table1[[#This Row],[HomeTeam]],TeamAttrs!$A$2:$K$20,5,FALSE)</f>
        <v>4370000</v>
      </c>
      <c r="Y6" s="6">
        <f>VLOOKUP(Table1[[#This Row],[HomeTeam]],TeamAttrs!$A$2:$K$20,9,FALSE)</f>
        <v>19475</v>
      </c>
      <c r="Z6" s="6">
        <f>VLOOKUP(Table1[[#This Row],[HomeTeam]],TeamAttrs!$A$2:$K$20,10,FALSE)</f>
        <v>21000</v>
      </c>
      <c r="AA6" s="6">
        <f>VLOOKUP(Table1[[#This Row],[HomeTeam]],TeamAttrs!$A$2:$K$20,11,FALSE)</f>
        <v>0.92738095238095242</v>
      </c>
    </row>
    <row r="7" spans="1:27" x14ac:dyDescent="0.25">
      <c r="A7" s="1">
        <v>40979</v>
      </c>
      <c r="B7" t="s">
        <v>2</v>
      </c>
      <c r="C7" t="str">
        <f>VLOOKUP(Table1[[#This Row],[HomeTeam]], TeamAttrs!$A$2:$B$20,2,FALSE)</f>
        <v>Chiv</v>
      </c>
      <c r="D7">
        <v>0</v>
      </c>
      <c r="E7">
        <v>1</v>
      </c>
      <c r="F7">
        <f>Table1[[#This Row],[HomeTeamScore]]-Table1[[#This Row],[VisitorScore]]</f>
        <v>-1</v>
      </c>
      <c r="G7" t="s">
        <v>13</v>
      </c>
      <c r="H7" t="str">
        <f>VLOOKUP(Table1[[#This Row],[VisitorTeam]],TeamAttrs!$A$2:$B$20, 2, FALSE)</f>
        <v>Hou</v>
      </c>
      <c r="I7">
        <f t="shared" si="0"/>
        <v>0</v>
      </c>
      <c r="J7">
        <f t="shared" si="1"/>
        <v>0</v>
      </c>
      <c r="K7">
        <f t="shared" si="2"/>
        <v>1</v>
      </c>
      <c r="L7">
        <f>3*Table1[HomeWin] +Table1[Draw]</f>
        <v>0</v>
      </c>
      <c r="M7">
        <f>3*Table1[HomeLoss]+Table1[Draw]</f>
        <v>3</v>
      </c>
      <c r="N7">
        <f>VLOOKUP(B7,TeamAttrs!$A$2:$C$20,3,FALSE)</f>
        <v>8</v>
      </c>
      <c r="O7">
        <f>VLOOKUP(G7,TeamAttrs!$A$2:$C$20,3,FALSE)</f>
        <v>6</v>
      </c>
      <c r="P7">
        <f t="shared" si="3"/>
        <v>-2</v>
      </c>
      <c r="Q7">
        <f>VLOOKUP(B7,TeamAttrs!$A$2:$D$20,3,FALSE)</f>
        <v>8</v>
      </c>
      <c r="R7">
        <f>VLOOKUP(G7,TeamAttrs!$A$2:$D$20,3,FALSE)</f>
        <v>6</v>
      </c>
      <c r="S7">
        <f>RADIANS(VLOOKUP(Table1[[#This Row],[HomeTeam]],TeamAttrs!$A$2:$H$20,7, FALSE))</f>
        <v>0.59224781106699187</v>
      </c>
      <c r="T7">
        <f>RADIANS(VLOOKUP(Table1[[#This Row],[HomeTeam]],TeamAttrs!$A$2:$H$20, 8, FALSE))</f>
        <v>-2.0664698343612864</v>
      </c>
      <c r="U7">
        <f>RADIANS(VLOOKUP(Table1[[#This Row],[VisitorTeam]],TeamAttrs!$A$2:$H$20,7,FALSE))</f>
        <v>0.52301758095738471</v>
      </c>
      <c r="V7">
        <f>RADIANS(VLOOKUP(Table1[[#This Row],[VisitorTeam]], TeamAttrs!$A$2:$H$20,8,FALSE))</f>
        <v>-1.6641714417765932</v>
      </c>
      <c r="W7" s="5">
        <f>60*DEGREES(ACOS(SIN(Table1[[#This Row],[HomeLat]])*SIN(Table1[[#This Row],[VisitorLat]]) +COS(Table1[[#This Row],[HomeLat]])*COS(Table1[[#This Row],[VisitorLat]])*COS(ABS(Table1[[#This Row],[HomeLong]] -Table1[[#This Row],[VisitorLong]]))))</f>
        <v>1194.6845065728508</v>
      </c>
      <c r="X7" s="6">
        <f>VLOOKUP(Table1[[#This Row],[HomeTeam]],TeamAttrs!$A$2:$K$20,5,FALSE)</f>
        <v>3230000</v>
      </c>
      <c r="Y7" s="6">
        <f>VLOOKUP(Table1[[#This Row],[HomeTeam]],TeamAttrs!$A$2:$K$20,9,FALSE)</f>
        <v>13056</v>
      </c>
      <c r="Z7" s="6">
        <f>VLOOKUP(Table1[[#This Row],[HomeTeam]],TeamAttrs!$A$2:$K$20,10,FALSE)</f>
        <v>18800</v>
      </c>
      <c r="AA7" s="6">
        <f>VLOOKUP(Table1[[#This Row],[HomeTeam]],TeamAttrs!$A$2:$K$20,11,FALSE)</f>
        <v>0.69446808510638303</v>
      </c>
    </row>
    <row r="8" spans="1:27" x14ac:dyDescent="0.25">
      <c r="A8" s="1">
        <v>40979</v>
      </c>
      <c r="B8" t="s">
        <v>7</v>
      </c>
      <c r="C8" t="str">
        <f>VLOOKUP(Table1[[#This Row],[HomeTeam]], TeamAttrs!$A$2:$B$20,2,FALSE)</f>
        <v>FCDal</v>
      </c>
      <c r="D8">
        <v>2</v>
      </c>
      <c r="E8">
        <v>1</v>
      </c>
      <c r="F8">
        <f>Table1[[#This Row],[HomeTeamScore]]-Table1[[#This Row],[VisitorScore]]</f>
        <v>1</v>
      </c>
      <c r="G8" t="s">
        <v>15</v>
      </c>
      <c r="H8" t="str">
        <f>VLOOKUP(Table1[[#This Row],[VisitorTeam]],TeamAttrs!$A$2:$B$20, 2, FALSE)</f>
        <v>NY</v>
      </c>
      <c r="I8">
        <f t="shared" si="0"/>
        <v>1</v>
      </c>
      <c r="J8">
        <f t="shared" si="1"/>
        <v>0</v>
      </c>
      <c r="K8">
        <f t="shared" si="2"/>
        <v>0</v>
      </c>
      <c r="L8">
        <f>3*Table1[HomeWin] +Table1[Draw]</f>
        <v>3</v>
      </c>
      <c r="M8">
        <f>3*Table1[HomeLoss]+Table1[Draw]</f>
        <v>0</v>
      </c>
      <c r="N8">
        <f>VLOOKUP(B8,TeamAttrs!$A$2:$C$20,3,FALSE)</f>
        <v>6</v>
      </c>
      <c r="O8">
        <f>VLOOKUP(G8,TeamAttrs!$A$2:$C$20,3,FALSE)</f>
        <v>5</v>
      </c>
      <c r="P8">
        <f t="shared" si="3"/>
        <v>-1</v>
      </c>
      <c r="Q8">
        <f>VLOOKUP(B8,TeamAttrs!$A$2:$D$20,3,FALSE)</f>
        <v>6</v>
      </c>
      <c r="R8">
        <f>VLOOKUP(G8,TeamAttrs!$A$2:$D$20,3,FALSE)</f>
        <v>5</v>
      </c>
      <c r="S8">
        <f>RADIANS(VLOOKUP(Table1[[#This Row],[HomeTeam]],TeamAttrs!$A$2:$H$20,7, FALSE))</f>
        <v>0.57334065928013733</v>
      </c>
      <c r="T8">
        <f>RADIANS(VLOOKUP(Table1[[#This Row],[HomeTeam]],TeamAttrs!$A$2:$H$20, 8, FALSE))</f>
        <v>-1.690351380556508</v>
      </c>
      <c r="U8">
        <f>RADIANS(VLOOKUP(Table1[[#This Row],[VisitorTeam]],TeamAttrs!$A$2:$H$20,7,FALSE))</f>
        <v>0.71180286482860333</v>
      </c>
      <c r="V8">
        <f>RADIANS(VLOOKUP(Table1[[#This Row],[VisitorTeam]], TeamAttrs!$A$2:$H$20,8,FALSE))</f>
        <v>-1.2909624518348899</v>
      </c>
      <c r="W8" s="5">
        <f>60*DEGREES(ACOS(SIN(Table1[[#This Row],[HomeLat]])*SIN(Table1[[#This Row],[VisitorLat]]) +COS(Table1[[#This Row],[HomeLat]])*COS(Table1[[#This Row],[VisitorLat]])*COS(ABS(Table1[[#This Row],[HomeLong]] -Table1[[#This Row],[VisitorLong]]))))</f>
        <v>1193.2026597452334</v>
      </c>
      <c r="X8" s="6">
        <f>VLOOKUP(Table1[[#This Row],[HomeTeam]],TeamAttrs!$A$2:$K$20,5,FALSE)</f>
        <v>3450000</v>
      </c>
      <c r="Y8" s="6">
        <f>VLOOKUP(Table1[[#This Row],[HomeTeam]],TeamAttrs!$A$2:$K$20,9,FALSE)</f>
        <v>14199</v>
      </c>
      <c r="Z8" s="6">
        <f>VLOOKUP(Table1[[#This Row],[HomeTeam]],TeamAttrs!$A$2:$K$20,10,FALSE)</f>
        <v>20500</v>
      </c>
      <c r="AA8" s="6">
        <f>VLOOKUP(Table1[[#This Row],[HomeTeam]],TeamAttrs!$A$2:$K$20,11,FALSE)</f>
        <v>0.69263414634146336</v>
      </c>
    </row>
    <row r="9" spans="1:27" x14ac:dyDescent="0.25">
      <c r="A9" s="1">
        <v>40980</v>
      </c>
      <c r="B9" t="s">
        <v>12</v>
      </c>
      <c r="C9" t="str">
        <f>VLOOKUP(Table1[[#This Row],[HomeTeam]], TeamAttrs!$A$2:$B$20,2,FALSE)</f>
        <v>Port</v>
      </c>
      <c r="D9">
        <v>3</v>
      </c>
      <c r="E9">
        <v>1</v>
      </c>
      <c r="F9">
        <f>Table1[[#This Row],[HomeTeamScore]]-Table1[[#This Row],[VisitorScore]]</f>
        <v>2</v>
      </c>
      <c r="G9" t="s">
        <v>4</v>
      </c>
      <c r="H9" t="str">
        <f>VLOOKUP(Table1[[#This Row],[VisitorTeam]],TeamAttrs!$A$2:$B$20, 2, FALSE)</f>
        <v>Phil</v>
      </c>
      <c r="I9">
        <f t="shared" si="0"/>
        <v>1</v>
      </c>
      <c r="J9">
        <f t="shared" si="1"/>
        <v>0</v>
      </c>
      <c r="K9">
        <f t="shared" si="2"/>
        <v>0</v>
      </c>
      <c r="L9">
        <f>3*Table1[HomeWin] +Table1[Draw]</f>
        <v>3</v>
      </c>
      <c r="M9">
        <f>3*Table1[HomeLoss]+Table1[Draw]</f>
        <v>0</v>
      </c>
      <c r="N9">
        <f>VLOOKUP(B9,TeamAttrs!$A$2:$C$20,3,FALSE)</f>
        <v>8</v>
      </c>
      <c r="O9">
        <f>VLOOKUP(G9,TeamAttrs!$A$2:$C$20,3,FALSE)</f>
        <v>5</v>
      </c>
      <c r="P9">
        <f t="shared" si="3"/>
        <v>-3</v>
      </c>
      <c r="Q9">
        <f>VLOOKUP(B9,TeamAttrs!$A$2:$D$20,3,FALSE)</f>
        <v>8</v>
      </c>
      <c r="R9">
        <f>VLOOKUP(G9,TeamAttrs!$A$2:$D$20,3,FALSE)</f>
        <v>5</v>
      </c>
      <c r="S9">
        <f>RADIANS(VLOOKUP(Table1[[#This Row],[HomeTeam]],TeamAttrs!$A$2:$H$20,7, FALSE))</f>
        <v>0.79587013890941427</v>
      </c>
      <c r="T9">
        <f>RADIANS(VLOOKUP(Table1[[#This Row],[HomeTeam]],TeamAttrs!$A$2:$H$20, 8, FALSE))</f>
        <v>-2.1397736629450481</v>
      </c>
      <c r="U9">
        <f>RADIANS(VLOOKUP(Table1[[#This Row],[VisitorTeam]],TeamAttrs!$A$2:$H$20,7,FALSE))</f>
        <v>0.69609490156065446</v>
      </c>
      <c r="V9">
        <f>RADIANS(VLOOKUP(Table1[[#This Row],[VisitorTeam]], TeamAttrs!$A$2:$H$20,8,FALSE))</f>
        <v>-1.313360262125733</v>
      </c>
      <c r="W9" s="5">
        <f>60*DEGREES(ACOS(SIN(Table1[[#This Row],[HomeLat]])*SIN(Table1[[#This Row],[VisitorLat]]) +COS(Table1[[#This Row],[HomeLat]])*COS(Table1[[#This Row],[VisitorLat]])*COS(ABS(Table1[[#This Row],[HomeLong]] -Table1[[#This Row],[VisitorLong]]))))</f>
        <v>2083.5344122264983</v>
      </c>
      <c r="X9" s="6">
        <f>VLOOKUP(Table1[[#This Row],[HomeTeam]],TeamAttrs!$A$2:$K$20,5,FALSE)</f>
        <v>4160000</v>
      </c>
      <c r="Y9" s="6">
        <f>VLOOKUP(Table1[[#This Row],[HomeTeam]],TeamAttrs!$A$2:$K$20,9,FALSE)</f>
        <v>20438</v>
      </c>
      <c r="Z9" s="6">
        <f>VLOOKUP(Table1[[#This Row],[HomeTeam]],TeamAttrs!$A$2:$K$20,10,FALSE)</f>
        <v>20438</v>
      </c>
      <c r="AA9" s="6">
        <f>VLOOKUP(Table1[[#This Row],[HomeTeam]],TeamAttrs!$A$2:$K$20,11,FALSE)</f>
        <v>1</v>
      </c>
    </row>
    <row r="10" spans="1:27" x14ac:dyDescent="0.25">
      <c r="A10" s="1">
        <v>40985</v>
      </c>
      <c r="B10" t="s">
        <v>2</v>
      </c>
      <c r="C10" t="str">
        <f>VLOOKUP(Table1[[#This Row],[HomeTeam]], TeamAttrs!$A$2:$B$20,2,FALSE)</f>
        <v>Chiv</v>
      </c>
      <c r="D10">
        <v>0</v>
      </c>
      <c r="E10">
        <v>1</v>
      </c>
      <c r="F10">
        <f>Table1[[#This Row],[HomeTeamScore]]-Table1[[#This Row],[VisitorScore]]</f>
        <v>-1</v>
      </c>
      <c r="G10" t="s">
        <v>0</v>
      </c>
      <c r="H10" t="str">
        <f>VLOOKUP(Table1[[#This Row],[VisitorTeam]],TeamAttrs!$A$2:$B$20, 2, FALSE)</f>
        <v>Van</v>
      </c>
      <c r="I10">
        <f t="shared" si="0"/>
        <v>0</v>
      </c>
      <c r="J10">
        <f t="shared" si="1"/>
        <v>0</v>
      </c>
      <c r="K10">
        <f t="shared" si="2"/>
        <v>1</v>
      </c>
      <c r="L10">
        <f>3*Table1[HomeWin] +Table1[Draw]</f>
        <v>0</v>
      </c>
      <c r="M10">
        <f>3*Table1[HomeLoss]+Table1[Draw]</f>
        <v>3</v>
      </c>
      <c r="N10">
        <f>VLOOKUP(B10,TeamAttrs!$A$2:$C$20,3,FALSE)</f>
        <v>8</v>
      </c>
      <c r="O10">
        <f>VLOOKUP(G10,TeamAttrs!$A$2:$C$20,3,FALSE)</f>
        <v>8</v>
      </c>
      <c r="P10">
        <f t="shared" si="3"/>
        <v>0</v>
      </c>
      <c r="Q10">
        <f>VLOOKUP(B10,TeamAttrs!$A$2:$D$20,3,FALSE)</f>
        <v>8</v>
      </c>
      <c r="R10">
        <f>VLOOKUP(G10,TeamAttrs!$A$2:$D$20,3,FALSE)</f>
        <v>8</v>
      </c>
      <c r="S10">
        <f>RADIANS(VLOOKUP(Table1[[#This Row],[HomeTeam]],TeamAttrs!$A$2:$H$20,7, FALSE))</f>
        <v>0.59224781106699187</v>
      </c>
      <c r="T10">
        <f>RADIANS(VLOOKUP(Table1[[#This Row],[HomeTeam]],TeamAttrs!$A$2:$H$20, 8, FALSE))</f>
        <v>-2.0664698343612864</v>
      </c>
      <c r="U10">
        <f>RADIANS(VLOOKUP(Table1[[#This Row],[VisitorTeam]],TeamAttrs!$A$2:$H$20,7,FALSE))</f>
        <v>0.86015585124812133</v>
      </c>
      <c r="V10">
        <f>RADIANS(VLOOKUP(Table1[[#This Row],[VisitorTeam]], TeamAttrs!$A$2:$H$20,8,FALSE))</f>
        <v>-2.1487970151778586</v>
      </c>
      <c r="W10" s="5">
        <f>60*DEGREES(ACOS(SIN(Table1[[#This Row],[HomeLat]])*SIN(Table1[[#This Row],[VisitorLat]]) +COS(Table1[[#This Row],[HomeLat]])*COS(Table1[[#This Row],[VisitorLat]])*COS(ABS(Table1[[#This Row],[HomeLong]] -Table1[[#This Row],[VisitorLong]]))))</f>
        <v>944.51302004211243</v>
      </c>
      <c r="X10" s="6">
        <f>VLOOKUP(Table1[[#This Row],[HomeTeam]],TeamAttrs!$A$2:$K$20,5,FALSE)</f>
        <v>3230000</v>
      </c>
      <c r="Y10" s="6">
        <f>VLOOKUP(Table1[[#This Row],[HomeTeam]],TeamAttrs!$A$2:$K$20,9,FALSE)</f>
        <v>13056</v>
      </c>
      <c r="Z10" s="6">
        <f>VLOOKUP(Table1[[#This Row],[HomeTeam]],TeamAttrs!$A$2:$K$20,10,FALSE)</f>
        <v>18800</v>
      </c>
      <c r="AA10" s="6">
        <f>VLOOKUP(Table1[[#This Row],[HomeTeam]],TeamAttrs!$A$2:$K$20,11,FALSE)</f>
        <v>0.69446808510638303</v>
      </c>
    </row>
    <row r="11" spans="1:27" x14ac:dyDescent="0.25">
      <c r="A11" s="1">
        <v>40985</v>
      </c>
      <c r="B11" t="s">
        <v>7</v>
      </c>
      <c r="C11" t="str">
        <f>VLOOKUP(Table1[[#This Row],[HomeTeam]], TeamAttrs!$A$2:$B$20,2,FALSE)</f>
        <v>FCDal</v>
      </c>
      <c r="D11">
        <v>1</v>
      </c>
      <c r="E11">
        <v>1</v>
      </c>
      <c r="F11">
        <f>Table1[[#This Row],[HomeTeamScore]]-Table1[[#This Row],[VisitorScore]]</f>
        <v>0</v>
      </c>
      <c r="G11" t="s">
        <v>12</v>
      </c>
      <c r="H11" t="str">
        <f>VLOOKUP(Table1[[#This Row],[VisitorTeam]],TeamAttrs!$A$2:$B$20, 2, FALSE)</f>
        <v>Port</v>
      </c>
      <c r="I11">
        <f t="shared" si="0"/>
        <v>0</v>
      </c>
      <c r="J11">
        <f t="shared" si="1"/>
        <v>1</v>
      </c>
      <c r="K11">
        <f t="shared" si="2"/>
        <v>0</v>
      </c>
      <c r="L11">
        <f>3*Table1[HomeWin] +Table1[Draw]</f>
        <v>1</v>
      </c>
      <c r="M11">
        <f>3*Table1[HomeLoss]+Table1[Draw]</f>
        <v>1</v>
      </c>
      <c r="N11">
        <f>VLOOKUP(B11,TeamAttrs!$A$2:$C$20,3,FALSE)</f>
        <v>6</v>
      </c>
      <c r="O11">
        <f>VLOOKUP(G11,TeamAttrs!$A$2:$C$20,3,FALSE)</f>
        <v>8</v>
      </c>
      <c r="P11">
        <f t="shared" si="3"/>
        <v>2</v>
      </c>
      <c r="Q11">
        <f>VLOOKUP(B11,TeamAttrs!$A$2:$D$20,3,FALSE)</f>
        <v>6</v>
      </c>
      <c r="R11">
        <f>VLOOKUP(G11,TeamAttrs!$A$2:$D$20,3,FALSE)</f>
        <v>8</v>
      </c>
      <c r="S11">
        <f>RADIANS(VLOOKUP(Table1[[#This Row],[HomeTeam]],TeamAttrs!$A$2:$H$20,7, FALSE))</f>
        <v>0.57334065928013733</v>
      </c>
      <c r="T11">
        <f>RADIANS(VLOOKUP(Table1[[#This Row],[HomeTeam]],TeamAttrs!$A$2:$H$20, 8, FALSE))</f>
        <v>-1.690351380556508</v>
      </c>
      <c r="U11">
        <f>RADIANS(VLOOKUP(Table1[[#This Row],[VisitorTeam]],TeamAttrs!$A$2:$H$20,7,FALSE))</f>
        <v>0.79587013890941427</v>
      </c>
      <c r="V11">
        <f>RADIANS(VLOOKUP(Table1[[#This Row],[VisitorTeam]], TeamAttrs!$A$2:$H$20,8,FALSE))</f>
        <v>-2.1397736629450481</v>
      </c>
      <c r="W11" s="5">
        <f>60*DEGREES(ACOS(SIN(Table1[[#This Row],[HomeLat]])*SIN(Table1[[#This Row],[VisitorLat]]) +COS(Table1[[#This Row],[HomeLat]])*COS(Table1[[#This Row],[VisitorLat]])*COS(ABS(Table1[[#This Row],[HomeLong]] -Table1[[#This Row],[VisitorLong]]))))</f>
        <v>1410.7378651362624</v>
      </c>
      <c r="X11" s="6">
        <f>VLOOKUP(Table1[[#This Row],[HomeTeam]],TeamAttrs!$A$2:$K$20,5,FALSE)</f>
        <v>3450000</v>
      </c>
      <c r="Y11" s="6">
        <f>VLOOKUP(Table1[[#This Row],[HomeTeam]],TeamAttrs!$A$2:$K$20,9,FALSE)</f>
        <v>14199</v>
      </c>
      <c r="Z11" s="6">
        <f>VLOOKUP(Table1[[#This Row],[HomeTeam]],TeamAttrs!$A$2:$K$20,10,FALSE)</f>
        <v>20500</v>
      </c>
      <c r="AA11" s="6">
        <f>VLOOKUP(Table1[[#This Row],[HomeTeam]],TeamAttrs!$A$2:$K$20,11,FALSE)</f>
        <v>0.69263414634146336</v>
      </c>
    </row>
    <row r="12" spans="1:27" x14ac:dyDescent="0.25">
      <c r="A12" s="1">
        <v>40985</v>
      </c>
      <c r="B12" t="s">
        <v>1</v>
      </c>
      <c r="C12" t="str">
        <f>VLOOKUP(Table1[[#This Row],[HomeTeam]], TeamAttrs!$A$2:$B$20,2,FALSE)</f>
        <v>Mntrl</v>
      </c>
      <c r="D12">
        <v>1</v>
      </c>
      <c r="E12">
        <v>1</v>
      </c>
      <c r="F12">
        <f>Table1[[#This Row],[HomeTeamScore]]-Table1[[#This Row],[VisitorScore]]</f>
        <v>0</v>
      </c>
      <c r="G12" t="s">
        <v>17</v>
      </c>
      <c r="H12" t="str">
        <f>VLOOKUP(Table1[[#This Row],[VisitorTeam]],TeamAttrs!$A$2:$B$20, 2, FALSE)</f>
        <v>Chi</v>
      </c>
      <c r="I12">
        <f t="shared" si="0"/>
        <v>0</v>
      </c>
      <c r="J12">
        <f t="shared" si="1"/>
        <v>1</v>
      </c>
      <c r="K12">
        <f t="shared" si="2"/>
        <v>0</v>
      </c>
      <c r="L12">
        <f>3*Table1[HomeWin] +Table1[Draw]</f>
        <v>1</v>
      </c>
      <c r="M12">
        <f>3*Table1[HomeLoss]+Table1[Draw]</f>
        <v>1</v>
      </c>
      <c r="N12">
        <f>VLOOKUP(B12,TeamAttrs!$A$2:$C$20,3,FALSE)</f>
        <v>5</v>
      </c>
      <c r="O12">
        <f>VLOOKUP(G12,TeamAttrs!$A$2:$C$20,3,FALSE)</f>
        <v>6</v>
      </c>
      <c r="P12">
        <f t="shared" si="3"/>
        <v>1</v>
      </c>
      <c r="Q12">
        <f>VLOOKUP(B12,TeamAttrs!$A$2:$D$20,3,FALSE)</f>
        <v>5</v>
      </c>
      <c r="R12">
        <f>VLOOKUP(G12,TeamAttrs!$A$2:$D$20,3,FALSE)</f>
        <v>6</v>
      </c>
      <c r="S12">
        <f>RADIANS(VLOOKUP(Table1[[#This Row],[HomeTeam]],TeamAttrs!$A$2:$H$20,7, FALSE))</f>
        <v>0.79354361501650583</v>
      </c>
      <c r="T12">
        <f>RADIANS(VLOOKUP(Table1[[#This Row],[HomeTeam]],TeamAttrs!$A$2:$H$20, 8, FALSE))</f>
        <v>-1.2871803233458181</v>
      </c>
      <c r="U12">
        <f>RADIANS(VLOOKUP(Table1[[#This Row],[VisitorTeam]],TeamAttrs!$A$2:$H$20,7,FALSE))</f>
        <v>0.72925615734854665</v>
      </c>
      <c r="V12">
        <f>RADIANS(VLOOKUP(Table1[[#This Row],[VisitorTeam]], TeamAttrs!$A$2:$H$20,8,FALSE))</f>
        <v>-1.5315264186250241</v>
      </c>
      <c r="W12" s="5">
        <f>60*DEGREES(ACOS(SIN(Table1[[#This Row],[HomeLat]])*SIN(Table1[[#This Row],[VisitorLat]]) +COS(Table1[[#This Row],[HomeLat]])*COS(Table1[[#This Row],[VisitorLat]])*COS(ABS(Table1[[#This Row],[HomeLong]] -Table1[[#This Row],[VisitorLong]]))))</f>
        <v>645.92380343110551</v>
      </c>
      <c r="X12" s="6">
        <f>VLOOKUP(Table1[[#This Row],[HomeTeam]],TeamAttrs!$A$2:$K$20,5,FALSE)</f>
        <v>3030000</v>
      </c>
      <c r="Y12" s="6">
        <f>VLOOKUP(Table1[[#This Row],[HomeTeam]],TeamAttrs!$A$2:$K$20,9,FALSE)</f>
        <v>22772</v>
      </c>
      <c r="Z12" s="6">
        <f>VLOOKUP(Table1[[#This Row],[HomeTeam]],TeamAttrs!$A$2:$K$20,10,FALSE)</f>
        <v>20341</v>
      </c>
      <c r="AA12" s="6">
        <f>VLOOKUP(Table1[[#This Row],[HomeTeam]],TeamAttrs!$A$2:$K$20,11,FALSE)</f>
        <v>1.1195123150287596</v>
      </c>
    </row>
    <row r="13" spans="1:27" x14ac:dyDescent="0.25">
      <c r="A13" s="1">
        <v>40985</v>
      </c>
      <c r="B13" t="s">
        <v>18</v>
      </c>
      <c r="C13" t="str">
        <f>VLOOKUP(Table1[[#This Row],[HomeTeam]], TeamAttrs!$A$2:$B$20,2,FALSE)</f>
        <v>RSL</v>
      </c>
      <c r="D13">
        <v>2</v>
      </c>
      <c r="E13">
        <v>0</v>
      </c>
      <c r="F13">
        <f>Table1[[#This Row],[HomeTeamScore]]-Table1[[#This Row],[VisitorScore]]</f>
        <v>2</v>
      </c>
      <c r="G13" t="s">
        <v>15</v>
      </c>
      <c r="H13" t="str">
        <f>VLOOKUP(Table1[[#This Row],[VisitorTeam]],TeamAttrs!$A$2:$B$20, 2, FALSE)</f>
        <v>NY</v>
      </c>
      <c r="I13">
        <f t="shared" si="0"/>
        <v>1</v>
      </c>
      <c r="J13">
        <f t="shared" si="1"/>
        <v>0</v>
      </c>
      <c r="K13">
        <f t="shared" si="2"/>
        <v>0</v>
      </c>
      <c r="L13">
        <f>3*Table1[HomeWin] +Table1[Draw]</f>
        <v>3</v>
      </c>
      <c r="M13">
        <f>3*Table1[HomeLoss]+Table1[Draw]</f>
        <v>0</v>
      </c>
      <c r="N13">
        <f>VLOOKUP(B13,TeamAttrs!$A$2:$C$20,3,FALSE)</f>
        <v>7</v>
      </c>
      <c r="O13">
        <f>VLOOKUP(G13,TeamAttrs!$A$2:$C$20,3,FALSE)</f>
        <v>5</v>
      </c>
      <c r="P13">
        <f t="shared" si="3"/>
        <v>-2</v>
      </c>
      <c r="Q13">
        <f>VLOOKUP(B13,TeamAttrs!$A$2:$D$20,3,FALSE)</f>
        <v>7</v>
      </c>
      <c r="R13">
        <f>VLOOKUP(G13,TeamAttrs!$A$2:$D$20,3,FALSE)</f>
        <v>5</v>
      </c>
      <c r="S13">
        <f>RADIANS(VLOOKUP(Table1[[#This Row],[HomeTeam]],TeamAttrs!$A$2:$H$20,7, FALSE))</f>
        <v>0.71151314017277234</v>
      </c>
      <c r="T13">
        <f>RADIANS(VLOOKUP(Table1[[#This Row],[HomeTeam]],TeamAttrs!$A$2:$H$20, 8, FALSE))</f>
        <v>-1.954192803580491</v>
      </c>
      <c r="U13">
        <f>RADIANS(VLOOKUP(Table1[[#This Row],[VisitorTeam]],TeamAttrs!$A$2:$H$20,7,FALSE))</f>
        <v>0.71180286482860333</v>
      </c>
      <c r="V13">
        <f>RADIANS(VLOOKUP(Table1[[#This Row],[VisitorTeam]], TeamAttrs!$A$2:$H$20,8,FALSE))</f>
        <v>-1.2909624518348899</v>
      </c>
      <c r="W13" s="5">
        <f>60*DEGREES(ACOS(SIN(Table1[[#This Row],[HomeLat]])*SIN(Table1[[#This Row],[VisitorLat]]) +COS(Table1[[#This Row],[HomeLat]])*COS(Table1[[#This Row],[VisitorLat]])*COS(ABS(Table1[[#This Row],[HomeLong]] -Table1[[#This Row],[VisitorLong]]))))</f>
        <v>1712.8014827192517</v>
      </c>
      <c r="X13" s="6">
        <f>VLOOKUP(Table1[[#This Row],[HomeTeam]],TeamAttrs!$A$2:$K$20,5,FALSE)</f>
        <v>3520000</v>
      </c>
      <c r="Y13" s="6">
        <f>VLOOKUP(Table1[[#This Row],[HomeTeam]],TeamAttrs!$A$2:$K$20,9,FALSE)</f>
        <v>19087</v>
      </c>
      <c r="Z13" s="6">
        <f>VLOOKUP(Table1[[#This Row],[HomeTeam]],TeamAttrs!$A$2:$K$20,10,FALSE)</f>
        <v>20213</v>
      </c>
      <c r="AA13" s="6">
        <f>VLOOKUP(Table1[[#This Row],[HomeTeam]],TeamAttrs!$A$2:$K$20,11,FALSE)</f>
        <v>0.94429327660416562</v>
      </c>
    </row>
    <row r="14" spans="1:27" x14ac:dyDescent="0.25">
      <c r="A14" s="1">
        <v>40985</v>
      </c>
      <c r="B14" t="s">
        <v>5</v>
      </c>
      <c r="C14" t="str">
        <f>VLOOKUP(Table1[[#This Row],[HomeTeam]], TeamAttrs!$A$2:$B$20,2,FALSE)</f>
        <v>SJE</v>
      </c>
      <c r="D14">
        <v>0</v>
      </c>
      <c r="E14">
        <v>1</v>
      </c>
      <c r="F14">
        <f>Table1[[#This Row],[HomeTeamScore]]-Table1[[#This Row],[VisitorScore]]</f>
        <v>-1</v>
      </c>
      <c r="G14" t="s">
        <v>13</v>
      </c>
      <c r="H14" t="str">
        <f>VLOOKUP(Table1[[#This Row],[VisitorTeam]],TeamAttrs!$A$2:$B$20, 2, FALSE)</f>
        <v>Hou</v>
      </c>
      <c r="I14">
        <f t="shared" si="0"/>
        <v>0</v>
      </c>
      <c r="J14">
        <f t="shared" si="1"/>
        <v>0</v>
      </c>
      <c r="K14">
        <f t="shared" si="2"/>
        <v>1</v>
      </c>
      <c r="L14">
        <f>3*Table1[HomeWin] +Table1[Draw]</f>
        <v>0</v>
      </c>
      <c r="M14">
        <f>3*Table1[HomeLoss]+Table1[Draw]</f>
        <v>3</v>
      </c>
      <c r="N14">
        <f>VLOOKUP(B14,TeamAttrs!$A$2:$C$20,3,FALSE)</f>
        <v>8</v>
      </c>
      <c r="O14">
        <f>VLOOKUP(G14,TeamAttrs!$A$2:$C$20,3,FALSE)</f>
        <v>6</v>
      </c>
      <c r="P14">
        <f t="shared" si="3"/>
        <v>-2</v>
      </c>
      <c r="Q14">
        <f>VLOOKUP(B14,TeamAttrs!$A$2:$D$20,3,FALSE)</f>
        <v>8</v>
      </c>
      <c r="R14">
        <f>VLOOKUP(G14,TeamAttrs!$A$2:$D$20,3,FALSE)</f>
        <v>6</v>
      </c>
      <c r="S14">
        <f>RADIANS(VLOOKUP(Table1[[#This Row],[HomeTeam]],TeamAttrs!$A$2:$H$20,7, FALSE))</f>
        <v>0.65217194560496516</v>
      </c>
      <c r="T14">
        <f>RADIANS(VLOOKUP(Table1[[#This Row],[HomeTeam]],TeamAttrs!$A$2:$H$20, 8, FALSE))</f>
        <v>-2.1281323168342459</v>
      </c>
      <c r="U14">
        <f>RADIANS(VLOOKUP(Table1[[#This Row],[VisitorTeam]],TeamAttrs!$A$2:$H$20,7,FALSE))</f>
        <v>0.52301758095738471</v>
      </c>
      <c r="V14">
        <f>RADIANS(VLOOKUP(Table1[[#This Row],[VisitorTeam]], TeamAttrs!$A$2:$H$20,8,FALSE))</f>
        <v>-1.6641714417765932</v>
      </c>
      <c r="W14" s="5">
        <f>60*DEGREES(ACOS(SIN(Table1[[#This Row],[HomeLat]])*SIN(Table1[[#This Row],[VisitorLat]]) +COS(Table1[[#This Row],[HomeLat]])*COS(Table1[[#This Row],[VisitorLat]])*COS(ABS(Table1[[#This Row],[HomeLong]] -Table1[[#This Row],[VisitorLong]]))))</f>
        <v>1394.1767346849419</v>
      </c>
      <c r="X14" s="6">
        <f>VLOOKUP(Table1[[#This Row],[HomeTeam]],TeamAttrs!$A$2:$K$20,5,FALSE)</f>
        <v>3210000</v>
      </c>
      <c r="Y14" s="6">
        <f>VLOOKUP(Table1[[#This Row],[HomeTeam]],TeamAttrs!$A$2:$K$20,9,FALSE)</f>
        <v>13293</v>
      </c>
      <c r="Z14" s="6">
        <f>VLOOKUP(Table1[[#This Row],[HomeTeam]],TeamAttrs!$A$2:$K$20,10,FALSE)</f>
        <v>10525</v>
      </c>
      <c r="AA14" s="6">
        <f>VLOOKUP(Table1[[#This Row],[HomeTeam]],TeamAttrs!$A$2:$K$20,11,FALSE)</f>
        <v>1.2629928741092638</v>
      </c>
    </row>
    <row r="15" spans="1:27" x14ac:dyDescent="0.25">
      <c r="A15" s="1">
        <v>40985</v>
      </c>
      <c r="B15" t="s">
        <v>11</v>
      </c>
      <c r="C15" t="str">
        <f>VLOOKUP(Table1[[#This Row],[HomeTeam]], TeamAttrs!$A$2:$B$20,2,FALSE)</f>
        <v>SEA</v>
      </c>
      <c r="D15">
        <v>3</v>
      </c>
      <c r="E15">
        <v>1</v>
      </c>
      <c r="F15">
        <f>Table1[[#This Row],[HomeTeamScore]]-Table1[[#This Row],[VisitorScore]]</f>
        <v>2</v>
      </c>
      <c r="G15" t="s">
        <v>10</v>
      </c>
      <c r="H15" t="str">
        <f>VLOOKUP(Table1[[#This Row],[VisitorTeam]],TeamAttrs!$A$2:$B$20, 2, FALSE)</f>
        <v>Tor</v>
      </c>
      <c r="I15">
        <f t="shared" si="0"/>
        <v>1</v>
      </c>
      <c r="J15">
        <f t="shared" si="1"/>
        <v>0</v>
      </c>
      <c r="K15">
        <f t="shared" si="2"/>
        <v>0</v>
      </c>
      <c r="L15">
        <f>3*Table1[HomeWin] +Table1[Draw]</f>
        <v>3</v>
      </c>
      <c r="M15">
        <f>3*Table1[HomeLoss]+Table1[Draw]</f>
        <v>0</v>
      </c>
      <c r="N15">
        <f>VLOOKUP(B15,TeamAttrs!$A$2:$C$20,3,FALSE)</f>
        <v>8</v>
      </c>
      <c r="O15">
        <f>VLOOKUP(G15,TeamAttrs!$A$2:$C$20,3,FALSE)</f>
        <v>5</v>
      </c>
      <c r="P15">
        <f t="shared" si="3"/>
        <v>-3</v>
      </c>
      <c r="Q15">
        <f>VLOOKUP(B15,TeamAttrs!$A$2:$D$20,3,FALSE)</f>
        <v>8</v>
      </c>
      <c r="R15">
        <f>VLOOKUP(G15,TeamAttrs!$A$2:$D$20,3,FALSE)</f>
        <v>5</v>
      </c>
      <c r="S15">
        <f>RADIANS(VLOOKUP(Table1[[#This Row],[HomeTeam]],TeamAttrs!$A$2:$H$20,7, FALSE))</f>
        <v>0.83164938857529802</v>
      </c>
      <c r="T15">
        <f>RADIANS(VLOOKUP(Table1[[#This Row],[HomeTeam]],TeamAttrs!$A$2:$H$20, 8, FALSE))</f>
        <v>-2.134537675189065</v>
      </c>
      <c r="U15">
        <f>RADIANS(VLOOKUP(Table1[[#This Row],[VisitorTeam]],TeamAttrs!$A$2:$H$20,7,FALSE))</f>
        <v>0.76241741313643896</v>
      </c>
      <c r="V15">
        <f>RADIANS(VLOOKUP(Table1[[#This Row],[VisitorTeam]], TeamAttrs!$A$2:$H$20,8,FALSE))</f>
        <v>-1.3898632792284005</v>
      </c>
      <c r="W15" s="5">
        <f>60*DEGREES(ACOS(SIN(Table1[[#This Row],[HomeLat]])*SIN(Table1[[#This Row],[VisitorLat]]) +COS(Table1[[#This Row],[HomeLat]])*COS(Table1[[#This Row],[VisitorLat]])*COS(ABS(Table1[[#This Row],[HomeLong]] -Table1[[#This Row],[VisitorLong]]))))</f>
        <v>1781.8353443749136</v>
      </c>
      <c r="X15" s="6">
        <f>VLOOKUP(Table1[[#This Row],[HomeTeam]],TeamAttrs!$A$2:$K$20,5,FALSE)</f>
        <v>3980000</v>
      </c>
      <c r="Y15" s="6">
        <f>VLOOKUP(Table1[[#This Row],[HomeTeam]],TeamAttrs!$A$2:$K$20,9,FALSE)</f>
        <v>43104</v>
      </c>
      <c r="Z15" s="6">
        <f>VLOOKUP(Table1[[#This Row],[HomeTeam]],TeamAttrs!$A$2:$K$20,10,FALSE)</f>
        <v>38500</v>
      </c>
      <c r="AA15" s="6">
        <f>VLOOKUP(Table1[[#This Row],[HomeTeam]],TeamAttrs!$A$2:$K$20,11,FALSE)</f>
        <v>1.1195844155844157</v>
      </c>
    </row>
    <row r="16" spans="1:27" x14ac:dyDescent="0.25">
      <c r="A16" s="1">
        <v>40985</v>
      </c>
      <c r="B16" t="s">
        <v>6</v>
      </c>
      <c r="C16" t="str">
        <f>VLOOKUP(Table1[[#This Row],[HomeTeam]], TeamAttrs!$A$2:$B$20,2,FALSE)</f>
        <v>SKC</v>
      </c>
      <c r="D16">
        <v>3</v>
      </c>
      <c r="E16">
        <v>0</v>
      </c>
      <c r="F16">
        <f>Table1[[#This Row],[HomeTeamScore]]-Table1[[#This Row],[VisitorScore]]</f>
        <v>3</v>
      </c>
      <c r="G16" t="s">
        <v>9</v>
      </c>
      <c r="H16" t="str">
        <f>VLOOKUP(Table1[[#This Row],[VisitorTeam]],TeamAttrs!$A$2:$B$20, 2, FALSE)</f>
        <v>NE</v>
      </c>
      <c r="I16">
        <f t="shared" si="0"/>
        <v>1</v>
      </c>
      <c r="J16">
        <f t="shared" si="1"/>
        <v>0</v>
      </c>
      <c r="K16">
        <f t="shared" si="2"/>
        <v>0</v>
      </c>
      <c r="L16">
        <f>3*Table1[HomeWin] +Table1[Draw]</f>
        <v>3</v>
      </c>
      <c r="M16">
        <f>3*Table1[HomeLoss]+Table1[Draw]</f>
        <v>0</v>
      </c>
      <c r="N16">
        <f>VLOOKUP(B16,TeamAttrs!$A$2:$C$20,3,FALSE)</f>
        <v>6</v>
      </c>
      <c r="O16">
        <f>VLOOKUP(G16,TeamAttrs!$A$2:$C$20,3,FALSE)</f>
        <v>5</v>
      </c>
      <c r="P16">
        <f t="shared" si="3"/>
        <v>-1</v>
      </c>
      <c r="Q16">
        <f>VLOOKUP(B16,TeamAttrs!$A$2:$D$20,3,FALSE)</f>
        <v>6</v>
      </c>
      <c r="R16">
        <f>VLOOKUP(G16,TeamAttrs!$A$2:$D$20,3,FALSE)</f>
        <v>5</v>
      </c>
      <c r="S16">
        <f>RADIANS(VLOOKUP(Table1[[#This Row],[HomeTeam]],TeamAttrs!$A$2:$H$20,7, FALSE))</f>
        <v>0.68271520751486592</v>
      </c>
      <c r="T16">
        <f>RADIANS(VLOOKUP(Table1[[#This Row],[HomeTeam]],TeamAttrs!$A$2:$H$20, 8, FALSE))</f>
        <v>-1.65166266702755</v>
      </c>
      <c r="U16">
        <f>RADIANS(VLOOKUP(Table1[[#This Row],[VisitorTeam]],TeamAttrs!$A$2:$H$20,7,FALSE))</f>
        <v>0.73943840820468165</v>
      </c>
      <c r="V16">
        <f>RADIANS(VLOOKUP(Table1[[#This Row],[VisitorTeam]], TeamAttrs!$A$2:$H$20,8,FALSE))</f>
        <v>-1.2397649635568881</v>
      </c>
      <c r="W16" s="5">
        <f>60*DEGREES(ACOS(SIN(Table1[[#This Row],[HomeLat]])*SIN(Table1[[#This Row],[VisitorLat]]) +COS(Table1[[#This Row],[HomeLat]])*COS(Table1[[#This Row],[VisitorLat]])*COS(ABS(Table1[[#This Row],[HomeLong]] -Table1[[#This Row],[VisitorLong]]))))</f>
        <v>1086.7589219617198</v>
      </c>
      <c r="X16" s="6">
        <f>VLOOKUP(Table1[[#This Row],[HomeTeam]],TeamAttrs!$A$2:$K$20,5,FALSE)</f>
        <v>3120000</v>
      </c>
      <c r="Y16" s="6">
        <f>VLOOKUP(Table1[[#This Row],[HomeTeam]],TeamAttrs!$A$2:$K$20,9,FALSE)</f>
        <v>19404</v>
      </c>
      <c r="Z16" s="6">
        <f>VLOOKUP(Table1[[#This Row],[HomeTeam]],TeamAttrs!$A$2:$K$20,10,FALSE)</f>
        <v>18467</v>
      </c>
      <c r="AA16" s="6">
        <f>VLOOKUP(Table1[[#This Row],[HomeTeam]],TeamAttrs!$A$2:$K$20,11,FALSE)</f>
        <v>1.0507391563329183</v>
      </c>
    </row>
    <row r="17" spans="1:27" x14ac:dyDescent="0.25">
      <c r="A17" s="1">
        <v>40986</v>
      </c>
      <c r="B17" t="s">
        <v>16</v>
      </c>
      <c r="C17" t="str">
        <f>VLOOKUP(Table1[[#This Row],[HomeTeam]], TeamAttrs!$A$2:$B$20,2,FALSE)</f>
        <v>LAGxy</v>
      </c>
      <c r="D17">
        <v>3</v>
      </c>
      <c r="E17">
        <v>1</v>
      </c>
      <c r="F17">
        <f>Table1[[#This Row],[HomeTeamScore]]-Table1[[#This Row],[VisitorScore]]</f>
        <v>2</v>
      </c>
      <c r="G17" t="s">
        <v>3</v>
      </c>
      <c r="H17" t="str">
        <f>VLOOKUP(Table1[[#This Row],[VisitorTeam]],TeamAttrs!$A$2:$B$20, 2, FALSE)</f>
        <v>DCU</v>
      </c>
      <c r="I17">
        <f t="shared" si="0"/>
        <v>1</v>
      </c>
      <c r="J17">
        <f t="shared" si="1"/>
        <v>0</v>
      </c>
      <c r="K17">
        <f t="shared" si="2"/>
        <v>0</v>
      </c>
      <c r="L17">
        <f>3*Table1[HomeWin] +Table1[Draw]</f>
        <v>3</v>
      </c>
      <c r="M17">
        <f>3*Table1[HomeLoss]+Table1[Draw]</f>
        <v>0</v>
      </c>
      <c r="N17">
        <f>VLOOKUP(B17,TeamAttrs!$A$2:$C$20,3,FALSE)</f>
        <v>8</v>
      </c>
      <c r="O17">
        <f>VLOOKUP(G17,TeamAttrs!$A$2:$C$20,3,FALSE)</f>
        <v>5</v>
      </c>
      <c r="P17">
        <f t="shared" si="3"/>
        <v>-3</v>
      </c>
      <c r="Q17">
        <f>VLOOKUP(B17,TeamAttrs!$A$2:$D$20,3,FALSE)</f>
        <v>8</v>
      </c>
      <c r="R17">
        <f>VLOOKUP(G17,TeamAttrs!$A$2:$D$20,3,FALSE)</f>
        <v>5</v>
      </c>
      <c r="S17">
        <f>RADIANS(VLOOKUP(Table1[[#This Row],[HomeTeam]],TeamAttrs!$A$2:$H$20,7, FALSE))</f>
        <v>0.59224781106699187</v>
      </c>
      <c r="T17">
        <f>RADIANS(VLOOKUP(Table1[[#This Row],[HomeTeam]],TeamAttrs!$A$2:$H$20, 8, FALSE))</f>
        <v>-2.0664698343612864</v>
      </c>
      <c r="U17">
        <f>RADIANS(VLOOKUP(Table1[[#This Row],[VisitorTeam]],TeamAttrs!$A$2:$H$20,7,FALSE))</f>
        <v>0.67806041439979703</v>
      </c>
      <c r="V17">
        <f>RADIANS(VLOOKUP(Table1[[#This Row],[VisitorTeam]], TeamAttrs!$A$2:$H$20,8,FALSE))</f>
        <v>-1.3444847186765478</v>
      </c>
      <c r="W17" s="5">
        <f>60*DEGREES(ACOS(SIN(Table1[[#This Row],[HomeLat]])*SIN(Table1[[#This Row],[VisitorLat]]) +COS(Table1[[#This Row],[HomeLat]])*COS(Table1[[#This Row],[VisitorLat]])*COS(ABS(Table1[[#This Row],[HomeLong]] -Table1[[#This Row],[VisitorLong]]))))</f>
        <v>2002.4121158938278</v>
      </c>
      <c r="X17" s="6">
        <f>VLOOKUP(Table1[[#This Row],[HomeTeam]],TeamAttrs!$A$2:$K$20,5,FALSE)</f>
        <v>12630000</v>
      </c>
      <c r="Y17" s="6">
        <f>VLOOKUP(Table1[[#This Row],[HomeTeam]],TeamAttrs!$A$2:$K$20,9,FALSE)</f>
        <v>23136</v>
      </c>
      <c r="Z17" s="6">
        <f>VLOOKUP(Table1[[#This Row],[HomeTeam]],TeamAttrs!$A$2:$K$20,10,FALSE)</f>
        <v>27000</v>
      </c>
      <c r="AA17" s="6">
        <f>VLOOKUP(Table1[[#This Row],[HomeTeam]],TeamAttrs!$A$2:$K$20,11,FALSE)</f>
        <v>0.85688888888888892</v>
      </c>
    </row>
    <row r="18" spans="1:27" x14ac:dyDescent="0.25">
      <c r="A18" s="1">
        <v>40986</v>
      </c>
      <c r="B18" t="s">
        <v>4</v>
      </c>
      <c r="C18" t="str">
        <f>VLOOKUP(Table1[[#This Row],[HomeTeam]], TeamAttrs!$A$2:$B$20,2,FALSE)</f>
        <v>Phil</v>
      </c>
      <c r="D18">
        <v>1</v>
      </c>
      <c r="E18">
        <v>2</v>
      </c>
      <c r="F18">
        <f>Table1[[#This Row],[HomeTeamScore]]-Table1[[#This Row],[VisitorScore]]</f>
        <v>-1</v>
      </c>
      <c r="G18" t="s">
        <v>14</v>
      </c>
      <c r="H18" t="str">
        <f>VLOOKUP(Table1[[#This Row],[VisitorTeam]],TeamAttrs!$A$2:$B$20, 2, FALSE)</f>
        <v>ColRa</v>
      </c>
      <c r="I18">
        <f t="shared" si="0"/>
        <v>0</v>
      </c>
      <c r="J18">
        <f t="shared" si="1"/>
        <v>0</v>
      </c>
      <c r="K18">
        <f t="shared" si="2"/>
        <v>1</v>
      </c>
      <c r="L18">
        <f>3*Table1[HomeWin] +Table1[Draw]</f>
        <v>0</v>
      </c>
      <c r="M18">
        <f>3*Table1[HomeLoss]+Table1[Draw]</f>
        <v>3</v>
      </c>
      <c r="N18">
        <f>VLOOKUP(B18,TeamAttrs!$A$2:$C$20,3,FALSE)</f>
        <v>5</v>
      </c>
      <c r="O18">
        <f>VLOOKUP(G18,TeamAttrs!$A$2:$C$20,3,FALSE)</f>
        <v>7</v>
      </c>
      <c r="P18">
        <f t="shared" si="3"/>
        <v>2</v>
      </c>
      <c r="Q18">
        <f>VLOOKUP(B18,TeamAttrs!$A$2:$D$20,3,FALSE)</f>
        <v>5</v>
      </c>
      <c r="R18">
        <f>VLOOKUP(G18,TeamAttrs!$A$2:$D$20,3,FALSE)</f>
        <v>7</v>
      </c>
      <c r="S18">
        <f>RADIANS(VLOOKUP(Table1[[#This Row],[HomeTeam]],TeamAttrs!$A$2:$H$20,7, FALSE))</f>
        <v>0.69609490156065446</v>
      </c>
      <c r="T18">
        <f>RADIANS(VLOOKUP(Table1[[#This Row],[HomeTeam]],TeamAttrs!$A$2:$H$20, 8, FALSE))</f>
        <v>-1.313360262125733</v>
      </c>
      <c r="U18">
        <f>RADIANS(VLOOKUP(Table1[[#This Row],[VisitorTeam]],TeamAttrs!$A$2:$H$20,7,FALSE))</f>
        <v>0.69376837766774602</v>
      </c>
      <c r="V18">
        <f>RADIANS(VLOOKUP(Table1[[#This Row],[VisitorTeam]], TeamAttrs!$A$2:$H$20,8,FALSE))</f>
        <v>-1.8302744266888937</v>
      </c>
      <c r="W18" s="5">
        <f>60*DEGREES(ACOS(SIN(Table1[[#This Row],[HomeLat]])*SIN(Table1[[#This Row],[VisitorLat]]) +COS(Table1[[#This Row],[HomeLat]])*COS(Table1[[#This Row],[VisitorLat]])*COS(ABS(Table1[[#This Row],[HomeLong]] -Table1[[#This Row],[VisitorLong]]))))</f>
        <v>1358.6257767098004</v>
      </c>
      <c r="X18" s="6">
        <f>VLOOKUP(Table1[[#This Row],[HomeTeam]],TeamAttrs!$A$2:$K$20,5,FALSE)</f>
        <v>3620000</v>
      </c>
      <c r="Y18" s="6">
        <f>VLOOKUP(Table1[[#This Row],[HomeTeam]],TeamAttrs!$A$2:$K$20,9,FALSE)</f>
        <v>18053</v>
      </c>
      <c r="Z18" s="6">
        <f>VLOOKUP(Table1[[#This Row],[HomeTeam]],TeamAttrs!$A$2:$K$20,10,FALSE)</f>
        <v>18500</v>
      </c>
      <c r="AA18" s="6">
        <f>VLOOKUP(Table1[[#This Row],[HomeTeam]],TeamAttrs!$A$2:$K$20,11,FALSE)</f>
        <v>0.97583783783783784</v>
      </c>
    </row>
    <row r="19" spans="1:27" x14ac:dyDescent="0.25">
      <c r="A19" s="1">
        <v>40991</v>
      </c>
      <c r="B19" t="s">
        <v>11</v>
      </c>
      <c r="C19" t="str">
        <f>VLOOKUP(Table1[[#This Row],[HomeTeam]], TeamAttrs!$A$2:$B$20,2,FALSE)</f>
        <v>SEA</v>
      </c>
      <c r="D19">
        <v>2</v>
      </c>
      <c r="E19">
        <v>0</v>
      </c>
      <c r="F19">
        <f>Table1[[#This Row],[HomeTeamScore]]-Table1[[#This Row],[VisitorScore]]</f>
        <v>2</v>
      </c>
      <c r="G19" t="s">
        <v>13</v>
      </c>
      <c r="H19" t="str">
        <f>VLOOKUP(Table1[[#This Row],[VisitorTeam]],TeamAttrs!$A$2:$B$20, 2, FALSE)</f>
        <v>Hou</v>
      </c>
      <c r="I19">
        <f t="shared" si="0"/>
        <v>1</v>
      </c>
      <c r="J19">
        <f t="shared" si="1"/>
        <v>0</v>
      </c>
      <c r="K19">
        <f t="shared" si="2"/>
        <v>0</v>
      </c>
      <c r="L19">
        <f>3*Table1[HomeWin] +Table1[Draw]</f>
        <v>3</v>
      </c>
      <c r="M19">
        <f>3*Table1[HomeLoss]+Table1[Draw]</f>
        <v>0</v>
      </c>
      <c r="N19">
        <f>VLOOKUP(B19,TeamAttrs!$A$2:$C$20,3,FALSE)</f>
        <v>8</v>
      </c>
      <c r="O19">
        <f>VLOOKUP(G19,TeamAttrs!$A$2:$C$20,3,FALSE)</f>
        <v>6</v>
      </c>
      <c r="P19">
        <f t="shared" si="3"/>
        <v>-2</v>
      </c>
      <c r="Q19">
        <f>VLOOKUP(B19,TeamAttrs!$A$2:$D$20,3,FALSE)</f>
        <v>8</v>
      </c>
      <c r="R19">
        <f>VLOOKUP(G19,TeamAttrs!$A$2:$D$20,3,FALSE)</f>
        <v>6</v>
      </c>
      <c r="S19">
        <f>RADIANS(VLOOKUP(Table1[[#This Row],[HomeTeam]],TeamAttrs!$A$2:$H$20,7, FALSE))</f>
        <v>0.83164938857529802</v>
      </c>
      <c r="T19">
        <f>RADIANS(VLOOKUP(Table1[[#This Row],[HomeTeam]],TeamAttrs!$A$2:$H$20, 8, FALSE))</f>
        <v>-2.134537675189065</v>
      </c>
      <c r="U19">
        <f>RADIANS(VLOOKUP(Table1[[#This Row],[VisitorTeam]],TeamAttrs!$A$2:$H$20,7,FALSE))</f>
        <v>0.52301758095738471</v>
      </c>
      <c r="V19">
        <f>RADIANS(VLOOKUP(Table1[[#This Row],[VisitorTeam]], TeamAttrs!$A$2:$H$20,8,FALSE))</f>
        <v>-1.6641714417765932</v>
      </c>
      <c r="W19" s="5">
        <f>60*DEGREES(ACOS(SIN(Table1[[#This Row],[HomeLat]])*SIN(Table1[[#This Row],[VisitorLat]]) +COS(Table1[[#This Row],[HomeLat]])*COS(Table1[[#This Row],[VisitorLat]])*COS(ABS(Table1[[#This Row],[HomeLong]] -Table1[[#This Row],[VisitorLong]]))))</f>
        <v>1632.3303829329393</v>
      </c>
      <c r="X19" s="6">
        <f>VLOOKUP(Table1[[#This Row],[HomeTeam]],TeamAttrs!$A$2:$K$20,5,FALSE)</f>
        <v>3980000</v>
      </c>
      <c r="Y19" s="6">
        <f>VLOOKUP(Table1[[#This Row],[HomeTeam]],TeamAttrs!$A$2:$K$20,9,FALSE)</f>
        <v>43104</v>
      </c>
      <c r="Z19" s="6">
        <f>VLOOKUP(Table1[[#This Row],[HomeTeam]],TeamAttrs!$A$2:$K$20,10,FALSE)</f>
        <v>38500</v>
      </c>
      <c r="AA19" s="6">
        <f>VLOOKUP(Table1[[#This Row],[HomeTeam]],TeamAttrs!$A$2:$K$20,11,FALSE)</f>
        <v>1.1195844155844157</v>
      </c>
    </row>
    <row r="20" spans="1:27" x14ac:dyDescent="0.25">
      <c r="A20" s="1">
        <v>40992</v>
      </c>
      <c r="B20" t="s">
        <v>17</v>
      </c>
      <c r="C20" t="str">
        <f>VLOOKUP(Table1[[#This Row],[HomeTeam]], TeamAttrs!$A$2:$B$20,2,FALSE)</f>
        <v>Chi</v>
      </c>
      <c r="D20">
        <v>1</v>
      </c>
      <c r="E20">
        <v>0</v>
      </c>
      <c r="F20">
        <f>Table1[[#This Row],[HomeTeamScore]]-Table1[[#This Row],[VisitorScore]]</f>
        <v>1</v>
      </c>
      <c r="G20" t="s">
        <v>4</v>
      </c>
      <c r="H20" t="str">
        <f>VLOOKUP(Table1[[#This Row],[VisitorTeam]],TeamAttrs!$A$2:$B$20, 2, FALSE)</f>
        <v>Phil</v>
      </c>
      <c r="I20">
        <f t="shared" si="0"/>
        <v>1</v>
      </c>
      <c r="J20">
        <f t="shared" si="1"/>
        <v>0</v>
      </c>
      <c r="K20">
        <f t="shared" si="2"/>
        <v>0</v>
      </c>
      <c r="L20">
        <f>3*Table1[HomeWin] +Table1[Draw]</f>
        <v>3</v>
      </c>
      <c r="M20">
        <f>3*Table1[HomeLoss]+Table1[Draw]</f>
        <v>0</v>
      </c>
      <c r="N20">
        <f>VLOOKUP(B20,TeamAttrs!$A$2:$C$20,3,FALSE)</f>
        <v>6</v>
      </c>
      <c r="O20">
        <f>VLOOKUP(G20,TeamAttrs!$A$2:$C$20,3,FALSE)</f>
        <v>5</v>
      </c>
      <c r="P20">
        <f t="shared" si="3"/>
        <v>-1</v>
      </c>
      <c r="Q20">
        <f>VLOOKUP(B20,TeamAttrs!$A$2:$D$20,3,FALSE)</f>
        <v>6</v>
      </c>
      <c r="R20">
        <f>VLOOKUP(G20,TeamAttrs!$A$2:$D$20,3,FALSE)</f>
        <v>5</v>
      </c>
      <c r="S20">
        <f>RADIANS(VLOOKUP(Table1[[#This Row],[HomeTeam]],TeamAttrs!$A$2:$H$20,7, FALSE))</f>
        <v>0.72925615734854665</v>
      </c>
      <c r="T20">
        <f>RADIANS(VLOOKUP(Table1[[#This Row],[HomeTeam]],TeamAttrs!$A$2:$H$20, 8, FALSE))</f>
        <v>-1.5315264186250241</v>
      </c>
      <c r="U20">
        <f>RADIANS(VLOOKUP(Table1[[#This Row],[VisitorTeam]],TeamAttrs!$A$2:$H$20,7,FALSE))</f>
        <v>0.69609490156065446</v>
      </c>
      <c r="V20">
        <f>RADIANS(VLOOKUP(Table1[[#This Row],[VisitorTeam]], TeamAttrs!$A$2:$H$20,8,FALSE))</f>
        <v>-1.313360262125733</v>
      </c>
      <c r="W20" s="5">
        <f>60*DEGREES(ACOS(SIN(Table1[[#This Row],[HomeLat]])*SIN(Table1[[#This Row],[VisitorLat]]) +COS(Table1[[#This Row],[HomeLat]])*COS(Table1[[#This Row],[VisitorLat]])*COS(ABS(Table1[[#This Row],[HomeLong]] -Table1[[#This Row],[VisitorLong]]))))</f>
        <v>578.24355193873748</v>
      </c>
      <c r="X20" s="6">
        <f>VLOOKUP(Table1[[#This Row],[HomeTeam]],TeamAttrs!$A$2:$K$20,5,FALSE)</f>
        <v>3230000</v>
      </c>
      <c r="Y20" s="6">
        <f>VLOOKUP(Table1[[#This Row],[HomeTeam]],TeamAttrs!$A$2:$K$20,9,FALSE)</f>
        <v>16407</v>
      </c>
      <c r="Z20" s="6">
        <f>VLOOKUP(Table1[[#This Row],[HomeTeam]],TeamAttrs!$A$2:$K$20,10,FALSE)</f>
        <v>20000</v>
      </c>
      <c r="AA20" s="6">
        <f>VLOOKUP(Table1[[#This Row],[HomeTeam]],TeamAttrs!$A$2:$K$20,11,FALSE)</f>
        <v>0.82035000000000002</v>
      </c>
    </row>
    <row r="21" spans="1:27" x14ac:dyDescent="0.25">
      <c r="A21" s="1">
        <v>40992</v>
      </c>
      <c r="B21" t="s">
        <v>8</v>
      </c>
      <c r="C21" t="str">
        <f>VLOOKUP(Table1[[#This Row],[HomeTeam]], TeamAttrs!$A$2:$B$20,2,FALSE)</f>
        <v>Colum</v>
      </c>
      <c r="D21">
        <v>2</v>
      </c>
      <c r="E21">
        <v>0</v>
      </c>
      <c r="F21">
        <f>Table1[[#This Row],[HomeTeamScore]]-Table1[[#This Row],[VisitorScore]]</f>
        <v>2</v>
      </c>
      <c r="G21" t="s">
        <v>1</v>
      </c>
      <c r="H21" t="str">
        <f>VLOOKUP(Table1[[#This Row],[VisitorTeam]],TeamAttrs!$A$2:$B$20, 2, FALSE)</f>
        <v>Mntrl</v>
      </c>
      <c r="I21">
        <f t="shared" si="0"/>
        <v>1</v>
      </c>
      <c r="J21">
        <f t="shared" si="1"/>
        <v>0</v>
      </c>
      <c r="K21">
        <f t="shared" si="2"/>
        <v>0</v>
      </c>
      <c r="L21">
        <f>3*Table1[HomeWin] +Table1[Draw]</f>
        <v>3</v>
      </c>
      <c r="M21">
        <f>3*Table1[HomeLoss]+Table1[Draw]</f>
        <v>0</v>
      </c>
      <c r="N21">
        <f>VLOOKUP(B21,TeamAttrs!$A$2:$C$20,3,FALSE)</f>
        <v>5</v>
      </c>
      <c r="O21">
        <f>VLOOKUP(G21,TeamAttrs!$A$2:$C$20,3,FALSE)</f>
        <v>5</v>
      </c>
      <c r="P21">
        <f t="shared" si="3"/>
        <v>0</v>
      </c>
      <c r="Q21">
        <f>VLOOKUP(B21,TeamAttrs!$A$2:$D$20,3,FALSE)</f>
        <v>5</v>
      </c>
      <c r="R21">
        <f>VLOOKUP(G21,TeamAttrs!$A$2:$D$20,3,FALSE)</f>
        <v>5</v>
      </c>
      <c r="S21">
        <f>RADIANS(VLOOKUP(Table1[[#This Row],[HomeTeam]],TeamAttrs!$A$2:$H$20,7, FALSE))</f>
        <v>0.69813170079773179</v>
      </c>
      <c r="T21">
        <f>RADIANS(VLOOKUP(Table1[[#This Row],[HomeTeam]],TeamAttrs!$A$2:$H$20, 8, FALSE))</f>
        <v>-1.4465864799182162</v>
      </c>
      <c r="U21">
        <f>RADIANS(VLOOKUP(Table1[[#This Row],[VisitorTeam]],TeamAttrs!$A$2:$H$20,7,FALSE))</f>
        <v>0.79354361501650583</v>
      </c>
      <c r="V21">
        <f>RADIANS(VLOOKUP(Table1[[#This Row],[VisitorTeam]], TeamAttrs!$A$2:$H$20,8,FALSE))</f>
        <v>-1.2871803233458181</v>
      </c>
      <c r="W21" s="5">
        <f>60*DEGREES(ACOS(SIN(Table1[[#This Row],[HomeLat]])*SIN(Table1[[#This Row],[VisitorLat]]) +COS(Table1[[#This Row],[HomeLat]])*COS(Table1[[#This Row],[VisitorLat]])*COS(ABS(Table1[[#This Row],[HomeLong]] -Table1[[#This Row],[VisitorLong]]))))</f>
        <v>518.65975299794491</v>
      </c>
      <c r="X21" s="6">
        <f>VLOOKUP(Table1[[#This Row],[HomeTeam]],TeamAttrs!$A$2:$K$20,5,FALSE)</f>
        <v>3330000</v>
      </c>
      <c r="Y21" s="6">
        <f>VLOOKUP(Table1[[#This Row],[HomeTeam]],TeamAttrs!$A$2:$K$20,9,FALSE)</f>
        <v>14397</v>
      </c>
      <c r="Z21" s="6">
        <f>VLOOKUP(Table1[[#This Row],[HomeTeam]],TeamAttrs!$A$2:$K$20,10,FALSE)</f>
        <v>20145</v>
      </c>
      <c r="AA21" s="6">
        <f>VLOOKUP(Table1[[#This Row],[HomeTeam]],TeamAttrs!$A$2:$K$20,11,FALSE)</f>
        <v>0.71466865227103504</v>
      </c>
    </row>
    <row r="22" spans="1:27" x14ac:dyDescent="0.25">
      <c r="A22" s="1">
        <v>40992</v>
      </c>
      <c r="B22" t="s">
        <v>9</v>
      </c>
      <c r="C22" t="str">
        <f>VLOOKUP(Table1[[#This Row],[HomeTeam]], TeamAttrs!$A$2:$B$20,2,FALSE)</f>
        <v>NE</v>
      </c>
      <c r="D22">
        <v>1</v>
      </c>
      <c r="E22">
        <v>0</v>
      </c>
      <c r="F22">
        <f>Table1[[#This Row],[HomeTeamScore]]-Table1[[#This Row],[VisitorScore]]</f>
        <v>1</v>
      </c>
      <c r="G22" t="s">
        <v>12</v>
      </c>
      <c r="H22" t="str">
        <f>VLOOKUP(Table1[[#This Row],[VisitorTeam]],TeamAttrs!$A$2:$B$20, 2, FALSE)</f>
        <v>Port</v>
      </c>
      <c r="I22">
        <f t="shared" si="0"/>
        <v>1</v>
      </c>
      <c r="J22">
        <f t="shared" si="1"/>
        <v>0</v>
      </c>
      <c r="K22">
        <f t="shared" si="2"/>
        <v>0</v>
      </c>
      <c r="L22">
        <f>3*Table1[HomeWin] +Table1[Draw]</f>
        <v>3</v>
      </c>
      <c r="M22">
        <f>3*Table1[HomeLoss]+Table1[Draw]</f>
        <v>0</v>
      </c>
      <c r="N22">
        <f>VLOOKUP(B22,TeamAttrs!$A$2:$C$20,3,FALSE)</f>
        <v>5</v>
      </c>
      <c r="O22">
        <f>VLOOKUP(G22,TeamAttrs!$A$2:$C$20,3,FALSE)</f>
        <v>8</v>
      </c>
      <c r="P22">
        <f t="shared" si="3"/>
        <v>3</v>
      </c>
      <c r="Q22">
        <f>VLOOKUP(B22,TeamAttrs!$A$2:$D$20,3,FALSE)</f>
        <v>5</v>
      </c>
      <c r="R22">
        <f>VLOOKUP(G22,TeamAttrs!$A$2:$D$20,3,FALSE)</f>
        <v>8</v>
      </c>
      <c r="S22">
        <f>RADIANS(VLOOKUP(Table1[[#This Row],[HomeTeam]],TeamAttrs!$A$2:$H$20,7, FALSE))</f>
        <v>0.73943840820468165</v>
      </c>
      <c r="T22">
        <f>RADIANS(VLOOKUP(Table1[[#This Row],[HomeTeam]],TeamAttrs!$A$2:$H$20, 8, FALSE))</f>
        <v>-1.2397649635568881</v>
      </c>
      <c r="U22">
        <f>RADIANS(VLOOKUP(Table1[[#This Row],[VisitorTeam]],TeamAttrs!$A$2:$H$20,7,FALSE))</f>
        <v>0.79587013890941427</v>
      </c>
      <c r="V22">
        <f>RADIANS(VLOOKUP(Table1[[#This Row],[VisitorTeam]], TeamAttrs!$A$2:$H$20,8,FALSE))</f>
        <v>-2.1397736629450481</v>
      </c>
      <c r="W22" s="5">
        <f>60*DEGREES(ACOS(SIN(Table1[[#This Row],[HomeLat]])*SIN(Table1[[#This Row],[VisitorLat]]) +COS(Table1[[#This Row],[HomeLat]])*COS(Table1[[#This Row],[VisitorLat]])*COS(ABS(Table1[[#This Row],[HomeLong]] -Table1[[#This Row],[VisitorLong]]))))</f>
        <v>2196.1118182293976</v>
      </c>
      <c r="X22" s="6">
        <f>VLOOKUP(Table1[[#This Row],[HomeTeam]],TeamAttrs!$A$2:$K$20,5,FALSE)</f>
        <v>3260000</v>
      </c>
      <c r="Y22" s="6">
        <f>VLOOKUP(Table1[[#This Row],[HomeTeam]],TeamAttrs!$A$2:$K$20,9,FALSE)</f>
        <v>14001</v>
      </c>
      <c r="Z22" s="6">
        <f>VLOOKUP(Table1[[#This Row],[HomeTeam]],TeamAttrs!$A$2:$K$20,10,FALSE)</f>
        <v>20000</v>
      </c>
      <c r="AA22" s="6">
        <f>VLOOKUP(Table1[[#This Row],[HomeTeam]],TeamAttrs!$A$2:$K$20,11,FALSE)</f>
        <v>0.70004999999999995</v>
      </c>
    </row>
    <row r="23" spans="1:27" x14ac:dyDescent="0.25">
      <c r="A23" s="1">
        <v>40992</v>
      </c>
      <c r="B23" t="s">
        <v>18</v>
      </c>
      <c r="C23" t="str">
        <f>VLOOKUP(Table1[[#This Row],[HomeTeam]], TeamAttrs!$A$2:$B$20,2,FALSE)</f>
        <v>RSL</v>
      </c>
      <c r="D23">
        <v>0</v>
      </c>
      <c r="E23">
        <v>1</v>
      </c>
      <c r="F23">
        <f>Table1[[#This Row],[HomeTeamScore]]-Table1[[#This Row],[VisitorScore]]</f>
        <v>-1</v>
      </c>
      <c r="G23" t="s">
        <v>2</v>
      </c>
      <c r="H23" t="str">
        <f>VLOOKUP(Table1[[#This Row],[VisitorTeam]],TeamAttrs!$A$2:$B$20, 2, FALSE)</f>
        <v>Chiv</v>
      </c>
      <c r="I23">
        <f t="shared" si="0"/>
        <v>0</v>
      </c>
      <c r="J23">
        <f t="shared" si="1"/>
        <v>0</v>
      </c>
      <c r="K23">
        <f t="shared" si="2"/>
        <v>1</v>
      </c>
      <c r="L23">
        <f>3*Table1[HomeWin] +Table1[Draw]</f>
        <v>0</v>
      </c>
      <c r="M23">
        <f>3*Table1[HomeLoss]+Table1[Draw]</f>
        <v>3</v>
      </c>
      <c r="N23">
        <f>VLOOKUP(B23,TeamAttrs!$A$2:$C$20,3,FALSE)</f>
        <v>7</v>
      </c>
      <c r="O23">
        <f>VLOOKUP(G23,TeamAttrs!$A$2:$C$20,3,FALSE)</f>
        <v>8</v>
      </c>
      <c r="P23">
        <f t="shared" si="3"/>
        <v>1</v>
      </c>
      <c r="Q23">
        <f>VLOOKUP(B23,TeamAttrs!$A$2:$D$20,3,FALSE)</f>
        <v>7</v>
      </c>
      <c r="R23">
        <f>VLOOKUP(G23,TeamAttrs!$A$2:$D$20,3,FALSE)</f>
        <v>8</v>
      </c>
      <c r="S23">
        <f>RADIANS(VLOOKUP(Table1[[#This Row],[HomeTeam]],TeamAttrs!$A$2:$H$20,7, FALSE))</f>
        <v>0.71151314017277234</v>
      </c>
      <c r="T23">
        <f>RADIANS(VLOOKUP(Table1[[#This Row],[HomeTeam]],TeamAttrs!$A$2:$H$20, 8, FALSE))</f>
        <v>-1.954192803580491</v>
      </c>
      <c r="U23">
        <f>RADIANS(VLOOKUP(Table1[[#This Row],[VisitorTeam]],TeamAttrs!$A$2:$H$20,7,FALSE))</f>
        <v>0.59224781106699187</v>
      </c>
      <c r="V23">
        <f>RADIANS(VLOOKUP(Table1[[#This Row],[VisitorTeam]], TeamAttrs!$A$2:$H$20,8,FALSE))</f>
        <v>-2.0664698343612864</v>
      </c>
      <c r="W23" s="5">
        <f>60*DEGREES(ACOS(SIN(Table1[[#This Row],[HomeLat]])*SIN(Table1[[#This Row],[VisitorLat]]) +COS(Table1[[#This Row],[HomeLat]])*COS(Table1[[#This Row],[VisitorLat]])*COS(ABS(Table1[[#This Row],[HomeLong]] -Table1[[#This Row],[VisitorLong]]))))</f>
        <v>511.76775855631945</v>
      </c>
      <c r="X23" s="6">
        <f>VLOOKUP(Table1[[#This Row],[HomeTeam]],TeamAttrs!$A$2:$K$20,5,FALSE)</f>
        <v>3520000</v>
      </c>
      <c r="Y23" s="6">
        <f>VLOOKUP(Table1[[#This Row],[HomeTeam]],TeamAttrs!$A$2:$K$20,9,FALSE)</f>
        <v>19087</v>
      </c>
      <c r="Z23" s="6">
        <f>VLOOKUP(Table1[[#This Row],[HomeTeam]],TeamAttrs!$A$2:$K$20,10,FALSE)</f>
        <v>20213</v>
      </c>
      <c r="AA23" s="6">
        <f>VLOOKUP(Table1[[#This Row],[HomeTeam]],TeamAttrs!$A$2:$K$20,11,FALSE)</f>
        <v>0.94429327660416562</v>
      </c>
    </row>
    <row r="24" spans="1:27" x14ac:dyDescent="0.25">
      <c r="A24" s="1">
        <v>40992</v>
      </c>
      <c r="B24" t="s">
        <v>10</v>
      </c>
      <c r="C24" t="str">
        <f>VLOOKUP(Table1[[#This Row],[HomeTeam]], TeamAttrs!$A$2:$B$20,2,FALSE)</f>
        <v>Tor</v>
      </c>
      <c r="D24">
        <v>0</v>
      </c>
      <c r="E24">
        <v>3</v>
      </c>
      <c r="F24">
        <f>Table1[[#This Row],[HomeTeamScore]]-Table1[[#This Row],[VisitorScore]]</f>
        <v>-3</v>
      </c>
      <c r="G24" t="s">
        <v>5</v>
      </c>
      <c r="H24" t="str">
        <f>VLOOKUP(Table1[[#This Row],[VisitorTeam]],TeamAttrs!$A$2:$B$20, 2, FALSE)</f>
        <v>SJE</v>
      </c>
      <c r="I24">
        <f t="shared" si="0"/>
        <v>0</v>
      </c>
      <c r="J24">
        <f t="shared" si="1"/>
        <v>0</v>
      </c>
      <c r="K24">
        <f t="shared" si="2"/>
        <v>1</v>
      </c>
      <c r="L24">
        <f>3*Table1[HomeWin] +Table1[Draw]</f>
        <v>0</v>
      </c>
      <c r="M24">
        <f>3*Table1[HomeLoss]+Table1[Draw]</f>
        <v>3</v>
      </c>
      <c r="N24">
        <f>VLOOKUP(B24,TeamAttrs!$A$2:$C$20,3,FALSE)</f>
        <v>5</v>
      </c>
      <c r="O24">
        <f>VLOOKUP(G24,TeamAttrs!$A$2:$C$20,3,FALSE)</f>
        <v>8</v>
      </c>
      <c r="P24">
        <f t="shared" si="3"/>
        <v>3</v>
      </c>
      <c r="Q24">
        <f>VLOOKUP(B24,TeamAttrs!$A$2:$D$20,3,FALSE)</f>
        <v>5</v>
      </c>
      <c r="R24">
        <f>VLOOKUP(G24,TeamAttrs!$A$2:$D$20,3,FALSE)</f>
        <v>8</v>
      </c>
      <c r="S24">
        <f>RADIANS(VLOOKUP(Table1[[#This Row],[HomeTeam]],TeamAttrs!$A$2:$H$20,7, FALSE))</f>
        <v>0.76241741313643896</v>
      </c>
      <c r="T24">
        <f>RADIANS(VLOOKUP(Table1[[#This Row],[HomeTeam]],TeamAttrs!$A$2:$H$20, 8, FALSE))</f>
        <v>-1.3898632792284005</v>
      </c>
      <c r="U24">
        <f>RADIANS(VLOOKUP(Table1[[#This Row],[VisitorTeam]],TeamAttrs!$A$2:$H$20,7,FALSE))</f>
        <v>0.65217194560496516</v>
      </c>
      <c r="V24">
        <f>RADIANS(VLOOKUP(Table1[[#This Row],[VisitorTeam]], TeamAttrs!$A$2:$H$20,8,FALSE))</f>
        <v>-2.1281323168342459</v>
      </c>
      <c r="W24" s="5">
        <f>60*DEGREES(ACOS(SIN(Table1[[#This Row],[HomeLat]])*SIN(Table1[[#This Row],[VisitorLat]]) +COS(Table1[[#This Row],[HomeLat]])*COS(Table1[[#This Row],[VisitorLat]])*COS(ABS(Table1[[#This Row],[HomeLong]] -Table1[[#This Row],[VisitorLong]]))))</f>
        <v>1944.2823810936811</v>
      </c>
      <c r="X24" s="6">
        <f>VLOOKUP(Table1[[#This Row],[HomeTeam]],TeamAttrs!$A$2:$K$20,5,FALSE)</f>
        <v>8250000</v>
      </c>
      <c r="Y24" s="6">
        <f>VLOOKUP(Table1[[#This Row],[HomeTeam]],TeamAttrs!$A$2:$K$20,9,FALSE)</f>
        <v>18155</v>
      </c>
      <c r="Z24" s="6">
        <f>VLOOKUP(Table1[[#This Row],[HomeTeam]],TeamAttrs!$A$2:$K$20,10,FALSE)</f>
        <v>21140</v>
      </c>
      <c r="AA24" s="6">
        <f>VLOOKUP(Table1[[#This Row],[HomeTeam]],TeamAttrs!$A$2:$K$20,11,FALSE)</f>
        <v>0.85879848628193001</v>
      </c>
    </row>
    <row r="25" spans="1:27" x14ac:dyDescent="0.25">
      <c r="A25" s="1">
        <v>40992</v>
      </c>
      <c r="B25" t="s">
        <v>0</v>
      </c>
      <c r="C25" t="str">
        <f>VLOOKUP(Table1[[#This Row],[HomeTeam]], TeamAttrs!$A$2:$B$20,2,FALSE)</f>
        <v>Van</v>
      </c>
      <c r="D25">
        <v>0</v>
      </c>
      <c r="E25">
        <v>0</v>
      </c>
      <c r="F25">
        <f>Table1[[#This Row],[HomeTeamScore]]-Table1[[#This Row],[VisitorScore]]</f>
        <v>0</v>
      </c>
      <c r="G25" t="s">
        <v>3</v>
      </c>
      <c r="H25" t="str">
        <f>VLOOKUP(Table1[[#This Row],[VisitorTeam]],TeamAttrs!$A$2:$B$20, 2, FALSE)</f>
        <v>DCU</v>
      </c>
      <c r="I25">
        <f t="shared" si="0"/>
        <v>0</v>
      </c>
      <c r="J25">
        <f t="shared" si="1"/>
        <v>1</v>
      </c>
      <c r="K25">
        <f t="shared" si="2"/>
        <v>0</v>
      </c>
      <c r="L25">
        <f>3*Table1[HomeWin] +Table1[Draw]</f>
        <v>1</v>
      </c>
      <c r="M25">
        <f>3*Table1[HomeLoss]+Table1[Draw]</f>
        <v>1</v>
      </c>
      <c r="N25">
        <f>VLOOKUP(B25,TeamAttrs!$A$2:$C$20,3,FALSE)</f>
        <v>8</v>
      </c>
      <c r="O25">
        <f>VLOOKUP(G25,TeamAttrs!$A$2:$C$20,3,FALSE)</f>
        <v>5</v>
      </c>
      <c r="P25">
        <f t="shared" si="3"/>
        <v>-3</v>
      </c>
      <c r="Q25">
        <f>VLOOKUP(B25,TeamAttrs!$A$2:$D$20,3,FALSE)</f>
        <v>8</v>
      </c>
      <c r="R25">
        <f>VLOOKUP(G25,TeamAttrs!$A$2:$D$20,3,FALSE)</f>
        <v>5</v>
      </c>
      <c r="S25">
        <f>RADIANS(VLOOKUP(Table1[[#This Row],[HomeTeam]],TeamAttrs!$A$2:$H$20,7, FALSE))</f>
        <v>0.86015585124812133</v>
      </c>
      <c r="T25">
        <f>RADIANS(VLOOKUP(Table1[[#This Row],[HomeTeam]],TeamAttrs!$A$2:$H$20, 8, FALSE))</f>
        <v>-2.1487970151778586</v>
      </c>
      <c r="U25">
        <f>RADIANS(VLOOKUP(Table1[[#This Row],[VisitorTeam]],TeamAttrs!$A$2:$H$20,7,FALSE))</f>
        <v>0.67806041439979703</v>
      </c>
      <c r="V25">
        <f>RADIANS(VLOOKUP(Table1[[#This Row],[VisitorTeam]], TeamAttrs!$A$2:$H$20,8,FALSE))</f>
        <v>-1.3444847186765478</v>
      </c>
      <c r="W25" s="5">
        <f>60*DEGREES(ACOS(SIN(Table1[[#This Row],[HomeLat]])*SIN(Table1[[#This Row],[VisitorLat]]) +COS(Table1[[#This Row],[HomeLat]])*COS(Table1[[#This Row],[VisitorLat]])*COS(ABS(Table1[[#This Row],[HomeLong]] -Table1[[#This Row],[VisitorLong]]))))</f>
        <v>2047.5197753983714</v>
      </c>
      <c r="X25" s="6">
        <f>VLOOKUP(Table1[[#This Row],[HomeTeam]],TeamAttrs!$A$2:$K$20,5,FALSE)</f>
        <v>4370000</v>
      </c>
      <c r="Y25" s="6">
        <f>VLOOKUP(Table1[[#This Row],[HomeTeam]],TeamAttrs!$A$2:$K$20,9,FALSE)</f>
        <v>19475</v>
      </c>
      <c r="Z25" s="6">
        <f>VLOOKUP(Table1[[#This Row],[HomeTeam]],TeamAttrs!$A$2:$K$20,10,FALSE)</f>
        <v>21000</v>
      </c>
      <c r="AA25" s="6">
        <f>VLOOKUP(Table1[[#This Row],[HomeTeam]],TeamAttrs!$A$2:$K$20,11,FALSE)</f>
        <v>0.92738095238095242</v>
      </c>
    </row>
    <row r="26" spans="1:27" x14ac:dyDescent="0.25">
      <c r="A26" s="1">
        <v>40993</v>
      </c>
      <c r="B26" t="s">
        <v>15</v>
      </c>
      <c r="C26" t="str">
        <f>VLOOKUP(Table1[[#This Row],[HomeTeam]], TeamAttrs!$A$2:$B$20,2,FALSE)</f>
        <v>NY</v>
      </c>
      <c r="D26">
        <v>4</v>
      </c>
      <c r="E26">
        <v>1</v>
      </c>
      <c r="F26">
        <f>Table1[[#This Row],[HomeTeamScore]]-Table1[[#This Row],[VisitorScore]]</f>
        <v>3</v>
      </c>
      <c r="G26" t="s">
        <v>14</v>
      </c>
      <c r="H26" t="str">
        <f>VLOOKUP(Table1[[#This Row],[VisitorTeam]],TeamAttrs!$A$2:$B$20, 2, FALSE)</f>
        <v>ColRa</v>
      </c>
      <c r="I26">
        <f t="shared" si="0"/>
        <v>1</v>
      </c>
      <c r="J26">
        <f t="shared" si="1"/>
        <v>0</v>
      </c>
      <c r="K26">
        <f t="shared" si="2"/>
        <v>0</v>
      </c>
      <c r="L26">
        <f>3*Table1[HomeWin] +Table1[Draw]</f>
        <v>3</v>
      </c>
      <c r="M26">
        <f>3*Table1[HomeLoss]+Table1[Draw]</f>
        <v>0</v>
      </c>
      <c r="N26">
        <f>VLOOKUP(B26,TeamAttrs!$A$2:$C$20,3,FALSE)</f>
        <v>5</v>
      </c>
      <c r="O26">
        <f>VLOOKUP(G26,TeamAttrs!$A$2:$C$20,3,FALSE)</f>
        <v>7</v>
      </c>
      <c r="P26">
        <f t="shared" si="3"/>
        <v>2</v>
      </c>
      <c r="Q26">
        <f>VLOOKUP(B26,TeamAttrs!$A$2:$D$20,3,FALSE)</f>
        <v>5</v>
      </c>
      <c r="R26">
        <f>VLOOKUP(G26,TeamAttrs!$A$2:$D$20,3,FALSE)</f>
        <v>7</v>
      </c>
      <c r="S26">
        <f>RADIANS(VLOOKUP(Table1[[#This Row],[HomeTeam]],TeamAttrs!$A$2:$H$20,7, FALSE))</f>
        <v>0.71180286482860333</v>
      </c>
      <c r="T26">
        <f>RADIANS(VLOOKUP(Table1[[#This Row],[HomeTeam]],TeamAttrs!$A$2:$H$20, 8, FALSE))</f>
        <v>-1.2909624518348899</v>
      </c>
      <c r="U26">
        <f>RADIANS(VLOOKUP(Table1[[#This Row],[VisitorTeam]],TeamAttrs!$A$2:$H$20,7,FALSE))</f>
        <v>0.69376837766774602</v>
      </c>
      <c r="V26">
        <f>RADIANS(VLOOKUP(Table1[[#This Row],[VisitorTeam]], TeamAttrs!$A$2:$H$20,8,FALSE))</f>
        <v>-1.8302744266888937</v>
      </c>
      <c r="W26" s="5">
        <f>60*DEGREES(ACOS(SIN(Table1[[#This Row],[HomeLat]])*SIN(Table1[[#This Row],[VisitorLat]]) +COS(Table1[[#This Row],[HomeLat]])*COS(Table1[[#This Row],[VisitorLat]])*COS(ABS(Table1[[#This Row],[HomeLong]] -Table1[[#This Row],[VisitorLong]]))))</f>
        <v>1408.7287168600878</v>
      </c>
      <c r="X26" s="6">
        <f>VLOOKUP(Table1[[#This Row],[HomeTeam]],TeamAttrs!$A$2:$K$20,5,FALSE)</f>
        <v>12960000</v>
      </c>
      <c r="Y26" s="6">
        <f>VLOOKUP(Table1[[#This Row],[HomeTeam]],TeamAttrs!$A$2:$K$20,9,FALSE)</f>
        <v>18281</v>
      </c>
      <c r="Z26" s="6">
        <f>VLOOKUP(Table1[[#This Row],[HomeTeam]],TeamAttrs!$A$2:$K$20,10,FALSE)</f>
        <v>25000</v>
      </c>
      <c r="AA26" s="6">
        <f>VLOOKUP(Table1[[#This Row],[HomeTeam]],TeamAttrs!$A$2:$K$20,11,FALSE)</f>
        <v>0.73124</v>
      </c>
    </row>
    <row r="27" spans="1:27" x14ac:dyDescent="0.25">
      <c r="A27" s="1">
        <v>40993</v>
      </c>
      <c r="B27" t="s">
        <v>6</v>
      </c>
      <c r="C27" t="str">
        <f>VLOOKUP(Table1[[#This Row],[HomeTeam]], TeamAttrs!$A$2:$B$20,2,FALSE)</f>
        <v>SKC</v>
      </c>
      <c r="D27">
        <v>2</v>
      </c>
      <c r="E27">
        <v>1</v>
      </c>
      <c r="F27">
        <f>Table1[[#This Row],[HomeTeamScore]]-Table1[[#This Row],[VisitorScore]]</f>
        <v>1</v>
      </c>
      <c r="G27" t="s">
        <v>7</v>
      </c>
      <c r="H27" t="str">
        <f>VLOOKUP(Table1[[#This Row],[VisitorTeam]],TeamAttrs!$A$2:$B$20, 2, FALSE)</f>
        <v>FCDal</v>
      </c>
      <c r="I27">
        <f t="shared" si="0"/>
        <v>1</v>
      </c>
      <c r="J27">
        <f t="shared" si="1"/>
        <v>0</v>
      </c>
      <c r="K27">
        <f t="shared" si="2"/>
        <v>0</v>
      </c>
      <c r="L27">
        <f>3*Table1[HomeWin] +Table1[Draw]</f>
        <v>3</v>
      </c>
      <c r="M27">
        <f>3*Table1[HomeLoss]+Table1[Draw]</f>
        <v>0</v>
      </c>
      <c r="N27">
        <f>VLOOKUP(B27,TeamAttrs!$A$2:$C$20,3,FALSE)</f>
        <v>6</v>
      </c>
      <c r="O27">
        <f>VLOOKUP(G27,TeamAttrs!$A$2:$C$20,3,FALSE)</f>
        <v>6</v>
      </c>
      <c r="P27">
        <f t="shared" si="3"/>
        <v>0</v>
      </c>
      <c r="Q27">
        <f>VLOOKUP(B27,TeamAttrs!$A$2:$D$20,3,FALSE)</f>
        <v>6</v>
      </c>
      <c r="R27">
        <f>VLOOKUP(G27,TeamAttrs!$A$2:$D$20,3,FALSE)</f>
        <v>6</v>
      </c>
      <c r="S27">
        <f>RADIANS(VLOOKUP(Table1[[#This Row],[HomeTeam]],TeamAttrs!$A$2:$H$20,7, FALSE))</f>
        <v>0.68271520751486592</v>
      </c>
      <c r="T27">
        <f>RADIANS(VLOOKUP(Table1[[#This Row],[HomeTeam]],TeamAttrs!$A$2:$H$20, 8, FALSE))</f>
        <v>-1.65166266702755</v>
      </c>
      <c r="U27">
        <f>RADIANS(VLOOKUP(Table1[[#This Row],[VisitorTeam]],TeamAttrs!$A$2:$H$20,7,FALSE))</f>
        <v>0.57334065928013733</v>
      </c>
      <c r="V27">
        <f>RADIANS(VLOOKUP(Table1[[#This Row],[VisitorTeam]], TeamAttrs!$A$2:$H$20,8,FALSE))</f>
        <v>-1.690351380556508</v>
      </c>
      <c r="W27" s="5">
        <f>60*DEGREES(ACOS(SIN(Table1[[#This Row],[HomeLat]])*SIN(Table1[[#This Row],[VisitorLat]]) +COS(Table1[[#This Row],[HomeLat]])*COS(Table1[[#This Row],[VisitorLat]])*COS(ABS(Table1[[#This Row],[HomeLong]] -Table1[[#This Row],[VisitorLong]]))))</f>
        <v>391.06266960328543</v>
      </c>
      <c r="X27" s="6">
        <f>VLOOKUP(Table1[[#This Row],[HomeTeam]],TeamAttrs!$A$2:$K$20,5,FALSE)</f>
        <v>3120000</v>
      </c>
      <c r="Y27" s="6">
        <f>VLOOKUP(Table1[[#This Row],[HomeTeam]],TeamAttrs!$A$2:$K$20,9,FALSE)</f>
        <v>19404</v>
      </c>
      <c r="Z27" s="6">
        <f>VLOOKUP(Table1[[#This Row],[HomeTeam]],TeamAttrs!$A$2:$K$20,10,FALSE)</f>
        <v>18467</v>
      </c>
      <c r="AA27" s="6">
        <f>VLOOKUP(Table1[[#This Row],[HomeTeam]],TeamAttrs!$A$2:$K$20,11,FALSE)</f>
        <v>1.0507391563329183</v>
      </c>
    </row>
    <row r="28" spans="1:27" x14ac:dyDescent="0.25">
      <c r="A28" s="1">
        <v>40998</v>
      </c>
      <c r="B28" t="s">
        <v>3</v>
      </c>
      <c r="C28" t="str">
        <f>VLOOKUP(Table1[[#This Row],[HomeTeam]], TeamAttrs!$A$2:$B$20,2,FALSE)</f>
        <v>DCU</v>
      </c>
      <c r="D28">
        <v>4</v>
      </c>
      <c r="E28">
        <v>1</v>
      </c>
      <c r="F28">
        <f>Table1[[#This Row],[HomeTeamScore]]-Table1[[#This Row],[VisitorScore]]</f>
        <v>3</v>
      </c>
      <c r="G28" t="s">
        <v>7</v>
      </c>
      <c r="H28" t="str">
        <f>VLOOKUP(Table1[[#This Row],[VisitorTeam]],TeamAttrs!$A$2:$B$20, 2, FALSE)</f>
        <v>FCDal</v>
      </c>
      <c r="I28">
        <f t="shared" si="0"/>
        <v>1</v>
      </c>
      <c r="J28">
        <f t="shared" si="1"/>
        <v>0</v>
      </c>
      <c r="K28">
        <f t="shared" si="2"/>
        <v>0</v>
      </c>
      <c r="L28">
        <f>3*Table1[HomeWin] +Table1[Draw]</f>
        <v>3</v>
      </c>
      <c r="M28">
        <f>3*Table1[HomeLoss]+Table1[Draw]</f>
        <v>0</v>
      </c>
      <c r="N28">
        <f>VLOOKUP(B28,TeamAttrs!$A$2:$C$20,3,FALSE)</f>
        <v>5</v>
      </c>
      <c r="O28">
        <f>VLOOKUP(G28,TeamAttrs!$A$2:$C$20,3,FALSE)</f>
        <v>6</v>
      </c>
      <c r="P28">
        <f t="shared" si="3"/>
        <v>1</v>
      </c>
      <c r="Q28">
        <f>VLOOKUP(B28,TeamAttrs!$A$2:$D$20,3,FALSE)</f>
        <v>5</v>
      </c>
      <c r="R28">
        <f>VLOOKUP(G28,TeamAttrs!$A$2:$D$20,3,FALSE)</f>
        <v>6</v>
      </c>
      <c r="S28">
        <f>RADIANS(VLOOKUP(Table1[[#This Row],[HomeTeam]],TeamAttrs!$A$2:$H$20,7, FALSE))</f>
        <v>0.67806041439979703</v>
      </c>
      <c r="T28">
        <f>RADIANS(VLOOKUP(Table1[[#This Row],[HomeTeam]],TeamAttrs!$A$2:$H$20, 8, FALSE))</f>
        <v>-1.3444847186765478</v>
      </c>
      <c r="U28">
        <f>RADIANS(VLOOKUP(Table1[[#This Row],[VisitorTeam]],TeamAttrs!$A$2:$H$20,7,FALSE))</f>
        <v>0.57334065928013733</v>
      </c>
      <c r="V28">
        <f>RADIANS(VLOOKUP(Table1[[#This Row],[VisitorTeam]], TeamAttrs!$A$2:$H$20,8,FALSE))</f>
        <v>-1.690351380556508</v>
      </c>
      <c r="W28" s="5">
        <f>60*DEGREES(ACOS(SIN(Table1[[#This Row],[HomeLat]])*SIN(Table1[[#This Row],[VisitorLat]]) +COS(Table1[[#This Row],[HomeLat]])*COS(Table1[[#This Row],[VisitorLat]])*COS(ABS(Table1[[#This Row],[HomeLong]] -Table1[[#This Row],[VisitorLong]]))))</f>
        <v>1026.1744540708135</v>
      </c>
      <c r="X28" s="6">
        <f>VLOOKUP(Table1[[#This Row],[HomeTeam]],TeamAttrs!$A$2:$K$20,5,FALSE)</f>
        <v>4190000.0000000005</v>
      </c>
      <c r="Y28" s="6">
        <f>VLOOKUP(Table1[[#This Row],[HomeTeam]],TeamAttrs!$A$2:$K$20,9,FALSE)</f>
        <v>13846</v>
      </c>
      <c r="Z28" s="6">
        <f>VLOOKUP(Table1[[#This Row],[HomeTeam]],TeamAttrs!$A$2:$K$20,10,FALSE)</f>
        <v>19467</v>
      </c>
      <c r="AA28" s="6">
        <f>VLOOKUP(Table1[[#This Row],[HomeTeam]],TeamAttrs!$A$2:$K$20,11,FALSE)</f>
        <v>0.71125494426465297</v>
      </c>
    </row>
    <row r="29" spans="1:27" x14ac:dyDescent="0.25">
      <c r="A29" s="1">
        <v>40999</v>
      </c>
      <c r="B29" t="s">
        <v>16</v>
      </c>
      <c r="C29" t="str">
        <f>VLOOKUP(Table1[[#This Row],[HomeTeam]], TeamAttrs!$A$2:$B$20,2,FALSE)</f>
        <v>LAGxy</v>
      </c>
      <c r="D29">
        <v>1</v>
      </c>
      <c r="E29">
        <v>3</v>
      </c>
      <c r="F29">
        <f>Table1[[#This Row],[HomeTeamScore]]-Table1[[#This Row],[VisitorScore]]</f>
        <v>-2</v>
      </c>
      <c r="G29" t="s">
        <v>9</v>
      </c>
      <c r="H29" t="str">
        <f>VLOOKUP(Table1[[#This Row],[VisitorTeam]],TeamAttrs!$A$2:$B$20, 2, FALSE)</f>
        <v>NE</v>
      </c>
      <c r="I29">
        <f t="shared" si="0"/>
        <v>0</v>
      </c>
      <c r="J29">
        <f t="shared" si="1"/>
        <v>0</v>
      </c>
      <c r="K29">
        <f t="shared" si="2"/>
        <v>1</v>
      </c>
      <c r="L29">
        <f>3*Table1[HomeWin] +Table1[Draw]</f>
        <v>0</v>
      </c>
      <c r="M29">
        <f>3*Table1[HomeLoss]+Table1[Draw]</f>
        <v>3</v>
      </c>
      <c r="N29">
        <f>VLOOKUP(B29,TeamAttrs!$A$2:$C$20,3,FALSE)</f>
        <v>8</v>
      </c>
      <c r="O29">
        <f>VLOOKUP(G29,TeamAttrs!$A$2:$C$20,3,FALSE)</f>
        <v>5</v>
      </c>
      <c r="P29">
        <f t="shared" si="3"/>
        <v>-3</v>
      </c>
      <c r="Q29">
        <f>VLOOKUP(B29,TeamAttrs!$A$2:$D$20,3,FALSE)</f>
        <v>8</v>
      </c>
      <c r="R29">
        <f>VLOOKUP(G29,TeamAttrs!$A$2:$D$20,3,FALSE)</f>
        <v>5</v>
      </c>
      <c r="S29">
        <f>RADIANS(VLOOKUP(Table1[[#This Row],[HomeTeam]],TeamAttrs!$A$2:$H$20,7, FALSE))</f>
        <v>0.59224781106699187</v>
      </c>
      <c r="T29">
        <f>RADIANS(VLOOKUP(Table1[[#This Row],[HomeTeam]],TeamAttrs!$A$2:$H$20, 8, FALSE))</f>
        <v>-2.0664698343612864</v>
      </c>
      <c r="U29">
        <f>RADIANS(VLOOKUP(Table1[[#This Row],[VisitorTeam]],TeamAttrs!$A$2:$H$20,7,FALSE))</f>
        <v>0.73943840820468165</v>
      </c>
      <c r="V29">
        <f>RADIANS(VLOOKUP(Table1[[#This Row],[VisitorTeam]], TeamAttrs!$A$2:$H$20,8,FALSE))</f>
        <v>-1.2397649635568881</v>
      </c>
      <c r="W29" s="5">
        <f>60*DEGREES(ACOS(SIN(Table1[[#This Row],[HomeLat]])*SIN(Table1[[#This Row],[VisitorLat]]) +COS(Table1[[#This Row],[HomeLat]])*COS(Table1[[#This Row],[VisitorLat]])*COS(ABS(Table1[[#This Row],[HomeLong]] -Table1[[#This Row],[VisitorLong]]))))</f>
        <v>2261.1759390749476</v>
      </c>
      <c r="X29" s="6">
        <f>VLOOKUP(Table1[[#This Row],[HomeTeam]],TeamAttrs!$A$2:$K$20,5,FALSE)</f>
        <v>12630000</v>
      </c>
      <c r="Y29" s="6">
        <f>VLOOKUP(Table1[[#This Row],[HomeTeam]],TeamAttrs!$A$2:$K$20,9,FALSE)</f>
        <v>23136</v>
      </c>
      <c r="Z29" s="6">
        <f>VLOOKUP(Table1[[#This Row],[HomeTeam]],TeamAttrs!$A$2:$K$20,10,FALSE)</f>
        <v>27000</v>
      </c>
      <c r="AA29" s="6">
        <f>VLOOKUP(Table1[[#This Row],[HomeTeam]],TeamAttrs!$A$2:$K$20,11,FALSE)</f>
        <v>0.85688888888888892</v>
      </c>
    </row>
    <row r="30" spans="1:27" x14ac:dyDescent="0.25">
      <c r="A30" s="1">
        <v>40999</v>
      </c>
      <c r="B30" t="s">
        <v>15</v>
      </c>
      <c r="C30" t="str">
        <f>VLOOKUP(Table1[[#This Row],[HomeTeam]], TeamAttrs!$A$2:$B$20,2,FALSE)</f>
        <v>NY</v>
      </c>
      <c r="D30">
        <v>5</v>
      </c>
      <c r="E30">
        <v>2</v>
      </c>
      <c r="F30">
        <f>Table1[[#This Row],[HomeTeamScore]]-Table1[[#This Row],[VisitorScore]]</f>
        <v>3</v>
      </c>
      <c r="G30" t="s">
        <v>1</v>
      </c>
      <c r="H30" t="str">
        <f>VLOOKUP(Table1[[#This Row],[VisitorTeam]],TeamAttrs!$A$2:$B$20, 2, FALSE)</f>
        <v>Mntrl</v>
      </c>
      <c r="I30">
        <f t="shared" si="0"/>
        <v>1</v>
      </c>
      <c r="J30">
        <f t="shared" si="1"/>
        <v>0</v>
      </c>
      <c r="K30">
        <f t="shared" si="2"/>
        <v>0</v>
      </c>
      <c r="L30">
        <f>3*Table1[HomeWin] +Table1[Draw]</f>
        <v>3</v>
      </c>
      <c r="M30">
        <f>3*Table1[HomeLoss]+Table1[Draw]</f>
        <v>0</v>
      </c>
      <c r="N30">
        <f>VLOOKUP(B30,TeamAttrs!$A$2:$C$20,3,FALSE)</f>
        <v>5</v>
      </c>
      <c r="O30">
        <f>VLOOKUP(G30,TeamAttrs!$A$2:$C$20,3,FALSE)</f>
        <v>5</v>
      </c>
      <c r="P30">
        <f t="shared" si="3"/>
        <v>0</v>
      </c>
      <c r="Q30">
        <f>VLOOKUP(B30,TeamAttrs!$A$2:$D$20,3,FALSE)</f>
        <v>5</v>
      </c>
      <c r="R30">
        <f>VLOOKUP(G30,TeamAttrs!$A$2:$D$20,3,FALSE)</f>
        <v>5</v>
      </c>
      <c r="S30">
        <f>RADIANS(VLOOKUP(Table1[[#This Row],[HomeTeam]],TeamAttrs!$A$2:$H$20,7, FALSE))</f>
        <v>0.71180286482860333</v>
      </c>
      <c r="T30">
        <f>RADIANS(VLOOKUP(Table1[[#This Row],[HomeTeam]],TeamAttrs!$A$2:$H$20, 8, FALSE))</f>
        <v>-1.2909624518348899</v>
      </c>
      <c r="U30">
        <f>RADIANS(VLOOKUP(Table1[[#This Row],[VisitorTeam]],TeamAttrs!$A$2:$H$20,7,FALSE))</f>
        <v>0.79354361501650583</v>
      </c>
      <c r="V30">
        <f>RADIANS(VLOOKUP(Table1[[#This Row],[VisitorTeam]], TeamAttrs!$A$2:$H$20,8,FALSE))</f>
        <v>-1.2871803233458181</v>
      </c>
      <c r="W30" s="5">
        <f>60*DEGREES(ACOS(SIN(Table1[[#This Row],[HomeLat]])*SIN(Table1[[#This Row],[VisitorLat]]) +COS(Table1[[#This Row],[HomeLat]])*COS(Table1[[#This Row],[VisitorLat]])*COS(ABS(Table1[[#This Row],[HomeLong]] -Table1[[#This Row],[VisitorLong]]))))</f>
        <v>281.16386690877181</v>
      </c>
      <c r="X30" s="6">
        <f>VLOOKUP(Table1[[#This Row],[HomeTeam]],TeamAttrs!$A$2:$K$20,5,FALSE)</f>
        <v>12960000</v>
      </c>
      <c r="Y30" s="6">
        <f>VLOOKUP(Table1[[#This Row],[HomeTeam]],TeamAttrs!$A$2:$K$20,9,FALSE)</f>
        <v>18281</v>
      </c>
      <c r="Z30" s="6">
        <f>VLOOKUP(Table1[[#This Row],[HomeTeam]],TeamAttrs!$A$2:$K$20,10,FALSE)</f>
        <v>25000</v>
      </c>
      <c r="AA30" s="6">
        <f>VLOOKUP(Table1[[#This Row],[HomeTeam]],TeamAttrs!$A$2:$K$20,11,FALSE)</f>
        <v>0.73124</v>
      </c>
    </row>
    <row r="31" spans="1:27" x14ac:dyDescent="0.25">
      <c r="A31" s="1">
        <v>40999</v>
      </c>
      <c r="B31" t="s">
        <v>4</v>
      </c>
      <c r="C31" t="str">
        <f>VLOOKUP(Table1[[#This Row],[HomeTeam]], TeamAttrs!$A$2:$B$20,2,FALSE)</f>
        <v>Phil</v>
      </c>
      <c r="D31">
        <v>0</v>
      </c>
      <c r="E31">
        <v>0</v>
      </c>
      <c r="F31">
        <f>Table1[[#This Row],[HomeTeamScore]]-Table1[[#This Row],[VisitorScore]]</f>
        <v>0</v>
      </c>
      <c r="G31" t="s">
        <v>0</v>
      </c>
      <c r="H31" t="str">
        <f>VLOOKUP(Table1[[#This Row],[VisitorTeam]],TeamAttrs!$A$2:$B$20, 2, FALSE)</f>
        <v>Van</v>
      </c>
      <c r="I31">
        <f t="shared" si="0"/>
        <v>0</v>
      </c>
      <c r="J31">
        <f t="shared" si="1"/>
        <v>1</v>
      </c>
      <c r="K31">
        <f t="shared" si="2"/>
        <v>0</v>
      </c>
      <c r="L31">
        <f>3*Table1[HomeWin] +Table1[Draw]</f>
        <v>1</v>
      </c>
      <c r="M31">
        <f>3*Table1[HomeLoss]+Table1[Draw]</f>
        <v>1</v>
      </c>
      <c r="N31">
        <f>VLOOKUP(B31,TeamAttrs!$A$2:$C$20,3,FALSE)</f>
        <v>5</v>
      </c>
      <c r="O31">
        <f>VLOOKUP(G31,TeamAttrs!$A$2:$C$20,3,FALSE)</f>
        <v>8</v>
      </c>
      <c r="P31">
        <f t="shared" si="3"/>
        <v>3</v>
      </c>
      <c r="Q31">
        <f>VLOOKUP(B31,TeamAttrs!$A$2:$D$20,3,FALSE)</f>
        <v>5</v>
      </c>
      <c r="R31">
        <f>VLOOKUP(G31,TeamAttrs!$A$2:$D$20,3,FALSE)</f>
        <v>8</v>
      </c>
      <c r="S31">
        <f>RADIANS(VLOOKUP(Table1[[#This Row],[HomeTeam]],TeamAttrs!$A$2:$H$20,7, FALSE))</f>
        <v>0.69609490156065446</v>
      </c>
      <c r="T31">
        <f>RADIANS(VLOOKUP(Table1[[#This Row],[HomeTeam]],TeamAttrs!$A$2:$H$20, 8, FALSE))</f>
        <v>-1.313360262125733</v>
      </c>
      <c r="U31">
        <f>RADIANS(VLOOKUP(Table1[[#This Row],[VisitorTeam]],TeamAttrs!$A$2:$H$20,7,FALSE))</f>
        <v>0.86015585124812133</v>
      </c>
      <c r="V31">
        <f>RADIANS(VLOOKUP(Table1[[#This Row],[VisitorTeam]], TeamAttrs!$A$2:$H$20,8,FALSE))</f>
        <v>-2.1487970151778586</v>
      </c>
      <c r="W31" s="5">
        <f>60*DEGREES(ACOS(SIN(Table1[[#This Row],[HomeLat]])*SIN(Table1[[#This Row],[VisitorLat]]) +COS(Table1[[#This Row],[HomeLat]])*COS(Table1[[#This Row],[VisitorLat]])*COS(ABS(Table1[[#This Row],[HomeLong]] -Table1[[#This Row],[VisitorLong]]))))</f>
        <v>2083.9848198132572</v>
      </c>
      <c r="X31" s="6">
        <f>VLOOKUP(Table1[[#This Row],[HomeTeam]],TeamAttrs!$A$2:$K$20,5,FALSE)</f>
        <v>3620000</v>
      </c>
      <c r="Y31" s="6">
        <f>VLOOKUP(Table1[[#This Row],[HomeTeam]],TeamAttrs!$A$2:$K$20,9,FALSE)</f>
        <v>18053</v>
      </c>
      <c r="Z31" s="6">
        <f>VLOOKUP(Table1[[#This Row],[HomeTeam]],TeamAttrs!$A$2:$K$20,10,FALSE)</f>
        <v>18500</v>
      </c>
      <c r="AA31" s="6">
        <f>VLOOKUP(Table1[[#This Row],[HomeTeam]],TeamAttrs!$A$2:$K$20,11,FALSE)</f>
        <v>0.97583783783783784</v>
      </c>
    </row>
    <row r="32" spans="1:27" x14ac:dyDescent="0.25">
      <c r="A32" s="1">
        <v>40999</v>
      </c>
      <c r="B32" t="s">
        <v>12</v>
      </c>
      <c r="C32" t="str">
        <f>VLOOKUP(Table1[[#This Row],[HomeTeam]], TeamAttrs!$A$2:$B$20,2,FALSE)</f>
        <v>Port</v>
      </c>
      <c r="D32">
        <v>2</v>
      </c>
      <c r="E32">
        <v>3</v>
      </c>
      <c r="F32">
        <f>Table1[[#This Row],[HomeTeamScore]]-Table1[[#This Row],[VisitorScore]]</f>
        <v>-1</v>
      </c>
      <c r="G32" t="s">
        <v>18</v>
      </c>
      <c r="H32" t="str">
        <f>VLOOKUP(Table1[[#This Row],[VisitorTeam]],TeamAttrs!$A$2:$B$20, 2, FALSE)</f>
        <v>RSL</v>
      </c>
      <c r="I32">
        <f t="shared" si="0"/>
        <v>0</v>
      </c>
      <c r="J32">
        <f t="shared" si="1"/>
        <v>0</v>
      </c>
      <c r="K32">
        <f t="shared" si="2"/>
        <v>1</v>
      </c>
      <c r="L32">
        <f>3*Table1[HomeWin] +Table1[Draw]</f>
        <v>0</v>
      </c>
      <c r="M32">
        <f>3*Table1[HomeLoss]+Table1[Draw]</f>
        <v>3</v>
      </c>
      <c r="N32">
        <f>VLOOKUP(B32,TeamAttrs!$A$2:$C$20,3,FALSE)</f>
        <v>8</v>
      </c>
      <c r="O32">
        <f>VLOOKUP(G32,TeamAttrs!$A$2:$C$20,3,FALSE)</f>
        <v>7</v>
      </c>
      <c r="P32">
        <f t="shared" si="3"/>
        <v>-1</v>
      </c>
      <c r="Q32">
        <f>VLOOKUP(B32,TeamAttrs!$A$2:$D$20,3,FALSE)</f>
        <v>8</v>
      </c>
      <c r="R32">
        <f>VLOOKUP(G32,TeamAttrs!$A$2:$D$20,3,FALSE)</f>
        <v>7</v>
      </c>
      <c r="S32">
        <f>RADIANS(VLOOKUP(Table1[[#This Row],[HomeTeam]],TeamAttrs!$A$2:$H$20,7, FALSE))</f>
        <v>0.79587013890941427</v>
      </c>
      <c r="T32">
        <f>RADIANS(VLOOKUP(Table1[[#This Row],[HomeTeam]],TeamAttrs!$A$2:$H$20, 8, FALSE))</f>
        <v>-2.1397736629450481</v>
      </c>
      <c r="U32">
        <f>RADIANS(VLOOKUP(Table1[[#This Row],[VisitorTeam]],TeamAttrs!$A$2:$H$20,7,FALSE))</f>
        <v>0.71151314017277234</v>
      </c>
      <c r="V32">
        <f>RADIANS(VLOOKUP(Table1[[#This Row],[VisitorTeam]], TeamAttrs!$A$2:$H$20,8,FALSE))</f>
        <v>-1.954192803580491</v>
      </c>
      <c r="W32" s="5">
        <f>60*DEGREES(ACOS(SIN(Table1[[#This Row],[HomeLat]])*SIN(Table1[[#This Row],[VisitorLat]]) +COS(Table1[[#This Row],[HomeLat]])*COS(Table1[[#This Row],[VisitorLat]])*COS(ABS(Table1[[#This Row],[HomeLong]] -Table1[[#This Row],[VisitorLong]]))))</f>
        <v>547.49041503778903</v>
      </c>
      <c r="X32" s="6">
        <f>VLOOKUP(Table1[[#This Row],[HomeTeam]],TeamAttrs!$A$2:$K$20,5,FALSE)</f>
        <v>4160000</v>
      </c>
      <c r="Y32" s="6">
        <f>VLOOKUP(Table1[[#This Row],[HomeTeam]],TeamAttrs!$A$2:$K$20,9,FALSE)</f>
        <v>20438</v>
      </c>
      <c r="Z32" s="6">
        <f>VLOOKUP(Table1[[#This Row],[HomeTeam]],TeamAttrs!$A$2:$K$20,10,FALSE)</f>
        <v>20438</v>
      </c>
      <c r="AA32" s="6">
        <f>VLOOKUP(Table1[[#This Row],[HomeTeam]],TeamAttrs!$A$2:$K$20,11,FALSE)</f>
        <v>1</v>
      </c>
    </row>
    <row r="33" spans="1:27" x14ac:dyDescent="0.25">
      <c r="A33" s="1">
        <v>40999</v>
      </c>
      <c r="B33" t="s">
        <v>11</v>
      </c>
      <c r="C33" t="str">
        <f>VLOOKUP(Table1[[#This Row],[HomeTeam]], TeamAttrs!$A$2:$B$20,2,FALSE)</f>
        <v>SEA</v>
      </c>
      <c r="D33">
        <v>0</v>
      </c>
      <c r="E33">
        <v>1</v>
      </c>
      <c r="F33">
        <f>Table1[[#This Row],[HomeTeamScore]]-Table1[[#This Row],[VisitorScore]]</f>
        <v>-1</v>
      </c>
      <c r="G33" t="s">
        <v>5</v>
      </c>
      <c r="H33" t="str">
        <f>VLOOKUP(Table1[[#This Row],[VisitorTeam]],TeamAttrs!$A$2:$B$20, 2, FALSE)</f>
        <v>SJE</v>
      </c>
      <c r="I33">
        <f t="shared" si="0"/>
        <v>0</v>
      </c>
      <c r="J33">
        <f t="shared" si="1"/>
        <v>0</v>
      </c>
      <c r="K33">
        <f t="shared" si="2"/>
        <v>1</v>
      </c>
      <c r="L33">
        <f>3*Table1[HomeWin] +Table1[Draw]</f>
        <v>0</v>
      </c>
      <c r="M33">
        <f>3*Table1[HomeLoss]+Table1[Draw]</f>
        <v>3</v>
      </c>
      <c r="N33">
        <f>VLOOKUP(B33,TeamAttrs!$A$2:$C$20,3,FALSE)</f>
        <v>8</v>
      </c>
      <c r="O33">
        <f>VLOOKUP(G33,TeamAttrs!$A$2:$C$20,3,FALSE)</f>
        <v>8</v>
      </c>
      <c r="P33">
        <f t="shared" si="3"/>
        <v>0</v>
      </c>
      <c r="Q33">
        <f>VLOOKUP(B33,TeamAttrs!$A$2:$D$20,3,FALSE)</f>
        <v>8</v>
      </c>
      <c r="R33">
        <f>VLOOKUP(G33,TeamAttrs!$A$2:$D$20,3,FALSE)</f>
        <v>8</v>
      </c>
      <c r="S33">
        <f>RADIANS(VLOOKUP(Table1[[#This Row],[HomeTeam]],TeamAttrs!$A$2:$H$20,7, FALSE))</f>
        <v>0.83164938857529802</v>
      </c>
      <c r="T33">
        <f>RADIANS(VLOOKUP(Table1[[#This Row],[HomeTeam]],TeamAttrs!$A$2:$H$20, 8, FALSE))</f>
        <v>-2.134537675189065</v>
      </c>
      <c r="U33">
        <f>RADIANS(VLOOKUP(Table1[[#This Row],[VisitorTeam]],TeamAttrs!$A$2:$H$20,7,FALSE))</f>
        <v>0.65217194560496516</v>
      </c>
      <c r="V33">
        <f>RADIANS(VLOOKUP(Table1[[#This Row],[VisitorTeam]], TeamAttrs!$A$2:$H$20,8,FALSE))</f>
        <v>-2.1281323168342459</v>
      </c>
      <c r="W33" s="5">
        <f>60*DEGREES(ACOS(SIN(Table1[[#This Row],[HomeLat]])*SIN(Table1[[#This Row],[VisitorLat]]) +COS(Table1[[#This Row],[HomeLat]])*COS(Table1[[#This Row],[VisitorLat]])*COS(ABS(Table1[[#This Row],[HomeLong]] -Table1[[#This Row],[VisitorLong]]))))</f>
        <v>617.20947510615565</v>
      </c>
      <c r="X33" s="6">
        <f>VLOOKUP(Table1[[#This Row],[HomeTeam]],TeamAttrs!$A$2:$K$20,5,FALSE)</f>
        <v>3980000</v>
      </c>
      <c r="Y33" s="6">
        <f>VLOOKUP(Table1[[#This Row],[HomeTeam]],TeamAttrs!$A$2:$K$20,9,FALSE)</f>
        <v>43104</v>
      </c>
      <c r="Z33" s="6">
        <f>VLOOKUP(Table1[[#This Row],[HomeTeam]],TeamAttrs!$A$2:$K$20,10,FALSE)</f>
        <v>38500</v>
      </c>
      <c r="AA33" s="6">
        <f>VLOOKUP(Table1[[#This Row],[HomeTeam]],TeamAttrs!$A$2:$K$20,11,FALSE)</f>
        <v>1.1195844155844157</v>
      </c>
    </row>
    <row r="34" spans="1:27" x14ac:dyDescent="0.25">
      <c r="A34" s="1">
        <v>40999</v>
      </c>
      <c r="B34" t="s">
        <v>10</v>
      </c>
      <c r="C34" t="str">
        <f>VLOOKUP(Table1[[#This Row],[HomeTeam]], TeamAttrs!$A$2:$B$20,2,FALSE)</f>
        <v>Tor</v>
      </c>
      <c r="D34">
        <v>0</v>
      </c>
      <c r="E34">
        <v>1</v>
      </c>
      <c r="F34">
        <f>Table1[[#This Row],[HomeTeamScore]]-Table1[[#This Row],[VisitorScore]]</f>
        <v>-1</v>
      </c>
      <c r="G34" t="s">
        <v>8</v>
      </c>
      <c r="H34" t="str">
        <f>VLOOKUP(Table1[[#This Row],[VisitorTeam]],TeamAttrs!$A$2:$B$20, 2, FALSE)</f>
        <v>Colum</v>
      </c>
      <c r="I34">
        <f t="shared" si="0"/>
        <v>0</v>
      </c>
      <c r="J34">
        <f t="shared" si="1"/>
        <v>0</v>
      </c>
      <c r="K34">
        <f t="shared" si="2"/>
        <v>1</v>
      </c>
      <c r="L34">
        <f>3*Table1[HomeWin] +Table1[Draw]</f>
        <v>0</v>
      </c>
      <c r="M34">
        <f>3*Table1[HomeLoss]+Table1[Draw]</f>
        <v>3</v>
      </c>
      <c r="N34">
        <f>VLOOKUP(B34,TeamAttrs!$A$2:$C$20,3,FALSE)</f>
        <v>5</v>
      </c>
      <c r="O34">
        <f>VLOOKUP(G34,TeamAttrs!$A$2:$C$20,3,FALSE)</f>
        <v>5</v>
      </c>
      <c r="P34">
        <f t="shared" si="3"/>
        <v>0</v>
      </c>
      <c r="Q34">
        <f>VLOOKUP(B34,TeamAttrs!$A$2:$D$20,3,FALSE)</f>
        <v>5</v>
      </c>
      <c r="R34">
        <f>VLOOKUP(G34,TeamAttrs!$A$2:$D$20,3,FALSE)</f>
        <v>5</v>
      </c>
      <c r="S34">
        <f>RADIANS(VLOOKUP(Table1[[#This Row],[HomeTeam]],TeamAttrs!$A$2:$H$20,7, FALSE))</f>
        <v>0.76241741313643896</v>
      </c>
      <c r="T34">
        <f>RADIANS(VLOOKUP(Table1[[#This Row],[HomeTeam]],TeamAttrs!$A$2:$H$20, 8, FALSE))</f>
        <v>-1.3898632792284005</v>
      </c>
      <c r="U34">
        <f>RADIANS(VLOOKUP(Table1[[#This Row],[VisitorTeam]],TeamAttrs!$A$2:$H$20,7,FALSE))</f>
        <v>0.69813170079773179</v>
      </c>
      <c r="V34">
        <f>RADIANS(VLOOKUP(Table1[[#This Row],[VisitorTeam]], TeamAttrs!$A$2:$H$20,8,FALSE))</f>
        <v>-1.4465864799182162</v>
      </c>
      <c r="W34" s="5">
        <f>60*DEGREES(ACOS(SIN(Table1[[#This Row],[HomeLat]])*SIN(Table1[[#This Row],[VisitorLat]]) +COS(Table1[[#This Row],[HomeLat]])*COS(Table1[[#This Row],[VisitorLat]])*COS(ABS(Table1[[#This Row],[HomeLong]] -Table1[[#This Row],[VisitorLong]]))))</f>
        <v>264.4185564345218</v>
      </c>
      <c r="X34" s="6">
        <f>VLOOKUP(Table1[[#This Row],[HomeTeam]],TeamAttrs!$A$2:$K$20,5,FALSE)</f>
        <v>8250000</v>
      </c>
      <c r="Y34" s="6">
        <f>VLOOKUP(Table1[[#This Row],[HomeTeam]],TeamAttrs!$A$2:$K$20,9,FALSE)</f>
        <v>18155</v>
      </c>
      <c r="Z34" s="6">
        <f>VLOOKUP(Table1[[#This Row],[HomeTeam]],TeamAttrs!$A$2:$K$20,10,FALSE)</f>
        <v>21140</v>
      </c>
      <c r="AA34" s="6">
        <f>VLOOKUP(Table1[[#This Row],[HomeTeam]],TeamAttrs!$A$2:$K$20,11,FALSE)</f>
        <v>0.85879848628193001</v>
      </c>
    </row>
    <row r="35" spans="1:27" x14ac:dyDescent="0.25">
      <c r="A35" s="1">
        <v>41000</v>
      </c>
      <c r="B35" t="s">
        <v>2</v>
      </c>
      <c r="C35" t="str">
        <f>VLOOKUP(Table1[[#This Row],[HomeTeam]], TeamAttrs!$A$2:$B$20,2,FALSE)</f>
        <v>Chiv</v>
      </c>
      <c r="D35">
        <v>0</v>
      </c>
      <c r="E35">
        <v>1</v>
      </c>
      <c r="F35">
        <f>Table1[[#This Row],[HomeTeamScore]]-Table1[[#This Row],[VisitorScore]]</f>
        <v>-1</v>
      </c>
      <c r="G35" t="s">
        <v>6</v>
      </c>
      <c r="H35" t="str">
        <f>VLOOKUP(Table1[[#This Row],[VisitorTeam]],TeamAttrs!$A$2:$B$20, 2, FALSE)</f>
        <v>SKC</v>
      </c>
      <c r="I35">
        <f t="shared" si="0"/>
        <v>0</v>
      </c>
      <c r="J35">
        <f t="shared" si="1"/>
        <v>0</v>
      </c>
      <c r="K35">
        <f t="shared" si="2"/>
        <v>1</v>
      </c>
      <c r="L35">
        <f>3*Table1[HomeWin] +Table1[Draw]</f>
        <v>0</v>
      </c>
      <c r="M35">
        <f>3*Table1[HomeLoss]+Table1[Draw]</f>
        <v>3</v>
      </c>
      <c r="N35">
        <f>VLOOKUP(B35,TeamAttrs!$A$2:$C$20,3,FALSE)</f>
        <v>8</v>
      </c>
      <c r="O35">
        <f>VLOOKUP(G35,TeamAttrs!$A$2:$C$20,3,FALSE)</f>
        <v>6</v>
      </c>
      <c r="P35">
        <f t="shared" si="3"/>
        <v>-2</v>
      </c>
      <c r="Q35">
        <f>VLOOKUP(B35,TeamAttrs!$A$2:$D$20,3,FALSE)</f>
        <v>8</v>
      </c>
      <c r="R35">
        <f>VLOOKUP(G35,TeamAttrs!$A$2:$D$20,3,FALSE)</f>
        <v>6</v>
      </c>
      <c r="S35">
        <f>RADIANS(VLOOKUP(Table1[[#This Row],[HomeTeam]],TeamAttrs!$A$2:$H$20,7, FALSE))</f>
        <v>0.59224781106699187</v>
      </c>
      <c r="T35">
        <f>RADIANS(VLOOKUP(Table1[[#This Row],[HomeTeam]],TeamAttrs!$A$2:$H$20, 8, FALSE))</f>
        <v>-2.0664698343612864</v>
      </c>
      <c r="U35">
        <f>RADIANS(VLOOKUP(Table1[[#This Row],[VisitorTeam]],TeamAttrs!$A$2:$H$20,7,FALSE))</f>
        <v>0.68271520751486592</v>
      </c>
      <c r="V35">
        <f>RADIANS(VLOOKUP(Table1[[#This Row],[VisitorTeam]], TeamAttrs!$A$2:$H$20,8,FALSE))</f>
        <v>-1.65166266702755</v>
      </c>
      <c r="W35" s="5">
        <f>60*DEGREES(ACOS(SIN(Table1[[#This Row],[HomeLat]])*SIN(Table1[[#This Row],[VisitorLat]]) +COS(Table1[[#This Row],[HomeLat]])*COS(Table1[[#This Row],[VisitorLat]])*COS(ABS(Table1[[#This Row],[HomeLong]] -Table1[[#This Row],[VisitorLong]]))))</f>
        <v>1183.5444584315464</v>
      </c>
      <c r="X35" s="6">
        <f>VLOOKUP(Table1[[#This Row],[HomeTeam]],TeamAttrs!$A$2:$K$20,5,FALSE)</f>
        <v>3230000</v>
      </c>
      <c r="Y35" s="6">
        <f>VLOOKUP(Table1[[#This Row],[HomeTeam]],TeamAttrs!$A$2:$K$20,9,FALSE)</f>
        <v>13056</v>
      </c>
      <c r="Z35" s="6">
        <f>VLOOKUP(Table1[[#This Row],[HomeTeam]],TeamAttrs!$A$2:$K$20,10,FALSE)</f>
        <v>18800</v>
      </c>
      <c r="AA35" s="6">
        <f>VLOOKUP(Table1[[#This Row],[HomeTeam]],TeamAttrs!$A$2:$K$20,11,FALSE)</f>
        <v>0.69446808510638303</v>
      </c>
    </row>
    <row r="36" spans="1:27" x14ac:dyDescent="0.25">
      <c r="A36" s="1">
        <v>41000</v>
      </c>
      <c r="B36" t="s">
        <v>14</v>
      </c>
      <c r="C36" t="str">
        <f>VLOOKUP(Table1[[#This Row],[HomeTeam]], TeamAttrs!$A$2:$B$20,2,FALSE)</f>
        <v>ColRa</v>
      </c>
      <c r="D36">
        <v>2</v>
      </c>
      <c r="E36">
        <v>0</v>
      </c>
      <c r="F36">
        <f>Table1[[#This Row],[HomeTeamScore]]-Table1[[#This Row],[VisitorScore]]</f>
        <v>2</v>
      </c>
      <c r="G36" t="s">
        <v>17</v>
      </c>
      <c r="H36" t="str">
        <f>VLOOKUP(Table1[[#This Row],[VisitorTeam]],TeamAttrs!$A$2:$B$20, 2, FALSE)</f>
        <v>Chi</v>
      </c>
      <c r="I36">
        <f t="shared" si="0"/>
        <v>1</v>
      </c>
      <c r="J36">
        <f t="shared" si="1"/>
        <v>0</v>
      </c>
      <c r="K36">
        <f t="shared" si="2"/>
        <v>0</v>
      </c>
      <c r="L36">
        <f>3*Table1[HomeWin] +Table1[Draw]</f>
        <v>3</v>
      </c>
      <c r="M36">
        <f>3*Table1[HomeLoss]+Table1[Draw]</f>
        <v>0</v>
      </c>
      <c r="N36">
        <f>VLOOKUP(B36,TeamAttrs!$A$2:$C$20,3,FALSE)</f>
        <v>7</v>
      </c>
      <c r="O36">
        <f>VLOOKUP(G36,TeamAttrs!$A$2:$C$20,3,FALSE)</f>
        <v>6</v>
      </c>
      <c r="P36">
        <f t="shared" si="3"/>
        <v>-1</v>
      </c>
      <c r="Q36">
        <f>VLOOKUP(B36,TeamAttrs!$A$2:$D$20,3,FALSE)</f>
        <v>7</v>
      </c>
      <c r="R36">
        <f>VLOOKUP(G36,TeamAttrs!$A$2:$D$20,3,FALSE)</f>
        <v>6</v>
      </c>
      <c r="S36">
        <f>RADIANS(VLOOKUP(Table1[[#This Row],[HomeTeam]],TeamAttrs!$A$2:$H$20,7, FALSE))</f>
        <v>0.69376837766774602</v>
      </c>
      <c r="T36">
        <f>RADIANS(VLOOKUP(Table1[[#This Row],[HomeTeam]],TeamAttrs!$A$2:$H$20, 8, FALSE))</f>
        <v>-1.8302744266888937</v>
      </c>
      <c r="U36">
        <f>RADIANS(VLOOKUP(Table1[[#This Row],[VisitorTeam]],TeamAttrs!$A$2:$H$20,7,FALSE))</f>
        <v>0.72925615734854665</v>
      </c>
      <c r="V36">
        <f>RADIANS(VLOOKUP(Table1[[#This Row],[VisitorTeam]], TeamAttrs!$A$2:$H$20,8,FALSE))</f>
        <v>-1.5315264186250241</v>
      </c>
      <c r="W36" s="5">
        <f>60*DEGREES(ACOS(SIN(Table1[[#This Row],[HomeLat]])*SIN(Table1[[#This Row],[VisitorLat]]) +COS(Table1[[#This Row],[HomeLat]])*COS(Table1[[#This Row],[VisitorLat]])*COS(ABS(Table1[[#This Row],[HomeLong]] -Table1[[#This Row],[VisitorLong]]))))</f>
        <v>785.99404717327241</v>
      </c>
      <c r="X36" s="6">
        <f>VLOOKUP(Table1[[#This Row],[HomeTeam]],TeamAttrs!$A$2:$K$20,5,FALSE)</f>
        <v>3430000</v>
      </c>
      <c r="Y36" s="6">
        <f>VLOOKUP(Table1[[#This Row],[HomeTeam]],TeamAttrs!$A$2:$K$20,9,FALSE)</f>
        <v>15175</v>
      </c>
      <c r="Z36" s="6">
        <f>VLOOKUP(Table1[[#This Row],[HomeTeam]],TeamAttrs!$A$2:$K$20,10,FALSE)</f>
        <v>18086</v>
      </c>
      <c r="AA36" s="6">
        <f>VLOOKUP(Table1[[#This Row],[HomeTeam]],TeamAttrs!$A$2:$K$20,11,FALSE)</f>
        <v>0.83904677651221937</v>
      </c>
    </row>
    <row r="37" spans="1:27" x14ac:dyDescent="0.25">
      <c r="A37" s="1">
        <v>41003</v>
      </c>
      <c r="B37" t="s">
        <v>18</v>
      </c>
      <c r="C37" t="str">
        <f>VLOOKUP(Table1[[#This Row],[HomeTeam]], TeamAttrs!$A$2:$B$20,2,FALSE)</f>
        <v>RSL</v>
      </c>
      <c r="D37">
        <v>1</v>
      </c>
      <c r="E37">
        <v>0</v>
      </c>
      <c r="F37">
        <f>Table1[[#This Row],[HomeTeamScore]]-Table1[[#This Row],[VisitorScore]]</f>
        <v>1</v>
      </c>
      <c r="G37" t="s">
        <v>1</v>
      </c>
      <c r="H37" t="str">
        <f>VLOOKUP(Table1[[#This Row],[VisitorTeam]],TeamAttrs!$A$2:$B$20, 2, FALSE)</f>
        <v>Mntrl</v>
      </c>
      <c r="I37">
        <f t="shared" si="0"/>
        <v>1</v>
      </c>
      <c r="J37">
        <f t="shared" si="1"/>
        <v>0</v>
      </c>
      <c r="K37">
        <f t="shared" si="2"/>
        <v>0</v>
      </c>
      <c r="L37">
        <f>3*Table1[HomeWin] +Table1[Draw]</f>
        <v>3</v>
      </c>
      <c r="M37">
        <f>3*Table1[HomeLoss]+Table1[Draw]</f>
        <v>0</v>
      </c>
      <c r="N37">
        <f>VLOOKUP(B37,TeamAttrs!$A$2:$C$20,3,FALSE)</f>
        <v>7</v>
      </c>
      <c r="O37">
        <f>VLOOKUP(G37,TeamAttrs!$A$2:$C$20,3,FALSE)</f>
        <v>5</v>
      </c>
      <c r="P37">
        <f t="shared" si="3"/>
        <v>-2</v>
      </c>
      <c r="Q37">
        <f>VLOOKUP(B37,TeamAttrs!$A$2:$D$20,3,FALSE)</f>
        <v>7</v>
      </c>
      <c r="R37">
        <f>VLOOKUP(G37,TeamAttrs!$A$2:$D$20,3,FALSE)</f>
        <v>5</v>
      </c>
      <c r="S37">
        <f>RADIANS(VLOOKUP(Table1[[#This Row],[HomeTeam]],TeamAttrs!$A$2:$H$20,7, FALSE))</f>
        <v>0.71151314017277234</v>
      </c>
      <c r="T37">
        <f>RADIANS(VLOOKUP(Table1[[#This Row],[HomeTeam]],TeamAttrs!$A$2:$H$20, 8, FALSE))</f>
        <v>-1.954192803580491</v>
      </c>
      <c r="U37">
        <f>RADIANS(VLOOKUP(Table1[[#This Row],[VisitorTeam]],TeamAttrs!$A$2:$H$20,7,FALSE))</f>
        <v>0.79354361501650583</v>
      </c>
      <c r="V37">
        <f>RADIANS(VLOOKUP(Table1[[#This Row],[VisitorTeam]], TeamAttrs!$A$2:$H$20,8,FALSE))</f>
        <v>-1.2871803233458181</v>
      </c>
      <c r="W37" s="5">
        <f>60*DEGREES(ACOS(SIN(Table1[[#This Row],[HomeLat]])*SIN(Table1[[#This Row],[VisitorLat]]) +COS(Table1[[#This Row],[HomeLat]])*COS(Table1[[#This Row],[VisitorLat]])*COS(ABS(Table1[[#This Row],[HomeLong]] -Table1[[#This Row],[VisitorLong]]))))</f>
        <v>1681.1197774075799</v>
      </c>
      <c r="X37" s="6">
        <f>VLOOKUP(Table1[[#This Row],[HomeTeam]],TeamAttrs!$A$2:$K$20,5,FALSE)</f>
        <v>3520000</v>
      </c>
      <c r="Y37" s="6">
        <f>VLOOKUP(Table1[[#This Row],[HomeTeam]],TeamAttrs!$A$2:$K$20,9,FALSE)</f>
        <v>19087</v>
      </c>
      <c r="Z37" s="6">
        <f>VLOOKUP(Table1[[#This Row],[HomeTeam]],TeamAttrs!$A$2:$K$20,10,FALSE)</f>
        <v>20213</v>
      </c>
      <c r="AA37" s="6">
        <f>VLOOKUP(Table1[[#This Row],[HomeTeam]],TeamAttrs!$A$2:$K$20,11,FALSE)</f>
        <v>0.94429327660416562</v>
      </c>
    </row>
    <row r="38" spans="1:27" x14ac:dyDescent="0.25">
      <c r="A38" s="1">
        <v>41004</v>
      </c>
      <c r="B38" t="s">
        <v>7</v>
      </c>
      <c r="C38" t="str">
        <f>VLOOKUP(Table1[[#This Row],[HomeTeam]], TeamAttrs!$A$2:$B$20,2,FALSE)</f>
        <v>FCDal</v>
      </c>
      <c r="D38">
        <v>1</v>
      </c>
      <c r="E38">
        <v>0</v>
      </c>
      <c r="F38">
        <f>Table1[[#This Row],[HomeTeamScore]]-Table1[[#This Row],[VisitorScore]]</f>
        <v>1</v>
      </c>
      <c r="G38" t="s">
        <v>9</v>
      </c>
      <c r="H38" t="str">
        <f>VLOOKUP(Table1[[#This Row],[VisitorTeam]],TeamAttrs!$A$2:$B$20, 2, FALSE)</f>
        <v>NE</v>
      </c>
      <c r="I38">
        <f t="shared" si="0"/>
        <v>1</v>
      </c>
      <c r="J38">
        <f t="shared" si="1"/>
        <v>0</v>
      </c>
      <c r="K38">
        <f t="shared" si="2"/>
        <v>0</v>
      </c>
      <c r="L38">
        <f>3*Table1[HomeWin] +Table1[Draw]</f>
        <v>3</v>
      </c>
      <c r="M38">
        <f>3*Table1[HomeLoss]+Table1[Draw]</f>
        <v>0</v>
      </c>
      <c r="N38">
        <f>VLOOKUP(B38,TeamAttrs!$A$2:$C$20,3,FALSE)</f>
        <v>6</v>
      </c>
      <c r="O38">
        <f>VLOOKUP(G38,TeamAttrs!$A$2:$C$20,3,FALSE)</f>
        <v>5</v>
      </c>
      <c r="P38">
        <f t="shared" si="3"/>
        <v>-1</v>
      </c>
      <c r="Q38">
        <f>VLOOKUP(B38,TeamAttrs!$A$2:$D$20,3,FALSE)</f>
        <v>6</v>
      </c>
      <c r="R38">
        <f>VLOOKUP(G38,TeamAttrs!$A$2:$D$20,3,FALSE)</f>
        <v>5</v>
      </c>
      <c r="S38">
        <f>RADIANS(VLOOKUP(Table1[[#This Row],[HomeTeam]],TeamAttrs!$A$2:$H$20,7, FALSE))</f>
        <v>0.57334065928013733</v>
      </c>
      <c r="T38">
        <f>RADIANS(VLOOKUP(Table1[[#This Row],[HomeTeam]],TeamAttrs!$A$2:$H$20, 8, FALSE))</f>
        <v>-1.690351380556508</v>
      </c>
      <c r="U38">
        <f>RADIANS(VLOOKUP(Table1[[#This Row],[VisitorTeam]],TeamAttrs!$A$2:$H$20,7,FALSE))</f>
        <v>0.73943840820468165</v>
      </c>
      <c r="V38">
        <f>RADIANS(VLOOKUP(Table1[[#This Row],[VisitorTeam]], TeamAttrs!$A$2:$H$20,8,FALSE))</f>
        <v>-1.2397649635568881</v>
      </c>
      <c r="W38" s="5">
        <f>60*DEGREES(ACOS(SIN(Table1[[#This Row],[HomeLat]])*SIN(Table1[[#This Row],[VisitorLat]]) +COS(Table1[[#This Row],[HomeLat]])*COS(Table1[[#This Row],[VisitorLat]])*COS(ABS(Table1[[#This Row],[HomeLong]] -Table1[[#This Row],[VisitorLong]]))))</f>
        <v>1346.339568401374</v>
      </c>
      <c r="X38" s="6">
        <f>VLOOKUP(Table1[[#This Row],[HomeTeam]],TeamAttrs!$A$2:$K$20,5,FALSE)</f>
        <v>3450000</v>
      </c>
      <c r="Y38" s="6">
        <f>VLOOKUP(Table1[[#This Row],[HomeTeam]],TeamAttrs!$A$2:$K$20,9,FALSE)</f>
        <v>14199</v>
      </c>
      <c r="Z38" s="6">
        <f>VLOOKUP(Table1[[#This Row],[HomeTeam]],TeamAttrs!$A$2:$K$20,10,FALSE)</f>
        <v>20500</v>
      </c>
      <c r="AA38" s="6">
        <f>VLOOKUP(Table1[[#This Row],[HomeTeam]],TeamAttrs!$A$2:$K$20,11,FALSE)</f>
        <v>0.69263414634146336</v>
      </c>
    </row>
    <row r="39" spans="1:27" x14ac:dyDescent="0.25">
      <c r="A39" s="1">
        <v>41006</v>
      </c>
      <c r="B39" t="s">
        <v>8</v>
      </c>
      <c r="C39" t="str">
        <f>VLOOKUP(Table1[[#This Row],[HomeTeam]], TeamAttrs!$A$2:$B$20,2,FALSE)</f>
        <v>Colum</v>
      </c>
      <c r="D39">
        <v>1</v>
      </c>
      <c r="E39">
        <v>4</v>
      </c>
      <c r="F39">
        <f>Table1[[#This Row],[HomeTeamScore]]-Table1[[#This Row],[VisitorScore]]</f>
        <v>-3</v>
      </c>
      <c r="G39" t="s">
        <v>15</v>
      </c>
      <c r="H39" t="str">
        <f>VLOOKUP(Table1[[#This Row],[VisitorTeam]],TeamAttrs!$A$2:$B$20, 2, FALSE)</f>
        <v>NY</v>
      </c>
      <c r="I39">
        <f t="shared" si="0"/>
        <v>0</v>
      </c>
      <c r="J39">
        <f t="shared" si="1"/>
        <v>0</v>
      </c>
      <c r="K39">
        <f t="shared" si="2"/>
        <v>1</v>
      </c>
      <c r="L39">
        <f>3*Table1[HomeWin] +Table1[Draw]</f>
        <v>0</v>
      </c>
      <c r="M39">
        <f>3*Table1[HomeLoss]+Table1[Draw]</f>
        <v>3</v>
      </c>
      <c r="N39">
        <f>VLOOKUP(B39,TeamAttrs!$A$2:$C$20,3,FALSE)</f>
        <v>5</v>
      </c>
      <c r="O39">
        <f>VLOOKUP(G39,TeamAttrs!$A$2:$C$20,3,FALSE)</f>
        <v>5</v>
      </c>
      <c r="P39">
        <f t="shared" si="3"/>
        <v>0</v>
      </c>
      <c r="Q39">
        <f>VLOOKUP(B39,TeamAttrs!$A$2:$D$20,3,FALSE)</f>
        <v>5</v>
      </c>
      <c r="R39">
        <f>VLOOKUP(G39,TeamAttrs!$A$2:$D$20,3,FALSE)</f>
        <v>5</v>
      </c>
      <c r="S39">
        <f>RADIANS(VLOOKUP(Table1[[#This Row],[HomeTeam]],TeamAttrs!$A$2:$H$20,7, FALSE))</f>
        <v>0.69813170079773179</v>
      </c>
      <c r="T39">
        <f>RADIANS(VLOOKUP(Table1[[#This Row],[HomeTeam]],TeamAttrs!$A$2:$H$20, 8, FALSE))</f>
        <v>-1.4465864799182162</v>
      </c>
      <c r="U39">
        <f>RADIANS(VLOOKUP(Table1[[#This Row],[VisitorTeam]],TeamAttrs!$A$2:$H$20,7,FALSE))</f>
        <v>0.71180286482860333</v>
      </c>
      <c r="V39">
        <f>RADIANS(VLOOKUP(Table1[[#This Row],[VisitorTeam]], TeamAttrs!$A$2:$H$20,8,FALSE))</f>
        <v>-1.2909624518348899</v>
      </c>
      <c r="W39" s="5">
        <f>60*DEGREES(ACOS(SIN(Table1[[#This Row],[HomeLat]])*SIN(Table1[[#This Row],[VisitorLat]]) +COS(Table1[[#This Row],[HomeLat]])*COS(Table1[[#This Row],[VisitorLat]])*COS(ABS(Table1[[#This Row],[HomeLong]] -Table1[[#This Row],[VisitorLong]]))))</f>
        <v>409.99016886467456</v>
      </c>
      <c r="X39" s="6">
        <f>VLOOKUP(Table1[[#This Row],[HomeTeam]],TeamAttrs!$A$2:$K$20,5,FALSE)</f>
        <v>3330000</v>
      </c>
      <c r="Y39" s="6">
        <f>VLOOKUP(Table1[[#This Row],[HomeTeam]],TeamAttrs!$A$2:$K$20,9,FALSE)</f>
        <v>14397</v>
      </c>
      <c r="Z39" s="6">
        <f>VLOOKUP(Table1[[#This Row],[HomeTeam]],TeamAttrs!$A$2:$K$20,10,FALSE)</f>
        <v>20145</v>
      </c>
      <c r="AA39" s="6">
        <f>VLOOKUP(Table1[[#This Row],[HomeTeam]],TeamAttrs!$A$2:$K$20,11,FALSE)</f>
        <v>0.71466865227103504</v>
      </c>
    </row>
    <row r="40" spans="1:27" x14ac:dyDescent="0.25">
      <c r="A40" s="1">
        <v>41006</v>
      </c>
      <c r="B40" t="s">
        <v>3</v>
      </c>
      <c r="C40" t="str">
        <f>VLOOKUP(Table1[[#This Row],[HomeTeam]], TeamAttrs!$A$2:$B$20,2,FALSE)</f>
        <v>DCU</v>
      </c>
      <c r="D40">
        <v>0</v>
      </c>
      <c r="E40">
        <v>0</v>
      </c>
      <c r="F40">
        <f>Table1[[#This Row],[HomeTeamScore]]-Table1[[#This Row],[VisitorScore]]</f>
        <v>0</v>
      </c>
      <c r="G40" t="s">
        <v>11</v>
      </c>
      <c r="H40" t="str">
        <f>VLOOKUP(Table1[[#This Row],[VisitorTeam]],TeamAttrs!$A$2:$B$20, 2, FALSE)</f>
        <v>SEA</v>
      </c>
      <c r="I40">
        <f t="shared" si="0"/>
        <v>0</v>
      </c>
      <c r="J40">
        <f t="shared" si="1"/>
        <v>1</v>
      </c>
      <c r="K40">
        <f t="shared" si="2"/>
        <v>0</v>
      </c>
      <c r="L40">
        <f>3*Table1[HomeWin] +Table1[Draw]</f>
        <v>1</v>
      </c>
      <c r="M40">
        <f>3*Table1[HomeLoss]+Table1[Draw]</f>
        <v>1</v>
      </c>
      <c r="N40">
        <f>VLOOKUP(B40,TeamAttrs!$A$2:$C$20,3,FALSE)</f>
        <v>5</v>
      </c>
      <c r="O40">
        <f>VLOOKUP(G40,TeamAttrs!$A$2:$C$20,3,FALSE)</f>
        <v>8</v>
      </c>
      <c r="P40">
        <f t="shared" si="3"/>
        <v>3</v>
      </c>
      <c r="Q40">
        <f>VLOOKUP(B40,TeamAttrs!$A$2:$D$20,3,FALSE)</f>
        <v>5</v>
      </c>
      <c r="R40">
        <f>VLOOKUP(G40,TeamAttrs!$A$2:$D$20,3,FALSE)</f>
        <v>8</v>
      </c>
      <c r="S40">
        <f>RADIANS(VLOOKUP(Table1[[#This Row],[HomeTeam]],TeamAttrs!$A$2:$H$20,7, FALSE))</f>
        <v>0.67806041439979703</v>
      </c>
      <c r="T40">
        <f>RADIANS(VLOOKUP(Table1[[#This Row],[HomeTeam]],TeamAttrs!$A$2:$H$20, 8, FALSE))</f>
        <v>-1.3444847186765478</v>
      </c>
      <c r="U40">
        <f>RADIANS(VLOOKUP(Table1[[#This Row],[VisitorTeam]],TeamAttrs!$A$2:$H$20,7,FALSE))</f>
        <v>0.83164938857529802</v>
      </c>
      <c r="V40">
        <f>RADIANS(VLOOKUP(Table1[[#This Row],[VisitorTeam]], TeamAttrs!$A$2:$H$20,8,FALSE))</f>
        <v>-2.134537675189065</v>
      </c>
      <c r="W40" s="5">
        <f>60*DEGREES(ACOS(SIN(Table1[[#This Row],[HomeLat]])*SIN(Table1[[#This Row],[VisitorLat]]) +COS(Table1[[#This Row],[HomeLat]])*COS(Table1[[#This Row],[VisitorLat]])*COS(ABS(Table1[[#This Row],[HomeLong]] -Table1[[#This Row],[VisitorLong]]))))</f>
        <v>2016.5387354407396</v>
      </c>
      <c r="X40" s="6">
        <f>VLOOKUP(Table1[[#This Row],[HomeTeam]],TeamAttrs!$A$2:$K$20,5,FALSE)</f>
        <v>4190000.0000000005</v>
      </c>
      <c r="Y40" s="6">
        <f>VLOOKUP(Table1[[#This Row],[HomeTeam]],TeamAttrs!$A$2:$K$20,9,FALSE)</f>
        <v>13846</v>
      </c>
      <c r="Z40" s="6">
        <f>VLOOKUP(Table1[[#This Row],[HomeTeam]],TeamAttrs!$A$2:$K$20,10,FALSE)</f>
        <v>19467</v>
      </c>
      <c r="AA40" s="6">
        <f>VLOOKUP(Table1[[#This Row],[HomeTeam]],TeamAttrs!$A$2:$K$20,11,FALSE)</f>
        <v>0.71125494426465297</v>
      </c>
    </row>
    <row r="41" spans="1:27" x14ac:dyDescent="0.25">
      <c r="A41" s="1">
        <v>41006</v>
      </c>
      <c r="B41" t="s">
        <v>1</v>
      </c>
      <c r="C41" t="str">
        <f>VLOOKUP(Table1[[#This Row],[HomeTeam]], TeamAttrs!$A$2:$B$20,2,FALSE)</f>
        <v>Mntrl</v>
      </c>
      <c r="D41">
        <v>2</v>
      </c>
      <c r="E41">
        <v>1</v>
      </c>
      <c r="F41">
        <f>Table1[[#This Row],[HomeTeamScore]]-Table1[[#This Row],[VisitorScore]]</f>
        <v>1</v>
      </c>
      <c r="G41" t="s">
        <v>10</v>
      </c>
      <c r="H41" t="str">
        <f>VLOOKUP(Table1[[#This Row],[VisitorTeam]],TeamAttrs!$A$2:$B$20, 2, FALSE)</f>
        <v>Tor</v>
      </c>
      <c r="I41">
        <f t="shared" si="0"/>
        <v>1</v>
      </c>
      <c r="J41">
        <f t="shared" si="1"/>
        <v>0</v>
      </c>
      <c r="K41">
        <f t="shared" si="2"/>
        <v>0</v>
      </c>
      <c r="L41">
        <f>3*Table1[HomeWin] +Table1[Draw]</f>
        <v>3</v>
      </c>
      <c r="M41">
        <f>3*Table1[HomeLoss]+Table1[Draw]</f>
        <v>0</v>
      </c>
      <c r="N41">
        <f>VLOOKUP(B41,TeamAttrs!$A$2:$C$20,3,FALSE)</f>
        <v>5</v>
      </c>
      <c r="O41">
        <f>VLOOKUP(G41,TeamAttrs!$A$2:$C$20,3,FALSE)</f>
        <v>5</v>
      </c>
      <c r="P41">
        <f t="shared" si="3"/>
        <v>0</v>
      </c>
      <c r="Q41">
        <f>VLOOKUP(B41,TeamAttrs!$A$2:$D$20,3,FALSE)</f>
        <v>5</v>
      </c>
      <c r="R41">
        <f>VLOOKUP(G41,TeamAttrs!$A$2:$D$20,3,FALSE)</f>
        <v>5</v>
      </c>
      <c r="S41">
        <f>RADIANS(VLOOKUP(Table1[[#This Row],[HomeTeam]],TeamAttrs!$A$2:$H$20,7, FALSE))</f>
        <v>0.79354361501650583</v>
      </c>
      <c r="T41">
        <f>RADIANS(VLOOKUP(Table1[[#This Row],[HomeTeam]],TeamAttrs!$A$2:$H$20, 8, FALSE))</f>
        <v>-1.2871803233458181</v>
      </c>
      <c r="U41">
        <f>RADIANS(VLOOKUP(Table1[[#This Row],[VisitorTeam]],TeamAttrs!$A$2:$H$20,7,FALSE))</f>
        <v>0.76241741313643896</v>
      </c>
      <c r="V41">
        <f>RADIANS(VLOOKUP(Table1[[#This Row],[VisitorTeam]], TeamAttrs!$A$2:$H$20,8,FALSE))</f>
        <v>-1.3898632792284005</v>
      </c>
      <c r="W41" s="5">
        <f>60*DEGREES(ACOS(SIN(Table1[[#This Row],[HomeLat]])*SIN(Table1[[#This Row],[VisitorLat]]) +COS(Table1[[#This Row],[HomeLat]])*COS(Table1[[#This Row],[VisitorLat]])*COS(ABS(Table1[[#This Row],[HomeLong]] -Table1[[#This Row],[VisitorLong]]))))</f>
        <v>273.1859527045325</v>
      </c>
      <c r="X41" s="6">
        <f>VLOOKUP(Table1[[#This Row],[HomeTeam]],TeamAttrs!$A$2:$K$20,5,FALSE)</f>
        <v>3030000</v>
      </c>
      <c r="Y41" s="6">
        <f>VLOOKUP(Table1[[#This Row],[HomeTeam]],TeamAttrs!$A$2:$K$20,9,FALSE)</f>
        <v>22772</v>
      </c>
      <c r="Z41" s="6">
        <f>VLOOKUP(Table1[[#This Row],[HomeTeam]],TeamAttrs!$A$2:$K$20,10,FALSE)</f>
        <v>20341</v>
      </c>
      <c r="AA41" s="6">
        <f>VLOOKUP(Table1[[#This Row],[HomeTeam]],TeamAttrs!$A$2:$K$20,11,FALSE)</f>
        <v>1.1195123150287596</v>
      </c>
    </row>
    <row r="42" spans="1:27" x14ac:dyDescent="0.25">
      <c r="A42" s="1">
        <v>41006</v>
      </c>
      <c r="B42" t="s">
        <v>12</v>
      </c>
      <c r="C42" t="str">
        <f>VLOOKUP(Table1[[#This Row],[HomeTeam]], TeamAttrs!$A$2:$B$20,2,FALSE)</f>
        <v>Port</v>
      </c>
      <c r="D42">
        <v>1</v>
      </c>
      <c r="E42">
        <v>2</v>
      </c>
      <c r="F42">
        <f>Table1[[#This Row],[HomeTeamScore]]-Table1[[#This Row],[VisitorScore]]</f>
        <v>-1</v>
      </c>
      <c r="G42" t="s">
        <v>2</v>
      </c>
      <c r="H42" t="str">
        <f>VLOOKUP(Table1[[#This Row],[VisitorTeam]],TeamAttrs!$A$2:$B$20, 2, FALSE)</f>
        <v>Chiv</v>
      </c>
      <c r="I42">
        <f t="shared" si="0"/>
        <v>0</v>
      </c>
      <c r="J42">
        <f t="shared" si="1"/>
        <v>0</v>
      </c>
      <c r="K42">
        <f t="shared" si="2"/>
        <v>1</v>
      </c>
      <c r="L42">
        <f>3*Table1[HomeWin] +Table1[Draw]</f>
        <v>0</v>
      </c>
      <c r="M42">
        <f>3*Table1[HomeLoss]+Table1[Draw]</f>
        <v>3</v>
      </c>
      <c r="N42">
        <f>VLOOKUP(B42,TeamAttrs!$A$2:$C$20,3,FALSE)</f>
        <v>8</v>
      </c>
      <c r="O42">
        <f>VLOOKUP(G42,TeamAttrs!$A$2:$C$20,3,FALSE)</f>
        <v>8</v>
      </c>
      <c r="P42">
        <f t="shared" si="3"/>
        <v>0</v>
      </c>
      <c r="Q42">
        <f>VLOOKUP(B42,TeamAttrs!$A$2:$D$20,3,FALSE)</f>
        <v>8</v>
      </c>
      <c r="R42">
        <f>VLOOKUP(G42,TeamAttrs!$A$2:$D$20,3,FALSE)</f>
        <v>8</v>
      </c>
      <c r="S42">
        <f>RADIANS(VLOOKUP(Table1[[#This Row],[HomeTeam]],TeamAttrs!$A$2:$H$20,7, FALSE))</f>
        <v>0.79587013890941427</v>
      </c>
      <c r="T42">
        <f>RADIANS(VLOOKUP(Table1[[#This Row],[HomeTeam]],TeamAttrs!$A$2:$H$20, 8, FALSE))</f>
        <v>-2.1397736629450481</v>
      </c>
      <c r="U42">
        <f>RADIANS(VLOOKUP(Table1[[#This Row],[VisitorTeam]],TeamAttrs!$A$2:$H$20,7,FALSE))</f>
        <v>0.59224781106699187</v>
      </c>
      <c r="V42">
        <f>RADIANS(VLOOKUP(Table1[[#This Row],[VisitorTeam]], TeamAttrs!$A$2:$H$20,8,FALSE))</f>
        <v>-2.0664698343612864</v>
      </c>
      <c r="W42" s="5">
        <f>60*DEGREES(ACOS(SIN(Table1[[#This Row],[HomeLat]])*SIN(Table1[[#This Row],[VisitorLat]]) +COS(Table1[[#This Row],[HomeLat]])*COS(Table1[[#This Row],[VisitorLat]])*COS(ABS(Table1[[#This Row],[HomeLong]] -Table1[[#This Row],[VisitorLong]]))))</f>
        <v>726.02762859924019</v>
      </c>
      <c r="X42" s="6">
        <f>VLOOKUP(Table1[[#This Row],[HomeTeam]],TeamAttrs!$A$2:$K$20,5,FALSE)</f>
        <v>4160000</v>
      </c>
      <c r="Y42" s="6">
        <f>VLOOKUP(Table1[[#This Row],[HomeTeam]],TeamAttrs!$A$2:$K$20,9,FALSE)</f>
        <v>20438</v>
      </c>
      <c r="Z42" s="6">
        <f>VLOOKUP(Table1[[#This Row],[HomeTeam]],TeamAttrs!$A$2:$K$20,10,FALSE)</f>
        <v>20438</v>
      </c>
      <c r="AA42" s="6">
        <f>VLOOKUP(Table1[[#This Row],[HomeTeam]],TeamAttrs!$A$2:$K$20,11,FALSE)</f>
        <v>1</v>
      </c>
    </row>
    <row r="43" spans="1:27" x14ac:dyDescent="0.25">
      <c r="A43" s="1">
        <v>41006</v>
      </c>
      <c r="B43" t="s">
        <v>18</v>
      </c>
      <c r="C43" t="str">
        <f>VLOOKUP(Table1[[#This Row],[HomeTeam]], TeamAttrs!$A$2:$B$20,2,FALSE)</f>
        <v>RSL</v>
      </c>
      <c r="D43">
        <v>2</v>
      </c>
      <c r="E43">
        <v>0</v>
      </c>
      <c r="F43">
        <f>Table1[[#This Row],[HomeTeamScore]]-Table1[[#This Row],[VisitorScore]]</f>
        <v>2</v>
      </c>
      <c r="G43" t="s">
        <v>14</v>
      </c>
      <c r="H43" t="str">
        <f>VLOOKUP(Table1[[#This Row],[VisitorTeam]],TeamAttrs!$A$2:$B$20, 2, FALSE)</f>
        <v>ColRa</v>
      </c>
      <c r="I43">
        <f t="shared" si="0"/>
        <v>1</v>
      </c>
      <c r="J43">
        <f t="shared" si="1"/>
        <v>0</v>
      </c>
      <c r="K43">
        <f t="shared" si="2"/>
        <v>0</v>
      </c>
      <c r="L43">
        <f>3*Table1[HomeWin] +Table1[Draw]</f>
        <v>3</v>
      </c>
      <c r="M43">
        <f>3*Table1[HomeLoss]+Table1[Draw]</f>
        <v>0</v>
      </c>
      <c r="N43">
        <f>VLOOKUP(B43,TeamAttrs!$A$2:$C$20,3,FALSE)</f>
        <v>7</v>
      </c>
      <c r="O43">
        <f>VLOOKUP(G43,TeamAttrs!$A$2:$C$20,3,FALSE)</f>
        <v>7</v>
      </c>
      <c r="P43">
        <f t="shared" si="3"/>
        <v>0</v>
      </c>
      <c r="Q43">
        <f>VLOOKUP(B43,TeamAttrs!$A$2:$D$20,3,FALSE)</f>
        <v>7</v>
      </c>
      <c r="R43">
        <f>VLOOKUP(G43,TeamAttrs!$A$2:$D$20,3,FALSE)</f>
        <v>7</v>
      </c>
      <c r="S43">
        <f>RADIANS(VLOOKUP(Table1[[#This Row],[HomeTeam]],TeamAttrs!$A$2:$H$20,7, FALSE))</f>
        <v>0.71151314017277234</v>
      </c>
      <c r="T43">
        <f>RADIANS(VLOOKUP(Table1[[#This Row],[HomeTeam]],TeamAttrs!$A$2:$H$20, 8, FALSE))</f>
        <v>-1.954192803580491</v>
      </c>
      <c r="U43">
        <f>RADIANS(VLOOKUP(Table1[[#This Row],[VisitorTeam]],TeamAttrs!$A$2:$H$20,7,FALSE))</f>
        <v>0.69376837766774602</v>
      </c>
      <c r="V43">
        <f>RADIANS(VLOOKUP(Table1[[#This Row],[VisitorTeam]], TeamAttrs!$A$2:$H$20,8,FALSE))</f>
        <v>-1.8302744266888937</v>
      </c>
      <c r="W43" s="5">
        <f>60*DEGREES(ACOS(SIN(Table1[[#This Row],[HomeLat]])*SIN(Table1[[#This Row],[VisitorLat]]) +COS(Table1[[#This Row],[HomeLat]])*COS(Table1[[#This Row],[VisitorLat]])*COS(ABS(Table1[[#This Row],[HomeLong]] -Table1[[#This Row],[VisitorLong]]))))</f>
        <v>330.67202788672762</v>
      </c>
      <c r="X43" s="6">
        <f>VLOOKUP(Table1[[#This Row],[HomeTeam]],TeamAttrs!$A$2:$K$20,5,FALSE)</f>
        <v>3520000</v>
      </c>
      <c r="Y43" s="6">
        <f>VLOOKUP(Table1[[#This Row],[HomeTeam]],TeamAttrs!$A$2:$K$20,9,FALSE)</f>
        <v>19087</v>
      </c>
      <c r="Z43" s="6">
        <f>VLOOKUP(Table1[[#This Row],[HomeTeam]],TeamAttrs!$A$2:$K$20,10,FALSE)</f>
        <v>20213</v>
      </c>
      <c r="AA43" s="6">
        <f>VLOOKUP(Table1[[#This Row],[HomeTeam]],TeamAttrs!$A$2:$K$20,11,FALSE)</f>
        <v>0.94429327660416562</v>
      </c>
    </row>
    <row r="44" spans="1:27" x14ac:dyDescent="0.25">
      <c r="A44" s="1">
        <v>41006</v>
      </c>
      <c r="B44" t="s">
        <v>5</v>
      </c>
      <c r="C44" t="str">
        <f>VLOOKUP(Table1[[#This Row],[HomeTeam]], TeamAttrs!$A$2:$B$20,2,FALSE)</f>
        <v>SJE</v>
      </c>
      <c r="D44">
        <v>3</v>
      </c>
      <c r="E44">
        <v>1</v>
      </c>
      <c r="F44">
        <f>Table1[[#This Row],[HomeTeamScore]]-Table1[[#This Row],[VisitorScore]]</f>
        <v>2</v>
      </c>
      <c r="G44" t="s">
        <v>0</v>
      </c>
      <c r="H44" t="str">
        <f>VLOOKUP(Table1[[#This Row],[VisitorTeam]],TeamAttrs!$A$2:$B$20, 2, FALSE)</f>
        <v>Van</v>
      </c>
      <c r="I44">
        <f t="shared" si="0"/>
        <v>1</v>
      </c>
      <c r="J44">
        <f t="shared" si="1"/>
        <v>0</v>
      </c>
      <c r="K44">
        <f t="shared" si="2"/>
        <v>0</v>
      </c>
      <c r="L44">
        <f>3*Table1[HomeWin] +Table1[Draw]</f>
        <v>3</v>
      </c>
      <c r="M44">
        <f>3*Table1[HomeLoss]+Table1[Draw]</f>
        <v>0</v>
      </c>
      <c r="N44">
        <f>VLOOKUP(B44,TeamAttrs!$A$2:$C$20,3,FALSE)</f>
        <v>8</v>
      </c>
      <c r="O44">
        <f>VLOOKUP(G44,TeamAttrs!$A$2:$C$20,3,FALSE)</f>
        <v>8</v>
      </c>
      <c r="P44">
        <f t="shared" si="3"/>
        <v>0</v>
      </c>
      <c r="Q44">
        <f>VLOOKUP(B44,TeamAttrs!$A$2:$D$20,3,FALSE)</f>
        <v>8</v>
      </c>
      <c r="R44">
        <f>VLOOKUP(G44,TeamAttrs!$A$2:$D$20,3,FALSE)</f>
        <v>8</v>
      </c>
      <c r="S44">
        <f>RADIANS(VLOOKUP(Table1[[#This Row],[HomeTeam]],TeamAttrs!$A$2:$H$20,7, FALSE))</f>
        <v>0.65217194560496516</v>
      </c>
      <c r="T44">
        <f>RADIANS(VLOOKUP(Table1[[#This Row],[HomeTeam]],TeamAttrs!$A$2:$H$20, 8, FALSE))</f>
        <v>-2.1281323168342459</v>
      </c>
      <c r="U44">
        <f>RADIANS(VLOOKUP(Table1[[#This Row],[VisitorTeam]],TeamAttrs!$A$2:$H$20,7,FALSE))</f>
        <v>0.86015585124812133</v>
      </c>
      <c r="V44">
        <f>RADIANS(VLOOKUP(Table1[[#This Row],[VisitorTeam]], TeamAttrs!$A$2:$H$20,8,FALSE))</f>
        <v>-2.1487970151778586</v>
      </c>
      <c r="W44" s="5">
        <f>60*DEGREES(ACOS(SIN(Table1[[#This Row],[HomeLat]])*SIN(Table1[[#This Row],[VisitorLat]]) +COS(Table1[[#This Row],[HomeLat]])*COS(Table1[[#This Row],[VisitorLat]])*COS(ABS(Table1[[#This Row],[HomeLong]] -Table1[[#This Row],[VisitorLong]]))))</f>
        <v>716.83652732946905</v>
      </c>
      <c r="X44" s="6">
        <f>VLOOKUP(Table1[[#This Row],[HomeTeam]],TeamAttrs!$A$2:$K$20,5,FALSE)</f>
        <v>3210000</v>
      </c>
      <c r="Y44" s="6">
        <f>VLOOKUP(Table1[[#This Row],[HomeTeam]],TeamAttrs!$A$2:$K$20,9,FALSE)</f>
        <v>13293</v>
      </c>
      <c r="Z44" s="6">
        <f>VLOOKUP(Table1[[#This Row],[HomeTeam]],TeamAttrs!$A$2:$K$20,10,FALSE)</f>
        <v>10525</v>
      </c>
      <c r="AA44" s="6">
        <f>VLOOKUP(Table1[[#This Row],[HomeTeam]],TeamAttrs!$A$2:$K$20,11,FALSE)</f>
        <v>1.2629928741092638</v>
      </c>
    </row>
    <row r="45" spans="1:27" x14ac:dyDescent="0.25">
      <c r="A45" s="1">
        <v>41006</v>
      </c>
      <c r="B45" t="s">
        <v>6</v>
      </c>
      <c r="C45" t="str">
        <f>VLOOKUP(Table1[[#This Row],[HomeTeam]], TeamAttrs!$A$2:$B$20,2,FALSE)</f>
        <v>SKC</v>
      </c>
      <c r="D45">
        <v>1</v>
      </c>
      <c r="E45">
        <v>0</v>
      </c>
      <c r="F45">
        <f>Table1[[#This Row],[HomeTeamScore]]-Table1[[#This Row],[VisitorScore]]</f>
        <v>1</v>
      </c>
      <c r="G45" t="s">
        <v>16</v>
      </c>
      <c r="H45" t="str">
        <f>VLOOKUP(Table1[[#This Row],[VisitorTeam]],TeamAttrs!$A$2:$B$20, 2, FALSE)</f>
        <v>LAGxy</v>
      </c>
      <c r="I45">
        <f t="shared" si="0"/>
        <v>1</v>
      </c>
      <c r="J45">
        <f t="shared" si="1"/>
        <v>0</v>
      </c>
      <c r="K45">
        <f t="shared" si="2"/>
        <v>0</v>
      </c>
      <c r="L45">
        <f>3*Table1[HomeWin] +Table1[Draw]</f>
        <v>3</v>
      </c>
      <c r="M45">
        <f>3*Table1[HomeLoss]+Table1[Draw]</f>
        <v>0</v>
      </c>
      <c r="N45">
        <f>VLOOKUP(B45,TeamAttrs!$A$2:$C$20,3,FALSE)</f>
        <v>6</v>
      </c>
      <c r="O45">
        <f>VLOOKUP(G45,TeamAttrs!$A$2:$C$20,3,FALSE)</f>
        <v>8</v>
      </c>
      <c r="P45">
        <f t="shared" si="3"/>
        <v>2</v>
      </c>
      <c r="Q45">
        <f>VLOOKUP(B45,TeamAttrs!$A$2:$D$20,3,FALSE)</f>
        <v>6</v>
      </c>
      <c r="R45">
        <f>VLOOKUP(G45,TeamAttrs!$A$2:$D$20,3,FALSE)</f>
        <v>8</v>
      </c>
      <c r="S45">
        <f>RADIANS(VLOOKUP(Table1[[#This Row],[HomeTeam]],TeamAttrs!$A$2:$H$20,7, FALSE))</f>
        <v>0.68271520751486592</v>
      </c>
      <c r="T45">
        <f>RADIANS(VLOOKUP(Table1[[#This Row],[HomeTeam]],TeamAttrs!$A$2:$H$20, 8, FALSE))</f>
        <v>-1.65166266702755</v>
      </c>
      <c r="U45">
        <f>RADIANS(VLOOKUP(Table1[[#This Row],[VisitorTeam]],TeamAttrs!$A$2:$H$20,7,FALSE))</f>
        <v>0.59224781106699187</v>
      </c>
      <c r="V45">
        <f>RADIANS(VLOOKUP(Table1[[#This Row],[VisitorTeam]], TeamAttrs!$A$2:$H$20,8,FALSE))</f>
        <v>-2.0664698343612864</v>
      </c>
      <c r="W45" s="5">
        <f>60*DEGREES(ACOS(SIN(Table1[[#This Row],[HomeLat]])*SIN(Table1[[#This Row],[VisitorLat]]) +COS(Table1[[#This Row],[HomeLat]])*COS(Table1[[#This Row],[VisitorLat]])*COS(ABS(Table1[[#This Row],[HomeLong]] -Table1[[#This Row],[VisitorLong]]))))</f>
        <v>1183.5444584315464</v>
      </c>
      <c r="X45" s="6">
        <f>VLOOKUP(Table1[[#This Row],[HomeTeam]],TeamAttrs!$A$2:$K$20,5,FALSE)</f>
        <v>3120000</v>
      </c>
      <c r="Y45" s="6">
        <f>VLOOKUP(Table1[[#This Row],[HomeTeam]],TeamAttrs!$A$2:$K$20,9,FALSE)</f>
        <v>19404</v>
      </c>
      <c r="Z45" s="6">
        <f>VLOOKUP(Table1[[#This Row],[HomeTeam]],TeamAttrs!$A$2:$K$20,10,FALSE)</f>
        <v>18467</v>
      </c>
      <c r="AA45" s="6">
        <f>VLOOKUP(Table1[[#This Row],[HomeTeam]],TeamAttrs!$A$2:$K$20,11,FALSE)</f>
        <v>1.0507391563329183</v>
      </c>
    </row>
    <row r="46" spans="1:27" x14ac:dyDescent="0.25">
      <c r="A46" s="1">
        <v>41013</v>
      </c>
      <c r="B46" t="s">
        <v>7</v>
      </c>
      <c r="C46" t="str">
        <f>VLOOKUP(Table1[[#This Row],[HomeTeam]], TeamAttrs!$A$2:$B$20,2,FALSE)</f>
        <v>FCDal</v>
      </c>
      <c r="D46">
        <v>2</v>
      </c>
      <c r="E46">
        <v>1</v>
      </c>
      <c r="F46">
        <f>Table1[[#This Row],[HomeTeamScore]]-Table1[[#This Row],[VisitorScore]]</f>
        <v>1</v>
      </c>
      <c r="G46" t="s">
        <v>1</v>
      </c>
      <c r="H46" t="str">
        <f>VLOOKUP(Table1[[#This Row],[VisitorTeam]],TeamAttrs!$A$2:$B$20, 2, FALSE)</f>
        <v>Mntrl</v>
      </c>
      <c r="I46">
        <f t="shared" si="0"/>
        <v>1</v>
      </c>
      <c r="J46">
        <f t="shared" si="1"/>
        <v>0</v>
      </c>
      <c r="K46">
        <f t="shared" si="2"/>
        <v>0</v>
      </c>
      <c r="L46">
        <f>3*Table1[HomeWin] +Table1[Draw]</f>
        <v>3</v>
      </c>
      <c r="M46">
        <f>3*Table1[HomeLoss]+Table1[Draw]</f>
        <v>0</v>
      </c>
      <c r="N46">
        <f>VLOOKUP(B46,TeamAttrs!$A$2:$C$20,3,FALSE)</f>
        <v>6</v>
      </c>
      <c r="O46">
        <f>VLOOKUP(G46,TeamAttrs!$A$2:$C$20,3,FALSE)</f>
        <v>5</v>
      </c>
      <c r="P46">
        <f t="shared" si="3"/>
        <v>-1</v>
      </c>
      <c r="Q46">
        <f>VLOOKUP(B46,TeamAttrs!$A$2:$D$20,3,FALSE)</f>
        <v>6</v>
      </c>
      <c r="R46">
        <f>VLOOKUP(G46,TeamAttrs!$A$2:$D$20,3,FALSE)</f>
        <v>5</v>
      </c>
      <c r="S46">
        <f>RADIANS(VLOOKUP(Table1[[#This Row],[HomeTeam]],TeamAttrs!$A$2:$H$20,7, FALSE))</f>
        <v>0.57334065928013733</v>
      </c>
      <c r="T46">
        <f>RADIANS(VLOOKUP(Table1[[#This Row],[HomeTeam]],TeamAttrs!$A$2:$H$20, 8, FALSE))</f>
        <v>-1.690351380556508</v>
      </c>
      <c r="U46">
        <f>RADIANS(VLOOKUP(Table1[[#This Row],[VisitorTeam]],TeamAttrs!$A$2:$H$20,7,FALSE))</f>
        <v>0.79354361501650583</v>
      </c>
      <c r="V46">
        <f>RADIANS(VLOOKUP(Table1[[#This Row],[VisitorTeam]], TeamAttrs!$A$2:$H$20,8,FALSE))</f>
        <v>-1.2871803233458181</v>
      </c>
      <c r="W46" s="5">
        <f>60*DEGREES(ACOS(SIN(Table1[[#This Row],[HomeLat]])*SIN(Table1[[#This Row],[VisitorLat]]) +COS(Table1[[#This Row],[HomeLat]])*COS(Table1[[#This Row],[VisitorLat]])*COS(ABS(Table1[[#This Row],[HomeLong]] -Table1[[#This Row],[VisitorLong]]))))</f>
        <v>1306.8151396415558</v>
      </c>
      <c r="X46" s="6">
        <f>VLOOKUP(Table1[[#This Row],[HomeTeam]],TeamAttrs!$A$2:$K$20,5,FALSE)</f>
        <v>3450000</v>
      </c>
      <c r="Y46" s="6">
        <f>VLOOKUP(Table1[[#This Row],[HomeTeam]],TeamAttrs!$A$2:$K$20,9,FALSE)</f>
        <v>14199</v>
      </c>
      <c r="Z46" s="6">
        <f>VLOOKUP(Table1[[#This Row],[HomeTeam]],TeamAttrs!$A$2:$K$20,10,FALSE)</f>
        <v>20500</v>
      </c>
      <c r="AA46" s="6">
        <f>VLOOKUP(Table1[[#This Row],[HomeTeam]],TeamAttrs!$A$2:$K$20,11,FALSE)</f>
        <v>0.69263414634146336</v>
      </c>
    </row>
    <row r="47" spans="1:27" x14ac:dyDescent="0.25">
      <c r="A47" s="1">
        <v>41013</v>
      </c>
      <c r="B47" t="s">
        <v>16</v>
      </c>
      <c r="C47" t="str">
        <f>VLOOKUP(Table1[[#This Row],[HomeTeam]], TeamAttrs!$A$2:$B$20,2,FALSE)</f>
        <v>LAGxy</v>
      </c>
      <c r="D47">
        <v>3</v>
      </c>
      <c r="E47">
        <v>1</v>
      </c>
      <c r="F47">
        <f>Table1[[#This Row],[HomeTeamScore]]-Table1[[#This Row],[VisitorScore]]</f>
        <v>2</v>
      </c>
      <c r="G47" t="s">
        <v>12</v>
      </c>
      <c r="H47" t="str">
        <f>VLOOKUP(Table1[[#This Row],[VisitorTeam]],TeamAttrs!$A$2:$B$20, 2, FALSE)</f>
        <v>Port</v>
      </c>
      <c r="I47">
        <f t="shared" si="0"/>
        <v>1</v>
      </c>
      <c r="J47">
        <f t="shared" si="1"/>
        <v>0</v>
      </c>
      <c r="K47">
        <f t="shared" si="2"/>
        <v>0</v>
      </c>
      <c r="L47">
        <f>3*Table1[HomeWin] +Table1[Draw]</f>
        <v>3</v>
      </c>
      <c r="M47">
        <f>3*Table1[HomeLoss]+Table1[Draw]</f>
        <v>0</v>
      </c>
      <c r="N47">
        <f>VLOOKUP(B47,TeamAttrs!$A$2:$C$20,3,FALSE)</f>
        <v>8</v>
      </c>
      <c r="O47">
        <f>VLOOKUP(G47,TeamAttrs!$A$2:$C$20,3,FALSE)</f>
        <v>8</v>
      </c>
      <c r="P47">
        <f t="shared" si="3"/>
        <v>0</v>
      </c>
      <c r="Q47">
        <f>VLOOKUP(B47,TeamAttrs!$A$2:$D$20,3,FALSE)</f>
        <v>8</v>
      </c>
      <c r="R47">
        <f>VLOOKUP(G47,TeamAttrs!$A$2:$D$20,3,FALSE)</f>
        <v>8</v>
      </c>
      <c r="S47">
        <f>RADIANS(VLOOKUP(Table1[[#This Row],[HomeTeam]],TeamAttrs!$A$2:$H$20,7, FALSE))</f>
        <v>0.59224781106699187</v>
      </c>
      <c r="T47">
        <f>RADIANS(VLOOKUP(Table1[[#This Row],[HomeTeam]],TeamAttrs!$A$2:$H$20, 8, FALSE))</f>
        <v>-2.0664698343612864</v>
      </c>
      <c r="U47">
        <f>RADIANS(VLOOKUP(Table1[[#This Row],[VisitorTeam]],TeamAttrs!$A$2:$H$20,7,FALSE))</f>
        <v>0.79587013890941427</v>
      </c>
      <c r="V47">
        <f>RADIANS(VLOOKUP(Table1[[#This Row],[VisitorTeam]], TeamAttrs!$A$2:$H$20,8,FALSE))</f>
        <v>-2.1397736629450481</v>
      </c>
      <c r="W47" s="5">
        <f>60*DEGREES(ACOS(SIN(Table1[[#This Row],[HomeLat]])*SIN(Table1[[#This Row],[VisitorLat]]) +COS(Table1[[#This Row],[HomeLat]])*COS(Table1[[#This Row],[VisitorLat]])*COS(ABS(Table1[[#This Row],[HomeLong]] -Table1[[#This Row],[VisitorLong]]))))</f>
        <v>726.02762859924019</v>
      </c>
      <c r="X47" s="6">
        <f>VLOOKUP(Table1[[#This Row],[HomeTeam]],TeamAttrs!$A$2:$K$20,5,FALSE)</f>
        <v>12630000</v>
      </c>
      <c r="Y47" s="6">
        <f>VLOOKUP(Table1[[#This Row],[HomeTeam]],TeamAttrs!$A$2:$K$20,9,FALSE)</f>
        <v>23136</v>
      </c>
      <c r="Z47" s="6">
        <f>VLOOKUP(Table1[[#This Row],[HomeTeam]],TeamAttrs!$A$2:$K$20,10,FALSE)</f>
        <v>27000</v>
      </c>
      <c r="AA47" s="6">
        <f>VLOOKUP(Table1[[#This Row],[HomeTeam]],TeamAttrs!$A$2:$K$20,11,FALSE)</f>
        <v>0.85688888888888892</v>
      </c>
    </row>
    <row r="48" spans="1:27" x14ac:dyDescent="0.25">
      <c r="A48" s="1">
        <v>41013</v>
      </c>
      <c r="B48" t="s">
        <v>9</v>
      </c>
      <c r="C48" t="str">
        <f>VLOOKUP(Table1[[#This Row],[HomeTeam]], TeamAttrs!$A$2:$B$20,2,FALSE)</f>
        <v>NE</v>
      </c>
      <c r="D48">
        <v>1</v>
      </c>
      <c r="E48">
        <v>2</v>
      </c>
      <c r="F48">
        <f>Table1[[#This Row],[HomeTeamScore]]-Table1[[#This Row],[VisitorScore]]</f>
        <v>-1</v>
      </c>
      <c r="G48" t="s">
        <v>3</v>
      </c>
      <c r="H48" t="str">
        <f>VLOOKUP(Table1[[#This Row],[VisitorTeam]],TeamAttrs!$A$2:$B$20, 2, FALSE)</f>
        <v>DCU</v>
      </c>
      <c r="I48">
        <f t="shared" si="0"/>
        <v>0</v>
      </c>
      <c r="J48">
        <f t="shared" si="1"/>
        <v>0</v>
      </c>
      <c r="K48">
        <f t="shared" si="2"/>
        <v>1</v>
      </c>
      <c r="L48">
        <f>3*Table1[HomeWin] +Table1[Draw]</f>
        <v>0</v>
      </c>
      <c r="M48">
        <f>3*Table1[HomeLoss]+Table1[Draw]</f>
        <v>3</v>
      </c>
      <c r="N48">
        <f>VLOOKUP(B48,TeamAttrs!$A$2:$C$20,3,FALSE)</f>
        <v>5</v>
      </c>
      <c r="O48">
        <f>VLOOKUP(G48,TeamAttrs!$A$2:$C$20,3,FALSE)</f>
        <v>5</v>
      </c>
      <c r="P48">
        <f t="shared" si="3"/>
        <v>0</v>
      </c>
      <c r="Q48">
        <f>VLOOKUP(B48,TeamAttrs!$A$2:$D$20,3,FALSE)</f>
        <v>5</v>
      </c>
      <c r="R48">
        <f>VLOOKUP(G48,TeamAttrs!$A$2:$D$20,3,FALSE)</f>
        <v>5</v>
      </c>
      <c r="S48">
        <f>RADIANS(VLOOKUP(Table1[[#This Row],[HomeTeam]],TeamAttrs!$A$2:$H$20,7, FALSE))</f>
        <v>0.73943840820468165</v>
      </c>
      <c r="T48">
        <f>RADIANS(VLOOKUP(Table1[[#This Row],[HomeTeam]],TeamAttrs!$A$2:$H$20, 8, FALSE))</f>
        <v>-1.2397649635568881</v>
      </c>
      <c r="U48">
        <f>RADIANS(VLOOKUP(Table1[[#This Row],[VisitorTeam]],TeamAttrs!$A$2:$H$20,7,FALSE))</f>
        <v>0.67806041439979703</v>
      </c>
      <c r="V48">
        <f>RADIANS(VLOOKUP(Table1[[#This Row],[VisitorTeam]], TeamAttrs!$A$2:$H$20,8,FALSE))</f>
        <v>-1.3444847186765478</v>
      </c>
      <c r="W48" s="5">
        <f>60*DEGREES(ACOS(SIN(Table1[[#This Row],[HomeLat]])*SIN(Table1[[#This Row],[VisitorLat]]) +COS(Table1[[#This Row],[HomeLat]])*COS(Table1[[#This Row],[VisitorLat]])*COS(ABS(Table1[[#This Row],[HomeLong]] -Table1[[#This Row],[VisitorLong]]))))</f>
        <v>345.12686114153212</v>
      </c>
      <c r="X48" s="6">
        <f>VLOOKUP(Table1[[#This Row],[HomeTeam]],TeamAttrs!$A$2:$K$20,5,FALSE)</f>
        <v>3260000</v>
      </c>
      <c r="Y48" s="6">
        <f>VLOOKUP(Table1[[#This Row],[HomeTeam]],TeamAttrs!$A$2:$K$20,9,FALSE)</f>
        <v>14001</v>
      </c>
      <c r="Z48" s="6">
        <f>VLOOKUP(Table1[[#This Row],[HomeTeam]],TeamAttrs!$A$2:$K$20,10,FALSE)</f>
        <v>20000</v>
      </c>
      <c r="AA48" s="6">
        <f>VLOOKUP(Table1[[#This Row],[HomeTeam]],TeamAttrs!$A$2:$K$20,11,FALSE)</f>
        <v>0.70004999999999995</v>
      </c>
    </row>
    <row r="49" spans="1:27" x14ac:dyDescent="0.25">
      <c r="A49" s="1">
        <v>41013</v>
      </c>
      <c r="B49" t="s">
        <v>15</v>
      </c>
      <c r="C49" t="str">
        <f>VLOOKUP(Table1[[#This Row],[HomeTeam]], TeamAttrs!$A$2:$B$20,2,FALSE)</f>
        <v>NY</v>
      </c>
      <c r="D49">
        <v>2</v>
      </c>
      <c r="E49">
        <v>2</v>
      </c>
      <c r="F49">
        <f>Table1[[#This Row],[HomeTeamScore]]-Table1[[#This Row],[VisitorScore]]</f>
        <v>0</v>
      </c>
      <c r="G49" t="s">
        <v>5</v>
      </c>
      <c r="H49" t="str">
        <f>VLOOKUP(Table1[[#This Row],[VisitorTeam]],TeamAttrs!$A$2:$B$20, 2, FALSE)</f>
        <v>SJE</v>
      </c>
      <c r="I49">
        <f t="shared" si="0"/>
        <v>0</v>
      </c>
      <c r="J49">
        <f t="shared" si="1"/>
        <v>1</v>
      </c>
      <c r="K49">
        <f t="shared" si="2"/>
        <v>0</v>
      </c>
      <c r="L49">
        <f>3*Table1[HomeWin] +Table1[Draw]</f>
        <v>1</v>
      </c>
      <c r="M49">
        <f>3*Table1[HomeLoss]+Table1[Draw]</f>
        <v>1</v>
      </c>
      <c r="N49">
        <f>VLOOKUP(B49,TeamAttrs!$A$2:$C$20,3,FALSE)</f>
        <v>5</v>
      </c>
      <c r="O49">
        <f>VLOOKUP(G49,TeamAttrs!$A$2:$C$20,3,FALSE)</f>
        <v>8</v>
      </c>
      <c r="P49">
        <f t="shared" si="3"/>
        <v>3</v>
      </c>
      <c r="Q49">
        <f>VLOOKUP(B49,TeamAttrs!$A$2:$D$20,3,FALSE)</f>
        <v>5</v>
      </c>
      <c r="R49">
        <f>VLOOKUP(G49,TeamAttrs!$A$2:$D$20,3,FALSE)</f>
        <v>8</v>
      </c>
      <c r="S49">
        <f>RADIANS(VLOOKUP(Table1[[#This Row],[HomeTeam]],TeamAttrs!$A$2:$H$20,7, FALSE))</f>
        <v>0.71180286482860333</v>
      </c>
      <c r="T49">
        <f>RADIANS(VLOOKUP(Table1[[#This Row],[HomeTeam]],TeamAttrs!$A$2:$H$20, 8, FALSE))</f>
        <v>-1.2909624518348899</v>
      </c>
      <c r="U49">
        <f>RADIANS(VLOOKUP(Table1[[#This Row],[VisitorTeam]],TeamAttrs!$A$2:$H$20,7,FALSE))</f>
        <v>0.65217194560496516</v>
      </c>
      <c r="V49">
        <f>RADIANS(VLOOKUP(Table1[[#This Row],[VisitorTeam]], TeamAttrs!$A$2:$H$20,8,FALSE))</f>
        <v>-2.1281323168342459</v>
      </c>
      <c r="W49" s="5">
        <f>60*DEGREES(ACOS(SIN(Table1[[#This Row],[HomeLat]])*SIN(Table1[[#This Row],[VisitorLat]]) +COS(Table1[[#This Row],[HomeLat]])*COS(Table1[[#This Row],[VisitorLat]])*COS(ABS(Table1[[#This Row],[HomeLong]] -Table1[[#This Row],[VisitorLong]]))))</f>
        <v>2215.7845304166494</v>
      </c>
      <c r="X49" s="6">
        <f>VLOOKUP(Table1[[#This Row],[HomeTeam]],TeamAttrs!$A$2:$K$20,5,FALSE)</f>
        <v>12960000</v>
      </c>
      <c r="Y49" s="6">
        <f>VLOOKUP(Table1[[#This Row],[HomeTeam]],TeamAttrs!$A$2:$K$20,9,FALSE)</f>
        <v>18281</v>
      </c>
      <c r="Z49" s="6">
        <f>VLOOKUP(Table1[[#This Row],[HomeTeam]],TeamAttrs!$A$2:$K$20,10,FALSE)</f>
        <v>25000</v>
      </c>
      <c r="AA49" s="6">
        <f>VLOOKUP(Table1[[#This Row],[HomeTeam]],TeamAttrs!$A$2:$K$20,11,FALSE)</f>
        <v>0.73124</v>
      </c>
    </row>
    <row r="50" spans="1:27" x14ac:dyDescent="0.25">
      <c r="A50" s="1">
        <v>41013</v>
      </c>
      <c r="B50" t="s">
        <v>4</v>
      </c>
      <c r="C50" t="str">
        <f>VLOOKUP(Table1[[#This Row],[HomeTeam]], TeamAttrs!$A$2:$B$20,2,FALSE)</f>
        <v>Phil</v>
      </c>
      <c r="D50">
        <v>1</v>
      </c>
      <c r="E50">
        <v>0</v>
      </c>
      <c r="F50">
        <f>Table1[[#This Row],[HomeTeamScore]]-Table1[[#This Row],[VisitorScore]]</f>
        <v>1</v>
      </c>
      <c r="G50" t="s">
        <v>8</v>
      </c>
      <c r="H50" t="str">
        <f>VLOOKUP(Table1[[#This Row],[VisitorTeam]],TeamAttrs!$A$2:$B$20, 2, FALSE)</f>
        <v>Colum</v>
      </c>
      <c r="I50">
        <f t="shared" si="0"/>
        <v>1</v>
      </c>
      <c r="J50">
        <f t="shared" si="1"/>
        <v>0</v>
      </c>
      <c r="K50">
        <f t="shared" si="2"/>
        <v>0</v>
      </c>
      <c r="L50">
        <f>3*Table1[HomeWin] +Table1[Draw]</f>
        <v>3</v>
      </c>
      <c r="M50">
        <f>3*Table1[HomeLoss]+Table1[Draw]</f>
        <v>0</v>
      </c>
      <c r="N50">
        <f>VLOOKUP(B50,TeamAttrs!$A$2:$C$20,3,FALSE)</f>
        <v>5</v>
      </c>
      <c r="O50">
        <f>VLOOKUP(G50,TeamAttrs!$A$2:$C$20,3,FALSE)</f>
        <v>5</v>
      </c>
      <c r="P50">
        <f t="shared" si="3"/>
        <v>0</v>
      </c>
      <c r="Q50">
        <f>VLOOKUP(B50,TeamAttrs!$A$2:$D$20,3,FALSE)</f>
        <v>5</v>
      </c>
      <c r="R50">
        <f>VLOOKUP(G50,TeamAttrs!$A$2:$D$20,3,FALSE)</f>
        <v>5</v>
      </c>
      <c r="S50">
        <f>RADIANS(VLOOKUP(Table1[[#This Row],[HomeTeam]],TeamAttrs!$A$2:$H$20,7, FALSE))</f>
        <v>0.69609490156065446</v>
      </c>
      <c r="T50">
        <f>RADIANS(VLOOKUP(Table1[[#This Row],[HomeTeam]],TeamAttrs!$A$2:$H$20, 8, FALSE))</f>
        <v>-1.313360262125733</v>
      </c>
      <c r="U50">
        <f>RADIANS(VLOOKUP(Table1[[#This Row],[VisitorTeam]],TeamAttrs!$A$2:$H$20,7,FALSE))</f>
        <v>0.69813170079773179</v>
      </c>
      <c r="V50">
        <f>RADIANS(VLOOKUP(Table1[[#This Row],[VisitorTeam]], TeamAttrs!$A$2:$H$20,8,FALSE))</f>
        <v>-1.4465864799182162</v>
      </c>
      <c r="W50" s="5">
        <f>60*DEGREES(ACOS(SIN(Table1[[#This Row],[HomeLat]])*SIN(Table1[[#This Row],[VisitorLat]]) +COS(Table1[[#This Row],[HomeLat]])*COS(Table1[[#This Row],[VisitorLat]])*COS(ABS(Table1[[#This Row],[HomeLong]] -Table1[[#This Row],[VisitorLong]]))))</f>
        <v>351.10895086075277</v>
      </c>
      <c r="X50" s="6">
        <f>VLOOKUP(Table1[[#This Row],[HomeTeam]],TeamAttrs!$A$2:$K$20,5,FALSE)</f>
        <v>3620000</v>
      </c>
      <c r="Y50" s="6">
        <f>VLOOKUP(Table1[[#This Row],[HomeTeam]],TeamAttrs!$A$2:$K$20,9,FALSE)</f>
        <v>18053</v>
      </c>
      <c r="Z50" s="6">
        <f>VLOOKUP(Table1[[#This Row],[HomeTeam]],TeamAttrs!$A$2:$K$20,10,FALSE)</f>
        <v>18500</v>
      </c>
      <c r="AA50" s="6">
        <f>VLOOKUP(Table1[[#This Row],[HomeTeam]],TeamAttrs!$A$2:$K$20,11,FALSE)</f>
        <v>0.97583783783783784</v>
      </c>
    </row>
    <row r="51" spans="1:27" x14ac:dyDescent="0.25">
      <c r="A51" s="1">
        <v>41013</v>
      </c>
      <c r="B51" t="s">
        <v>11</v>
      </c>
      <c r="C51" t="str">
        <f>VLOOKUP(Table1[[#This Row],[HomeTeam]], TeamAttrs!$A$2:$B$20,2,FALSE)</f>
        <v>SEA</v>
      </c>
      <c r="D51">
        <v>1</v>
      </c>
      <c r="E51">
        <v>0</v>
      </c>
      <c r="F51">
        <f>Table1[[#This Row],[HomeTeamScore]]-Table1[[#This Row],[VisitorScore]]</f>
        <v>1</v>
      </c>
      <c r="G51" t="s">
        <v>14</v>
      </c>
      <c r="H51" t="str">
        <f>VLOOKUP(Table1[[#This Row],[VisitorTeam]],TeamAttrs!$A$2:$B$20, 2, FALSE)</f>
        <v>ColRa</v>
      </c>
      <c r="I51">
        <f t="shared" si="0"/>
        <v>1</v>
      </c>
      <c r="J51">
        <f t="shared" si="1"/>
        <v>0</v>
      </c>
      <c r="K51">
        <f t="shared" si="2"/>
        <v>0</v>
      </c>
      <c r="L51">
        <f>3*Table1[HomeWin] +Table1[Draw]</f>
        <v>3</v>
      </c>
      <c r="M51">
        <f>3*Table1[HomeLoss]+Table1[Draw]</f>
        <v>0</v>
      </c>
      <c r="N51">
        <f>VLOOKUP(B51,TeamAttrs!$A$2:$C$20,3,FALSE)</f>
        <v>8</v>
      </c>
      <c r="O51">
        <f>VLOOKUP(G51,TeamAttrs!$A$2:$C$20,3,FALSE)</f>
        <v>7</v>
      </c>
      <c r="P51">
        <f t="shared" si="3"/>
        <v>-1</v>
      </c>
      <c r="Q51">
        <f>VLOOKUP(B51,TeamAttrs!$A$2:$D$20,3,FALSE)</f>
        <v>8</v>
      </c>
      <c r="R51">
        <f>VLOOKUP(G51,TeamAttrs!$A$2:$D$20,3,FALSE)</f>
        <v>7</v>
      </c>
      <c r="S51">
        <f>RADIANS(VLOOKUP(Table1[[#This Row],[HomeTeam]],TeamAttrs!$A$2:$H$20,7, FALSE))</f>
        <v>0.83164938857529802</v>
      </c>
      <c r="T51">
        <f>RADIANS(VLOOKUP(Table1[[#This Row],[HomeTeam]],TeamAttrs!$A$2:$H$20, 8, FALSE))</f>
        <v>-2.134537675189065</v>
      </c>
      <c r="U51">
        <f>RADIANS(VLOOKUP(Table1[[#This Row],[VisitorTeam]],TeamAttrs!$A$2:$H$20,7,FALSE))</f>
        <v>0.69376837766774602</v>
      </c>
      <c r="V51">
        <f>RADIANS(VLOOKUP(Table1[[#This Row],[VisitorTeam]], TeamAttrs!$A$2:$H$20,8,FALSE))</f>
        <v>-1.8302744266888937</v>
      </c>
      <c r="W51" s="5">
        <f>60*DEGREES(ACOS(SIN(Table1[[#This Row],[HomeLat]])*SIN(Table1[[#This Row],[VisitorLat]]) +COS(Table1[[#This Row],[HomeLat]])*COS(Table1[[#This Row],[VisitorLat]])*COS(ABS(Table1[[#This Row],[HomeLong]] -Table1[[#This Row],[VisitorLong]]))))</f>
        <v>889.3959271453482</v>
      </c>
      <c r="X51" s="6">
        <f>VLOOKUP(Table1[[#This Row],[HomeTeam]],TeamAttrs!$A$2:$K$20,5,FALSE)</f>
        <v>3980000</v>
      </c>
      <c r="Y51" s="6">
        <f>VLOOKUP(Table1[[#This Row],[HomeTeam]],TeamAttrs!$A$2:$K$20,9,FALSE)</f>
        <v>43104</v>
      </c>
      <c r="Z51" s="6">
        <f>VLOOKUP(Table1[[#This Row],[HomeTeam]],TeamAttrs!$A$2:$K$20,10,FALSE)</f>
        <v>38500</v>
      </c>
      <c r="AA51" s="6">
        <f>VLOOKUP(Table1[[#This Row],[HomeTeam]],TeamAttrs!$A$2:$K$20,11,FALSE)</f>
        <v>1.1195844155844157</v>
      </c>
    </row>
    <row r="52" spans="1:27" x14ac:dyDescent="0.25">
      <c r="A52" s="1">
        <v>41013</v>
      </c>
      <c r="B52" t="s">
        <v>6</v>
      </c>
      <c r="C52" t="str">
        <f>VLOOKUP(Table1[[#This Row],[HomeTeam]], TeamAttrs!$A$2:$B$20,2,FALSE)</f>
        <v>SKC</v>
      </c>
      <c r="D52">
        <v>1</v>
      </c>
      <c r="E52">
        <v>0</v>
      </c>
      <c r="F52">
        <f>Table1[[#This Row],[HomeTeamScore]]-Table1[[#This Row],[VisitorScore]]</f>
        <v>1</v>
      </c>
      <c r="G52" t="s">
        <v>18</v>
      </c>
      <c r="H52" t="str">
        <f>VLOOKUP(Table1[[#This Row],[VisitorTeam]],TeamAttrs!$A$2:$B$20, 2, FALSE)</f>
        <v>RSL</v>
      </c>
      <c r="I52">
        <f t="shared" si="0"/>
        <v>1</v>
      </c>
      <c r="J52">
        <f t="shared" si="1"/>
        <v>0</v>
      </c>
      <c r="K52">
        <f t="shared" si="2"/>
        <v>0</v>
      </c>
      <c r="L52">
        <f>3*Table1[HomeWin] +Table1[Draw]</f>
        <v>3</v>
      </c>
      <c r="M52">
        <f>3*Table1[HomeLoss]+Table1[Draw]</f>
        <v>0</v>
      </c>
      <c r="N52">
        <f>VLOOKUP(B52,TeamAttrs!$A$2:$C$20,3,FALSE)</f>
        <v>6</v>
      </c>
      <c r="O52">
        <f>VLOOKUP(G52,TeamAttrs!$A$2:$C$20,3,FALSE)</f>
        <v>7</v>
      </c>
      <c r="P52">
        <f t="shared" si="3"/>
        <v>1</v>
      </c>
      <c r="Q52">
        <f>VLOOKUP(B52,TeamAttrs!$A$2:$D$20,3,FALSE)</f>
        <v>6</v>
      </c>
      <c r="R52">
        <f>VLOOKUP(G52,TeamAttrs!$A$2:$D$20,3,FALSE)</f>
        <v>7</v>
      </c>
      <c r="S52">
        <f>RADIANS(VLOOKUP(Table1[[#This Row],[HomeTeam]],TeamAttrs!$A$2:$H$20,7, FALSE))</f>
        <v>0.68271520751486592</v>
      </c>
      <c r="T52">
        <f>RADIANS(VLOOKUP(Table1[[#This Row],[HomeTeam]],TeamAttrs!$A$2:$H$20, 8, FALSE))</f>
        <v>-1.65166266702755</v>
      </c>
      <c r="U52">
        <f>RADIANS(VLOOKUP(Table1[[#This Row],[VisitorTeam]],TeamAttrs!$A$2:$H$20,7,FALSE))</f>
        <v>0.71151314017277234</v>
      </c>
      <c r="V52">
        <f>RADIANS(VLOOKUP(Table1[[#This Row],[VisitorTeam]], TeamAttrs!$A$2:$H$20,8,FALSE))</f>
        <v>-1.954192803580491</v>
      </c>
      <c r="W52" s="5">
        <f>60*DEGREES(ACOS(SIN(Table1[[#This Row],[HomeLat]])*SIN(Table1[[#This Row],[VisitorLat]]) +COS(Table1[[#This Row],[HomeLat]])*COS(Table1[[#This Row],[VisitorLat]])*COS(ABS(Table1[[#This Row],[HomeLong]] -Table1[[#This Row],[VisitorLong]]))))</f>
        <v>802.17018708457272</v>
      </c>
      <c r="X52" s="6">
        <f>VLOOKUP(Table1[[#This Row],[HomeTeam]],TeamAttrs!$A$2:$K$20,5,FALSE)</f>
        <v>3120000</v>
      </c>
      <c r="Y52" s="6">
        <f>VLOOKUP(Table1[[#This Row],[HomeTeam]],TeamAttrs!$A$2:$K$20,9,FALSE)</f>
        <v>19404</v>
      </c>
      <c r="Z52" s="6">
        <f>VLOOKUP(Table1[[#This Row],[HomeTeam]],TeamAttrs!$A$2:$K$20,10,FALSE)</f>
        <v>18467</v>
      </c>
      <c r="AA52" s="6">
        <f>VLOOKUP(Table1[[#This Row],[HomeTeam]],TeamAttrs!$A$2:$K$20,11,FALSE)</f>
        <v>1.0507391563329183</v>
      </c>
    </row>
    <row r="53" spans="1:27" x14ac:dyDescent="0.25">
      <c r="A53" s="1">
        <v>41013</v>
      </c>
      <c r="B53" t="s">
        <v>10</v>
      </c>
      <c r="C53" t="str">
        <f>VLOOKUP(Table1[[#This Row],[HomeTeam]], TeamAttrs!$A$2:$B$20,2,FALSE)</f>
        <v>Tor</v>
      </c>
      <c r="D53">
        <v>0</v>
      </c>
      <c r="E53">
        <v>1</v>
      </c>
      <c r="F53">
        <f>Table1[[#This Row],[HomeTeamScore]]-Table1[[#This Row],[VisitorScore]]</f>
        <v>-1</v>
      </c>
      <c r="G53" t="s">
        <v>2</v>
      </c>
      <c r="H53" t="str">
        <f>VLOOKUP(Table1[[#This Row],[VisitorTeam]],TeamAttrs!$A$2:$B$20, 2, FALSE)</f>
        <v>Chiv</v>
      </c>
      <c r="I53">
        <f t="shared" si="0"/>
        <v>0</v>
      </c>
      <c r="J53">
        <f t="shared" si="1"/>
        <v>0</v>
      </c>
      <c r="K53">
        <f t="shared" si="2"/>
        <v>1</v>
      </c>
      <c r="L53">
        <f>3*Table1[HomeWin] +Table1[Draw]</f>
        <v>0</v>
      </c>
      <c r="M53">
        <f>3*Table1[HomeLoss]+Table1[Draw]</f>
        <v>3</v>
      </c>
      <c r="N53">
        <f>VLOOKUP(B53,TeamAttrs!$A$2:$C$20,3,FALSE)</f>
        <v>5</v>
      </c>
      <c r="O53">
        <f>VLOOKUP(G53,TeamAttrs!$A$2:$C$20,3,FALSE)</f>
        <v>8</v>
      </c>
      <c r="P53">
        <f t="shared" si="3"/>
        <v>3</v>
      </c>
      <c r="Q53">
        <f>VLOOKUP(B53,TeamAttrs!$A$2:$D$20,3,FALSE)</f>
        <v>5</v>
      </c>
      <c r="R53">
        <f>VLOOKUP(G53,TeamAttrs!$A$2:$D$20,3,FALSE)</f>
        <v>8</v>
      </c>
      <c r="S53">
        <f>RADIANS(VLOOKUP(Table1[[#This Row],[HomeTeam]],TeamAttrs!$A$2:$H$20,7, FALSE))</f>
        <v>0.76241741313643896</v>
      </c>
      <c r="T53">
        <f>RADIANS(VLOOKUP(Table1[[#This Row],[HomeTeam]],TeamAttrs!$A$2:$H$20, 8, FALSE))</f>
        <v>-1.3898632792284005</v>
      </c>
      <c r="U53">
        <f>RADIANS(VLOOKUP(Table1[[#This Row],[VisitorTeam]],TeamAttrs!$A$2:$H$20,7,FALSE))</f>
        <v>0.59224781106699187</v>
      </c>
      <c r="V53">
        <f>RADIANS(VLOOKUP(Table1[[#This Row],[VisitorTeam]], TeamAttrs!$A$2:$H$20,8,FALSE))</f>
        <v>-2.0664698343612864</v>
      </c>
      <c r="W53" s="5">
        <f>60*DEGREES(ACOS(SIN(Table1[[#This Row],[HomeLat]])*SIN(Table1[[#This Row],[VisitorLat]]) +COS(Table1[[#This Row],[HomeLat]])*COS(Table1[[#This Row],[VisitorLat]])*COS(ABS(Table1[[#This Row],[HomeLong]] -Table1[[#This Row],[VisitorLong]]))))</f>
        <v>1885.1507967297873</v>
      </c>
      <c r="X53" s="6">
        <f>VLOOKUP(Table1[[#This Row],[HomeTeam]],TeamAttrs!$A$2:$K$20,5,FALSE)</f>
        <v>8250000</v>
      </c>
      <c r="Y53" s="6">
        <f>VLOOKUP(Table1[[#This Row],[HomeTeam]],TeamAttrs!$A$2:$K$20,9,FALSE)</f>
        <v>18155</v>
      </c>
      <c r="Z53" s="6">
        <f>VLOOKUP(Table1[[#This Row],[HomeTeam]],TeamAttrs!$A$2:$K$20,10,FALSE)</f>
        <v>21140</v>
      </c>
      <c r="AA53" s="6">
        <f>VLOOKUP(Table1[[#This Row],[HomeTeam]],TeamAttrs!$A$2:$K$20,11,FALSE)</f>
        <v>0.85879848628193001</v>
      </c>
    </row>
    <row r="54" spans="1:27" x14ac:dyDescent="0.25">
      <c r="A54" s="1">
        <v>41014</v>
      </c>
      <c r="B54" t="s">
        <v>17</v>
      </c>
      <c r="C54" t="str">
        <f>VLOOKUP(Table1[[#This Row],[HomeTeam]], TeamAttrs!$A$2:$B$20,2,FALSE)</f>
        <v>Chi</v>
      </c>
      <c r="D54">
        <v>1</v>
      </c>
      <c r="E54">
        <v>1</v>
      </c>
      <c r="F54">
        <f>Table1[[#This Row],[HomeTeamScore]]-Table1[[#This Row],[VisitorScore]]</f>
        <v>0</v>
      </c>
      <c r="G54" t="s">
        <v>13</v>
      </c>
      <c r="H54" t="str">
        <f>VLOOKUP(Table1[[#This Row],[VisitorTeam]],TeamAttrs!$A$2:$B$20, 2, FALSE)</f>
        <v>Hou</v>
      </c>
      <c r="I54">
        <f t="shared" si="0"/>
        <v>0</v>
      </c>
      <c r="J54">
        <f t="shared" si="1"/>
        <v>1</v>
      </c>
      <c r="K54">
        <f t="shared" si="2"/>
        <v>0</v>
      </c>
      <c r="L54">
        <f>3*Table1[HomeWin] +Table1[Draw]</f>
        <v>1</v>
      </c>
      <c r="M54">
        <f>3*Table1[HomeLoss]+Table1[Draw]</f>
        <v>1</v>
      </c>
      <c r="N54">
        <f>VLOOKUP(B54,TeamAttrs!$A$2:$C$20,3,FALSE)</f>
        <v>6</v>
      </c>
      <c r="O54">
        <f>VLOOKUP(G54,TeamAttrs!$A$2:$C$20,3,FALSE)</f>
        <v>6</v>
      </c>
      <c r="P54">
        <f t="shared" si="3"/>
        <v>0</v>
      </c>
      <c r="Q54">
        <f>VLOOKUP(B54,TeamAttrs!$A$2:$D$20,3,FALSE)</f>
        <v>6</v>
      </c>
      <c r="R54">
        <f>VLOOKUP(G54,TeamAttrs!$A$2:$D$20,3,FALSE)</f>
        <v>6</v>
      </c>
      <c r="S54">
        <f>RADIANS(VLOOKUP(Table1[[#This Row],[HomeTeam]],TeamAttrs!$A$2:$H$20,7, FALSE))</f>
        <v>0.72925615734854665</v>
      </c>
      <c r="T54">
        <f>RADIANS(VLOOKUP(Table1[[#This Row],[HomeTeam]],TeamAttrs!$A$2:$H$20, 8, FALSE))</f>
        <v>-1.5315264186250241</v>
      </c>
      <c r="U54">
        <f>RADIANS(VLOOKUP(Table1[[#This Row],[VisitorTeam]],TeamAttrs!$A$2:$H$20,7,FALSE))</f>
        <v>0.52301758095738471</v>
      </c>
      <c r="V54">
        <f>RADIANS(VLOOKUP(Table1[[#This Row],[VisitorTeam]], TeamAttrs!$A$2:$H$20,8,FALSE))</f>
        <v>-1.6641714417765932</v>
      </c>
      <c r="W54" s="5">
        <f>60*DEGREES(ACOS(SIN(Table1[[#This Row],[HomeLat]])*SIN(Table1[[#This Row],[VisitorLat]]) +COS(Table1[[#This Row],[HomeLat]])*COS(Table1[[#This Row],[VisitorLat]])*COS(ABS(Table1[[#This Row],[HomeLong]] -Table1[[#This Row],[VisitorLong]]))))</f>
        <v>798.67830471317484</v>
      </c>
      <c r="X54" s="6">
        <f>VLOOKUP(Table1[[#This Row],[HomeTeam]],TeamAttrs!$A$2:$K$20,5,FALSE)</f>
        <v>3230000</v>
      </c>
      <c r="Y54" s="6">
        <f>VLOOKUP(Table1[[#This Row],[HomeTeam]],TeamAttrs!$A$2:$K$20,9,FALSE)</f>
        <v>16407</v>
      </c>
      <c r="Z54" s="6">
        <f>VLOOKUP(Table1[[#This Row],[HomeTeam]],TeamAttrs!$A$2:$K$20,10,FALSE)</f>
        <v>20000</v>
      </c>
      <c r="AA54" s="6">
        <f>VLOOKUP(Table1[[#This Row],[HomeTeam]],TeamAttrs!$A$2:$K$20,11,FALSE)</f>
        <v>0.82035000000000002</v>
      </c>
    </row>
    <row r="55" spans="1:27" x14ac:dyDescent="0.25">
      <c r="A55" s="1">
        <v>41017</v>
      </c>
      <c r="B55" t="s">
        <v>3</v>
      </c>
      <c r="C55" t="str">
        <f>VLOOKUP(Table1[[#This Row],[HomeTeam]], TeamAttrs!$A$2:$B$20,2,FALSE)</f>
        <v>DCU</v>
      </c>
      <c r="D55">
        <v>1</v>
      </c>
      <c r="E55">
        <v>1</v>
      </c>
      <c r="F55">
        <f>Table1[[#This Row],[HomeTeamScore]]-Table1[[#This Row],[VisitorScore]]</f>
        <v>0</v>
      </c>
      <c r="G55" t="s">
        <v>1</v>
      </c>
      <c r="H55" t="str">
        <f>VLOOKUP(Table1[[#This Row],[VisitorTeam]],TeamAttrs!$A$2:$B$20, 2, FALSE)</f>
        <v>Mntrl</v>
      </c>
      <c r="I55">
        <f t="shared" si="0"/>
        <v>0</v>
      </c>
      <c r="J55">
        <f t="shared" si="1"/>
        <v>1</v>
      </c>
      <c r="K55">
        <f t="shared" si="2"/>
        <v>0</v>
      </c>
      <c r="L55">
        <f>3*Table1[HomeWin] +Table1[Draw]</f>
        <v>1</v>
      </c>
      <c r="M55">
        <f>3*Table1[HomeLoss]+Table1[Draw]</f>
        <v>1</v>
      </c>
      <c r="N55">
        <f>VLOOKUP(B55,TeamAttrs!$A$2:$C$20,3,FALSE)</f>
        <v>5</v>
      </c>
      <c r="O55">
        <f>VLOOKUP(G55,TeamAttrs!$A$2:$C$20,3,FALSE)</f>
        <v>5</v>
      </c>
      <c r="P55">
        <f t="shared" si="3"/>
        <v>0</v>
      </c>
      <c r="Q55">
        <f>VLOOKUP(B55,TeamAttrs!$A$2:$D$20,3,FALSE)</f>
        <v>5</v>
      </c>
      <c r="R55">
        <f>VLOOKUP(G55,TeamAttrs!$A$2:$D$20,3,FALSE)</f>
        <v>5</v>
      </c>
      <c r="S55">
        <f>RADIANS(VLOOKUP(Table1[[#This Row],[HomeTeam]],TeamAttrs!$A$2:$H$20,7, FALSE))</f>
        <v>0.67806041439979703</v>
      </c>
      <c r="T55">
        <f>RADIANS(VLOOKUP(Table1[[#This Row],[HomeTeam]],TeamAttrs!$A$2:$H$20, 8, FALSE))</f>
        <v>-1.3444847186765478</v>
      </c>
      <c r="U55">
        <f>RADIANS(VLOOKUP(Table1[[#This Row],[VisitorTeam]],TeamAttrs!$A$2:$H$20,7,FALSE))</f>
        <v>0.79354361501650583</v>
      </c>
      <c r="V55">
        <f>RADIANS(VLOOKUP(Table1[[#This Row],[VisitorTeam]], TeamAttrs!$A$2:$H$20,8,FALSE))</f>
        <v>-1.2871803233458181</v>
      </c>
      <c r="W55" s="5">
        <f>60*DEGREES(ACOS(SIN(Table1[[#This Row],[HomeLat]])*SIN(Table1[[#This Row],[VisitorLat]]) +COS(Table1[[#This Row],[HomeLat]])*COS(Table1[[#This Row],[VisitorLat]])*COS(ABS(Table1[[#This Row],[HomeLong]] -Table1[[#This Row],[VisitorLong]]))))</f>
        <v>422.90848824135901</v>
      </c>
      <c r="X55" s="6">
        <f>VLOOKUP(Table1[[#This Row],[HomeTeam]],TeamAttrs!$A$2:$K$20,5,FALSE)</f>
        <v>4190000.0000000005</v>
      </c>
      <c r="Y55" s="6">
        <f>VLOOKUP(Table1[[#This Row],[HomeTeam]],TeamAttrs!$A$2:$K$20,9,FALSE)</f>
        <v>13846</v>
      </c>
      <c r="Z55" s="6">
        <f>VLOOKUP(Table1[[#This Row],[HomeTeam]],TeamAttrs!$A$2:$K$20,10,FALSE)</f>
        <v>19467</v>
      </c>
      <c r="AA55" s="6">
        <f>VLOOKUP(Table1[[#This Row],[HomeTeam]],TeamAttrs!$A$2:$K$20,11,FALSE)</f>
        <v>0.71125494426465297</v>
      </c>
    </row>
    <row r="56" spans="1:27" x14ac:dyDescent="0.25">
      <c r="A56" s="1">
        <v>41017</v>
      </c>
      <c r="B56" t="s">
        <v>0</v>
      </c>
      <c r="C56" t="str">
        <f>VLOOKUP(Table1[[#This Row],[HomeTeam]], TeamAttrs!$A$2:$B$20,2,FALSE)</f>
        <v>Van</v>
      </c>
      <c r="D56">
        <v>1</v>
      </c>
      <c r="E56">
        <v>3</v>
      </c>
      <c r="F56">
        <f>Table1[[#This Row],[HomeTeamScore]]-Table1[[#This Row],[VisitorScore]]</f>
        <v>-2</v>
      </c>
      <c r="G56" t="s">
        <v>6</v>
      </c>
      <c r="H56" t="str">
        <f>VLOOKUP(Table1[[#This Row],[VisitorTeam]],TeamAttrs!$A$2:$B$20, 2, FALSE)</f>
        <v>SKC</v>
      </c>
      <c r="I56">
        <f t="shared" si="0"/>
        <v>0</v>
      </c>
      <c r="J56">
        <f t="shared" si="1"/>
        <v>0</v>
      </c>
      <c r="K56">
        <f t="shared" si="2"/>
        <v>1</v>
      </c>
      <c r="L56">
        <f>3*Table1[HomeWin] +Table1[Draw]</f>
        <v>0</v>
      </c>
      <c r="M56">
        <f>3*Table1[HomeLoss]+Table1[Draw]</f>
        <v>3</v>
      </c>
      <c r="N56">
        <f>VLOOKUP(B56,TeamAttrs!$A$2:$C$20,3,FALSE)</f>
        <v>8</v>
      </c>
      <c r="O56">
        <f>VLOOKUP(G56,TeamAttrs!$A$2:$C$20,3,FALSE)</f>
        <v>6</v>
      </c>
      <c r="P56">
        <f t="shared" si="3"/>
        <v>-2</v>
      </c>
      <c r="Q56">
        <f>VLOOKUP(B56,TeamAttrs!$A$2:$D$20,3,FALSE)</f>
        <v>8</v>
      </c>
      <c r="R56">
        <f>VLOOKUP(G56,TeamAttrs!$A$2:$D$20,3,FALSE)</f>
        <v>6</v>
      </c>
      <c r="S56">
        <f>RADIANS(VLOOKUP(Table1[[#This Row],[HomeTeam]],TeamAttrs!$A$2:$H$20,7, FALSE))</f>
        <v>0.86015585124812133</v>
      </c>
      <c r="T56">
        <f>RADIANS(VLOOKUP(Table1[[#This Row],[HomeTeam]],TeamAttrs!$A$2:$H$20, 8, FALSE))</f>
        <v>-2.1487970151778586</v>
      </c>
      <c r="U56">
        <f>RADIANS(VLOOKUP(Table1[[#This Row],[VisitorTeam]],TeamAttrs!$A$2:$H$20,7,FALSE))</f>
        <v>0.68271520751486592</v>
      </c>
      <c r="V56">
        <f>RADIANS(VLOOKUP(Table1[[#This Row],[VisitorTeam]], TeamAttrs!$A$2:$H$20,8,FALSE))</f>
        <v>-1.65166266702755</v>
      </c>
      <c r="W56" s="5">
        <f>60*DEGREES(ACOS(SIN(Table1[[#This Row],[HomeLat]])*SIN(Table1[[#This Row],[VisitorLat]]) +COS(Table1[[#This Row],[HomeLat]])*COS(Table1[[#This Row],[VisitorLat]])*COS(ABS(Table1[[#This Row],[HomeLong]] -Table1[[#This Row],[VisitorLong]]))))</f>
        <v>1357.5624051091463</v>
      </c>
      <c r="X56" s="6">
        <f>VLOOKUP(Table1[[#This Row],[HomeTeam]],TeamAttrs!$A$2:$K$20,5,FALSE)</f>
        <v>4370000</v>
      </c>
      <c r="Y56" s="6">
        <f>VLOOKUP(Table1[[#This Row],[HomeTeam]],TeamAttrs!$A$2:$K$20,9,FALSE)</f>
        <v>19475</v>
      </c>
      <c r="Z56" s="6">
        <f>VLOOKUP(Table1[[#This Row],[HomeTeam]],TeamAttrs!$A$2:$K$20,10,FALSE)</f>
        <v>21000</v>
      </c>
      <c r="AA56" s="6">
        <f>VLOOKUP(Table1[[#This Row],[HomeTeam]],TeamAttrs!$A$2:$K$20,11,FALSE)</f>
        <v>0.92738095238095242</v>
      </c>
    </row>
    <row r="57" spans="1:27" x14ac:dyDescent="0.25">
      <c r="A57" s="1">
        <v>41020</v>
      </c>
      <c r="B57" t="s">
        <v>2</v>
      </c>
      <c r="C57" t="str">
        <f>VLOOKUP(Table1[[#This Row],[HomeTeam]], TeamAttrs!$A$2:$B$20,2,FALSE)</f>
        <v>Chiv</v>
      </c>
      <c r="D57">
        <v>0</v>
      </c>
      <c r="E57">
        <v>1</v>
      </c>
      <c r="F57">
        <f>Table1[[#This Row],[HomeTeamScore]]-Table1[[#This Row],[VisitorScore]]</f>
        <v>-1</v>
      </c>
      <c r="G57" t="s">
        <v>4</v>
      </c>
      <c r="H57" t="str">
        <f>VLOOKUP(Table1[[#This Row],[VisitorTeam]],TeamAttrs!$A$2:$B$20, 2, FALSE)</f>
        <v>Phil</v>
      </c>
      <c r="I57">
        <f t="shared" si="0"/>
        <v>0</v>
      </c>
      <c r="J57">
        <f t="shared" si="1"/>
        <v>0</v>
      </c>
      <c r="K57">
        <f t="shared" si="2"/>
        <v>1</v>
      </c>
      <c r="L57">
        <f>3*Table1[HomeWin] +Table1[Draw]</f>
        <v>0</v>
      </c>
      <c r="M57">
        <f>3*Table1[HomeLoss]+Table1[Draw]</f>
        <v>3</v>
      </c>
      <c r="N57">
        <f>VLOOKUP(B57,TeamAttrs!$A$2:$C$20,3,FALSE)</f>
        <v>8</v>
      </c>
      <c r="O57">
        <f>VLOOKUP(G57,TeamAttrs!$A$2:$C$20,3,FALSE)</f>
        <v>5</v>
      </c>
      <c r="P57">
        <f t="shared" si="3"/>
        <v>-3</v>
      </c>
      <c r="Q57">
        <f>VLOOKUP(B57,TeamAttrs!$A$2:$D$20,3,FALSE)</f>
        <v>8</v>
      </c>
      <c r="R57">
        <f>VLOOKUP(G57,TeamAttrs!$A$2:$D$20,3,FALSE)</f>
        <v>5</v>
      </c>
      <c r="S57">
        <f>RADIANS(VLOOKUP(Table1[[#This Row],[HomeTeam]],TeamAttrs!$A$2:$H$20,7, FALSE))</f>
        <v>0.59224781106699187</v>
      </c>
      <c r="T57">
        <f>RADIANS(VLOOKUP(Table1[[#This Row],[HomeTeam]],TeamAttrs!$A$2:$H$20, 8, FALSE))</f>
        <v>-2.0664698343612864</v>
      </c>
      <c r="U57">
        <f>RADIANS(VLOOKUP(Table1[[#This Row],[VisitorTeam]],TeamAttrs!$A$2:$H$20,7,FALSE))</f>
        <v>0.69609490156065446</v>
      </c>
      <c r="V57">
        <f>RADIANS(VLOOKUP(Table1[[#This Row],[VisitorTeam]], TeamAttrs!$A$2:$H$20,8,FALSE))</f>
        <v>-1.313360262125733</v>
      </c>
      <c r="W57" s="5">
        <f>60*DEGREES(ACOS(SIN(Table1[[#This Row],[HomeLat]])*SIN(Table1[[#This Row],[VisitorLat]]) +COS(Table1[[#This Row],[HomeLat]])*COS(Table1[[#This Row],[VisitorLat]])*COS(ABS(Table1[[#This Row],[HomeLong]] -Table1[[#This Row],[VisitorLong]]))))</f>
        <v>2080.2284533269417</v>
      </c>
      <c r="X57" s="6">
        <f>VLOOKUP(Table1[[#This Row],[HomeTeam]],TeamAttrs!$A$2:$K$20,5,FALSE)</f>
        <v>3230000</v>
      </c>
      <c r="Y57" s="6">
        <f>VLOOKUP(Table1[[#This Row],[HomeTeam]],TeamAttrs!$A$2:$K$20,9,FALSE)</f>
        <v>13056</v>
      </c>
      <c r="Z57" s="6">
        <f>VLOOKUP(Table1[[#This Row],[HomeTeam]],TeamAttrs!$A$2:$K$20,10,FALSE)</f>
        <v>18800</v>
      </c>
      <c r="AA57" s="6">
        <f>VLOOKUP(Table1[[#This Row],[HomeTeam]],TeamAttrs!$A$2:$K$20,11,FALSE)</f>
        <v>0.69446808510638303</v>
      </c>
    </row>
    <row r="58" spans="1:27" x14ac:dyDescent="0.25">
      <c r="A58" s="1">
        <v>41020</v>
      </c>
      <c r="B58" t="s">
        <v>14</v>
      </c>
      <c r="C58" t="str">
        <f>VLOOKUP(Table1[[#This Row],[HomeTeam]], TeamAttrs!$A$2:$B$20,2,FALSE)</f>
        <v>ColRa</v>
      </c>
      <c r="D58">
        <v>1</v>
      </c>
      <c r="E58">
        <v>2</v>
      </c>
      <c r="F58">
        <f>Table1[[#This Row],[HomeTeamScore]]-Table1[[#This Row],[VisitorScore]]</f>
        <v>-1</v>
      </c>
      <c r="G58" t="s">
        <v>16</v>
      </c>
      <c r="H58" t="str">
        <f>VLOOKUP(Table1[[#This Row],[VisitorTeam]],TeamAttrs!$A$2:$B$20, 2, FALSE)</f>
        <v>LAGxy</v>
      </c>
      <c r="I58">
        <f t="shared" si="0"/>
        <v>0</v>
      </c>
      <c r="J58">
        <f t="shared" si="1"/>
        <v>0</v>
      </c>
      <c r="K58">
        <f t="shared" si="2"/>
        <v>1</v>
      </c>
      <c r="L58">
        <f>3*Table1[HomeWin] +Table1[Draw]</f>
        <v>0</v>
      </c>
      <c r="M58">
        <f>3*Table1[HomeLoss]+Table1[Draw]</f>
        <v>3</v>
      </c>
      <c r="N58">
        <f>VLOOKUP(B58,TeamAttrs!$A$2:$C$20,3,FALSE)</f>
        <v>7</v>
      </c>
      <c r="O58">
        <f>VLOOKUP(G58,TeamAttrs!$A$2:$C$20,3,FALSE)</f>
        <v>8</v>
      </c>
      <c r="P58">
        <f t="shared" si="3"/>
        <v>1</v>
      </c>
      <c r="Q58">
        <f>VLOOKUP(B58,TeamAttrs!$A$2:$D$20,3,FALSE)</f>
        <v>7</v>
      </c>
      <c r="R58">
        <f>VLOOKUP(G58,TeamAttrs!$A$2:$D$20,3,FALSE)</f>
        <v>8</v>
      </c>
      <c r="S58">
        <f>RADIANS(VLOOKUP(Table1[[#This Row],[HomeTeam]],TeamAttrs!$A$2:$H$20,7, FALSE))</f>
        <v>0.69376837766774602</v>
      </c>
      <c r="T58">
        <f>RADIANS(VLOOKUP(Table1[[#This Row],[HomeTeam]],TeamAttrs!$A$2:$H$20, 8, FALSE))</f>
        <v>-1.8302744266888937</v>
      </c>
      <c r="U58">
        <f>RADIANS(VLOOKUP(Table1[[#This Row],[VisitorTeam]],TeamAttrs!$A$2:$H$20,7,FALSE))</f>
        <v>0.59224781106699187</v>
      </c>
      <c r="V58">
        <f>RADIANS(VLOOKUP(Table1[[#This Row],[VisitorTeam]], TeamAttrs!$A$2:$H$20,8,FALSE))</f>
        <v>-2.0664698343612864</v>
      </c>
      <c r="W58" s="5">
        <f>60*DEGREES(ACOS(SIN(Table1[[#This Row],[HomeLat]])*SIN(Table1[[#This Row],[VisitorLat]]) +COS(Table1[[#This Row],[HomeLat]])*COS(Table1[[#This Row],[VisitorLat]])*COS(ABS(Table1[[#This Row],[HomeLong]] -Table1[[#This Row],[VisitorLong]]))))</f>
        <v>736.47232912321954</v>
      </c>
      <c r="X58" s="6">
        <f>VLOOKUP(Table1[[#This Row],[HomeTeam]],TeamAttrs!$A$2:$K$20,5,FALSE)</f>
        <v>3430000</v>
      </c>
      <c r="Y58" s="6">
        <f>VLOOKUP(Table1[[#This Row],[HomeTeam]],TeamAttrs!$A$2:$K$20,9,FALSE)</f>
        <v>15175</v>
      </c>
      <c r="Z58" s="6">
        <f>VLOOKUP(Table1[[#This Row],[HomeTeam]],TeamAttrs!$A$2:$K$20,10,FALSE)</f>
        <v>18086</v>
      </c>
      <c r="AA58" s="6">
        <f>VLOOKUP(Table1[[#This Row],[HomeTeam]],TeamAttrs!$A$2:$K$20,11,FALSE)</f>
        <v>0.83904677651221937</v>
      </c>
    </row>
    <row r="59" spans="1:27" x14ac:dyDescent="0.25">
      <c r="A59" s="1">
        <v>41020</v>
      </c>
      <c r="B59" t="s">
        <v>8</v>
      </c>
      <c r="C59" t="str">
        <f>VLOOKUP(Table1[[#This Row],[HomeTeam]], TeamAttrs!$A$2:$B$20,2,FALSE)</f>
        <v>Colum</v>
      </c>
      <c r="D59">
        <v>2</v>
      </c>
      <c r="E59">
        <v>2</v>
      </c>
      <c r="F59">
        <f>Table1[[#This Row],[HomeTeamScore]]-Table1[[#This Row],[VisitorScore]]</f>
        <v>0</v>
      </c>
      <c r="G59" t="s">
        <v>13</v>
      </c>
      <c r="H59" t="str">
        <f>VLOOKUP(Table1[[#This Row],[VisitorTeam]],TeamAttrs!$A$2:$B$20, 2, FALSE)</f>
        <v>Hou</v>
      </c>
      <c r="I59">
        <f t="shared" si="0"/>
        <v>0</v>
      </c>
      <c r="J59">
        <f t="shared" si="1"/>
        <v>1</v>
      </c>
      <c r="K59">
        <f t="shared" si="2"/>
        <v>0</v>
      </c>
      <c r="L59">
        <f>3*Table1[HomeWin] +Table1[Draw]</f>
        <v>1</v>
      </c>
      <c r="M59">
        <f>3*Table1[HomeLoss]+Table1[Draw]</f>
        <v>1</v>
      </c>
      <c r="N59">
        <f>VLOOKUP(B59,TeamAttrs!$A$2:$C$20,3,FALSE)</f>
        <v>5</v>
      </c>
      <c r="O59">
        <f>VLOOKUP(G59,TeamAttrs!$A$2:$C$20,3,FALSE)</f>
        <v>6</v>
      </c>
      <c r="P59">
        <f t="shared" si="3"/>
        <v>1</v>
      </c>
      <c r="Q59">
        <f>VLOOKUP(B59,TeamAttrs!$A$2:$D$20,3,FALSE)</f>
        <v>5</v>
      </c>
      <c r="R59">
        <f>VLOOKUP(G59,TeamAttrs!$A$2:$D$20,3,FALSE)</f>
        <v>6</v>
      </c>
      <c r="S59">
        <f>RADIANS(VLOOKUP(Table1[[#This Row],[HomeTeam]],TeamAttrs!$A$2:$H$20,7, FALSE))</f>
        <v>0.69813170079773179</v>
      </c>
      <c r="T59">
        <f>RADIANS(VLOOKUP(Table1[[#This Row],[HomeTeam]],TeamAttrs!$A$2:$H$20, 8, FALSE))</f>
        <v>-1.4465864799182162</v>
      </c>
      <c r="U59">
        <f>RADIANS(VLOOKUP(Table1[[#This Row],[VisitorTeam]],TeamAttrs!$A$2:$H$20,7,FALSE))</f>
        <v>0.52301758095738471</v>
      </c>
      <c r="V59">
        <f>RADIANS(VLOOKUP(Table1[[#This Row],[VisitorTeam]], TeamAttrs!$A$2:$H$20,8,FALSE))</f>
        <v>-1.6641714417765932</v>
      </c>
      <c r="W59" s="5">
        <f>60*DEGREES(ACOS(SIN(Table1[[#This Row],[HomeLat]])*SIN(Table1[[#This Row],[VisitorLat]]) +COS(Table1[[#This Row],[HomeLat]])*COS(Table1[[#This Row],[VisitorLat]])*COS(ABS(Table1[[#This Row],[HomeLong]] -Table1[[#This Row],[VisitorLong]]))))</f>
        <v>857.39477245624062</v>
      </c>
      <c r="X59" s="6">
        <f>VLOOKUP(Table1[[#This Row],[HomeTeam]],TeamAttrs!$A$2:$K$20,5,FALSE)</f>
        <v>3330000</v>
      </c>
      <c r="Y59" s="6">
        <f>VLOOKUP(Table1[[#This Row],[HomeTeam]],TeamAttrs!$A$2:$K$20,9,FALSE)</f>
        <v>14397</v>
      </c>
      <c r="Z59" s="6">
        <f>VLOOKUP(Table1[[#This Row],[HomeTeam]],TeamAttrs!$A$2:$K$20,10,FALSE)</f>
        <v>20145</v>
      </c>
      <c r="AA59" s="6">
        <f>VLOOKUP(Table1[[#This Row],[HomeTeam]],TeamAttrs!$A$2:$K$20,11,FALSE)</f>
        <v>0.71466865227103504</v>
      </c>
    </row>
    <row r="60" spans="1:27" x14ac:dyDescent="0.25">
      <c r="A60" s="1">
        <v>41020</v>
      </c>
      <c r="B60" t="s">
        <v>12</v>
      </c>
      <c r="C60" t="str">
        <f>VLOOKUP(Table1[[#This Row],[HomeTeam]], TeamAttrs!$A$2:$B$20,2,FALSE)</f>
        <v>Port</v>
      </c>
      <c r="D60">
        <v>1</v>
      </c>
      <c r="E60">
        <v>0</v>
      </c>
      <c r="F60">
        <f>Table1[[#This Row],[HomeTeamScore]]-Table1[[#This Row],[VisitorScore]]</f>
        <v>1</v>
      </c>
      <c r="G60" t="s">
        <v>6</v>
      </c>
      <c r="H60" t="str">
        <f>VLOOKUP(Table1[[#This Row],[VisitorTeam]],TeamAttrs!$A$2:$B$20, 2, FALSE)</f>
        <v>SKC</v>
      </c>
      <c r="I60">
        <f t="shared" si="0"/>
        <v>1</v>
      </c>
      <c r="J60">
        <f t="shared" si="1"/>
        <v>0</v>
      </c>
      <c r="K60">
        <f t="shared" si="2"/>
        <v>0</v>
      </c>
      <c r="L60">
        <f>3*Table1[HomeWin] +Table1[Draw]</f>
        <v>3</v>
      </c>
      <c r="M60">
        <f>3*Table1[HomeLoss]+Table1[Draw]</f>
        <v>0</v>
      </c>
      <c r="N60">
        <f>VLOOKUP(B60,TeamAttrs!$A$2:$C$20,3,FALSE)</f>
        <v>8</v>
      </c>
      <c r="O60">
        <f>VLOOKUP(G60,TeamAttrs!$A$2:$C$20,3,FALSE)</f>
        <v>6</v>
      </c>
      <c r="P60">
        <f t="shared" si="3"/>
        <v>-2</v>
      </c>
      <c r="Q60">
        <f>VLOOKUP(B60,TeamAttrs!$A$2:$D$20,3,FALSE)</f>
        <v>8</v>
      </c>
      <c r="R60">
        <f>VLOOKUP(G60,TeamAttrs!$A$2:$D$20,3,FALSE)</f>
        <v>6</v>
      </c>
      <c r="S60">
        <f>RADIANS(VLOOKUP(Table1[[#This Row],[HomeTeam]],TeamAttrs!$A$2:$H$20,7, FALSE))</f>
        <v>0.79587013890941427</v>
      </c>
      <c r="T60">
        <f>RADIANS(VLOOKUP(Table1[[#This Row],[HomeTeam]],TeamAttrs!$A$2:$H$20, 8, FALSE))</f>
        <v>-2.1397736629450481</v>
      </c>
      <c r="U60">
        <f>RADIANS(VLOOKUP(Table1[[#This Row],[VisitorTeam]],TeamAttrs!$A$2:$H$20,7,FALSE))</f>
        <v>0.68271520751486592</v>
      </c>
      <c r="V60">
        <f>RADIANS(VLOOKUP(Table1[[#This Row],[VisitorTeam]], TeamAttrs!$A$2:$H$20,8,FALSE))</f>
        <v>-1.65166266702755</v>
      </c>
      <c r="W60" s="5">
        <f>60*DEGREES(ACOS(SIN(Table1[[#This Row],[HomeLat]])*SIN(Table1[[#This Row],[VisitorLat]]) +COS(Table1[[#This Row],[HomeLat]])*COS(Table1[[#This Row],[VisitorLat]])*COS(ABS(Table1[[#This Row],[HomeLong]] -Table1[[#This Row],[VisitorLong]]))))</f>
        <v>1291.9285830746019</v>
      </c>
      <c r="X60" s="6">
        <f>VLOOKUP(Table1[[#This Row],[HomeTeam]],TeamAttrs!$A$2:$K$20,5,FALSE)</f>
        <v>4160000</v>
      </c>
      <c r="Y60" s="6">
        <f>VLOOKUP(Table1[[#This Row],[HomeTeam]],TeamAttrs!$A$2:$K$20,9,FALSE)</f>
        <v>20438</v>
      </c>
      <c r="Z60" s="6">
        <f>VLOOKUP(Table1[[#This Row],[HomeTeam]],TeamAttrs!$A$2:$K$20,10,FALSE)</f>
        <v>20438</v>
      </c>
      <c r="AA60" s="6">
        <f>VLOOKUP(Table1[[#This Row],[HomeTeam]],TeamAttrs!$A$2:$K$20,11,FALSE)</f>
        <v>1</v>
      </c>
    </row>
    <row r="61" spans="1:27" x14ac:dyDescent="0.25">
      <c r="A61" s="1">
        <v>41020</v>
      </c>
      <c r="B61" t="s">
        <v>5</v>
      </c>
      <c r="C61" t="str">
        <f>VLOOKUP(Table1[[#This Row],[HomeTeam]], TeamAttrs!$A$2:$B$20,2,FALSE)</f>
        <v>SJE</v>
      </c>
      <c r="D61">
        <v>3</v>
      </c>
      <c r="E61">
        <v>1</v>
      </c>
      <c r="F61">
        <f>Table1[[#This Row],[HomeTeamScore]]-Table1[[#This Row],[VisitorScore]]</f>
        <v>2</v>
      </c>
      <c r="G61" t="s">
        <v>18</v>
      </c>
      <c r="H61" t="str">
        <f>VLOOKUP(Table1[[#This Row],[VisitorTeam]],TeamAttrs!$A$2:$B$20, 2, FALSE)</f>
        <v>RSL</v>
      </c>
      <c r="I61">
        <f t="shared" si="0"/>
        <v>1</v>
      </c>
      <c r="J61">
        <f t="shared" si="1"/>
        <v>0</v>
      </c>
      <c r="K61">
        <f t="shared" si="2"/>
        <v>0</v>
      </c>
      <c r="L61">
        <f>3*Table1[HomeWin] +Table1[Draw]</f>
        <v>3</v>
      </c>
      <c r="M61">
        <f>3*Table1[HomeLoss]+Table1[Draw]</f>
        <v>0</v>
      </c>
      <c r="N61">
        <f>VLOOKUP(B61,TeamAttrs!$A$2:$C$20,3,FALSE)</f>
        <v>8</v>
      </c>
      <c r="O61">
        <f>VLOOKUP(G61,TeamAttrs!$A$2:$C$20,3,FALSE)</f>
        <v>7</v>
      </c>
      <c r="P61">
        <f t="shared" si="3"/>
        <v>-1</v>
      </c>
      <c r="Q61">
        <f>VLOOKUP(B61,TeamAttrs!$A$2:$D$20,3,FALSE)</f>
        <v>8</v>
      </c>
      <c r="R61">
        <f>VLOOKUP(G61,TeamAttrs!$A$2:$D$20,3,FALSE)</f>
        <v>7</v>
      </c>
      <c r="S61">
        <f>RADIANS(VLOOKUP(Table1[[#This Row],[HomeTeam]],TeamAttrs!$A$2:$H$20,7, FALSE))</f>
        <v>0.65217194560496516</v>
      </c>
      <c r="T61">
        <f>RADIANS(VLOOKUP(Table1[[#This Row],[HomeTeam]],TeamAttrs!$A$2:$H$20, 8, FALSE))</f>
        <v>-2.1281323168342459</v>
      </c>
      <c r="U61">
        <f>RADIANS(VLOOKUP(Table1[[#This Row],[VisitorTeam]],TeamAttrs!$A$2:$H$20,7,FALSE))</f>
        <v>0.71151314017277234</v>
      </c>
      <c r="V61">
        <f>RADIANS(VLOOKUP(Table1[[#This Row],[VisitorTeam]], TeamAttrs!$A$2:$H$20,8,FALSE))</f>
        <v>-1.954192803580491</v>
      </c>
      <c r="W61" s="5">
        <f>60*DEGREES(ACOS(SIN(Table1[[#This Row],[HomeLat]])*SIN(Table1[[#This Row],[VisitorLat]]) +COS(Table1[[#This Row],[HomeLat]])*COS(Table1[[#This Row],[VisitorLat]])*COS(ABS(Table1[[#This Row],[HomeLong]] -Table1[[#This Row],[VisitorLong]]))))</f>
        <v>506.7074141019271</v>
      </c>
      <c r="X61" s="6">
        <f>VLOOKUP(Table1[[#This Row],[HomeTeam]],TeamAttrs!$A$2:$K$20,5,FALSE)</f>
        <v>3210000</v>
      </c>
      <c r="Y61" s="6">
        <f>VLOOKUP(Table1[[#This Row],[HomeTeam]],TeamAttrs!$A$2:$K$20,9,FALSE)</f>
        <v>13293</v>
      </c>
      <c r="Z61" s="6">
        <f>VLOOKUP(Table1[[#This Row],[HomeTeam]],TeamAttrs!$A$2:$K$20,10,FALSE)</f>
        <v>10525</v>
      </c>
      <c r="AA61" s="6">
        <f>VLOOKUP(Table1[[#This Row],[HomeTeam]],TeamAttrs!$A$2:$K$20,11,FALSE)</f>
        <v>1.2629928741092638</v>
      </c>
    </row>
    <row r="62" spans="1:27" x14ac:dyDescent="0.25">
      <c r="A62" s="1">
        <v>41020</v>
      </c>
      <c r="B62" t="s">
        <v>10</v>
      </c>
      <c r="C62" t="str">
        <f>VLOOKUP(Table1[[#This Row],[HomeTeam]], TeamAttrs!$A$2:$B$20,2,FALSE)</f>
        <v>Tor</v>
      </c>
      <c r="D62">
        <v>2</v>
      </c>
      <c r="E62">
        <v>3</v>
      </c>
      <c r="F62">
        <f>Table1[[#This Row],[HomeTeamScore]]-Table1[[#This Row],[VisitorScore]]</f>
        <v>-1</v>
      </c>
      <c r="G62" t="s">
        <v>17</v>
      </c>
      <c r="H62" t="str">
        <f>VLOOKUP(Table1[[#This Row],[VisitorTeam]],TeamAttrs!$A$2:$B$20, 2, FALSE)</f>
        <v>Chi</v>
      </c>
      <c r="I62">
        <f t="shared" si="0"/>
        <v>0</v>
      </c>
      <c r="J62">
        <f t="shared" si="1"/>
        <v>0</v>
      </c>
      <c r="K62">
        <f t="shared" si="2"/>
        <v>1</v>
      </c>
      <c r="L62">
        <f>3*Table1[HomeWin] +Table1[Draw]</f>
        <v>0</v>
      </c>
      <c r="M62">
        <f>3*Table1[HomeLoss]+Table1[Draw]</f>
        <v>3</v>
      </c>
      <c r="N62">
        <f>VLOOKUP(B62,TeamAttrs!$A$2:$C$20,3,FALSE)</f>
        <v>5</v>
      </c>
      <c r="O62">
        <f>VLOOKUP(G62,TeamAttrs!$A$2:$C$20,3,FALSE)</f>
        <v>6</v>
      </c>
      <c r="P62">
        <f t="shared" si="3"/>
        <v>1</v>
      </c>
      <c r="Q62">
        <f>VLOOKUP(B62,TeamAttrs!$A$2:$D$20,3,FALSE)</f>
        <v>5</v>
      </c>
      <c r="R62">
        <f>VLOOKUP(G62,TeamAttrs!$A$2:$D$20,3,FALSE)</f>
        <v>6</v>
      </c>
      <c r="S62">
        <f>RADIANS(VLOOKUP(Table1[[#This Row],[HomeTeam]],TeamAttrs!$A$2:$H$20,7, FALSE))</f>
        <v>0.76241741313643896</v>
      </c>
      <c r="T62">
        <f>RADIANS(VLOOKUP(Table1[[#This Row],[HomeTeam]],TeamAttrs!$A$2:$H$20, 8, FALSE))</f>
        <v>-1.3898632792284005</v>
      </c>
      <c r="U62">
        <f>RADIANS(VLOOKUP(Table1[[#This Row],[VisitorTeam]],TeamAttrs!$A$2:$H$20,7,FALSE))</f>
        <v>0.72925615734854665</v>
      </c>
      <c r="V62">
        <f>RADIANS(VLOOKUP(Table1[[#This Row],[VisitorTeam]], TeamAttrs!$A$2:$H$20,8,FALSE))</f>
        <v>-1.5315264186250241</v>
      </c>
      <c r="W62" s="5">
        <f>60*DEGREES(ACOS(SIN(Table1[[#This Row],[HomeLat]])*SIN(Table1[[#This Row],[VisitorLat]]) +COS(Table1[[#This Row],[HomeLat]])*COS(Table1[[#This Row],[VisitorLat]])*COS(ABS(Table1[[#This Row],[HomeLong]] -Table1[[#This Row],[VisitorLong]]))))</f>
        <v>375.25208852404677</v>
      </c>
      <c r="X62" s="6">
        <f>VLOOKUP(Table1[[#This Row],[HomeTeam]],TeamAttrs!$A$2:$K$20,5,FALSE)</f>
        <v>8250000</v>
      </c>
      <c r="Y62" s="6">
        <f>VLOOKUP(Table1[[#This Row],[HomeTeam]],TeamAttrs!$A$2:$K$20,9,FALSE)</f>
        <v>18155</v>
      </c>
      <c r="Z62" s="6">
        <f>VLOOKUP(Table1[[#This Row],[HomeTeam]],TeamAttrs!$A$2:$K$20,10,FALSE)</f>
        <v>21140</v>
      </c>
      <c r="AA62" s="6">
        <f>VLOOKUP(Table1[[#This Row],[HomeTeam]],TeamAttrs!$A$2:$K$20,11,FALSE)</f>
        <v>0.85879848628193001</v>
      </c>
    </row>
    <row r="63" spans="1:27" x14ac:dyDescent="0.25">
      <c r="A63" s="1">
        <v>41020</v>
      </c>
      <c r="B63" t="s">
        <v>0</v>
      </c>
      <c r="C63" t="str">
        <f>VLOOKUP(Table1[[#This Row],[HomeTeam]], TeamAttrs!$A$2:$B$20,2,FALSE)</f>
        <v>Van</v>
      </c>
      <c r="D63">
        <v>1</v>
      </c>
      <c r="E63">
        <v>0</v>
      </c>
      <c r="F63">
        <f>Table1[[#This Row],[HomeTeamScore]]-Table1[[#This Row],[VisitorScore]]</f>
        <v>1</v>
      </c>
      <c r="G63" t="s">
        <v>7</v>
      </c>
      <c r="H63" t="str">
        <f>VLOOKUP(Table1[[#This Row],[VisitorTeam]],TeamAttrs!$A$2:$B$20, 2, FALSE)</f>
        <v>FCDal</v>
      </c>
      <c r="I63">
        <f t="shared" si="0"/>
        <v>1</v>
      </c>
      <c r="J63">
        <f t="shared" si="1"/>
        <v>0</v>
      </c>
      <c r="K63">
        <f t="shared" si="2"/>
        <v>0</v>
      </c>
      <c r="L63">
        <f>3*Table1[HomeWin] +Table1[Draw]</f>
        <v>3</v>
      </c>
      <c r="M63">
        <f>3*Table1[HomeLoss]+Table1[Draw]</f>
        <v>0</v>
      </c>
      <c r="N63">
        <f>VLOOKUP(B63,TeamAttrs!$A$2:$C$20,3,FALSE)</f>
        <v>8</v>
      </c>
      <c r="O63">
        <f>VLOOKUP(G63,TeamAttrs!$A$2:$C$20,3,FALSE)</f>
        <v>6</v>
      </c>
      <c r="P63">
        <f t="shared" si="3"/>
        <v>-2</v>
      </c>
      <c r="Q63">
        <f>VLOOKUP(B63,TeamAttrs!$A$2:$D$20,3,FALSE)</f>
        <v>8</v>
      </c>
      <c r="R63">
        <f>VLOOKUP(G63,TeamAttrs!$A$2:$D$20,3,FALSE)</f>
        <v>6</v>
      </c>
      <c r="S63">
        <f>RADIANS(VLOOKUP(Table1[[#This Row],[HomeTeam]],TeamAttrs!$A$2:$H$20,7, FALSE))</f>
        <v>0.86015585124812133</v>
      </c>
      <c r="T63">
        <f>RADIANS(VLOOKUP(Table1[[#This Row],[HomeTeam]],TeamAttrs!$A$2:$H$20, 8, FALSE))</f>
        <v>-2.1487970151778586</v>
      </c>
      <c r="U63">
        <f>RADIANS(VLOOKUP(Table1[[#This Row],[VisitorTeam]],TeamAttrs!$A$2:$H$20,7,FALSE))</f>
        <v>0.57334065928013733</v>
      </c>
      <c r="V63">
        <f>RADIANS(VLOOKUP(Table1[[#This Row],[VisitorTeam]], TeamAttrs!$A$2:$H$20,8,FALSE))</f>
        <v>-1.690351380556508</v>
      </c>
      <c r="W63" s="5">
        <f>60*DEGREES(ACOS(SIN(Table1[[#This Row],[HomeLat]])*SIN(Table1[[#This Row],[VisitorLat]]) +COS(Table1[[#This Row],[HomeLat]])*COS(Table1[[#This Row],[VisitorLat]])*COS(ABS(Table1[[#This Row],[HomeLong]] -Table1[[#This Row],[VisitorLong]]))))</f>
        <v>1530.1772523180741</v>
      </c>
      <c r="X63" s="6">
        <f>VLOOKUP(Table1[[#This Row],[HomeTeam]],TeamAttrs!$A$2:$K$20,5,FALSE)</f>
        <v>4370000</v>
      </c>
      <c r="Y63" s="6">
        <f>VLOOKUP(Table1[[#This Row],[HomeTeam]],TeamAttrs!$A$2:$K$20,9,FALSE)</f>
        <v>19475</v>
      </c>
      <c r="Z63" s="6">
        <f>VLOOKUP(Table1[[#This Row],[HomeTeam]],TeamAttrs!$A$2:$K$20,10,FALSE)</f>
        <v>21000</v>
      </c>
      <c r="AA63" s="6">
        <f>VLOOKUP(Table1[[#This Row],[HomeTeam]],TeamAttrs!$A$2:$K$20,11,FALSE)</f>
        <v>0.92738095238095242</v>
      </c>
    </row>
    <row r="64" spans="1:27" x14ac:dyDescent="0.25">
      <c r="A64" s="1">
        <v>41021</v>
      </c>
      <c r="B64" t="s">
        <v>3</v>
      </c>
      <c r="C64" t="str">
        <f>VLOOKUP(Table1[[#This Row],[HomeTeam]], TeamAttrs!$A$2:$B$20,2,FALSE)</f>
        <v>DCU</v>
      </c>
      <c r="D64">
        <v>4</v>
      </c>
      <c r="E64">
        <v>1</v>
      </c>
      <c r="F64">
        <f>Table1[[#This Row],[HomeTeamScore]]-Table1[[#This Row],[VisitorScore]]</f>
        <v>3</v>
      </c>
      <c r="G64" t="s">
        <v>15</v>
      </c>
      <c r="H64" t="str">
        <f>VLOOKUP(Table1[[#This Row],[VisitorTeam]],TeamAttrs!$A$2:$B$20, 2, FALSE)</f>
        <v>NY</v>
      </c>
      <c r="I64">
        <f t="shared" si="0"/>
        <v>1</v>
      </c>
      <c r="J64">
        <f t="shared" si="1"/>
        <v>0</v>
      </c>
      <c r="K64">
        <f t="shared" si="2"/>
        <v>0</v>
      </c>
      <c r="L64">
        <f>3*Table1[HomeWin] +Table1[Draw]</f>
        <v>3</v>
      </c>
      <c r="M64">
        <f>3*Table1[HomeLoss]+Table1[Draw]</f>
        <v>0</v>
      </c>
      <c r="N64">
        <f>VLOOKUP(B64,TeamAttrs!$A$2:$C$20,3,FALSE)</f>
        <v>5</v>
      </c>
      <c r="O64">
        <f>VLOOKUP(G64,TeamAttrs!$A$2:$C$20,3,FALSE)</f>
        <v>5</v>
      </c>
      <c r="P64">
        <f t="shared" si="3"/>
        <v>0</v>
      </c>
      <c r="Q64">
        <f>VLOOKUP(B64,TeamAttrs!$A$2:$D$20,3,FALSE)</f>
        <v>5</v>
      </c>
      <c r="R64">
        <f>VLOOKUP(G64,TeamAttrs!$A$2:$D$20,3,FALSE)</f>
        <v>5</v>
      </c>
      <c r="S64">
        <f>RADIANS(VLOOKUP(Table1[[#This Row],[HomeTeam]],TeamAttrs!$A$2:$H$20,7, FALSE))</f>
        <v>0.67806041439979703</v>
      </c>
      <c r="T64">
        <f>RADIANS(VLOOKUP(Table1[[#This Row],[HomeTeam]],TeamAttrs!$A$2:$H$20, 8, FALSE))</f>
        <v>-1.3444847186765478</v>
      </c>
      <c r="U64">
        <f>RADIANS(VLOOKUP(Table1[[#This Row],[VisitorTeam]],TeamAttrs!$A$2:$H$20,7,FALSE))</f>
        <v>0.71180286482860333</v>
      </c>
      <c r="V64">
        <f>RADIANS(VLOOKUP(Table1[[#This Row],[VisitorTeam]], TeamAttrs!$A$2:$H$20,8,FALSE))</f>
        <v>-1.2909624518348899</v>
      </c>
      <c r="W64" s="5">
        <f>60*DEGREES(ACOS(SIN(Table1[[#This Row],[HomeLat]])*SIN(Table1[[#This Row],[VisitorLat]]) +COS(Table1[[#This Row],[HomeLat]])*COS(Table1[[#This Row],[VisitorLat]])*COS(ABS(Table1[[#This Row],[HomeLong]] -Table1[[#This Row],[VisitorLong]]))))</f>
        <v>182.81415814322813</v>
      </c>
      <c r="X64" s="6">
        <f>VLOOKUP(Table1[[#This Row],[HomeTeam]],TeamAttrs!$A$2:$K$20,5,FALSE)</f>
        <v>4190000.0000000005</v>
      </c>
      <c r="Y64" s="6">
        <f>VLOOKUP(Table1[[#This Row],[HomeTeam]],TeamAttrs!$A$2:$K$20,9,FALSE)</f>
        <v>13846</v>
      </c>
      <c r="Z64" s="6">
        <f>VLOOKUP(Table1[[#This Row],[HomeTeam]],TeamAttrs!$A$2:$K$20,10,FALSE)</f>
        <v>19467</v>
      </c>
      <c r="AA64" s="6">
        <f>VLOOKUP(Table1[[#This Row],[HomeTeam]],TeamAttrs!$A$2:$K$20,11,FALSE)</f>
        <v>0.71125494426465297</v>
      </c>
    </row>
    <row r="65" spans="1:27" x14ac:dyDescent="0.25">
      <c r="A65" s="1">
        <v>41024</v>
      </c>
      <c r="B65" t="s">
        <v>7</v>
      </c>
      <c r="C65" t="str">
        <f>VLOOKUP(Table1[[#This Row],[HomeTeam]], TeamAttrs!$A$2:$B$20,2,FALSE)</f>
        <v>FCDal</v>
      </c>
      <c r="D65">
        <v>1</v>
      </c>
      <c r="E65">
        <v>1</v>
      </c>
      <c r="F65">
        <f>Table1[[#This Row],[HomeTeamScore]]-Table1[[#This Row],[VisitorScore]]</f>
        <v>0</v>
      </c>
      <c r="G65" t="s">
        <v>18</v>
      </c>
      <c r="H65" t="str">
        <f>VLOOKUP(Table1[[#This Row],[VisitorTeam]],TeamAttrs!$A$2:$B$20, 2, FALSE)</f>
        <v>RSL</v>
      </c>
      <c r="I65">
        <f t="shared" si="0"/>
        <v>0</v>
      </c>
      <c r="J65">
        <f t="shared" si="1"/>
        <v>1</v>
      </c>
      <c r="K65">
        <f t="shared" si="2"/>
        <v>0</v>
      </c>
      <c r="L65">
        <f>3*Table1[HomeWin] +Table1[Draw]</f>
        <v>1</v>
      </c>
      <c r="M65">
        <f>3*Table1[HomeLoss]+Table1[Draw]</f>
        <v>1</v>
      </c>
      <c r="N65">
        <f>VLOOKUP(B65,TeamAttrs!$A$2:$C$20,3,FALSE)</f>
        <v>6</v>
      </c>
      <c r="O65">
        <f>VLOOKUP(G65,TeamAttrs!$A$2:$C$20,3,FALSE)</f>
        <v>7</v>
      </c>
      <c r="P65">
        <f t="shared" si="3"/>
        <v>1</v>
      </c>
      <c r="Q65">
        <f>VLOOKUP(B65,TeamAttrs!$A$2:$D$20,3,FALSE)</f>
        <v>6</v>
      </c>
      <c r="R65">
        <f>VLOOKUP(G65,TeamAttrs!$A$2:$D$20,3,FALSE)</f>
        <v>7</v>
      </c>
      <c r="S65">
        <f>RADIANS(VLOOKUP(Table1[[#This Row],[HomeTeam]],TeamAttrs!$A$2:$H$20,7, FALSE))</f>
        <v>0.57334065928013733</v>
      </c>
      <c r="T65">
        <f>RADIANS(VLOOKUP(Table1[[#This Row],[HomeTeam]],TeamAttrs!$A$2:$H$20, 8, FALSE))</f>
        <v>-1.690351380556508</v>
      </c>
      <c r="U65">
        <f>RADIANS(VLOOKUP(Table1[[#This Row],[VisitorTeam]],TeamAttrs!$A$2:$H$20,7,FALSE))</f>
        <v>0.71151314017277234</v>
      </c>
      <c r="V65">
        <f>RADIANS(VLOOKUP(Table1[[#This Row],[VisitorTeam]], TeamAttrs!$A$2:$H$20,8,FALSE))</f>
        <v>-1.954192803580491</v>
      </c>
      <c r="W65" s="5">
        <f>60*DEGREES(ACOS(SIN(Table1[[#This Row],[HomeLat]])*SIN(Table1[[#This Row],[VisitorLat]]) +COS(Table1[[#This Row],[HomeLat]])*COS(Table1[[#This Row],[VisitorLat]])*COS(ABS(Table1[[#This Row],[HomeLong]] -Table1[[#This Row],[VisitorLong]]))))</f>
        <v>865.81707334066846</v>
      </c>
      <c r="X65" s="6">
        <f>VLOOKUP(Table1[[#This Row],[HomeTeam]],TeamAttrs!$A$2:$K$20,5,FALSE)</f>
        <v>3450000</v>
      </c>
      <c r="Y65" s="6">
        <f>VLOOKUP(Table1[[#This Row],[HomeTeam]],TeamAttrs!$A$2:$K$20,9,FALSE)</f>
        <v>14199</v>
      </c>
      <c r="Z65" s="6">
        <f>VLOOKUP(Table1[[#This Row],[HomeTeam]],TeamAttrs!$A$2:$K$20,10,FALSE)</f>
        <v>20500</v>
      </c>
      <c r="AA65" s="6">
        <f>VLOOKUP(Table1[[#This Row],[HomeTeam]],TeamAttrs!$A$2:$K$20,11,FALSE)</f>
        <v>0.69263414634146336</v>
      </c>
    </row>
    <row r="66" spans="1:27" x14ac:dyDescent="0.25">
      <c r="A66" s="1">
        <v>41027</v>
      </c>
      <c r="B66" t="s">
        <v>17</v>
      </c>
      <c r="C66" t="str">
        <f>VLOOKUP(Table1[[#This Row],[HomeTeam]], TeamAttrs!$A$2:$B$20,2,FALSE)</f>
        <v>Chi</v>
      </c>
      <c r="D66">
        <v>1</v>
      </c>
      <c r="E66">
        <v>2</v>
      </c>
      <c r="F66">
        <f>Table1[[#This Row],[HomeTeamScore]]-Table1[[#This Row],[VisitorScore]]</f>
        <v>-1</v>
      </c>
      <c r="G66" t="s">
        <v>11</v>
      </c>
      <c r="H66" t="str">
        <f>VLOOKUP(Table1[[#This Row],[VisitorTeam]],TeamAttrs!$A$2:$B$20, 2, FALSE)</f>
        <v>SEA</v>
      </c>
      <c r="I66">
        <f t="shared" ref="I66:I129" si="4">IF(D66&gt;E66, 1,0)</f>
        <v>0</v>
      </c>
      <c r="J66">
        <f t="shared" ref="J66:J129" si="5">IF(D66=E66, 1, 0)</f>
        <v>0</v>
      </c>
      <c r="K66">
        <f t="shared" ref="K66:K129" si="6">IF(E66&gt;D66, 1,0)</f>
        <v>1</v>
      </c>
      <c r="L66">
        <f>3*Table1[HomeWin] +Table1[Draw]</f>
        <v>0</v>
      </c>
      <c r="M66">
        <f>3*Table1[HomeLoss]+Table1[Draw]</f>
        <v>3</v>
      </c>
      <c r="N66">
        <f>VLOOKUP(B66,TeamAttrs!$A$2:$C$20,3,FALSE)</f>
        <v>6</v>
      </c>
      <c r="O66">
        <f>VLOOKUP(G66,TeamAttrs!$A$2:$C$20,3,FALSE)</f>
        <v>8</v>
      </c>
      <c r="P66">
        <f t="shared" ref="P66:P129" si="7">O66-N66</f>
        <v>2</v>
      </c>
      <c r="Q66">
        <f>VLOOKUP(B66,TeamAttrs!$A$2:$D$20,3,FALSE)</f>
        <v>6</v>
      </c>
      <c r="R66">
        <f>VLOOKUP(G66,TeamAttrs!$A$2:$D$20,3,FALSE)</f>
        <v>8</v>
      </c>
      <c r="S66">
        <f>RADIANS(VLOOKUP(Table1[[#This Row],[HomeTeam]],TeamAttrs!$A$2:$H$20,7, FALSE))</f>
        <v>0.72925615734854665</v>
      </c>
      <c r="T66">
        <f>RADIANS(VLOOKUP(Table1[[#This Row],[HomeTeam]],TeamAttrs!$A$2:$H$20, 8, FALSE))</f>
        <v>-1.5315264186250241</v>
      </c>
      <c r="U66">
        <f>RADIANS(VLOOKUP(Table1[[#This Row],[VisitorTeam]],TeamAttrs!$A$2:$H$20,7,FALSE))</f>
        <v>0.83164938857529802</v>
      </c>
      <c r="V66">
        <f>RADIANS(VLOOKUP(Table1[[#This Row],[VisitorTeam]], TeamAttrs!$A$2:$H$20,8,FALSE))</f>
        <v>-2.134537675189065</v>
      </c>
      <c r="W66" s="5">
        <f>60*DEGREES(ACOS(SIN(Table1[[#This Row],[HomeLat]])*SIN(Table1[[#This Row],[VisitorLat]]) +COS(Table1[[#This Row],[HomeLat]])*COS(Table1[[#This Row],[VisitorLat]])*COS(ABS(Table1[[#This Row],[HomeLong]] -Table1[[#This Row],[VisitorLong]]))))</f>
        <v>1501.1377734796768</v>
      </c>
      <c r="X66" s="6">
        <f>VLOOKUP(Table1[[#This Row],[HomeTeam]],TeamAttrs!$A$2:$K$20,5,FALSE)</f>
        <v>3230000</v>
      </c>
      <c r="Y66" s="6">
        <f>VLOOKUP(Table1[[#This Row],[HomeTeam]],TeamAttrs!$A$2:$K$20,9,FALSE)</f>
        <v>16407</v>
      </c>
      <c r="Z66" s="6">
        <f>VLOOKUP(Table1[[#This Row],[HomeTeam]],TeamAttrs!$A$2:$K$20,10,FALSE)</f>
        <v>20000</v>
      </c>
      <c r="AA66" s="6">
        <f>VLOOKUP(Table1[[#This Row],[HomeTeam]],TeamAttrs!$A$2:$K$20,11,FALSE)</f>
        <v>0.82035000000000002</v>
      </c>
    </row>
    <row r="67" spans="1:27" x14ac:dyDescent="0.25">
      <c r="A67" s="1">
        <v>41027</v>
      </c>
      <c r="B67" t="s">
        <v>14</v>
      </c>
      <c r="C67" t="str">
        <f>VLOOKUP(Table1[[#This Row],[HomeTeam]], TeamAttrs!$A$2:$B$20,2,FALSE)</f>
        <v>ColRa</v>
      </c>
      <c r="D67">
        <v>4</v>
      </c>
      <c r="E67">
        <v>0</v>
      </c>
      <c r="F67">
        <f>Table1[[#This Row],[HomeTeamScore]]-Table1[[#This Row],[VisitorScore]]</f>
        <v>4</v>
      </c>
      <c r="G67" t="s">
        <v>2</v>
      </c>
      <c r="H67" t="str">
        <f>VLOOKUP(Table1[[#This Row],[VisitorTeam]],TeamAttrs!$A$2:$B$20, 2, FALSE)</f>
        <v>Chiv</v>
      </c>
      <c r="I67">
        <f t="shared" si="4"/>
        <v>1</v>
      </c>
      <c r="J67">
        <f t="shared" si="5"/>
        <v>0</v>
      </c>
      <c r="K67">
        <f t="shared" si="6"/>
        <v>0</v>
      </c>
      <c r="L67">
        <f>3*Table1[HomeWin] +Table1[Draw]</f>
        <v>3</v>
      </c>
      <c r="M67">
        <f>3*Table1[HomeLoss]+Table1[Draw]</f>
        <v>0</v>
      </c>
      <c r="N67">
        <f>VLOOKUP(B67,TeamAttrs!$A$2:$C$20,3,FALSE)</f>
        <v>7</v>
      </c>
      <c r="O67">
        <f>VLOOKUP(G67,TeamAttrs!$A$2:$C$20,3,FALSE)</f>
        <v>8</v>
      </c>
      <c r="P67">
        <f t="shared" si="7"/>
        <v>1</v>
      </c>
      <c r="Q67">
        <f>VLOOKUP(B67,TeamAttrs!$A$2:$D$20,3,FALSE)</f>
        <v>7</v>
      </c>
      <c r="R67">
        <f>VLOOKUP(G67,TeamAttrs!$A$2:$D$20,3,FALSE)</f>
        <v>8</v>
      </c>
      <c r="S67">
        <f>RADIANS(VLOOKUP(Table1[[#This Row],[HomeTeam]],TeamAttrs!$A$2:$H$20,7, FALSE))</f>
        <v>0.69376837766774602</v>
      </c>
      <c r="T67">
        <f>RADIANS(VLOOKUP(Table1[[#This Row],[HomeTeam]],TeamAttrs!$A$2:$H$20, 8, FALSE))</f>
        <v>-1.8302744266888937</v>
      </c>
      <c r="U67">
        <f>RADIANS(VLOOKUP(Table1[[#This Row],[VisitorTeam]],TeamAttrs!$A$2:$H$20,7,FALSE))</f>
        <v>0.59224781106699187</v>
      </c>
      <c r="V67">
        <f>RADIANS(VLOOKUP(Table1[[#This Row],[VisitorTeam]], TeamAttrs!$A$2:$H$20,8,FALSE))</f>
        <v>-2.0664698343612864</v>
      </c>
      <c r="W67" s="5">
        <f>60*DEGREES(ACOS(SIN(Table1[[#This Row],[HomeLat]])*SIN(Table1[[#This Row],[VisitorLat]]) +COS(Table1[[#This Row],[HomeLat]])*COS(Table1[[#This Row],[VisitorLat]])*COS(ABS(Table1[[#This Row],[HomeLong]] -Table1[[#This Row],[VisitorLong]]))))</f>
        <v>736.47232912321954</v>
      </c>
      <c r="X67" s="6">
        <f>VLOOKUP(Table1[[#This Row],[HomeTeam]],TeamAttrs!$A$2:$K$20,5,FALSE)</f>
        <v>3430000</v>
      </c>
      <c r="Y67" s="6">
        <f>VLOOKUP(Table1[[#This Row],[HomeTeam]],TeamAttrs!$A$2:$K$20,9,FALSE)</f>
        <v>15175</v>
      </c>
      <c r="Z67" s="6">
        <f>VLOOKUP(Table1[[#This Row],[HomeTeam]],TeamAttrs!$A$2:$K$20,10,FALSE)</f>
        <v>18086</v>
      </c>
      <c r="AA67" s="6">
        <f>VLOOKUP(Table1[[#This Row],[HomeTeam]],TeamAttrs!$A$2:$K$20,11,FALSE)</f>
        <v>0.83904677651221937</v>
      </c>
    </row>
    <row r="68" spans="1:27" x14ac:dyDescent="0.25">
      <c r="A68" s="1">
        <v>41027</v>
      </c>
      <c r="B68" t="s">
        <v>8</v>
      </c>
      <c r="C68" t="str">
        <f>VLOOKUP(Table1[[#This Row],[HomeTeam]], TeamAttrs!$A$2:$B$20,2,FALSE)</f>
        <v>Colum</v>
      </c>
      <c r="D68">
        <v>0</v>
      </c>
      <c r="E68">
        <v>1</v>
      </c>
      <c r="F68">
        <f>Table1[[#This Row],[HomeTeamScore]]-Table1[[#This Row],[VisitorScore]]</f>
        <v>-1</v>
      </c>
      <c r="G68" t="s">
        <v>0</v>
      </c>
      <c r="H68" t="str">
        <f>VLOOKUP(Table1[[#This Row],[VisitorTeam]],TeamAttrs!$A$2:$B$20, 2, FALSE)</f>
        <v>Van</v>
      </c>
      <c r="I68">
        <f t="shared" si="4"/>
        <v>0</v>
      </c>
      <c r="J68">
        <f t="shared" si="5"/>
        <v>0</v>
      </c>
      <c r="K68">
        <f t="shared" si="6"/>
        <v>1</v>
      </c>
      <c r="L68">
        <f>3*Table1[HomeWin] +Table1[Draw]</f>
        <v>0</v>
      </c>
      <c r="M68">
        <f>3*Table1[HomeLoss]+Table1[Draw]</f>
        <v>3</v>
      </c>
      <c r="N68">
        <f>VLOOKUP(B68,TeamAttrs!$A$2:$C$20,3,FALSE)</f>
        <v>5</v>
      </c>
      <c r="O68">
        <f>VLOOKUP(G68,TeamAttrs!$A$2:$C$20,3,FALSE)</f>
        <v>8</v>
      </c>
      <c r="P68">
        <f t="shared" si="7"/>
        <v>3</v>
      </c>
      <c r="Q68">
        <f>VLOOKUP(B68,TeamAttrs!$A$2:$D$20,3,FALSE)</f>
        <v>5</v>
      </c>
      <c r="R68">
        <f>VLOOKUP(G68,TeamAttrs!$A$2:$D$20,3,FALSE)</f>
        <v>8</v>
      </c>
      <c r="S68">
        <f>RADIANS(VLOOKUP(Table1[[#This Row],[HomeTeam]],TeamAttrs!$A$2:$H$20,7, FALSE))</f>
        <v>0.69813170079773179</v>
      </c>
      <c r="T68">
        <f>RADIANS(VLOOKUP(Table1[[#This Row],[HomeTeam]],TeamAttrs!$A$2:$H$20, 8, FALSE))</f>
        <v>-1.4465864799182162</v>
      </c>
      <c r="U68">
        <f>RADIANS(VLOOKUP(Table1[[#This Row],[VisitorTeam]],TeamAttrs!$A$2:$H$20,7,FALSE))</f>
        <v>0.86015585124812133</v>
      </c>
      <c r="V68">
        <f>RADIANS(VLOOKUP(Table1[[#This Row],[VisitorTeam]], TeamAttrs!$A$2:$H$20,8,FALSE))</f>
        <v>-2.1487970151778586</v>
      </c>
      <c r="W68" s="5">
        <f>60*DEGREES(ACOS(SIN(Table1[[#This Row],[HomeLat]])*SIN(Table1[[#This Row],[VisitorLat]]) +COS(Table1[[#This Row],[HomeLat]])*COS(Table1[[#This Row],[VisitorLat]])*COS(ABS(Table1[[#This Row],[HomeLong]] -Table1[[#This Row],[VisitorLong]]))))</f>
        <v>1781.6597276188279</v>
      </c>
      <c r="X68" s="6">
        <f>VLOOKUP(Table1[[#This Row],[HomeTeam]],TeamAttrs!$A$2:$K$20,5,FALSE)</f>
        <v>3330000</v>
      </c>
      <c r="Y68" s="6">
        <f>VLOOKUP(Table1[[#This Row],[HomeTeam]],TeamAttrs!$A$2:$K$20,9,FALSE)</f>
        <v>14397</v>
      </c>
      <c r="Z68" s="6">
        <f>VLOOKUP(Table1[[#This Row],[HomeTeam]],TeamAttrs!$A$2:$K$20,10,FALSE)</f>
        <v>20145</v>
      </c>
      <c r="AA68" s="6">
        <f>VLOOKUP(Table1[[#This Row],[HomeTeam]],TeamAttrs!$A$2:$K$20,11,FALSE)</f>
        <v>0.71466865227103504</v>
      </c>
    </row>
    <row r="69" spans="1:27" x14ac:dyDescent="0.25">
      <c r="A69" s="1">
        <v>41027</v>
      </c>
      <c r="B69" t="s">
        <v>3</v>
      </c>
      <c r="C69" t="str">
        <f>VLOOKUP(Table1[[#This Row],[HomeTeam]], TeamAttrs!$A$2:$B$20,2,FALSE)</f>
        <v>DCU</v>
      </c>
      <c r="D69">
        <v>3</v>
      </c>
      <c r="E69">
        <v>2</v>
      </c>
      <c r="F69">
        <f>Table1[[#This Row],[HomeTeamScore]]-Table1[[#This Row],[VisitorScore]]</f>
        <v>1</v>
      </c>
      <c r="G69" t="s">
        <v>13</v>
      </c>
      <c r="H69" t="str">
        <f>VLOOKUP(Table1[[#This Row],[VisitorTeam]],TeamAttrs!$A$2:$B$20, 2, FALSE)</f>
        <v>Hou</v>
      </c>
      <c r="I69">
        <f t="shared" si="4"/>
        <v>1</v>
      </c>
      <c r="J69">
        <f t="shared" si="5"/>
        <v>0</v>
      </c>
      <c r="K69">
        <f t="shared" si="6"/>
        <v>0</v>
      </c>
      <c r="L69">
        <f>3*Table1[HomeWin] +Table1[Draw]</f>
        <v>3</v>
      </c>
      <c r="M69">
        <f>3*Table1[HomeLoss]+Table1[Draw]</f>
        <v>0</v>
      </c>
      <c r="N69">
        <f>VLOOKUP(B69,TeamAttrs!$A$2:$C$20,3,FALSE)</f>
        <v>5</v>
      </c>
      <c r="O69">
        <f>VLOOKUP(G69,TeamAttrs!$A$2:$C$20,3,FALSE)</f>
        <v>6</v>
      </c>
      <c r="P69">
        <f t="shared" si="7"/>
        <v>1</v>
      </c>
      <c r="Q69">
        <f>VLOOKUP(B69,TeamAttrs!$A$2:$D$20,3,FALSE)</f>
        <v>5</v>
      </c>
      <c r="R69">
        <f>VLOOKUP(G69,TeamAttrs!$A$2:$D$20,3,FALSE)</f>
        <v>6</v>
      </c>
      <c r="S69">
        <f>RADIANS(VLOOKUP(Table1[[#This Row],[HomeTeam]],TeamAttrs!$A$2:$H$20,7, FALSE))</f>
        <v>0.67806041439979703</v>
      </c>
      <c r="T69">
        <f>RADIANS(VLOOKUP(Table1[[#This Row],[HomeTeam]],TeamAttrs!$A$2:$H$20, 8, FALSE))</f>
        <v>-1.3444847186765478</v>
      </c>
      <c r="U69">
        <f>RADIANS(VLOOKUP(Table1[[#This Row],[VisitorTeam]],TeamAttrs!$A$2:$H$20,7,FALSE))</f>
        <v>0.52301758095738471</v>
      </c>
      <c r="V69">
        <f>RADIANS(VLOOKUP(Table1[[#This Row],[VisitorTeam]], TeamAttrs!$A$2:$H$20,8,FALSE))</f>
        <v>-1.6641714417765932</v>
      </c>
      <c r="W69" s="5">
        <f>60*DEGREES(ACOS(SIN(Table1[[#This Row],[HomeLat]])*SIN(Table1[[#This Row],[VisitorLat]]) +COS(Table1[[#This Row],[HomeLat]])*COS(Table1[[#This Row],[VisitorLat]])*COS(ABS(Table1[[#This Row],[HomeLong]] -Table1[[#This Row],[VisitorLong]]))))</f>
        <v>1048.8031611896665</v>
      </c>
      <c r="X69" s="6">
        <f>VLOOKUP(Table1[[#This Row],[HomeTeam]],TeamAttrs!$A$2:$K$20,5,FALSE)</f>
        <v>4190000.0000000005</v>
      </c>
      <c r="Y69" s="6">
        <f>VLOOKUP(Table1[[#This Row],[HomeTeam]],TeamAttrs!$A$2:$K$20,9,FALSE)</f>
        <v>13846</v>
      </c>
      <c r="Z69" s="6">
        <f>VLOOKUP(Table1[[#This Row],[HomeTeam]],TeamAttrs!$A$2:$K$20,10,FALSE)</f>
        <v>19467</v>
      </c>
      <c r="AA69" s="6">
        <f>VLOOKUP(Table1[[#This Row],[HomeTeam]],TeamAttrs!$A$2:$K$20,11,FALSE)</f>
        <v>0.71125494426465297</v>
      </c>
    </row>
    <row r="70" spans="1:27" x14ac:dyDescent="0.25">
      <c r="A70" s="1">
        <v>41027</v>
      </c>
      <c r="B70" t="s">
        <v>16</v>
      </c>
      <c r="C70" t="str">
        <f>VLOOKUP(Table1[[#This Row],[HomeTeam]], TeamAttrs!$A$2:$B$20,2,FALSE)</f>
        <v>LAGxy</v>
      </c>
      <c r="D70">
        <v>1</v>
      </c>
      <c r="E70">
        <v>1</v>
      </c>
      <c r="F70">
        <f>Table1[[#This Row],[HomeTeamScore]]-Table1[[#This Row],[VisitorScore]]</f>
        <v>0</v>
      </c>
      <c r="G70" t="s">
        <v>7</v>
      </c>
      <c r="H70" t="str">
        <f>VLOOKUP(Table1[[#This Row],[VisitorTeam]],TeamAttrs!$A$2:$B$20, 2, FALSE)</f>
        <v>FCDal</v>
      </c>
      <c r="I70">
        <f t="shared" si="4"/>
        <v>0</v>
      </c>
      <c r="J70">
        <f t="shared" si="5"/>
        <v>1</v>
      </c>
      <c r="K70">
        <f t="shared" si="6"/>
        <v>0</v>
      </c>
      <c r="L70">
        <f>3*Table1[HomeWin] +Table1[Draw]</f>
        <v>1</v>
      </c>
      <c r="M70">
        <f>3*Table1[HomeLoss]+Table1[Draw]</f>
        <v>1</v>
      </c>
      <c r="N70">
        <f>VLOOKUP(B70,TeamAttrs!$A$2:$C$20,3,FALSE)</f>
        <v>8</v>
      </c>
      <c r="O70">
        <f>VLOOKUP(G70,TeamAttrs!$A$2:$C$20,3,FALSE)</f>
        <v>6</v>
      </c>
      <c r="P70">
        <f t="shared" si="7"/>
        <v>-2</v>
      </c>
      <c r="Q70">
        <f>VLOOKUP(B70,TeamAttrs!$A$2:$D$20,3,FALSE)</f>
        <v>8</v>
      </c>
      <c r="R70">
        <f>VLOOKUP(G70,TeamAttrs!$A$2:$D$20,3,FALSE)</f>
        <v>6</v>
      </c>
      <c r="S70">
        <f>RADIANS(VLOOKUP(Table1[[#This Row],[HomeTeam]],TeamAttrs!$A$2:$H$20,7, FALSE))</f>
        <v>0.59224781106699187</v>
      </c>
      <c r="T70">
        <f>RADIANS(VLOOKUP(Table1[[#This Row],[HomeTeam]],TeamAttrs!$A$2:$H$20, 8, FALSE))</f>
        <v>-2.0664698343612864</v>
      </c>
      <c r="U70">
        <f>RADIANS(VLOOKUP(Table1[[#This Row],[VisitorTeam]],TeamAttrs!$A$2:$H$20,7,FALSE))</f>
        <v>0.57334065928013733</v>
      </c>
      <c r="V70">
        <f>RADIANS(VLOOKUP(Table1[[#This Row],[VisitorTeam]], TeamAttrs!$A$2:$H$20,8,FALSE))</f>
        <v>-1.690351380556508</v>
      </c>
      <c r="W70" s="5">
        <f>60*DEGREES(ACOS(SIN(Table1[[#This Row],[HomeLat]])*SIN(Table1[[#This Row],[VisitorLat]]) +COS(Table1[[#This Row],[HomeLat]])*COS(Table1[[#This Row],[VisitorLat]])*COS(ABS(Table1[[#This Row],[HomeLong]] -Table1[[#This Row],[VisitorLong]]))))</f>
        <v>1079.5378040042574</v>
      </c>
      <c r="X70" s="6">
        <f>VLOOKUP(Table1[[#This Row],[HomeTeam]],TeamAttrs!$A$2:$K$20,5,FALSE)</f>
        <v>12630000</v>
      </c>
      <c r="Y70" s="6">
        <f>VLOOKUP(Table1[[#This Row],[HomeTeam]],TeamAttrs!$A$2:$K$20,9,FALSE)</f>
        <v>23136</v>
      </c>
      <c r="Z70" s="6">
        <f>VLOOKUP(Table1[[#This Row],[HomeTeam]],TeamAttrs!$A$2:$K$20,10,FALSE)</f>
        <v>27000</v>
      </c>
      <c r="AA70" s="6">
        <f>VLOOKUP(Table1[[#This Row],[HomeTeam]],TeamAttrs!$A$2:$K$20,11,FALSE)</f>
        <v>0.85688888888888892</v>
      </c>
    </row>
    <row r="71" spans="1:27" x14ac:dyDescent="0.25">
      <c r="A71" s="1">
        <v>41027</v>
      </c>
      <c r="B71" t="s">
        <v>1</v>
      </c>
      <c r="C71" t="str">
        <f>VLOOKUP(Table1[[#This Row],[HomeTeam]], TeamAttrs!$A$2:$B$20,2,FALSE)</f>
        <v>Mntrl</v>
      </c>
      <c r="D71">
        <v>2</v>
      </c>
      <c r="E71">
        <v>0</v>
      </c>
      <c r="F71">
        <f>Table1[[#This Row],[HomeTeamScore]]-Table1[[#This Row],[VisitorScore]]</f>
        <v>2</v>
      </c>
      <c r="G71" t="s">
        <v>12</v>
      </c>
      <c r="H71" t="str">
        <f>VLOOKUP(Table1[[#This Row],[VisitorTeam]],TeamAttrs!$A$2:$B$20, 2, FALSE)</f>
        <v>Port</v>
      </c>
      <c r="I71">
        <f t="shared" si="4"/>
        <v>1</v>
      </c>
      <c r="J71">
        <f t="shared" si="5"/>
        <v>0</v>
      </c>
      <c r="K71">
        <f t="shared" si="6"/>
        <v>0</v>
      </c>
      <c r="L71">
        <f>3*Table1[HomeWin] +Table1[Draw]</f>
        <v>3</v>
      </c>
      <c r="M71">
        <f>3*Table1[HomeLoss]+Table1[Draw]</f>
        <v>0</v>
      </c>
      <c r="N71">
        <f>VLOOKUP(B71,TeamAttrs!$A$2:$C$20,3,FALSE)</f>
        <v>5</v>
      </c>
      <c r="O71">
        <f>VLOOKUP(G71,TeamAttrs!$A$2:$C$20,3,FALSE)</f>
        <v>8</v>
      </c>
      <c r="P71">
        <f t="shared" si="7"/>
        <v>3</v>
      </c>
      <c r="Q71">
        <f>VLOOKUP(B71,TeamAttrs!$A$2:$D$20,3,FALSE)</f>
        <v>5</v>
      </c>
      <c r="R71">
        <f>VLOOKUP(G71,TeamAttrs!$A$2:$D$20,3,FALSE)</f>
        <v>8</v>
      </c>
      <c r="S71">
        <f>RADIANS(VLOOKUP(Table1[[#This Row],[HomeTeam]],TeamAttrs!$A$2:$H$20,7, FALSE))</f>
        <v>0.79354361501650583</v>
      </c>
      <c r="T71">
        <f>RADIANS(VLOOKUP(Table1[[#This Row],[HomeTeam]],TeamAttrs!$A$2:$H$20, 8, FALSE))</f>
        <v>-1.2871803233458181</v>
      </c>
      <c r="U71">
        <f>RADIANS(VLOOKUP(Table1[[#This Row],[VisitorTeam]],TeamAttrs!$A$2:$H$20,7,FALSE))</f>
        <v>0.79587013890941427</v>
      </c>
      <c r="V71">
        <f>RADIANS(VLOOKUP(Table1[[#This Row],[VisitorTeam]], TeamAttrs!$A$2:$H$20,8,FALSE))</f>
        <v>-2.1397736629450481</v>
      </c>
      <c r="W71" s="5">
        <f>60*DEGREES(ACOS(SIN(Table1[[#This Row],[HomeLat]])*SIN(Table1[[#This Row],[VisitorLat]]) +COS(Table1[[#This Row],[HomeLat]])*COS(Table1[[#This Row],[VisitorLat]])*COS(ABS(Table1[[#This Row],[HomeLong]] -Table1[[#This Row],[VisitorLong]]))))</f>
        <v>2020.493729873547</v>
      </c>
      <c r="X71" s="6">
        <f>VLOOKUP(Table1[[#This Row],[HomeTeam]],TeamAttrs!$A$2:$K$20,5,FALSE)</f>
        <v>3030000</v>
      </c>
      <c r="Y71" s="6">
        <f>VLOOKUP(Table1[[#This Row],[HomeTeam]],TeamAttrs!$A$2:$K$20,9,FALSE)</f>
        <v>22772</v>
      </c>
      <c r="Z71" s="6">
        <f>VLOOKUP(Table1[[#This Row],[HomeTeam]],TeamAttrs!$A$2:$K$20,10,FALSE)</f>
        <v>20341</v>
      </c>
      <c r="AA71" s="6">
        <f>VLOOKUP(Table1[[#This Row],[HomeTeam]],TeamAttrs!$A$2:$K$20,11,FALSE)</f>
        <v>1.1195123150287596</v>
      </c>
    </row>
    <row r="72" spans="1:27" x14ac:dyDescent="0.25">
      <c r="A72" s="1">
        <v>41027</v>
      </c>
      <c r="B72" t="s">
        <v>15</v>
      </c>
      <c r="C72" t="str">
        <f>VLOOKUP(Table1[[#This Row],[HomeTeam]], TeamAttrs!$A$2:$B$20,2,FALSE)</f>
        <v>NY</v>
      </c>
      <c r="D72">
        <v>1</v>
      </c>
      <c r="E72">
        <v>0</v>
      </c>
      <c r="F72">
        <f>Table1[[#This Row],[HomeTeamScore]]-Table1[[#This Row],[VisitorScore]]</f>
        <v>1</v>
      </c>
      <c r="G72" t="s">
        <v>9</v>
      </c>
      <c r="H72" t="str">
        <f>VLOOKUP(Table1[[#This Row],[VisitorTeam]],TeamAttrs!$A$2:$B$20, 2, FALSE)</f>
        <v>NE</v>
      </c>
      <c r="I72">
        <f t="shared" si="4"/>
        <v>1</v>
      </c>
      <c r="J72">
        <f t="shared" si="5"/>
        <v>0</v>
      </c>
      <c r="K72">
        <f t="shared" si="6"/>
        <v>0</v>
      </c>
      <c r="L72">
        <f>3*Table1[HomeWin] +Table1[Draw]</f>
        <v>3</v>
      </c>
      <c r="M72">
        <f>3*Table1[HomeLoss]+Table1[Draw]</f>
        <v>0</v>
      </c>
      <c r="N72">
        <f>VLOOKUP(B72,TeamAttrs!$A$2:$C$20,3,FALSE)</f>
        <v>5</v>
      </c>
      <c r="O72">
        <f>VLOOKUP(G72,TeamAttrs!$A$2:$C$20,3,FALSE)</f>
        <v>5</v>
      </c>
      <c r="P72">
        <f t="shared" si="7"/>
        <v>0</v>
      </c>
      <c r="Q72">
        <f>VLOOKUP(B72,TeamAttrs!$A$2:$D$20,3,FALSE)</f>
        <v>5</v>
      </c>
      <c r="R72">
        <f>VLOOKUP(G72,TeamAttrs!$A$2:$D$20,3,FALSE)</f>
        <v>5</v>
      </c>
      <c r="S72">
        <f>RADIANS(VLOOKUP(Table1[[#This Row],[HomeTeam]],TeamAttrs!$A$2:$H$20,7, FALSE))</f>
        <v>0.71180286482860333</v>
      </c>
      <c r="T72">
        <f>RADIANS(VLOOKUP(Table1[[#This Row],[HomeTeam]],TeamAttrs!$A$2:$H$20, 8, FALSE))</f>
        <v>-1.2909624518348899</v>
      </c>
      <c r="U72">
        <f>RADIANS(VLOOKUP(Table1[[#This Row],[VisitorTeam]],TeamAttrs!$A$2:$H$20,7,FALSE))</f>
        <v>0.73943840820468165</v>
      </c>
      <c r="V72">
        <f>RADIANS(VLOOKUP(Table1[[#This Row],[VisitorTeam]], TeamAttrs!$A$2:$H$20,8,FALSE))</f>
        <v>-1.2397649635568881</v>
      </c>
      <c r="W72" s="5">
        <f>60*DEGREES(ACOS(SIN(Table1[[#This Row],[HomeLat]])*SIN(Table1[[#This Row],[VisitorLat]]) +COS(Table1[[#This Row],[HomeLat]])*COS(Table1[[#This Row],[VisitorLat]])*COS(ABS(Table1[[#This Row],[HomeLong]] -Table1[[#This Row],[VisitorLong]]))))</f>
        <v>162.34664432106447</v>
      </c>
      <c r="X72" s="6">
        <f>VLOOKUP(Table1[[#This Row],[HomeTeam]],TeamAttrs!$A$2:$K$20,5,FALSE)</f>
        <v>12960000</v>
      </c>
      <c r="Y72" s="6">
        <f>VLOOKUP(Table1[[#This Row],[HomeTeam]],TeamAttrs!$A$2:$K$20,9,FALSE)</f>
        <v>18281</v>
      </c>
      <c r="Z72" s="6">
        <f>VLOOKUP(Table1[[#This Row],[HomeTeam]],TeamAttrs!$A$2:$K$20,10,FALSE)</f>
        <v>25000</v>
      </c>
      <c r="AA72" s="6">
        <f>VLOOKUP(Table1[[#This Row],[HomeTeam]],TeamAttrs!$A$2:$K$20,11,FALSE)</f>
        <v>0.73124</v>
      </c>
    </row>
    <row r="73" spans="1:27" x14ac:dyDescent="0.25">
      <c r="A73" s="1">
        <v>41027</v>
      </c>
      <c r="B73" t="s">
        <v>4</v>
      </c>
      <c r="C73" t="str">
        <f>VLOOKUP(Table1[[#This Row],[HomeTeam]], TeamAttrs!$A$2:$B$20,2,FALSE)</f>
        <v>Phil</v>
      </c>
      <c r="D73">
        <v>1</v>
      </c>
      <c r="E73">
        <v>2</v>
      </c>
      <c r="F73">
        <f>Table1[[#This Row],[HomeTeamScore]]-Table1[[#This Row],[VisitorScore]]</f>
        <v>-1</v>
      </c>
      <c r="G73" t="s">
        <v>5</v>
      </c>
      <c r="H73" t="str">
        <f>VLOOKUP(Table1[[#This Row],[VisitorTeam]],TeamAttrs!$A$2:$B$20, 2, FALSE)</f>
        <v>SJE</v>
      </c>
      <c r="I73">
        <f t="shared" si="4"/>
        <v>0</v>
      </c>
      <c r="J73">
        <f t="shared" si="5"/>
        <v>0</v>
      </c>
      <c r="K73">
        <f t="shared" si="6"/>
        <v>1</v>
      </c>
      <c r="L73">
        <f>3*Table1[HomeWin] +Table1[Draw]</f>
        <v>0</v>
      </c>
      <c r="M73">
        <f>3*Table1[HomeLoss]+Table1[Draw]</f>
        <v>3</v>
      </c>
      <c r="N73">
        <f>VLOOKUP(B73,TeamAttrs!$A$2:$C$20,3,FALSE)</f>
        <v>5</v>
      </c>
      <c r="O73">
        <f>VLOOKUP(G73,TeamAttrs!$A$2:$C$20,3,FALSE)</f>
        <v>8</v>
      </c>
      <c r="P73">
        <f t="shared" si="7"/>
        <v>3</v>
      </c>
      <c r="Q73">
        <f>VLOOKUP(B73,TeamAttrs!$A$2:$D$20,3,FALSE)</f>
        <v>5</v>
      </c>
      <c r="R73">
        <f>VLOOKUP(G73,TeamAttrs!$A$2:$D$20,3,FALSE)</f>
        <v>8</v>
      </c>
      <c r="S73">
        <f>RADIANS(VLOOKUP(Table1[[#This Row],[HomeTeam]],TeamAttrs!$A$2:$H$20,7, FALSE))</f>
        <v>0.69609490156065446</v>
      </c>
      <c r="T73">
        <f>RADIANS(VLOOKUP(Table1[[#This Row],[HomeTeam]],TeamAttrs!$A$2:$H$20, 8, FALSE))</f>
        <v>-1.313360262125733</v>
      </c>
      <c r="U73">
        <f>RADIANS(VLOOKUP(Table1[[#This Row],[VisitorTeam]],TeamAttrs!$A$2:$H$20,7,FALSE))</f>
        <v>0.65217194560496516</v>
      </c>
      <c r="V73">
        <f>RADIANS(VLOOKUP(Table1[[#This Row],[VisitorTeam]], TeamAttrs!$A$2:$H$20,8,FALSE))</f>
        <v>-2.1281323168342459</v>
      </c>
      <c r="W73" s="5">
        <f>60*DEGREES(ACOS(SIN(Table1[[#This Row],[HomeLat]])*SIN(Table1[[#This Row],[VisitorLat]]) +COS(Table1[[#This Row],[HomeLat]])*COS(Table1[[#This Row],[VisitorLat]])*COS(ABS(Table1[[#This Row],[HomeLong]] -Table1[[#This Row],[VisitorLong]]))))</f>
        <v>2168.5165398471008</v>
      </c>
      <c r="X73" s="6">
        <f>VLOOKUP(Table1[[#This Row],[HomeTeam]],TeamAttrs!$A$2:$K$20,5,FALSE)</f>
        <v>3620000</v>
      </c>
      <c r="Y73" s="6">
        <f>VLOOKUP(Table1[[#This Row],[HomeTeam]],TeamAttrs!$A$2:$K$20,9,FALSE)</f>
        <v>18053</v>
      </c>
      <c r="Z73" s="6">
        <f>VLOOKUP(Table1[[#This Row],[HomeTeam]],TeamAttrs!$A$2:$K$20,10,FALSE)</f>
        <v>18500</v>
      </c>
      <c r="AA73" s="6">
        <f>VLOOKUP(Table1[[#This Row],[HomeTeam]],TeamAttrs!$A$2:$K$20,11,FALSE)</f>
        <v>0.97583783783783784</v>
      </c>
    </row>
    <row r="74" spans="1:27" x14ac:dyDescent="0.25">
      <c r="A74" s="1">
        <v>41027</v>
      </c>
      <c r="B74" t="s">
        <v>18</v>
      </c>
      <c r="C74" t="str">
        <f>VLOOKUP(Table1[[#This Row],[HomeTeam]], TeamAttrs!$A$2:$B$20,2,FALSE)</f>
        <v>RSL</v>
      </c>
      <c r="D74">
        <v>3</v>
      </c>
      <c r="E74">
        <v>2</v>
      </c>
      <c r="F74">
        <f>Table1[[#This Row],[HomeTeamScore]]-Table1[[#This Row],[VisitorScore]]</f>
        <v>1</v>
      </c>
      <c r="G74" t="s">
        <v>10</v>
      </c>
      <c r="H74" t="str">
        <f>VLOOKUP(Table1[[#This Row],[VisitorTeam]],TeamAttrs!$A$2:$B$20, 2, FALSE)</f>
        <v>Tor</v>
      </c>
      <c r="I74">
        <f t="shared" si="4"/>
        <v>1</v>
      </c>
      <c r="J74">
        <f t="shared" si="5"/>
        <v>0</v>
      </c>
      <c r="K74">
        <f t="shared" si="6"/>
        <v>0</v>
      </c>
      <c r="L74">
        <f>3*Table1[HomeWin] +Table1[Draw]</f>
        <v>3</v>
      </c>
      <c r="M74">
        <f>3*Table1[HomeLoss]+Table1[Draw]</f>
        <v>0</v>
      </c>
      <c r="N74">
        <f>VLOOKUP(B74,TeamAttrs!$A$2:$C$20,3,FALSE)</f>
        <v>7</v>
      </c>
      <c r="O74">
        <f>VLOOKUP(G74,TeamAttrs!$A$2:$C$20,3,FALSE)</f>
        <v>5</v>
      </c>
      <c r="P74">
        <f t="shared" si="7"/>
        <v>-2</v>
      </c>
      <c r="Q74">
        <f>VLOOKUP(B74,TeamAttrs!$A$2:$D$20,3,FALSE)</f>
        <v>7</v>
      </c>
      <c r="R74">
        <f>VLOOKUP(G74,TeamAttrs!$A$2:$D$20,3,FALSE)</f>
        <v>5</v>
      </c>
      <c r="S74">
        <f>RADIANS(VLOOKUP(Table1[[#This Row],[HomeTeam]],TeamAttrs!$A$2:$H$20,7, FALSE))</f>
        <v>0.71151314017277234</v>
      </c>
      <c r="T74">
        <f>RADIANS(VLOOKUP(Table1[[#This Row],[HomeTeam]],TeamAttrs!$A$2:$H$20, 8, FALSE))</f>
        <v>-1.954192803580491</v>
      </c>
      <c r="U74">
        <f>RADIANS(VLOOKUP(Table1[[#This Row],[VisitorTeam]],TeamAttrs!$A$2:$H$20,7,FALSE))</f>
        <v>0.76241741313643896</v>
      </c>
      <c r="V74">
        <f>RADIANS(VLOOKUP(Table1[[#This Row],[VisitorTeam]], TeamAttrs!$A$2:$H$20,8,FALSE))</f>
        <v>-1.3898632792284005</v>
      </c>
      <c r="W74" s="5">
        <f>60*DEGREES(ACOS(SIN(Table1[[#This Row],[HomeLat]])*SIN(Table1[[#This Row],[VisitorLat]]) +COS(Table1[[#This Row],[HomeLat]])*COS(Table1[[#This Row],[VisitorLat]])*COS(ABS(Table1[[#This Row],[HomeLong]] -Table1[[#This Row],[VisitorLong]]))))</f>
        <v>1438.0089923184316</v>
      </c>
      <c r="X74" s="6">
        <f>VLOOKUP(Table1[[#This Row],[HomeTeam]],TeamAttrs!$A$2:$K$20,5,FALSE)</f>
        <v>3520000</v>
      </c>
      <c r="Y74" s="6">
        <f>VLOOKUP(Table1[[#This Row],[HomeTeam]],TeamAttrs!$A$2:$K$20,9,FALSE)</f>
        <v>19087</v>
      </c>
      <c r="Z74" s="6">
        <f>VLOOKUP(Table1[[#This Row],[HomeTeam]],TeamAttrs!$A$2:$K$20,10,FALSE)</f>
        <v>20213</v>
      </c>
      <c r="AA74" s="6">
        <f>VLOOKUP(Table1[[#This Row],[HomeTeam]],TeamAttrs!$A$2:$K$20,11,FALSE)</f>
        <v>0.94429327660416562</v>
      </c>
    </row>
    <row r="75" spans="1:27" x14ac:dyDescent="0.25">
      <c r="A75" s="1">
        <v>41031</v>
      </c>
      <c r="B75" t="s">
        <v>1</v>
      </c>
      <c r="C75" t="str">
        <f>VLOOKUP(Table1[[#This Row],[HomeTeam]], TeamAttrs!$A$2:$B$20,2,FALSE)</f>
        <v>Mntrl</v>
      </c>
      <c r="D75">
        <v>0</v>
      </c>
      <c r="E75">
        <v>0</v>
      </c>
      <c r="F75">
        <f>Table1[[#This Row],[HomeTeamScore]]-Table1[[#This Row],[VisitorScore]]</f>
        <v>0</v>
      </c>
      <c r="G75" t="s">
        <v>10</v>
      </c>
      <c r="H75" t="str">
        <f>VLOOKUP(Table1[[#This Row],[VisitorTeam]],TeamAttrs!$A$2:$B$20, 2, FALSE)</f>
        <v>Tor</v>
      </c>
      <c r="I75">
        <f t="shared" si="4"/>
        <v>0</v>
      </c>
      <c r="J75">
        <f t="shared" si="5"/>
        <v>1</v>
      </c>
      <c r="K75">
        <f t="shared" si="6"/>
        <v>0</v>
      </c>
      <c r="L75">
        <f>3*Table1[HomeWin] +Table1[Draw]</f>
        <v>1</v>
      </c>
      <c r="M75">
        <f>3*Table1[HomeLoss]+Table1[Draw]</f>
        <v>1</v>
      </c>
      <c r="N75">
        <f>VLOOKUP(B75,TeamAttrs!$A$2:$C$20,3,FALSE)</f>
        <v>5</v>
      </c>
      <c r="O75">
        <f>VLOOKUP(G75,TeamAttrs!$A$2:$C$20,3,FALSE)</f>
        <v>5</v>
      </c>
      <c r="P75">
        <f t="shared" si="7"/>
        <v>0</v>
      </c>
      <c r="Q75">
        <f>VLOOKUP(B75,TeamAttrs!$A$2:$D$20,3,FALSE)</f>
        <v>5</v>
      </c>
      <c r="R75">
        <f>VLOOKUP(G75,TeamAttrs!$A$2:$D$20,3,FALSE)</f>
        <v>5</v>
      </c>
      <c r="S75">
        <f>RADIANS(VLOOKUP(Table1[[#This Row],[HomeTeam]],TeamAttrs!$A$2:$H$20,7, FALSE))</f>
        <v>0.79354361501650583</v>
      </c>
      <c r="T75">
        <f>RADIANS(VLOOKUP(Table1[[#This Row],[HomeTeam]],TeamAttrs!$A$2:$H$20, 8, FALSE))</f>
        <v>-1.2871803233458181</v>
      </c>
      <c r="U75">
        <f>RADIANS(VLOOKUP(Table1[[#This Row],[VisitorTeam]],TeamAttrs!$A$2:$H$20,7,FALSE))</f>
        <v>0.76241741313643896</v>
      </c>
      <c r="V75">
        <f>RADIANS(VLOOKUP(Table1[[#This Row],[VisitorTeam]], TeamAttrs!$A$2:$H$20,8,FALSE))</f>
        <v>-1.3898632792284005</v>
      </c>
      <c r="W75" s="5">
        <f>60*DEGREES(ACOS(SIN(Table1[[#This Row],[HomeLat]])*SIN(Table1[[#This Row],[VisitorLat]]) +COS(Table1[[#This Row],[HomeLat]])*COS(Table1[[#This Row],[VisitorLat]])*COS(ABS(Table1[[#This Row],[HomeLong]] -Table1[[#This Row],[VisitorLong]]))))</f>
        <v>273.1859527045325</v>
      </c>
      <c r="X75" s="6">
        <f>VLOOKUP(Table1[[#This Row],[HomeTeam]],TeamAttrs!$A$2:$K$20,5,FALSE)</f>
        <v>3030000</v>
      </c>
      <c r="Y75" s="6">
        <f>VLOOKUP(Table1[[#This Row],[HomeTeam]],TeamAttrs!$A$2:$K$20,9,FALSE)</f>
        <v>22772</v>
      </c>
      <c r="Z75" s="6">
        <f>VLOOKUP(Table1[[#This Row],[HomeTeam]],TeamAttrs!$A$2:$K$20,10,FALSE)</f>
        <v>20341</v>
      </c>
      <c r="AA75" s="6">
        <f>VLOOKUP(Table1[[#This Row],[HomeTeam]],TeamAttrs!$A$2:$K$20,11,FALSE)</f>
        <v>1.1195123150287596</v>
      </c>
    </row>
    <row r="76" spans="1:27" x14ac:dyDescent="0.25">
      <c r="A76" s="1">
        <v>41031</v>
      </c>
      <c r="B76" t="s">
        <v>9</v>
      </c>
      <c r="C76" t="str">
        <f>VLOOKUP(Table1[[#This Row],[HomeTeam]], TeamAttrs!$A$2:$B$20,2,FALSE)</f>
        <v>NE</v>
      </c>
      <c r="D76">
        <v>2</v>
      </c>
      <c r="E76">
        <v>1</v>
      </c>
      <c r="F76">
        <f>Table1[[#This Row],[HomeTeamScore]]-Table1[[#This Row],[VisitorScore]]</f>
        <v>1</v>
      </c>
      <c r="G76" t="s">
        <v>14</v>
      </c>
      <c r="H76" t="str">
        <f>VLOOKUP(Table1[[#This Row],[VisitorTeam]],TeamAttrs!$A$2:$B$20, 2, FALSE)</f>
        <v>ColRa</v>
      </c>
      <c r="I76">
        <f t="shared" si="4"/>
        <v>1</v>
      </c>
      <c r="J76">
        <f t="shared" si="5"/>
        <v>0</v>
      </c>
      <c r="K76">
        <f t="shared" si="6"/>
        <v>0</v>
      </c>
      <c r="L76">
        <f>3*Table1[HomeWin] +Table1[Draw]</f>
        <v>3</v>
      </c>
      <c r="M76">
        <f>3*Table1[HomeLoss]+Table1[Draw]</f>
        <v>0</v>
      </c>
      <c r="N76">
        <f>VLOOKUP(B76,TeamAttrs!$A$2:$C$20,3,FALSE)</f>
        <v>5</v>
      </c>
      <c r="O76">
        <f>VLOOKUP(G76,TeamAttrs!$A$2:$C$20,3,FALSE)</f>
        <v>7</v>
      </c>
      <c r="P76">
        <f t="shared" si="7"/>
        <v>2</v>
      </c>
      <c r="Q76">
        <f>VLOOKUP(B76,TeamAttrs!$A$2:$D$20,3,FALSE)</f>
        <v>5</v>
      </c>
      <c r="R76">
        <f>VLOOKUP(G76,TeamAttrs!$A$2:$D$20,3,FALSE)</f>
        <v>7</v>
      </c>
      <c r="S76">
        <f>RADIANS(VLOOKUP(Table1[[#This Row],[HomeTeam]],TeamAttrs!$A$2:$H$20,7, FALSE))</f>
        <v>0.73943840820468165</v>
      </c>
      <c r="T76">
        <f>RADIANS(VLOOKUP(Table1[[#This Row],[HomeTeam]],TeamAttrs!$A$2:$H$20, 8, FALSE))</f>
        <v>-1.2397649635568881</v>
      </c>
      <c r="U76">
        <f>RADIANS(VLOOKUP(Table1[[#This Row],[VisitorTeam]],TeamAttrs!$A$2:$H$20,7,FALSE))</f>
        <v>0.69376837766774602</v>
      </c>
      <c r="V76">
        <f>RADIANS(VLOOKUP(Table1[[#This Row],[VisitorTeam]], TeamAttrs!$A$2:$H$20,8,FALSE))</f>
        <v>-1.8302744266888937</v>
      </c>
      <c r="W76" s="5">
        <f>60*DEGREES(ACOS(SIN(Table1[[#This Row],[HomeLat]])*SIN(Table1[[#This Row],[VisitorLat]]) +COS(Table1[[#This Row],[HomeLat]])*COS(Table1[[#This Row],[VisitorLat]])*COS(ABS(Table1[[#This Row],[HomeLong]] -Table1[[#This Row],[VisitorLong]]))))</f>
        <v>1528.5964781576856</v>
      </c>
      <c r="X76" s="6">
        <f>VLOOKUP(Table1[[#This Row],[HomeTeam]],TeamAttrs!$A$2:$K$20,5,FALSE)</f>
        <v>3260000</v>
      </c>
      <c r="Y76" s="6">
        <f>VLOOKUP(Table1[[#This Row],[HomeTeam]],TeamAttrs!$A$2:$K$20,9,FALSE)</f>
        <v>14001</v>
      </c>
      <c r="Z76" s="6">
        <f>VLOOKUP(Table1[[#This Row],[HomeTeam]],TeamAttrs!$A$2:$K$20,10,FALSE)</f>
        <v>20000</v>
      </c>
      <c r="AA76" s="6">
        <f>VLOOKUP(Table1[[#This Row],[HomeTeam]],TeamAttrs!$A$2:$K$20,11,FALSE)</f>
        <v>0.70004999999999995</v>
      </c>
    </row>
    <row r="77" spans="1:27" x14ac:dyDescent="0.25">
      <c r="A77" s="1">
        <v>41031</v>
      </c>
      <c r="B77" t="s">
        <v>5</v>
      </c>
      <c r="C77" t="str">
        <f>VLOOKUP(Table1[[#This Row],[HomeTeam]], TeamAttrs!$A$2:$B$20,2,FALSE)</f>
        <v>SJE</v>
      </c>
      <c r="D77">
        <v>5</v>
      </c>
      <c r="E77">
        <v>3</v>
      </c>
      <c r="F77">
        <f>Table1[[#This Row],[HomeTeamScore]]-Table1[[#This Row],[VisitorScore]]</f>
        <v>2</v>
      </c>
      <c r="G77" t="s">
        <v>3</v>
      </c>
      <c r="H77" t="str">
        <f>VLOOKUP(Table1[[#This Row],[VisitorTeam]],TeamAttrs!$A$2:$B$20, 2, FALSE)</f>
        <v>DCU</v>
      </c>
      <c r="I77">
        <f t="shared" si="4"/>
        <v>1</v>
      </c>
      <c r="J77">
        <f t="shared" si="5"/>
        <v>0</v>
      </c>
      <c r="K77">
        <f t="shared" si="6"/>
        <v>0</v>
      </c>
      <c r="L77">
        <f>3*Table1[HomeWin] +Table1[Draw]</f>
        <v>3</v>
      </c>
      <c r="M77">
        <f>3*Table1[HomeLoss]+Table1[Draw]</f>
        <v>0</v>
      </c>
      <c r="N77">
        <f>VLOOKUP(B77,TeamAttrs!$A$2:$C$20,3,FALSE)</f>
        <v>8</v>
      </c>
      <c r="O77">
        <f>VLOOKUP(G77,TeamAttrs!$A$2:$C$20,3,FALSE)</f>
        <v>5</v>
      </c>
      <c r="P77">
        <f t="shared" si="7"/>
        <v>-3</v>
      </c>
      <c r="Q77">
        <f>VLOOKUP(B77,TeamAttrs!$A$2:$D$20,3,FALSE)</f>
        <v>8</v>
      </c>
      <c r="R77">
        <f>VLOOKUP(G77,TeamAttrs!$A$2:$D$20,3,FALSE)</f>
        <v>5</v>
      </c>
      <c r="S77">
        <f>RADIANS(VLOOKUP(Table1[[#This Row],[HomeTeam]],TeamAttrs!$A$2:$H$20,7, FALSE))</f>
        <v>0.65217194560496516</v>
      </c>
      <c r="T77">
        <f>RADIANS(VLOOKUP(Table1[[#This Row],[HomeTeam]],TeamAttrs!$A$2:$H$20, 8, FALSE))</f>
        <v>-2.1281323168342459</v>
      </c>
      <c r="U77">
        <f>RADIANS(VLOOKUP(Table1[[#This Row],[VisitorTeam]],TeamAttrs!$A$2:$H$20,7,FALSE))</f>
        <v>0.67806041439979703</v>
      </c>
      <c r="V77">
        <f>RADIANS(VLOOKUP(Table1[[#This Row],[VisitorTeam]], TeamAttrs!$A$2:$H$20,8,FALSE))</f>
        <v>-1.3444847186765478</v>
      </c>
      <c r="W77" s="5">
        <f>60*DEGREES(ACOS(SIN(Table1[[#This Row],[HomeLat]])*SIN(Table1[[#This Row],[VisitorLat]]) +COS(Table1[[#This Row],[HomeLat]])*COS(Table1[[#This Row],[VisitorLat]])*COS(ABS(Table1[[#This Row],[HomeLong]] -Table1[[#This Row],[VisitorLong]]))))</f>
        <v>2100.0607345181011</v>
      </c>
      <c r="X77" s="6">
        <f>VLOOKUP(Table1[[#This Row],[HomeTeam]],TeamAttrs!$A$2:$K$20,5,FALSE)</f>
        <v>3210000</v>
      </c>
      <c r="Y77" s="6">
        <f>VLOOKUP(Table1[[#This Row],[HomeTeam]],TeamAttrs!$A$2:$K$20,9,FALSE)</f>
        <v>13293</v>
      </c>
      <c r="Z77" s="6">
        <f>VLOOKUP(Table1[[#This Row],[HomeTeam]],TeamAttrs!$A$2:$K$20,10,FALSE)</f>
        <v>10525</v>
      </c>
      <c r="AA77" s="6">
        <f>VLOOKUP(Table1[[#This Row],[HomeTeam]],TeamAttrs!$A$2:$K$20,11,FALSE)</f>
        <v>1.2629928741092638</v>
      </c>
    </row>
    <row r="78" spans="1:27" x14ac:dyDescent="0.25">
      <c r="A78" s="1">
        <v>41031</v>
      </c>
      <c r="B78" t="s">
        <v>11</v>
      </c>
      <c r="C78" t="str">
        <f>VLOOKUP(Table1[[#This Row],[HomeTeam]], TeamAttrs!$A$2:$B$20,2,FALSE)</f>
        <v>SEA</v>
      </c>
      <c r="D78">
        <v>2</v>
      </c>
      <c r="E78">
        <v>0</v>
      </c>
      <c r="F78">
        <f>Table1[[#This Row],[HomeTeamScore]]-Table1[[#This Row],[VisitorScore]]</f>
        <v>2</v>
      </c>
      <c r="G78" t="s">
        <v>16</v>
      </c>
      <c r="H78" t="str">
        <f>VLOOKUP(Table1[[#This Row],[VisitorTeam]],TeamAttrs!$A$2:$B$20, 2, FALSE)</f>
        <v>LAGxy</v>
      </c>
      <c r="I78">
        <f t="shared" si="4"/>
        <v>1</v>
      </c>
      <c r="J78">
        <f t="shared" si="5"/>
        <v>0</v>
      </c>
      <c r="K78">
        <f t="shared" si="6"/>
        <v>0</v>
      </c>
      <c r="L78">
        <f>3*Table1[HomeWin] +Table1[Draw]</f>
        <v>3</v>
      </c>
      <c r="M78">
        <f>3*Table1[HomeLoss]+Table1[Draw]</f>
        <v>0</v>
      </c>
      <c r="N78">
        <f>VLOOKUP(B78,TeamAttrs!$A$2:$C$20,3,FALSE)</f>
        <v>8</v>
      </c>
      <c r="O78">
        <f>VLOOKUP(G78,TeamAttrs!$A$2:$C$20,3,FALSE)</f>
        <v>8</v>
      </c>
      <c r="P78">
        <f t="shared" si="7"/>
        <v>0</v>
      </c>
      <c r="Q78">
        <f>VLOOKUP(B78,TeamAttrs!$A$2:$D$20,3,FALSE)</f>
        <v>8</v>
      </c>
      <c r="R78">
        <f>VLOOKUP(G78,TeamAttrs!$A$2:$D$20,3,FALSE)</f>
        <v>8</v>
      </c>
      <c r="S78">
        <f>RADIANS(VLOOKUP(Table1[[#This Row],[HomeTeam]],TeamAttrs!$A$2:$H$20,7, FALSE))</f>
        <v>0.83164938857529802</v>
      </c>
      <c r="T78">
        <f>RADIANS(VLOOKUP(Table1[[#This Row],[HomeTeam]],TeamAttrs!$A$2:$H$20, 8, FALSE))</f>
        <v>-2.134537675189065</v>
      </c>
      <c r="U78">
        <f>RADIANS(VLOOKUP(Table1[[#This Row],[VisitorTeam]],TeamAttrs!$A$2:$H$20,7,FALSE))</f>
        <v>0.59224781106699187</v>
      </c>
      <c r="V78">
        <f>RADIANS(VLOOKUP(Table1[[#This Row],[VisitorTeam]], TeamAttrs!$A$2:$H$20,8,FALSE))</f>
        <v>-2.0664698343612864</v>
      </c>
      <c r="W78" s="5">
        <f>60*DEGREES(ACOS(SIN(Table1[[#This Row],[HomeLat]])*SIN(Table1[[#This Row],[VisitorLat]]) +COS(Table1[[#This Row],[HomeLat]])*COS(Table1[[#This Row],[VisitorLat]])*COS(ABS(Table1[[#This Row],[HomeLong]] -Table1[[#This Row],[VisitorLong]]))))</f>
        <v>841.56162088012809</v>
      </c>
      <c r="X78" s="6">
        <f>VLOOKUP(Table1[[#This Row],[HomeTeam]],TeamAttrs!$A$2:$K$20,5,FALSE)</f>
        <v>3980000</v>
      </c>
      <c r="Y78" s="6">
        <f>VLOOKUP(Table1[[#This Row],[HomeTeam]],TeamAttrs!$A$2:$K$20,9,FALSE)</f>
        <v>43104</v>
      </c>
      <c r="Z78" s="6">
        <f>VLOOKUP(Table1[[#This Row],[HomeTeam]],TeamAttrs!$A$2:$K$20,10,FALSE)</f>
        <v>38500</v>
      </c>
      <c r="AA78" s="6">
        <f>VLOOKUP(Table1[[#This Row],[HomeTeam]],TeamAttrs!$A$2:$K$20,11,FALSE)</f>
        <v>1.1195844155844157</v>
      </c>
    </row>
    <row r="79" spans="1:27" x14ac:dyDescent="0.25">
      <c r="A79" s="1">
        <v>41033</v>
      </c>
      <c r="B79" t="s">
        <v>2</v>
      </c>
      <c r="C79" t="str">
        <f>VLOOKUP(Table1[[#This Row],[HomeTeam]], TeamAttrs!$A$2:$B$20,2,FALSE)</f>
        <v>Chiv</v>
      </c>
      <c r="D79">
        <v>1</v>
      </c>
      <c r="E79">
        <v>2</v>
      </c>
      <c r="F79">
        <f>Table1[[#This Row],[HomeTeamScore]]-Table1[[#This Row],[VisitorScore]]</f>
        <v>-1</v>
      </c>
      <c r="G79" t="s">
        <v>17</v>
      </c>
      <c r="H79" t="str">
        <f>VLOOKUP(Table1[[#This Row],[VisitorTeam]],TeamAttrs!$A$2:$B$20, 2, FALSE)</f>
        <v>Chi</v>
      </c>
      <c r="I79">
        <f t="shared" si="4"/>
        <v>0</v>
      </c>
      <c r="J79">
        <f t="shared" si="5"/>
        <v>0</v>
      </c>
      <c r="K79">
        <f t="shared" si="6"/>
        <v>1</v>
      </c>
      <c r="L79">
        <f>3*Table1[HomeWin] +Table1[Draw]</f>
        <v>0</v>
      </c>
      <c r="M79">
        <f>3*Table1[HomeLoss]+Table1[Draw]</f>
        <v>3</v>
      </c>
      <c r="N79">
        <f>VLOOKUP(B79,TeamAttrs!$A$2:$C$20,3,FALSE)</f>
        <v>8</v>
      </c>
      <c r="O79">
        <f>VLOOKUP(G79,TeamAttrs!$A$2:$C$20,3,FALSE)</f>
        <v>6</v>
      </c>
      <c r="P79">
        <f t="shared" si="7"/>
        <v>-2</v>
      </c>
      <c r="Q79">
        <f>VLOOKUP(B79,TeamAttrs!$A$2:$D$20,3,FALSE)</f>
        <v>8</v>
      </c>
      <c r="R79">
        <f>VLOOKUP(G79,TeamAttrs!$A$2:$D$20,3,FALSE)</f>
        <v>6</v>
      </c>
      <c r="S79">
        <f>RADIANS(VLOOKUP(Table1[[#This Row],[HomeTeam]],TeamAttrs!$A$2:$H$20,7, FALSE))</f>
        <v>0.59224781106699187</v>
      </c>
      <c r="T79">
        <f>RADIANS(VLOOKUP(Table1[[#This Row],[HomeTeam]],TeamAttrs!$A$2:$H$20, 8, FALSE))</f>
        <v>-2.0664698343612864</v>
      </c>
      <c r="U79">
        <f>RADIANS(VLOOKUP(Table1[[#This Row],[VisitorTeam]],TeamAttrs!$A$2:$H$20,7,FALSE))</f>
        <v>0.72925615734854665</v>
      </c>
      <c r="V79">
        <f>RADIANS(VLOOKUP(Table1[[#This Row],[VisitorTeam]], TeamAttrs!$A$2:$H$20,8,FALSE))</f>
        <v>-1.5315264186250241</v>
      </c>
      <c r="W79" s="5">
        <f>60*DEGREES(ACOS(SIN(Table1[[#This Row],[HomeLat]])*SIN(Table1[[#This Row],[VisitorLat]]) +COS(Table1[[#This Row],[HomeLat]])*COS(Table1[[#This Row],[VisitorLat]])*COS(ABS(Table1[[#This Row],[HomeLong]] -Table1[[#This Row],[VisitorLong]]))))</f>
        <v>1517.0649107416111</v>
      </c>
      <c r="X79" s="6">
        <f>VLOOKUP(Table1[[#This Row],[HomeTeam]],TeamAttrs!$A$2:$K$20,5,FALSE)</f>
        <v>3230000</v>
      </c>
      <c r="Y79" s="6">
        <f>VLOOKUP(Table1[[#This Row],[HomeTeam]],TeamAttrs!$A$2:$K$20,9,FALSE)</f>
        <v>13056</v>
      </c>
      <c r="Z79" s="6">
        <f>VLOOKUP(Table1[[#This Row],[HomeTeam]],TeamAttrs!$A$2:$K$20,10,FALSE)</f>
        <v>18800</v>
      </c>
      <c r="AA79" s="6">
        <f>VLOOKUP(Table1[[#This Row],[HomeTeam]],TeamAttrs!$A$2:$K$20,11,FALSE)</f>
        <v>0.69446808510638303</v>
      </c>
    </row>
    <row r="80" spans="1:27" x14ac:dyDescent="0.25">
      <c r="A80" s="1">
        <v>41034</v>
      </c>
      <c r="B80" t="s">
        <v>16</v>
      </c>
      <c r="C80" t="str">
        <f>VLOOKUP(Table1[[#This Row],[HomeTeam]], TeamAttrs!$A$2:$B$20,2,FALSE)</f>
        <v>LAGxy</v>
      </c>
      <c r="D80">
        <v>0</v>
      </c>
      <c r="E80">
        <v>1</v>
      </c>
      <c r="F80">
        <f>Table1[[#This Row],[HomeTeamScore]]-Table1[[#This Row],[VisitorScore]]</f>
        <v>-1</v>
      </c>
      <c r="G80" t="s">
        <v>15</v>
      </c>
      <c r="H80" t="str">
        <f>VLOOKUP(Table1[[#This Row],[VisitorTeam]],TeamAttrs!$A$2:$B$20, 2, FALSE)</f>
        <v>NY</v>
      </c>
      <c r="I80">
        <f t="shared" si="4"/>
        <v>0</v>
      </c>
      <c r="J80">
        <f t="shared" si="5"/>
        <v>0</v>
      </c>
      <c r="K80">
        <f t="shared" si="6"/>
        <v>1</v>
      </c>
      <c r="L80">
        <f>3*Table1[HomeWin] +Table1[Draw]</f>
        <v>0</v>
      </c>
      <c r="M80">
        <f>3*Table1[HomeLoss]+Table1[Draw]</f>
        <v>3</v>
      </c>
      <c r="N80">
        <f>VLOOKUP(B80,TeamAttrs!$A$2:$C$20,3,FALSE)</f>
        <v>8</v>
      </c>
      <c r="O80">
        <f>VLOOKUP(G80,TeamAttrs!$A$2:$C$20,3,FALSE)</f>
        <v>5</v>
      </c>
      <c r="P80">
        <f t="shared" si="7"/>
        <v>-3</v>
      </c>
      <c r="Q80">
        <f>VLOOKUP(B80,TeamAttrs!$A$2:$D$20,3,FALSE)</f>
        <v>8</v>
      </c>
      <c r="R80">
        <f>VLOOKUP(G80,TeamAttrs!$A$2:$D$20,3,FALSE)</f>
        <v>5</v>
      </c>
      <c r="S80">
        <f>RADIANS(VLOOKUP(Table1[[#This Row],[HomeTeam]],TeamAttrs!$A$2:$H$20,7, FALSE))</f>
        <v>0.59224781106699187</v>
      </c>
      <c r="T80">
        <f>RADIANS(VLOOKUP(Table1[[#This Row],[HomeTeam]],TeamAttrs!$A$2:$H$20, 8, FALSE))</f>
        <v>-2.0664698343612864</v>
      </c>
      <c r="U80">
        <f>RADIANS(VLOOKUP(Table1[[#This Row],[VisitorTeam]],TeamAttrs!$A$2:$H$20,7,FALSE))</f>
        <v>0.71180286482860333</v>
      </c>
      <c r="V80">
        <f>RADIANS(VLOOKUP(Table1[[#This Row],[VisitorTeam]], TeamAttrs!$A$2:$H$20,8,FALSE))</f>
        <v>-1.2909624518348899</v>
      </c>
      <c r="W80" s="5">
        <f>60*DEGREES(ACOS(SIN(Table1[[#This Row],[HomeLat]])*SIN(Table1[[#This Row],[VisitorLat]]) +COS(Table1[[#This Row],[HomeLat]])*COS(Table1[[#This Row],[VisitorLat]])*COS(ABS(Table1[[#This Row],[HomeLong]] -Table1[[#This Row],[VisitorLong]]))))</f>
        <v>2135.2360974823359</v>
      </c>
      <c r="X80" s="6">
        <f>VLOOKUP(Table1[[#This Row],[HomeTeam]],TeamAttrs!$A$2:$K$20,5,FALSE)</f>
        <v>12630000</v>
      </c>
      <c r="Y80" s="6">
        <f>VLOOKUP(Table1[[#This Row],[HomeTeam]],TeamAttrs!$A$2:$K$20,9,FALSE)</f>
        <v>23136</v>
      </c>
      <c r="Z80" s="6">
        <f>VLOOKUP(Table1[[#This Row],[HomeTeam]],TeamAttrs!$A$2:$K$20,10,FALSE)</f>
        <v>27000</v>
      </c>
      <c r="AA80" s="6">
        <f>VLOOKUP(Table1[[#This Row],[HomeTeam]],TeamAttrs!$A$2:$K$20,11,FALSE)</f>
        <v>0.85688888888888892</v>
      </c>
    </row>
    <row r="81" spans="1:27" x14ac:dyDescent="0.25">
      <c r="A81" s="1">
        <v>41034</v>
      </c>
      <c r="B81" t="s">
        <v>12</v>
      </c>
      <c r="C81" t="str">
        <f>VLOOKUP(Table1[[#This Row],[HomeTeam]], TeamAttrs!$A$2:$B$20,2,FALSE)</f>
        <v>Port</v>
      </c>
      <c r="D81">
        <v>0</v>
      </c>
      <c r="E81">
        <v>0</v>
      </c>
      <c r="F81">
        <f>Table1[[#This Row],[HomeTeamScore]]-Table1[[#This Row],[VisitorScore]]</f>
        <v>0</v>
      </c>
      <c r="G81" t="s">
        <v>8</v>
      </c>
      <c r="H81" t="str">
        <f>VLOOKUP(Table1[[#This Row],[VisitorTeam]],TeamAttrs!$A$2:$B$20, 2, FALSE)</f>
        <v>Colum</v>
      </c>
      <c r="I81">
        <f t="shared" si="4"/>
        <v>0</v>
      </c>
      <c r="J81">
        <f t="shared" si="5"/>
        <v>1</v>
      </c>
      <c r="K81">
        <f t="shared" si="6"/>
        <v>0</v>
      </c>
      <c r="L81">
        <f>3*Table1[HomeWin] +Table1[Draw]</f>
        <v>1</v>
      </c>
      <c r="M81">
        <f>3*Table1[HomeLoss]+Table1[Draw]</f>
        <v>1</v>
      </c>
      <c r="N81">
        <f>VLOOKUP(B81,TeamAttrs!$A$2:$C$20,3,FALSE)</f>
        <v>8</v>
      </c>
      <c r="O81">
        <f>VLOOKUP(G81,TeamAttrs!$A$2:$C$20,3,FALSE)</f>
        <v>5</v>
      </c>
      <c r="P81">
        <f t="shared" si="7"/>
        <v>-3</v>
      </c>
      <c r="Q81">
        <f>VLOOKUP(B81,TeamAttrs!$A$2:$D$20,3,FALSE)</f>
        <v>8</v>
      </c>
      <c r="R81">
        <f>VLOOKUP(G81,TeamAttrs!$A$2:$D$20,3,FALSE)</f>
        <v>5</v>
      </c>
      <c r="S81">
        <f>RADIANS(VLOOKUP(Table1[[#This Row],[HomeTeam]],TeamAttrs!$A$2:$H$20,7, FALSE))</f>
        <v>0.79587013890941427</v>
      </c>
      <c r="T81">
        <f>RADIANS(VLOOKUP(Table1[[#This Row],[HomeTeam]],TeamAttrs!$A$2:$H$20, 8, FALSE))</f>
        <v>-2.1397736629450481</v>
      </c>
      <c r="U81">
        <f>RADIANS(VLOOKUP(Table1[[#This Row],[VisitorTeam]],TeamAttrs!$A$2:$H$20,7,FALSE))</f>
        <v>0.69813170079773179</v>
      </c>
      <c r="V81">
        <f>RADIANS(VLOOKUP(Table1[[#This Row],[VisitorTeam]], TeamAttrs!$A$2:$H$20,8,FALSE))</f>
        <v>-1.4465864799182162</v>
      </c>
      <c r="W81" s="5">
        <f>60*DEGREES(ACOS(SIN(Table1[[#This Row],[HomeLat]])*SIN(Table1[[#This Row],[VisitorLat]]) +COS(Table1[[#This Row],[HomeLat]])*COS(Table1[[#This Row],[VisitorLat]])*COS(ABS(Table1[[#This Row],[HomeLong]] -Table1[[#This Row],[VisitorLong]]))))</f>
        <v>1761.7709475045972</v>
      </c>
      <c r="X81" s="6">
        <f>VLOOKUP(Table1[[#This Row],[HomeTeam]],TeamAttrs!$A$2:$K$20,5,FALSE)</f>
        <v>4160000</v>
      </c>
      <c r="Y81" s="6">
        <f>VLOOKUP(Table1[[#This Row],[HomeTeam]],TeamAttrs!$A$2:$K$20,9,FALSE)</f>
        <v>20438</v>
      </c>
      <c r="Z81" s="6">
        <f>VLOOKUP(Table1[[#This Row],[HomeTeam]],TeamAttrs!$A$2:$K$20,10,FALSE)</f>
        <v>20438</v>
      </c>
      <c r="AA81" s="6">
        <f>VLOOKUP(Table1[[#This Row],[HomeTeam]],TeamAttrs!$A$2:$K$20,11,FALSE)</f>
        <v>1</v>
      </c>
    </row>
    <row r="82" spans="1:27" x14ac:dyDescent="0.25">
      <c r="A82" s="1">
        <v>41034</v>
      </c>
      <c r="B82" t="s">
        <v>18</v>
      </c>
      <c r="C82" t="str">
        <f>VLOOKUP(Table1[[#This Row],[HomeTeam]], TeamAttrs!$A$2:$B$20,2,FALSE)</f>
        <v>RSL</v>
      </c>
      <c r="D82">
        <v>2</v>
      </c>
      <c r="E82">
        <v>1</v>
      </c>
      <c r="F82">
        <f>Table1[[#This Row],[HomeTeamScore]]-Table1[[#This Row],[VisitorScore]]</f>
        <v>1</v>
      </c>
      <c r="G82" t="s">
        <v>9</v>
      </c>
      <c r="H82" t="str">
        <f>VLOOKUP(Table1[[#This Row],[VisitorTeam]],TeamAttrs!$A$2:$B$20, 2, FALSE)</f>
        <v>NE</v>
      </c>
      <c r="I82">
        <f t="shared" si="4"/>
        <v>1</v>
      </c>
      <c r="J82">
        <f t="shared" si="5"/>
        <v>0</v>
      </c>
      <c r="K82">
        <f t="shared" si="6"/>
        <v>0</v>
      </c>
      <c r="L82">
        <f>3*Table1[HomeWin] +Table1[Draw]</f>
        <v>3</v>
      </c>
      <c r="M82">
        <f>3*Table1[HomeLoss]+Table1[Draw]</f>
        <v>0</v>
      </c>
      <c r="N82">
        <f>VLOOKUP(B82,TeamAttrs!$A$2:$C$20,3,FALSE)</f>
        <v>7</v>
      </c>
      <c r="O82">
        <f>VLOOKUP(G82,TeamAttrs!$A$2:$C$20,3,FALSE)</f>
        <v>5</v>
      </c>
      <c r="P82">
        <f t="shared" si="7"/>
        <v>-2</v>
      </c>
      <c r="Q82">
        <f>VLOOKUP(B82,TeamAttrs!$A$2:$D$20,3,FALSE)</f>
        <v>7</v>
      </c>
      <c r="R82">
        <f>VLOOKUP(G82,TeamAttrs!$A$2:$D$20,3,FALSE)</f>
        <v>5</v>
      </c>
      <c r="S82">
        <f>RADIANS(VLOOKUP(Table1[[#This Row],[HomeTeam]],TeamAttrs!$A$2:$H$20,7, FALSE))</f>
        <v>0.71151314017277234</v>
      </c>
      <c r="T82">
        <f>RADIANS(VLOOKUP(Table1[[#This Row],[HomeTeam]],TeamAttrs!$A$2:$H$20, 8, FALSE))</f>
        <v>-1.954192803580491</v>
      </c>
      <c r="U82">
        <f>RADIANS(VLOOKUP(Table1[[#This Row],[VisitorTeam]],TeamAttrs!$A$2:$H$20,7,FALSE))</f>
        <v>0.73943840820468165</v>
      </c>
      <c r="V82">
        <f>RADIANS(VLOOKUP(Table1[[#This Row],[VisitorTeam]], TeamAttrs!$A$2:$H$20,8,FALSE))</f>
        <v>-1.2397649635568881</v>
      </c>
      <c r="W82" s="5">
        <f>60*DEGREES(ACOS(SIN(Table1[[#This Row],[HomeLat]])*SIN(Table1[[#This Row],[VisitorLat]]) +COS(Table1[[#This Row],[HomeLat]])*COS(Table1[[#This Row],[VisitorLat]])*COS(ABS(Table1[[#This Row],[HomeLong]] -Table1[[#This Row],[VisitorLong]]))))</f>
        <v>1822.2304875007574</v>
      </c>
      <c r="X82" s="6">
        <f>VLOOKUP(Table1[[#This Row],[HomeTeam]],TeamAttrs!$A$2:$K$20,5,FALSE)</f>
        <v>3520000</v>
      </c>
      <c r="Y82" s="6">
        <f>VLOOKUP(Table1[[#This Row],[HomeTeam]],TeamAttrs!$A$2:$K$20,9,FALSE)</f>
        <v>19087</v>
      </c>
      <c r="Z82" s="6">
        <f>VLOOKUP(Table1[[#This Row],[HomeTeam]],TeamAttrs!$A$2:$K$20,10,FALSE)</f>
        <v>20213</v>
      </c>
      <c r="AA82" s="6">
        <f>VLOOKUP(Table1[[#This Row],[HomeTeam]],TeamAttrs!$A$2:$K$20,11,FALSE)</f>
        <v>0.94429327660416562</v>
      </c>
    </row>
    <row r="83" spans="1:27" x14ac:dyDescent="0.25">
      <c r="A83" s="1">
        <v>41034</v>
      </c>
      <c r="B83" t="s">
        <v>11</v>
      </c>
      <c r="C83" t="str">
        <f>VLOOKUP(Table1[[#This Row],[HomeTeam]], TeamAttrs!$A$2:$B$20,2,FALSE)</f>
        <v>SEA</v>
      </c>
      <c r="D83">
        <v>1</v>
      </c>
      <c r="E83">
        <v>0</v>
      </c>
      <c r="F83">
        <f>Table1[[#This Row],[HomeTeamScore]]-Table1[[#This Row],[VisitorScore]]</f>
        <v>1</v>
      </c>
      <c r="G83" t="s">
        <v>4</v>
      </c>
      <c r="H83" t="str">
        <f>VLOOKUP(Table1[[#This Row],[VisitorTeam]],TeamAttrs!$A$2:$B$20, 2, FALSE)</f>
        <v>Phil</v>
      </c>
      <c r="I83">
        <f t="shared" si="4"/>
        <v>1</v>
      </c>
      <c r="J83">
        <f t="shared" si="5"/>
        <v>0</v>
      </c>
      <c r="K83">
        <f t="shared" si="6"/>
        <v>0</v>
      </c>
      <c r="L83">
        <f>3*Table1[HomeWin] +Table1[Draw]</f>
        <v>3</v>
      </c>
      <c r="M83">
        <f>3*Table1[HomeLoss]+Table1[Draw]</f>
        <v>0</v>
      </c>
      <c r="N83">
        <f>VLOOKUP(B83,TeamAttrs!$A$2:$C$20,3,FALSE)</f>
        <v>8</v>
      </c>
      <c r="O83">
        <f>VLOOKUP(G83,TeamAttrs!$A$2:$C$20,3,FALSE)</f>
        <v>5</v>
      </c>
      <c r="P83">
        <f t="shared" si="7"/>
        <v>-3</v>
      </c>
      <c r="Q83">
        <f>VLOOKUP(B83,TeamAttrs!$A$2:$D$20,3,FALSE)</f>
        <v>8</v>
      </c>
      <c r="R83">
        <f>VLOOKUP(G83,TeamAttrs!$A$2:$D$20,3,FALSE)</f>
        <v>5</v>
      </c>
      <c r="S83">
        <f>RADIANS(VLOOKUP(Table1[[#This Row],[HomeTeam]],TeamAttrs!$A$2:$H$20,7, FALSE))</f>
        <v>0.83164938857529802</v>
      </c>
      <c r="T83">
        <f>RADIANS(VLOOKUP(Table1[[#This Row],[HomeTeam]],TeamAttrs!$A$2:$H$20, 8, FALSE))</f>
        <v>-2.134537675189065</v>
      </c>
      <c r="U83">
        <f>RADIANS(VLOOKUP(Table1[[#This Row],[VisitorTeam]],TeamAttrs!$A$2:$H$20,7,FALSE))</f>
        <v>0.69609490156065446</v>
      </c>
      <c r="V83">
        <f>RADIANS(VLOOKUP(Table1[[#This Row],[VisitorTeam]], TeamAttrs!$A$2:$H$20,8,FALSE))</f>
        <v>-1.313360262125733</v>
      </c>
      <c r="W83" s="5">
        <f>60*DEGREES(ACOS(SIN(Table1[[#This Row],[HomeLat]])*SIN(Table1[[#This Row],[VisitorLat]]) +COS(Table1[[#This Row],[HomeLat]])*COS(Table1[[#This Row],[VisitorLat]])*COS(ABS(Table1[[#This Row],[HomeLong]] -Table1[[#This Row],[VisitorLong]]))))</f>
        <v>2057.9220790804652</v>
      </c>
      <c r="X83" s="6">
        <f>VLOOKUP(Table1[[#This Row],[HomeTeam]],TeamAttrs!$A$2:$K$20,5,FALSE)</f>
        <v>3980000</v>
      </c>
      <c r="Y83" s="6">
        <f>VLOOKUP(Table1[[#This Row],[HomeTeam]],TeamAttrs!$A$2:$K$20,9,FALSE)</f>
        <v>43104</v>
      </c>
      <c r="Z83" s="6">
        <f>VLOOKUP(Table1[[#This Row],[HomeTeam]],TeamAttrs!$A$2:$K$20,10,FALSE)</f>
        <v>38500</v>
      </c>
      <c r="AA83" s="6">
        <f>VLOOKUP(Table1[[#This Row],[HomeTeam]],TeamAttrs!$A$2:$K$20,11,FALSE)</f>
        <v>1.1195844155844157</v>
      </c>
    </row>
    <row r="84" spans="1:27" x14ac:dyDescent="0.25">
      <c r="A84" s="1">
        <v>41034</v>
      </c>
      <c r="B84" t="s">
        <v>6</v>
      </c>
      <c r="C84" t="str">
        <f>VLOOKUP(Table1[[#This Row],[HomeTeam]], TeamAttrs!$A$2:$B$20,2,FALSE)</f>
        <v>SKC</v>
      </c>
      <c r="D84">
        <v>0</v>
      </c>
      <c r="E84">
        <v>2</v>
      </c>
      <c r="F84">
        <f>Table1[[#This Row],[HomeTeamScore]]-Table1[[#This Row],[VisitorScore]]</f>
        <v>-2</v>
      </c>
      <c r="G84" t="s">
        <v>1</v>
      </c>
      <c r="H84" t="str">
        <f>VLOOKUP(Table1[[#This Row],[VisitorTeam]],TeamAttrs!$A$2:$B$20, 2, FALSE)</f>
        <v>Mntrl</v>
      </c>
      <c r="I84">
        <f t="shared" si="4"/>
        <v>0</v>
      </c>
      <c r="J84">
        <f t="shared" si="5"/>
        <v>0</v>
      </c>
      <c r="K84">
        <f t="shared" si="6"/>
        <v>1</v>
      </c>
      <c r="L84">
        <f>3*Table1[HomeWin] +Table1[Draw]</f>
        <v>0</v>
      </c>
      <c r="M84">
        <f>3*Table1[HomeLoss]+Table1[Draw]</f>
        <v>3</v>
      </c>
      <c r="N84">
        <f>VLOOKUP(B84,TeamAttrs!$A$2:$C$20,3,FALSE)</f>
        <v>6</v>
      </c>
      <c r="O84">
        <f>VLOOKUP(G84,TeamAttrs!$A$2:$C$20,3,FALSE)</f>
        <v>5</v>
      </c>
      <c r="P84">
        <f t="shared" si="7"/>
        <v>-1</v>
      </c>
      <c r="Q84">
        <f>VLOOKUP(B84,TeamAttrs!$A$2:$D$20,3,FALSE)</f>
        <v>6</v>
      </c>
      <c r="R84">
        <f>VLOOKUP(G84,TeamAttrs!$A$2:$D$20,3,FALSE)</f>
        <v>5</v>
      </c>
      <c r="S84">
        <f>RADIANS(VLOOKUP(Table1[[#This Row],[HomeTeam]],TeamAttrs!$A$2:$H$20,7, FALSE))</f>
        <v>0.68271520751486592</v>
      </c>
      <c r="T84">
        <f>RADIANS(VLOOKUP(Table1[[#This Row],[HomeTeam]],TeamAttrs!$A$2:$H$20, 8, FALSE))</f>
        <v>-1.65166266702755</v>
      </c>
      <c r="U84">
        <f>RADIANS(VLOOKUP(Table1[[#This Row],[VisitorTeam]],TeamAttrs!$A$2:$H$20,7,FALSE))</f>
        <v>0.79354361501650583</v>
      </c>
      <c r="V84">
        <f>RADIANS(VLOOKUP(Table1[[#This Row],[VisitorTeam]], TeamAttrs!$A$2:$H$20,8,FALSE))</f>
        <v>-1.2871803233458181</v>
      </c>
      <c r="W84" s="5">
        <f>60*DEGREES(ACOS(SIN(Table1[[#This Row],[HomeLat]])*SIN(Table1[[#This Row],[VisitorLat]]) +COS(Table1[[#This Row],[HomeLat]])*COS(Table1[[#This Row],[VisitorLat]])*COS(ABS(Table1[[#This Row],[HomeLong]] -Table1[[#This Row],[VisitorLong]]))))</f>
        <v>998.43471415559191</v>
      </c>
      <c r="X84" s="6">
        <f>VLOOKUP(Table1[[#This Row],[HomeTeam]],TeamAttrs!$A$2:$K$20,5,FALSE)</f>
        <v>3120000</v>
      </c>
      <c r="Y84" s="6">
        <f>VLOOKUP(Table1[[#This Row],[HomeTeam]],TeamAttrs!$A$2:$K$20,9,FALSE)</f>
        <v>19404</v>
      </c>
      <c r="Z84" s="6">
        <f>VLOOKUP(Table1[[#This Row],[HomeTeam]],TeamAttrs!$A$2:$K$20,10,FALSE)</f>
        <v>18467</v>
      </c>
      <c r="AA84" s="6">
        <f>VLOOKUP(Table1[[#This Row],[HomeTeam]],TeamAttrs!$A$2:$K$20,11,FALSE)</f>
        <v>1.0507391563329183</v>
      </c>
    </row>
    <row r="85" spans="1:27" x14ac:dyDescent="0.25">
      <c r="A85" s="1">
        <v>41034</v>
      </c>
      <c r="B85" t="s">
        <v>10</v>
      </c>
      <c r="C85" t="str">
        <f>VLOOKUP(Table1[[#This Row],[HomeTeam]], TeamAttrs!$A$2:$B$20,2,FALSE)</f>
        <v>Tor</v>
      </c>
      <c r="D85">
        <v>0</v>
      </c>
      <c r="E85">
        <v>2</v>
      </c>
      <c r="F85">
        <f>Table1[[#This Row],[HomeTeamScore]]-Table1[[#This Row],[VisitorScore]]</f>
        <v>-2</v>
      </c>
      <c r="G85" t="s">
        <v>3</v>
      </c>
      <c r="H85" t="str">
        <f>VLOOKUP(Table1[[#This Row],[VisitorTeam]],TeamAttrs!$A$2:$B$20, 2, FALSE)</f>
        <v>DCU</v>
      </c>
      <c r="I85">
        <f t="shared" si="4"/>
        <v>0</v>
      </c>
      <c r="J85">
        <f t="shared" si="5"/>
        <v>0</v>
      </c>
      <c r="K85">
        <f t="shared" si="6"/>
        <v>1</v>
      </c>
      <c r="L85">
        <f>3*Table1[HomeWin] +Table1[Draw]</f>
        <v>0</v>
      </c>
      <c r="M85">
        <f>3*Table1[HomeLoss]+Table1[Draw]</f>
        <v>3</v>
      </c>
      <c r="N85">
        <f>VLOOKUP(B85,TeamAttrs!$A$2:$C$20,3,FALSE)</f>
        <v>5</v>
      </c>
      <c r="O85">
        <f>VLOOKUP(G85,TeamAttrs!$A$2:$C$20,3,FALSE)</f>
        <v>5</v>
      </c>
      <c r="P85">
        <f t="shared" si="7"/>
        <v>0</v>
      </c>
      <c r="Q85">
        <f>VLOOKUP(B85,TeamAttrs!$A$2:$D$20,3,FALSE)</f>
        <v>5</v>
      </c>
      <c r="R85">
        <f>VLOOKUP(G85,TeamAttrs!$A$2:$D$20,3,FALSE)</f>
        <v>5</v>
      </c>
      <c r="S85">
        <f>RADIANS(VLOOKUP(Table1[[#This Row],[HomeTeam]],TeamAttrs!$A$2:$H$20,7, FALSE))</f>
        <v>0.76241741313643896</v>
      </c>
      <c r="T85">
        <f>RADIANS(VLOOKUP(Table1[[#This Row],[HomeTeam]],TeamAttrs!$A$2:$H$20, 8, FALSE))</f>
        <v>-1.3898632792284005</v>
      </c>
      <c r="U85">
        <f>RADIANS(VLOOKUP(Table1[[#This Row],[VisitorTeam]],TeamAttrs!$A$2:$H$20,7,FALSE))</f>
        <v>0.67806041439979703</v>
      </c>
      <c r="V85">
        <f>RADIANS(VLOOKUP(Table1[[#This Row],[VisitorTeam]], TeamAttrs!$A$2:$H$20,8,FALSE))</f>
        <v>-1.3444847186765478</v>
      </c>
      <c r="W85" s="5">
        <f>60*DEGREES(ACOS(SIN(Table1[[#This Row],[HomeLat]])*SIN(Table1[[#This Row],[VisitorLat]]) +COS(Table1[[#This Row],[HomeLat]])*COS(Table1[[#This Row],[VisitorLat]])*COS(ABS(Table1[[#This Row],[HomeLong]] -Table1[[#This Row],[VisitorLong]]))))</f>
        <v>312.76196193076703</v>
      </c>
      <c r="X85" s="6">
        <f>VLOOKUP(Table1[[#This Row],[HomeTeam]],TeamAttrs!$A$2:$K$20,5,FALSE)</f>
        <v>8250000</v>
      </c>
      <c r="Y85" s="6">
        <f>VLOOKUP(Table1[[#This Row],[HomeTeam]],TeamAttrs!$A$2:$K$20,9,FALSE)</f>
        <v>18155</v>
      </c>
      <c r="Z85" s="6">
        <f>VLOOKUP(Table1[[#This Row],[HomeTeam]],TeamAttrs!$A$2:$K$20,10,FALSE)</f>
        <v>21140</v>
      </c>
      <c r="AA85" s="6">
        <f>VLOOKUP(Table1[[#This Row],[HomeTeam]],TeamAttrs!$A$2:$K$20,11,FALSE)</f>
        <v>0.85879848628193001</v>
      </c>
    </row>
    <row r="86" spans="1:27" x14ac:dyDescent="0.25">
      <c r="A86" s="1">
        <v>41034</v>
      </c>
      <c r="B86" t="s">
        <v>0</v>
      </c>
      <c r="C86" t="str">
        <f>VLOOKUP(Table1[[#This Row],[HomeTeam]], TeamAttrs!$A$2:$B$20,2,FALSE)</f>
        <v>Van</v>
      </c>
      <c r="D86">
        <v>2</v>
      </c>
      <c r="E86">
        <v>1</v>
      </c>
      <c r="F86">
        <f>Table1[[#This Row],[HomeTeamScore]]-Table1[[#This Row],[VisitorScore]]</f>
        <v>1</v>
      </c>
      <c r="G86" t="s">
        <v>5</v>
      </c>
      <c r="H86" t="str">
        <f>VLOOKUP(Table1[[#This Row],[VisitorTeam]],TeamAttrs!$A$2:$B$20, 2, FALSE)</f>
        <v>SJE</v>
      </c>
      <c r="I86">
        <f t="shared" si="4"/>
        <v>1</v>
      </c>
      <c r="J86">
        <f t="shared" si="5"/>
        <v>0</v>
      </c>
      <c r="K86">
        <f t="shared" si="6"/>
        <v>0</v>
      </c>
      <c r="L86">
        <f>3*Table1[HomeWin] +Table1[Draw]</f>
        <v>3</v>
      </c>
      <c r="M86">
        <f>3*Table1[HomeLoss]+Table1[Draw]</f>
        <v>0</v>
      </c>
      <c r="N86">
        <f>VLOOKUP(B86,TeamAttrs!$A$2:$C$20,3,FALSE)</f>
        <v>8</v>
      </c>
      <c r="O86">
        <f>VLOOKUP(G86,TeamAttrs!$A$2:$C$20,3,FALSE)</f>
        <v>8</v>
      </c>
      <c r="P86">
        <f t="shared" si="7"/>
        <v>0</v>
      </c>
      <c r="Q86">
        <f>VLOOKUP(B86,TeamAttrs!$A$2:$D$20,3,FALSE)</f>
        <v>8</v>
      </c>
      <c r="R86">
        <f>VLOOKUP(G86,TeamAttrs!$A$2:$D$20,3,FALSE)</f>
        <v>8</v>
      </c>
      <c r="S86">
        <f>RADIANS(VLOOKUP(Table1[[#This Row],[HomeTeam]],TeamAttrs!$A$2:$H$20,7, FALSE))</f>
        <v>0.86015585124812133</v>
      </c>
      <c r="T86">
        <f>RADIANS(VLOOKUP(Table1[[#This Row],[HomeTeam]],TeamAttrs!$A$2:$H$20, 8, FALSE))</f>
        <v>-2.1487970151778586</v>
      </c>
      <c r="U86">
        <f>RADIANS(VLOOKUP(Table1[[#This Row],[VisitorTeam]],TeamAttrs!$A$2:$H$20,7,FALSE))</f>
        <v>0.65217194560496516</v>
      </c>
      <c r="V86">
        <f>RADIANS(VLOOKUP(Table1[[#This Row],[VisitorTeam]], TeamAttrs!$A$2:$H$20,8,FALSE))</f>
        <v>-2.1281323168342459</v>
      </c>
      <c r="W86" s="5">
        <f>60*DEGREES(ACOS(SIN(Table1[[#This Row],[HomeLat]])*SIN(Table1[[#This Row],[VisitorLat]]) +COS(Table1[[#This Row],[HomeLat]])*COS(Table1[[#This Row],[VisitorLat]])*COS(ABS(Table1[[#This Row],[HomeLong]] -Table1[[#This Row],[VisitorLong]]))))</f>
        <v>716.83652732946905</v>
      </c>
      <c r="X86" s="6">
        <f>VLOOKUP(Table1[[#This Row],[HomeTeam]],TeamAttrs!$A$2:$K$20,5,FALSE)</f>
        <v>4370000</v>
      </c>
      <c r="Y86" s="6">
        <f>VLOOKUP(Table1[[#This Row],[HomeTeam]],TeamAttrs!$A$2:$K$20,9,FALSE)</f>
        <v>19475</v>
      </c>
      <c r="Z86" s="6">
        <f>VLOOKUP(Table1[[#This Row],[HomeTeam]],TeamAttrs!$A$2:$K$20,10,FALSE)</f>
        <v>21000</v>
      </c>
      <c r="AA86" s="6">
        <f>VLOOKUP(Table1[[#This Row],[HomeTeam]],TeamAttrs!$A$2:$K$20,11,FALSE)</f>
        <v>0.92738095238095242</v>
      </c>
    </row>
    <row r="87" spans="1:27" x14ac:dyDescent="0.25">
      <c r="A87" s="1">
        <v>41035</v>
      </c>
      <c r="B87" t="s">
        <v>7</v>
      </c>
      <c r="C87" t="str">
        <f>VLOOKUP(Table1[[#This Row],[HomeTeam]], TeamAttrs!$A$2:$B$20,2,FALSE)</f>
        <v>FCDal</v>
      </c>
      <c r="D87">
        <v>0</v>
      </c>
      <c r="E87">
        <v>2</v>
      </c>
      <c r="F87">
        <f>Table1[[#This Row],[HomeTeamScore]]-Table1[[#This Row],[VisitorScore]]</f>
        <v>-2</v>
      </c>
      <c r="G87" t="s">
        <v>14</v>
      </c>
      <c r="H87" t="str">
        <f>VLOOKUP(Table1[[#This Row],[VisitorTeam]],TeamAttrs!$A$2:$B$20, 2, FALSE)</f>
        <v>ColRa</v>
      </c>
      <c r="I87">
        <f t="shared" si="4"/>
        <v>0</v>
      </c>
      <c r="J87">
        <f t="shared" si="5"/>
        <v>0</v>
      </c>
      <c r="K87">
        <f t="shared" si="6"/>
        <v>1</v>
      </c>
      <c r="L87">
        <f>3*Table1[HomeWin] +Table1[Draw]</f>
        <v>0</v>
      </c>
      <c r="M87">
        <f>3*Table1[HomeLoss]+Table1[Draw]</f>
        <v>3</v>
      </c>
      <c r="N87">
        <f>VLOOKUP(B87,TeamAttrs!$A$2:$C$20,3,FALSE)</f>
        <v>6</v>
      </c>
      <c r="O87">
        <f>VLOOKUP(G87,TeamAttrs!$A$2:$C$20,3,FALSE)</f>
        <v>7</v>
      </c>
      <c r="P87">
        <f t="shared" si="7"/>
        <v>1</v>
      </c>
      <c r="Q87">
        <f>VLOOKUP(B87,TeamAttrs!$A$2:$D$20,3,FALSE)</f>
        <v>6</v>
      </c>
      <c r="R87">
        <f>VLOOKUP(G87,TeamAttrs!$A$2:$D$20,3,FALSE)</f>
        <v>7</v>
      </c>
      <c r="S87">
        <f>RADIANS(VLOOKUP(Table1[[#This Row],[HomeTeam]],TeamAttrs!$A$2:$H$20,7, FALSE))</f>
        <v>0.57334065928013733</v>
      </c>
      <c r="T87">
        <f>RADIANS(VLOOKUP(Table1[[#This Row],[HomeTeam]],TeamAttrs!$A$2:$H$20, 8, FALSE))</f>
        <v>-1.690351380556508</v>
      </c>
      <c r="U87">
        <f>RADIANS(VLOOKUP(Table1[[#This Row],[VisitorTeam]],TeamAttrs!$A$2:$H$20,7,FALSE))</f>
        <v>0.69376837766774602</v>
      </c>
      <c r="V87">
        <f>RADIANS(VLOOKUP(Table1[[#This Row],[VisitorTeam]], TeamAttrs!$A$2:$H$20,8,FALSE))</f>
        <v>-1.8302744266888937</v>
      </c>
      <c r="W87" s="5">
        <f>60*DEGREES(ACOS(SIN(Table1[[#This Row],[HomeLat]])*SIN(Table1[[#This Row],[VisitorLat]]) +COS(Table1[[#This Row],[HomeLat]])*COS(Table1[[#This Row],[VisitorLat]])*COS(ABS(Table1[[#This Row],[HomeLong]] -Table1[[#This Row],[VisitorLong]]))))</f>
        <v>566.67453377920572</v>
      </c>
      <c r="X87" s="6">
        <f>VLOOKUP(Table1[[#This Row],[HomeTeam]],TeamAttrs!$A$2:$K$20,5,FALSE)</f>
        <v>3450000</v>
      </c>
      <c r="Y87" s="6">
        <f>VLOOKUP(Table1[[#This Row],[HomeTeam]],TeamAttrs!$A$2:$K$20,9,FALSE)</f>
        <v>14199</v>
      </c>
      <c r="Z87" s="6">
        <f>VLOOKUP(Table1[[#This Row],[HomeTeam]],TeamAttrs!$A$2:$K$20,10,FALSE)</f>
        <v>20500</v>
      </c>
      <c r="AA87" s="6">
        <f>VLOOKUP(Table1[[#This Row],[HomeTeam]],TeamAttrs!$A$2:$K$20,11,FALSE)</f>
        <v>0.69263414634146336</v>
      </c>
    </row>
    <row r="88" spans="1:27" x14ac:dyDescent="0.25">
      <c r="A88" s="1">
        <v>41038</v>
      </c>
      <c r="B88" t="s">
        <v>17</v>
      </c>
      <c r="C88" t="str">
        <f>VLOOKUP(Table1[[#This Row],[HomeTeam]], TeamAttrs!$A$2:$B$20,2,FALSE)</f>
        <v>Chi</v>
      </c>
      <c r="D88">
        <v>0</v>
      </c>
      <c r="E88">
        <v>0</v>
      </c>
      <c r="F88">
        <f>Table1[[#This Row],[HomeTeamScore]]-Table1[[#This Row],[VisitorScore]]</f>
        <v>0</v>
      </c>
      <c r="G88" t="s">
        <v>18</v>
      </c>
      <c r="H88" t="str">
        <f>VLOOKUP(Table1[[#This Row],[VisitorTeam]],TeamAttrs!$A$2:$B$20, 2, FALSE)</f>
        <v>RSL</v>
      </c>
      <c r="I88">
        <f t="shared" si="4"/>
        <v>0</v>
      </c>
      <c r="J88">
        <f t="shared" si="5"/>
        <v>1</v>
      </c>
      <c r="K88">
        <f t="shared" si="6"/>
        <v>0</v>
      </c>
      <c r="L88">
        <f>3*Table1[HomeWin] +Table1[Draw]</f>
        <v>1</v>
      </c>
      <c r="M88">
        <f>3*Table1[HomeLoss]+Table1[Draw]</f>
        <v>1</v>
      </c>
      <c r="N88">
        <f>VLOOKUP(B88,TeamAttrs!$A$2:$C$20,3,FALSE)</f>
        <v>6</v>
      </c>
      <c r="O88">
        <f>VLOOKUP(G88,TeamAttrs!$A$2:$C$20,3,FALSE)</f>
        <v>7</v>
      </c>
      <c r="P88">
        <f t="shared" si="7"/>
        <v>1</v>
      </c>
      <c r="Q88">
        <f>VLOOKUP(B88,TeamAttrs!$A$2:$D$20,3,FALSE)</f>
        <v>6</v>
      </c>
      <c r="R88">
        <f>VLOOKUP(G88,TeamAttrs!$A$2:$D$20,3,FALSE)</f>
        <v>7</v>
      </c>
      <c r="S88">
        <f>RADIANS(VLOOKUP(Table1[[#This Row],[HomeTeam]],TeamAttrs!$A$2:$H$20,7, FALSE))</f>
        <v>0.72925615734854665</v>
      </c>
      <c r="T88">
        <f>RADIANS(VLOOKUP(Table1[[#This Row],[HomeTeam]],TeamAttrs!$A$2:$H$20, 8, FALSE))</f>
        <v>-1.5315264186250241</v>
      </c>
      <c r="U88">
        <f>RADIANS(VLOOKUP(Table1[[#This Row],[VisitorTeam]],TeamAttrs!$A$2:$H$20,7,FALSE))</f>
        <v>0.71151314017277234</v>
      </c>
      <c r="V88">
        <f>RADIANS(VLOOKUP(Table1[[#This Row],[VisitorTeam]], TeamAttrs!$A$2:$H$20,8,FALSE))</f>
        <v>-1.954192803580491</v>
      </c>
      <c r="W88" s="5">
        <f>60*DEGREES(ACOS(SIN(Table1[[#This Row],[HomeLat]])*SIN(Table1[[#This Row],[VisitorLat]]) +COS(Table1[[#This Row],[HomeLat]])*COS(Table1[[#This Row],[VisitorLat]])*COS(ABS(Table1[[#This Row],[HomeLong]] -Table1[[#This Row],[VisitorLong]]))))</f>
        <v>1090.1106363671734</v>
      </c>
      <c r="X88" s="6">
        <f>VLOOKUP(Table1[[#This Row],[HomeTeam]],TeamAttrs!$A$2:$K$20,5,FALSE)</f>
        <v>3230000</v>
      </c>
      <c r="Y88" s="6">
        <f>VLOOKUP(Table1[[#This Row],[HomeTeam]],TeamAttrs!$A$2:$K$20,9,FALSE)</f>
        <v>16407</v>
      </c>
      <c r="Z88" s="6">
        <f>VLOOKUP(Table1[[#This Row],[HomeTeam]],TeamAttrs!$A$2:$K$20,10,FALSE)</f>
        <v>20000</v>
      </c>
      <c r="AA88" s="6">
        <f>VLOOKUP(Table1[[#This Row],[HomeTeam]],TeamAttrs!$A$2:$K$20,11,FALSE)</f>
        <v>0.82035000000000002</v>
      </c>
    </row>
    <row r="89" spans="1:27" x14ac:dyDescent="0.25">
      <c r="A89" s="1">
        <v>41038</v>
      </c>
      <c r="B89" t="s">
        <v>7</v>
      </c>
      <c r="C89" t="str">
        <f>VLOOKUP(Table1[[#This Row],[HomeTeam]], TeamAttrs!$A$2:$B$20,2,FALSE)</f>
        <v>FCDal</v>
      </c>
      <c r="D89">
        <v>0</v>
      </c>
      <c r="E89">
        <v>2</v>
      </c>
      <c r="F89">
        <f>Table1[[#This Row],[HomeTeamScore]]-Table1[[#This Row],[VisitorScore]]</f>
        <v>-2</v>
      </c>
      <c r="G89" t="s">
        <v>11</v>
      </c>
      <c r="H89" t="str">
        <f>VLOOKUP(Table1[[#This Row],[VisitorTeam]],TeamAttrs!$A$2:$B$20, 2, FALSE)</f>
        <v>SEA</v>
      </c>
      <c r="I89">
        <f t="shared" si="4"/>
        <v>0</v>
      </c>
      <c r="J89">
        <f t="shared" si="5"/>
        <v>0</v>
      </c>
      <c r="K89">
        <f t="shared" si="6"/>
        <v>1</v>
      </c>
      <c r="L89">
        <f>3*Table1[HomeWin] +Table1[Draw]</f>
        <v>0</v>
      </c>
      <c r="M89">
        <f>3*Table1[HomeLoss]+Table1[Draw]</f>
        <v>3</v>
      </c>
      <c r="N89">
        <f>VLOOKUP(B89,TeamAttrs!$A$2:$C$20,3,FALSE)</f>
        <v>6</v>
      </c>
      <c r="O89">
        <f>VLOOKUP(G89,TeamAttrs!$A$2:$C$20,3,FALSE)</f>
        <v>8</v>
      </c>
      <c r="P89">
        <f t="shared" si="7"/>
        <v>2</v>
      </c>
      <c r="Q89">
        <f>VLOOKUP(B89,TeamAttrs!$A$2:$D$20,3,FALSE)</f>
        <v>6</v>
      </c>
      <c r="R89">
        <f>VLOOKUP(G89,TeamAttrs!$A$2:$D$20,3,FALSE)</f>
        <v>8</v>
      </c>
      <c r="S89">
        <f>RADIANS(VLOOKUP(Table1[[#This Row],[HomeTeam]],TeamAttrs!$A$2:$H$20,7, FALSE))</f>
        <v>0.57334065928013733</v>
      </c>
      <c r="T89">
        <f>RADIANS(VLOOKUP(Table1[[#This Row],[HomeTeam]],TeamAttrs!$A$2:$H$20, 8, FALSE))</f>
        <v>-1.690351380556508</v>
      </c>
      <c r="U89">
        <f>RADIANS(VLOOKUP(Table1[[#This Row],[VisitorTeam]],TeamAttrs!$A$2:$H$20,7,FALSE))</f>
        <v>0.83164938857529802</v>
      </c>
      <c r="V89">
        <f>RADIANS(VLOOKUP(Table1[[#This Row],[VisitorTeam]], TeamAttrs!$A$2:$H$20,8,FALSE))</f>
        <v>-2.134537675189065</v>
      </c>
      <c r="W89" s="5">
        <f>60*DEGREES(ACOS(SIN(Table1[[#This Row],[HomeLat]])*SIN(Table1[[#This Row],[VisitorLat]]) +COS(Table1[[#This Row],[HomeLat]])*COS(Table1[[#This Row],[VisitorLat]])*COS(ABS(Table1[[#This Row],[HomeLong]] -Table1[[#This Row],[VisitorLong]]))))</f>
        <v>1453.7999169487216</v>
      </c>
      <c r="X89" s="6">
        <f>VLOOKUP(Table1[[#This Row],[HomeTeam]],TeamAttrs!$A$2:$K$20,5,FALSE)</f>
        <v>3450000</v>
      </c>
      <c r="Y89" s="6">
        <f>VLOOKUP(Table1[[#This Row],[HomeTeam]],TeamAttrs!$A$2:$K$20,9,FALSE)</f>
        <v>14199</v>
      </c>
      <c r="Z89" s="6">
        <f>VLOOKUP(Table1[[#This Row],[HomeTeam]],TeamAttrs!$A$2:$K$20,10,FALSE)</f>
        <v>20500</v>
      </c>
      <c r="AA89" s="6">
        <f>VLOOKUP(Table1[[#This Row],[HomeTeam]],TeamAttrs!$A$2:$K$20,11,FALSE)</f>
        <v>0.69263414634146336</v>
      </c>
    </row>
    <row r="90" spans="1:27" x14ac:dyDescent="0.25">
      <c r="A90" s="1">
        <v>41038</v>
      </c>
      <c r="B90" t="s">
        <v>15</v>
      </c>
      <c r="C90" t="str">
        <f>VLOOKUP(Table1[[#This Row],[HomeTeam]], TeamAttrs!$A$2:$B$20,2,FALSE)</f>
        <v>NY</v>
      </c>
      <c r="D90">
        <v>1</v>
      </c>
      <c r="E90">
        <v>0</v>
      </c>
      <c r="F90">
        <f>Table1[[#This Row],[HomeTeamScore]]-Table1[[#This Row],[VisitorScore]]</f>
        <v>1</v>
      </c>
      <c r="G90" t="s">
        <v>13</v>
      </c>
      <c r="H90" t="str">
        <f>VLOOKUP(Table1[[#This Row],[VisitorTeam]],TeamAttrs!$A$2:$B$20, 2, FALSE)</f>
        <v>Hou</v>
      </c>
      <c r="I90">
        <f t="shared" si="4"/>
        <v>1</v>
      </c>
      <c r="J90">
        <f t="shared" si="5"/>
        <v>0</v>
      </c>
      <c r="K90">
        <f t="shared" si="6"/>
        <v>0</v>
      </c>
      <c r="L90">
        <f>3*Table1[HomeWin] +Table1[Draw]</f>
        <v>3</v>
      </c>
      <c r="M90">
        <f>3*Table1[HomeLoss]+Table1[Draw]</f>
        <v>0</v>
      </c>
      <c r="N90">
        <f>VLOOKUP(B90,TeamAttrs!$A$2:$C$20,3,FALSE)</f>
        <v>5</v>
      </c>
      <c r="O90">
        <f>VLOOKUP(G90,TeamAttrs!$A$2:$C$20,3,FALSE)</f>
        <v>6</v>
      </c>
      <c r="P90">
        <f t="shared" si="7"/>
        <v>1</v>
      </c>
      <c r="Q90">
        <f>VLOOKUP(B90,TeamAttrs!$A$2:$D$20,3,FALSE)</f>
        <v>5</v>
      </c>
      <c r="R90">
        <f>VLOOKUP(G90,TeamAttrs!$A$2:$D$20,3,FALSE)</f>
        <v>6</v>
      </c>
      <c r="S90">
        <f>RADIANS(VLOOKUP(Table1[[#This Row],[HomeTeam]],TeamAttrs!$A$2:$H$20,7, FALSE))</f>
        <v>0.71180286482860333</v>
      </c>
      <c r="T90">
        <f>RADIANS(VLOOKUP(Table1[[#This Row],[HomeTeam]],TeamAttrs!$A$2:$H$20, 8, FALSE))</f>
        <v>-1.2909624518348899</v>
      </c>
      <c r="U90">
        <f>RADIANS(VLOOKUP(Table1[[#This Row],[VisitorTeam]],TeamAttrs!$A$2:$H$20,7,FALSE))</f>
        <v>0.52301758095738471</v>
      </c>
      <c r="V90">
        <f>RADIANS(VLOOKUP(Table1[[#This Row],[VisitorTeam]], TeamAttrs!$A$2:$H$20,8,FALSE))</f>
        <v>-1.6641714417765932</v>
      </c>
      <c r="W90" s="5">
        <f>60*DEGREES(ACOS(SIN(Table1[[#This Row],[HomeLat]])*SIN(Table1[[#This Row],[VisitorLat]]) +COS(Table1[[#This Row],[HomeLat]])*COS(Table1[[#This Row],[VisitorLat]])*COS(ABS(Table1[[#This Row],[HomeLong]] -Table1[[#This Row],[VisitorLong]]))))</f>
        <v>1226.0111596522461</v>
      </c>
      <c r="X90" s="6">
        <f>VLOOKUP(Table1[[#This Row],[HomeTeam]],TeamAttrs!$A$2:$K$20,5,FALSE)</f>
        <v>12960000</v>
      </c>
      <c r="Y90" s="6">
        <f>VLOOKUP(Table1[[#This Row],[HomeTeam]],TeamAttrs!$A$2:$K$20,9,FALSE)</f>
        <v>18281</v>
      </c>
      <c r="Z90" s="6">
        <f>VLOOKUP(Table1[[#This Row],[HomeTeam]],TeamAttrs!$A$2:$K$20,10,FALSE)</f>
        <v>25000</v>
      </c>
      <c r="AA90" s="6">
        <f>VLOOKUP(Table1[[#This Row],[HomeTeam]],TeamAttrs!$A$2:$K$20,11,FALSE)</f>
        <v>0.73124</v>
      </c>
    </row>
    <row r="91" spans="1:27" x14ac:dyDescent="0.25">
      <c r="A91" s="1">
        <v>41041</v>
      </c>
      <c r="B91" t="s">
        <v>17</v>
      </c>
      <c r="C91" t="str">
        <f>VLOOKUP(Table1[[#This Row],[HomeTeam]], TeamAttrs!$A$2:$B$20,2,FALSE)</f>
        <v>Chi</v>
      </c>
      <c r="D91">
        <v>2</v>
      </c>
      <c r="E91">
        <v>1</v>
      </c>
      <c r="F91">
        <f>Table1[[#This Row],[HomeTeamScore]]-Table1[[#This Row],[VisitorScore]]</f>
        <v>1</v>
      </c>
      <c r="G91" t="s">
        <v>6</v>
      </c>
      <c r="H91" t="str">
        <f>VLOOKUP(Table1[[#This Row],[VisitorTeam]],TeamAttrs!$A$2:$B$20, 2, FALSE)</f>
        <v>SKC</v>
      </c>
      <c r="I91">
        <f t="shared" si="4"/>
        <v>1</v>
      </c>
      <c r="J91">
        <f t="shared" si="5"/>
        <v>0</v>
      </c>
      <c r="K91">
        <f t="shared" si="6"/>
        <v>0</v>
      </c>
      <c r="L91">
        <f>3*Table1[HomeWin] +Table1[Draw]</f>
        <v>3</v>
      </c>
      <c r="M91">
        <f>3*Table1[HomeLoss]+Table1[Draw]</f>
        <v>0</v>
      </c>
      <c r="N91">
        <f>VLOOKUP(B91,TeamAttrs!$A$2:$C$20,3,FALSE)</f>
        <v>6</v>
      </c>
      <c r="O91">
        <f>VLOOKUP(G91,TeamAttrs!$A$2:$C$20,3,FALSE)</f>
        <v>6</v>
      </c>
      <c r="P91">
        <f t="shared" si="7"/>
        <v>0</v>
      </c>
      <c r="Q91">
        <f>VLOOKUP(B91,TeamAttrs!$A$2:$D$20,3,FALSE)</f>
        <v>6</v>
      </c>
      <c r="R91">
        <f>VLOOKUP(G91,TeamAttrs!$A$2:$D$20,3,FALSE)</f>
        <v>6</v>
      </c>
      <c r="S91">
        <f>RADIANS(VLOOKUP(Table1[[#This Row],[HomeTeam]],TeamAttrs!$A$2:$H$20,7, FALSE))</f>
        <v>0.72925615734854665</v>
      </c>
      <c r="T91">
        <f>RADIANS(VLOOKUP(Table1[[#This Row],[HomeTeam]],TeamAttrs!$A$2:$H$20, 8, FALSE))</f>
        <v>-1.5315264186250241</v>
      </c>
      <c r="U91">
        <f>RADIANS(VLOOKUP(Table1[[#This Row],[VisitorTeam]],TeamAttrs!$A$2:$H$20,7,FALSE))</f>
        <v>0.68271520751486592</v>
      </c>
      <c r="V91">
        <f>RADIANS(VLOOKUP(Table1[[#This Row],[VisitorTeam]], TeamAttrs!$A$2:$H$20,8,FALSE))</f>
        <v>-1.65166266702755</v>
      </c>
      <c r="W91" s="5">
        <f>60*DEGREES(ACOS(SIN(Table1[[#This Row],[HomeLat]])*SIN(Table1[[#This Row],[VisitorLat]]) +COS(Table1[[#This Row],[HomeLat]])*COS(Table1[[#This Row],[VisitorLat]])*COS(ABS(Table1[[#This Row],[HomeLong]] -Table1[[#This Row],[VisitorLong]]))))</f>
        <v>352.51091361253208</v>
      </c>
      <c r="X91" s="6">
        <f>VLOOKUP(Table1[[#This Row],[HomeTeam]],TeamAttrs!$A$2:$K$20,5,FALSE)</f>
        <v>3230000</v>
      </c>
      <c r="Y91" s="6">
        <f>VLOOKUP(Table1[[#This Row],[HomeTeam]],TeamAttrs!$A$2:$K$20,9,FALSE)</f>
        <v>16407</v>
      </c>
      <c r="Z91" s="6">
        <f>VLOOKUP(Table1[[#This Row],[HomeTeam]],TeamAttrs!$A$2:$K$20,10,FALSE)</f>
        <v>20000</v>
      </c>
      <c r="AA91" s="6">
        <f>VLOOKUP(Table1[[#This Row],[HomeTeam]],TeamAttrs!$A$2:$K$20,11,FALSE)</f>
        <v>0.82035000000000002</v>
      </c>
    </row>
    <row r="92" spans="1:27" x14ac:dyDescent="0.25">
      <c r="A92" s="1">
        <v>41041</v>
      </c>
      <c r="B92" t="s">
        <v>8</v>
      </c>
      <c r="C92" t="str">
        <f>VLOOKUP(Table1[[#This Row],[HomeTeam]], TeamAttrs!$A$2:$B$20,2,FALSE)</f>
        <v>Colum</v>
      </c>
      <c r="D92">
        <v>2</v>
      </c>
      <c r="E92">
        <v>1</v>
      </c>
      <c r="F92">
        <f>Table1[[#This Row],[HomeTeamScore]]-Table1[[#This Row],[VisitorScore]]</f>
        <v>1</v>
      </c>
      <c r="G92" t="s">
        <v>7</v>
      </c>
      <c r="H92" t="str">
        <f>VLOOKUP(Table1[[#This Row],[VisitorTeam]],TeamAttrs!$A$2:$B$20, 2, FALSE)</f>
        <v>FCDal</v>
      </c>
      <c r="I92">
        <f t="shared" si="4"/>
        <v>1</v>
      </c>
      <c r="J92">
        <f t="shared" si="5"/>
        <v>0</v>
      </c>
      <c r="K92">
        <f t="shared" si="6"/>
        <v>0</v>
      </c>
      <c r="L92">
        <f>3*Table1[HomeWin] +Table1[Draw]</f>
        <v>3</v>
      </c>
      <c r="M92">
        <f>3*Table1[HomeLoss]+Table1[Draw]</f>
        <v>0</v>
      </c>
      <c r="N92">
        <f>VLOOKUP(B92,TeamAttrs!$A$2:$C$20,3,FALSE)</f>
        <v>5</v>
      </c>
      <c r="O92">
        <f>VLOOKUP(G92,TeamAttrs!$A$2:$C$20,3,FALSE)</f>
        <v>6</v>
      </c>
      <c r="P92">
        <f t="shared" si="7"/>
        <v>1</v>
      </c>
      <c r="Q92">
        <f>VLOOKUP(B92,TeamAttrs!$A$2:$D$20,3,FALSE)</f>
        <v>5</v>
      </c>
      <c r="R92">
        <f>VLOOKUP(G92,TeamAttrs!$A$2:$D$20,3,FALSE)</f>
        <v>6</v>
      </c>
      <c r="S92">
        <f>RADIANS(VLOOKUP(Table1[[#This Row],[HomeTeam]],TeamAttrs!$A$2:$H$20,7, FALSE))</f>
        <v>0.69813170079773179</v>
      </c>
      <c r="T92">
        <f>RADIANS(VLOOKUP(Table1[[#This Row],[HomeTeam]],TeamAttrs!$A$2:$H$20, 8, FALSE))</f>
        <v>-1.4465864799182162</v>
      </c>
      <c r="U92">
        <f>RADIANS(VLOOKUP(Table1[[#This Row],[VisitorTeam]],TeamAttrs!$A$2:$H$20,7,FALSE))</f>
        <v>0.57334065928013733</v>
      </c>
      <c r="V92">
        <f>RADIANS(VLOOKUP(Table1[[#This Row],[VisitorTeam]], TeamAttrs!$A$2:$H$20,8,FALSE))</f>
        <v>-1.690351380556508</v>
      </c>
      <c r="W92" s="5">
        <f>60*DEGREES(ACOS(SIN(Table1[[#This Row],[HomeLat]])*SIN(Table1[[#This Row],[VisitorLat]]) +COS(Table1[[#This Row],[HomeLat]])*COS(Table1[[#This Row],[VisitorLat]])*COS(ABS(Table1[[#This Row],[HomeLong]] -Table1[[#This Row],[VisitorLong]]))))</f>
        <v>797.71529254864367</v>
      </c>
      <c r="X92" s="6">
        <f>VLOOKUP(Table1[[#This Row],[HomeTeam]],TeamAttrs!$A$2:$K$20,5,FALSE)</f>
        <v>3330000</v>
      </c>
      <c r="Y92" s="6">
        <f>VLOOKUP(Table1[[#This Row],[HomeTeam]],TeamAttrs!$A$2:$K$20,9,FALSE)</f>
        <v>14397</v>
      </c>
      <c r="Z92" s="6">
        <f>VLOOKUP(Table1[[#This Row],[HomeTeam]],TeamAttrs!$A$2:$K$20,10,FALSE)</f>
        <v>20145</v>
      </c>
      <c r="AA92" s="6">
        <f>VLOOKUP(Table1[[#This Row],[HomeTeam]],TeamAttrs!$A$2:$K$20,11,FALSE)</f>
        <v>0.71466865227103504</v>
      </c>
    </row>
    <row r="93" spans="1:27" x14ac:dyDescent="0.25">
      <c r="A93" s="1">
        <v>41041</v>
      </c>
      <c r="B93" t="s">
        <v>13</v>
      </c>
      <c r="C93" t="str">
        <f>VLOOKUP(Table1[[#This Row],[HomeTeam]], TeamAttrs!$A$2:$B$20,2,FALSE)</f>
        <v>Hou</v>
      </c>
      <c r="D93">
        <v>1</v>
      </c>
      <c r="E93">
        <v>0</v>
      </c>
      <c r="F93">
        <f>Table1[[#This Row],[HomeTeamScore]]-Table1[[#This Row],[VisitorScore]]</f>
        <v>1</v>
      </c>
      <c r="G93" t="s">
        <v>3</v>
      </c>
      <c r="H93" t="str">
        <f>VLOOKUP(Table1[[#This Row],[VisitorTeam]],TeamAttrs!$A$2:$B$20, 2, FALSE)</f>
        <v>DCU</v>
      </c>
      <c r="I93">
        <f t="shared" si="4"/>
        <v>1</v>
      </c>
      <c r="J93">
        <f t="shared" si="5"/>
        <v>0</v>
      </c>
      <c r="K93">
        <f t="shared" si="6"/>
        <v>0</v>
      </c>
      <c r="L93">
        <f>3*Table1[HomeWin] +Table1[Draw]</f>
        <v>3</v>
      </c>
      <c r="M93">
        <f>3*Table1[HomeLoss]+Table1[Draw]</f>
        <v>0</v>
      </c>
      <c r="N93">
        <f>VLOOKUP(B93,TeamAttrs!$A$2:$C$20,3,FALSE)</f>
        <v>6</v>
      </c>
      <c r="O93">
        <f>VLOOKUP(G93,TeamAttrs!$A$2:$C$20,3,FALSE)</f>
        <v>5</v>
      </c>
      <c r="P93">
        <f t="shared" si="7"/>
        <v>-1</v>
      </c>
      <c r="Q93">
        <f>VLOOKUP(B93,TeamAttrs!$A$2:$D$20,3,FALSE)</f>
        <v>6</v>
      </c>
      <c r="R93">
        <f>VLOOKUP(G93,TeamAttrs!$A$2:$D$20,3,FALSE)</f>
        <v>5</v>
      </c>
      <c r="S93">
        <f>RADIANS(VLOOKUP(Table1[[#This Row],[HomeTeam]],TeamAttrs!$A$2:$H$20,7, FALSE))</f>
        <v>0.52301758095738471</v>
      </c>
      <c r="T93">
        <f>RADIANS(VLOOKUP(Table1[[#This Row],[HomeTeam]],TeamAttrs!$A$2:$H$20, 8, FALSE))</f>
        <v>-1.6641714417765932</v>
      </c>
      <c r="U93">
        <f>RADIANS(VLOOKUP(Table1[[#This Row],[VisitorTeam]],TeamAttrs!$A$2:$H$20,7,FALSE))</f>
        <v>0.67806041439979703</v>
      </c>
      <c r="V93">
        <f>RADIANS(VLOOKUP(Table1[[#This Row],[VisitorTeam]], TeamAttrs!$A$2:$H$20,8,FALSE))</f>
        <v>-1.3444847186765478</v>
      </c>
      <c r="W93" s="5">
        <f>60*DEGREES(ACOS(SIN(Table1[[#This Row],[HomeLat]])*SIN(Table1[[#This Row],[VisitorLat]]) +COS(Table1[[#This Row],[HomeLat]])*COS(Table1[[#This Row],[VisitorLat]])*COS(ABS(Table1[[#This Row],[HomeLong]] -Table1[[#This Row],[VisitorLong]]))))</f>
        <v>1048.8031611896665</v>
      </c>
      <c r="X93" s="6">
        <f>VLOOKUP(Table1[[#This Row],[HomeTeam]],TeamAttrs!$A$2:$K$20,5,FALSE)</f>
        <v>3000000</v>
      </c>
      <c r="Y93" s="6">
        <f>VLOOKUP(Table1[[#This Row],[HomeTeam]],TeamAttrs!$A$2:$K$20,9,FALSE)</f>
        <v>20946</v>
      </c>
      <c r="Z93" s="6">
        <f>VLOOKUP(Table1[[#This Row],[HomeTeam]],TeamAttrs!$A$2:$K$20,10,FALSE)</f>
        <v>22000</v>
      </c>
      <c r="AA93" s="6">
        <f>VLOOKUP(Table1[[#This Row],[HomeTeam]],TeamAttrs!$A$2:$K$20,11,FALSE)</f>
        <v>0.9520909090909091</v>
      </c>
    </row>
    <row r="94" spans="1:27" x14ac:dyDescent="0.25">
      <c r="A94" s="1">
        <v>41041</v>
      </c>
      <c r="B94" t="s">
        <v>1</v>
      </c>
      <c r="C94" t="str">
        <f>VLOOKUP(Table1[[#This Row],[HomeTeam]], TeamAttrs!$A$2:$B$20,2,FALSE)</f>
        <v>Mntrl</v>
      </c>
      <c r="D94">
        <v>1</v>
      </c>
      <c r="E94">
        <v>1</v>
      </c>
      <c r="F94">
        <f>Table1[[#This Row],[HomeTeamScore]]-Table1[[#This Row],[VisitorScore]]</f>
        <v>0</v>
      </c>
      <c r="G94" t="s">
        <v>16</v>
      </c>
      <c r="H94" t="str">
        <f>VLOOKUP(Table1[[#This Row],[VisitorTeam]],TeamAttrs!$A$2:$B$20, 2, FALSE)</f>
        <v>LAGxy</v>
      </c>
      <c r="I94">
        <f t="shared" si="4"/>
        <v>0</v>
      </c>
      <c r="J94">
        <f t="shared" si="5"/>
        <v>1</v>
      </c>
      <c r="K94">
        <f t="shared" si="6"/>
        <v>0</v>
      </c>
      <c r="L94">
        <f>3*Table1[HomeWin] +Table1[Draw]</f>
        <v>1</v>
      </c>
      <c r="M94">
        <f>3*Table1[HomeLoss]+Table1[Draw]</f>
        <v>1</v>
      </c>
      <c r="N94">
        <f>VLOOKUP(B94,TeamAttrs!$A$2:$C$20,3,FALSE)</f>
        <v>5</v>
      </c>
      <c r="O94">
        <f>VLOOKUP(G94,TeamAttrs!$A$2:$C$20,3,FALSE)</f>
        <v>8</v>
      </c>
      <c r="P94">
        <f t="shared" si="7"/>
        <v>3</v>
      </c>
      <c r="Q94">
        <f>VLOOKUP(B94,TeamAttrs!$A$2:$D$20,3,FALSE)</f>
        <v>5</v>
      </c>
      <c r="R94">
        <f>VLOOKUP(G94,TeamAttrs!$A$2:$D$20,3,FALSE)</f>
        <v>8</v>
      </c>
      <c r="S94">
        <f>RADIANS(VLOOKUP(Table1[[#This Row],[HomeTeam]],TeamAttrs!$A$2:$H$20,7, FALSE))</f>
        <v>0.79354361501650583</v>
      </c>
      <c r="T94">
        <f>RADIANS(VLOOKUP(Table1[[#This Row],[HomeTeam]],TeamAttrs!$A$2:$H$20, 8, FALSE))</f>
        <v>-1.2871803233458181</v>
      </c>
      <c r="U94">
        <f>RADIANS(VLOOKUP(Table1[[#This Row],[VisitorTeam]],TeamAttrs!$A$2:$H$20,7,FALSE))</f>
        <v>0.59224781106699187</v>
      </c>
      <c r="V94">
        <f>RADIANS(VLOOKUP(Table1[[#This Row],[VisitorTeam]], TeamAttrs!$A$2:$H$20,8,FALSE))</f>
        <v>-2.0664698343612864</v>
      </c>
      <c r="W94" s="5">
        <f>60*DEGREES(ACOS(SIN(Table1[[#This Row],[HomeLat]])*SIN(Table1[[#This Row],[VisitorLat]]) +COS(Table1[[#This Row],[HomeLat]])*COS(Table1[[#This Row],[VisitorLat]])*COS(ABS(Table1[[#This Row],[HomeLong]] -Table1[[#This Row],[VisitorLong]]))))</f>
        <v>2143.1670394136031</v>
      </c>
      <c r="X94" s="6">
        <f>VLOOKUP(Table1[[#This Row],[HomeTeam]],TeamAttrs!$A$2:$K$20,5,FALSE)</f>
        <v>3030000</v>
      </c>
      <c r="Y94" s="6">
        <f>VLOOKUP(Table1[[#This Row],[HomeTeam]],TeamAttrs!$A$2:$K$20,9,FALSE)</f>
        <v>22772</v>
      </c>
      <c r="Z94" s="6">
        <f>VLOOKUP(Table1[[#This Row],[HomeTeam]],TeamAttrs!$A$2:$K$20,10,FALSE)</f>
        <v>20341</v>
      </c>
      <c r="AA94" s="6">
        <f>VLOOKUP(Table1[[#This Row],[HomeTeam]],TeamAttrs!$A$2:$K$20,11,FALSE)</f>
        <v>1.1195123150287596</v>
      </c>
    </row>
    <row r="95" spans="1:27" x14ac:dyDescent="0.25">
      <c r="A95" s="1">
        <v>41041</v>
      </c>
      <c r="B95" t="s">
        <v>9</v>
      </c>
      <c r="C95" t="str">
        <f>VLOOKUP(Table1[[#This Row],[HomeTeam]], TeamAttrs!$A$2:$B$20,2,FALSE)</f>
        <v>NE</v>
      </c>
      <c r="D95">
        <v>4</v>
      </c>
      <c r="E95">
        <v>1</v>
      </c>
      <c r="F95">
        <f>Table1[[#This Row],[HomeTeamScore]]-Table1[[#This Row],[VisitorScore]]</f>
        <v>3</v>
      </c>
      <c r="G95" t="s">
        <v>0</v>
      </c>
      <c r="H95" t="str">
        <f>VLOOKUP(Table1[[#This Row],[VisitorTeam]],TeamAttrs!$A$2:$B$20, 2, FALSE)</f>
        <v>Van</v>
      </c>
      <c r="I95">
        <f t="shared" si="4"/>
        <v>1</v>
      </c>
      <c r="J95">
        <f t="shared" si="5"/>
        <v>0</v>
      </c>
      <c r="K95">
        <f t="shared" si="6"/>
        <v>0</v>
      </c>
      <c r="L95">
        <f>3*Table1[HomeWin] +Table1[Draw]</f>
        <v>3</v>
      </c>
      <c r="M95">
        <f>3*Table1[HomeLoss]+Table1[Draw]</f>
        <v>0</v>
      </c>
      <c r="N95">
        <f>VLOOKUP(B95,TeamAttrs!$A$2:$C$20,3,FALSE)</f>
        <v>5</v>
      </c>
      <c r="O95">
        <f>VLOOKUP(G95,TeamAttrs!$A$2:$C$20,3,FALSE)</f>
        <v>8</v>
      </c>
      <c r="P95">
        <f t="shared" si="7"/>
        <v>3</v>
      </c>
      <c r="Q95">
        <f>VLOOKUP(B95,TeamAttrs!$A$2:$D$20,3,FALSE)</f>
        <v>5</v>
      </c>
      <c r="R95">
        <f>VLOOKUP(G95,TeamAttrs!$A$2:$D$20,3,FALSE)</f>
        <v>8</v>
      </c>
      <c r="S95">
        <f>RADIANS(VLOOKUP(Table1[[#This Row],[HomeTeam]],TeamAttrs!$A$2:$H$20,7, FALSE))</f>
        <v>0.73943840820468165</v>
      </c>
      <c r="T95">
        <f>RADIANS(VLOOKUP(Table1[[#This Row],[HomeTeam]],TeamAttrs!$A$2:$H$20, 8, FALSE))</f>
        <v>-1.2397649635568881</v>
      </c>
      <c r="U95">
        <f>RADIANS(VLOOKUP(Table1[[#This Row],[VisitorTeam]],TeamAttrs!$A$2:$H$20,7,FALSE))</f>
        <v>0.86015585124812133</v>
      </c>
      <c r="V95">
        <f>RADIANS(VLOOKUP(Table1[[#This Row],[VisitorTeam]], TeamAttrs!$A$2:$H$20,8,FALSE))</f>
        <v>-2.1487970151778586</v>
      </c>
      <c r="W95" s="5">
        <f>60*DEGREES(ACOS(SIN(Table1[[#This Row],[HomeLat]])*SIN(Table1[[#This Row],[VisitorLat]]) +COS(Table1[[#This Row],[HomeLat]])*COS(Table1[[#This Row],[VisitorLat]])*COS(ABS(Table1[[#This Row],[HomeLong]] -Table1[[#This Row],[VisitorLong]]))))</f>
        <v>2172.1768777036655</v>
      </c>
      <c r="X95" s="6">
        <f>VLOOKUP(Table1[[#This Row],[HomeTeam]],TeamAttrs!$A$2:$K$20,5,FALSE)</f>
        <v>3260000</v>
      </c>
      <c r="Y95" s="6">
        <f>VLOOKUP(Table1[[#This Row],[HomeTeam]],TeamAttrs!$A$2:$K$20,9,FALSE)</f>
        <v>14001</v>
      </c>
      <c r="Z95" s="6">
        <f>VLOOKUP(Table1[[#This Row],[HomeTeam]],TeamAttrs!$A$2:$K$20,10,FALSE)</f>
        <v>20000</v>
      </c>
      <c r="AA95" s="6">
        <f>VLOOKUP(Table1[[#This Row],[HomeTeam]],TeamAttrs!$A$2:$K$20,11,FALSE)</f>
        <v>0.70004999999999995</v>
      </c>
    </row>
    <row r="96" spans="1:27" x14ac:dyDescent="0.25">
      <c r="A96" s="1">
        <v>41041</v>
      </c>
      <c r="B96" t="s">
        <v>11</v>
      </c>
      <c r="C96" t="str">
        <f>VLOOKUP(Table1[[#This Row],[HomeTeam]], TeamAttrs!$A$2:$B$20,2,FALSE)</f>
        <v>SEA</v>
      </c>
      <c r="D96">
        <v>0</v>
      </c>
      <c r="E96">
        <v>1</v>
      </c>
      <c r="F96">
        <f>Table1[[#This Row],[HomeTeamScore]]-Table1[[#This Row],[VisitorScore]]</f>
        <v>-1</v>
      </c>
      <c r="G96" t="s">
        <v>18</v>
      </c>
      <c r="H96" t="str">
        <f>VLOOKUP(Table1[[#This Row],[VisitorTeam]],TeamAttrs!$A$2:$B$20, 2, FALSE)</f>
        <v>RSL</v>
      </c>
      <c r="I96">
        <f t="shared" si="4"/>
        <v>0</v>
      </c>
      <c r="J96">
        <f t="shared" si="5"/>
        <v>0</v>
      </c>
      <c r="K96">
        <f t="shared" si="6"/>
        <v>1</v>
      </c>
      <c r="L96">
        <f>3*Table1[HomeWin] +Table1[Draw]</f>
        <v>0</v>
      </c>
      <c r="M96">
        <f>3*Table1[HomeLoss]+Table1[Draw]</f>
        <v>3</v>
      </c>
      <c r="N96">
        <f>VLOOKUP(B96,TeamAttrs!$A$2:$C$20,3,FALSE)</f>
        <v>8</v>
      </c>
      <c r="O96">
        <f>VLOOKUP(G96,TeamAttrs!$A$2:$C$20,3,FALSE)</f>
        <v>7</v>
      </c>
      <c r="P96">
        <f t="shared" si="7"/>
        <v>-1</v>
      </c>
      <c r="Q96">
        <f>VLOOKUP(B96,TeamAttrs!$A$2:$D$20,3,FALSE)</f>
        <v>8</v>
      </c>
      <c r="R96">
        <f>VLOOKUP(G96,TeamAttrs!$A$2:$D$20,3,FALSE)</f>
        <v>7</v>
      </c>
      <c r="S96">
        <f>RADIANS(VLOOKUP(Table1[[#This Row],[HomeTeam]],TeamAttrs!$A$2:$H$20,7, FALSE))</f>
        <v>0.83164938857529802</v>
      </c>
      <c r="T96">
        <f>RADIANS(VLOOKUP(Table1[[#This Row],[HomeTeam]],TeamAttrs!$A$2:$H$20, 8, FALSE))</f>
        <v>-2.134537675189065</v>
      </c>
      <c r="U96">
        <f>RADIANS(VLOOKUP(Table1[[#This Row],[VisitorTeam]],TeamAttrs!$A$2:$H$20,7,FALSE))</f>
        <v>0.71151314017277234</v>
      </c>
      <c r="V96">
        <f>RADIANS(VLOOKUP(Table1[[#This Row],[VisitorTeam]], TeamAttrs!$A$2:$H$20,8,FALSE))</f>
        <v>-1.954192803580491</v>
      </c>
      <c r="W96" s="5">
        <f>60*DEGREES(ACOS(SIN(Table1[[#This Row],[HomeLat]])*SIN(Table1[[#This Row],[VisitorLat]]) +COS(Table1[[#This Row],[HomeLat]])*COS(Table1[[#This Row],[VisitorLat]])*COS(ABS(Table1[[#This Row],[HomeLong]] -Table1[[#This Row],[VisitorLong]]))))</f>
        <v>605.71619462811998</v>
      </c>
      <c r="X96" s="6">
        <f>VLOOKUP(Table1[[#This Row],[HomeTeam]],TeamAttrs!$A$2:$K$20,5,FALSE)</f>
        <v>3980000</v>
      </c>
      <c r="Y96" s="6">
        <f>VLOOKUP(Table1[[#This Row],[HomeTeam]],TeamAttrs!$A$2:$K$20,9,FALSE)</f>
        <v>43104</v>
      </c>
      <c r="Z96" s="6">
        <f>VLOOKUP(Table1[[#This Row],[HomeTeam]],TeamAttrs!$A$2:$K$20,10,FALSE)</f>
        <v>38500</v>
      </c>
      <c r="AA96" s="6">
        <f>VLOOKUP(Table1[[#This Row],[HomeTeam]],TeamAttrs!$A$2:$K$20,11,FALSE)</f>
        <v>1.1195844155844157</v>
      </c>
    </row>
    <row r="97" spans="1:27" x14ac:dyDescent="0.25">
      <c r="A97" s="1">
        <v>41042</v>
      </c>
      <c r="B97" t="s">
        <v>4</v>
      </c>
      <c r="C97" t="str">
        <f>VLOOKUP(Table1[[#This Row],[HomeTeam]], TeamAttrs!$A$2:$B$20,2,FALSE)</f>
        <v>Phil</v>
      </c>
      <c r="D97">
        <v>2</v>
      </c>
      <c r="E97">
        <v>3</v>
      </c>
      <c r="F97">
        <f>Table1[[#This Row],[HomeTeamScore]]-Table1[[#This Row],[VisitorScore]]</f>
        <v>-1</v>
      </c>
      <c r="G97" t="s">
        <v>15</v>
      </c>
      <c r="H97" t="str">
        <f>VLOOKUP(Table1[[#This Row],[VisitorTeam]],TeamAttrs!$A$2:$B$20, 2, FALSE)</f>
        <v>NY</v>
      </c>
      <c r="I97">
        <f t="shared" si="4"/>
        <v>0</v>
      </c>
      <c r="J97">
        <f t="shared" si="5"/>
        <v>0</v>
      </c>
      <c r="K97">
        <f t="shared" si="6"/>
        <v>1</v>
      </c>
      <c r="L97">
        <f>3*Table1[HomeWin] +Table1[Draw]</f>
        <v>0</v>
      </c>
      <c r="M97">
        <f>3*Table1[HomeLoss]+Table1[Draw]</f>
        <v>3</v>
      </c>
      <c r="N97">
        <f>VLOOKUP(B97,TeamAttrs!$A$2:$C$20,3,FALSE)</f>
        <v>5</v>
      </c>
      <c r="O97">
        <f>VLOOKUP(G97,TeamAttrs!$A$2:$C$20,3,FALSE)</f>
        <v>5</v>
      </c>
      <c r="P97">
        <f t="shared" si="7"/>
        <v>0</v>
      </c>
      <c r="Q97">
        <f>VLOOKUP(B97,TeamAttrs!$A$2:$D$20,3,FALSE)</f>
        <v>5</v>
      </c>
      <c r="R97">
        <f>VLOOKUP(G97,TeamAttrs!$A$2:$D$20,3,FALSE)</f>
        <v>5</v>
      </c>
      <c r="S97">
        <f>RADIANS(VLOOKUP(Table1[[#This Row],[HomeTeam]],TeamAttrs!$A$2:$H$20,7, FALSE))</f>
        <v>0.69609490156065446</v>
      </c>
      <c r="T97">
        <f>RADIANS(VLOOKUP(Table1[[#This Row],[HomeTeam]],TeamAttrs!$A$2:$H$20, 8, FALSE))</f>
        <v>-1.313360262125733</v>
      </c>
      <c r="U97">
        <f>RADIANS(VLOOKUP(Table1[[#This Row],[VisitorTeam]],TeamAttrs!$A$2:$H$20,7,FALSE))</f>
        <v>0.71180286482860333</v>
      </c>
      <c r="V97">
        <f>RADIANS(VLOOKUP(Table1[[#This Row],[VisitorTeam]], TeamAttrs!$A$2:$H$20,8,FALSE))</f>
        <v>-1.2909624518348899</v>
      </c>
      <c r="W97" s="5">
        <f>60*DEGREES(ACOS(SIN(Table1[[#This Row],[HomeLat]])*SIN(Table1[[#This Row],[VisitorLat]]) +COS(Table1[[#This Row],[HomeLat]])*COS(Table1[[#This Row],[VisitorLat]])*COS(ABS(Table1[[#This Row],[HomeLong]] -Table1[[#This Row],[VisitorLong]]))))</f>
        <v>79.754727185209106</v>
      </c>
      <c r="X97" s="6">
        <f>VLOOKUP(Table1[[#This Row],[HomeTeam]],TeamAttrs!$A$2:$K$20,5,FALSE)</f>
        <v>3620000</v>
      </c>
      <c r="Y97" s="6">
        <f>VLOOKUP(Table1[[#This Row],[HomeTeam]],TeamAttrs!$A$2:$K$20,9,FALSE)</f>
        <v>18053</v>
      </c>
      <c r="Z97" s="6">
        <f>VLOOKUP(Table1[[#This Row],[HomeTeam]],TeamAttrs!$A$2:$K$20,10,FALSE)</f>
        <v>18500</v>
      </c>
      <c r="AA97" s="6">
        <f>VLOOKUP(Table1[[#This Row],[HomeTeam]],TeamAttrs!$A$2:$K$20,11,FALSE)</f>
        <v>0.97583783783783784</v>
      </c>
    </row>
    <row r="98" spans="1:27" x14ac:dyDescent="0.25">
      <c r="A98" s="1">
        <v>41042</v>
      </c>
      <c r="B98" t="s">
        <v>5</v>
      </c>
      <c r="C98" t="str">
        <f>VLOOKUP(Table1[[#This Row],[HomeTeam]], TeamAttrs!$A$2:$B$20,2,FALSE)</f>
        <v>SJE</v>
      </c>
      <c r="D98">
        <v>1</v>
      </c>
      <c r="E98">
        <v>1</v>
      </c>
      <c r="F98">
        <f>Table1[[#This Row],[HomeTeamScore]]-Table1[[#This Row],[VisitorScore]]</f>
        <v>0</v>
      </c>
      <c r="G98" t="s">
        <v>2</v>
      </c>
      <c r="H98" t="str">
        <f>VLOOKUP(Table1[[#This Row],[VisitorTeam]],TeamAttrs!$A$2:$B$20, 2, FALSE)</f>
        <v>Chiv</v>
      </c>
      <c r="I98">
        <f t="shared" si="4"/>
        <v>0</v>
      </c>
      <c r="J98">
        <f t="shared" si="5"/>
        <v>1</v>
      </c>
      <c r="K98">
        <f t="shared" si="6"/>
        <v>0</v>
      </c>
      <c r="L98">
        <f>3*Table1[HomeWin] +Table1[Draw]</f>
        <v>1</v>
      </c>
      <c r="M98">
        <f>3*Table1[HomeLoss]+Table1[Draw]</f>
        <v>1</v>
      </c>
      <c r="N98">
        <f>VLOOKUP(B98,TeamAttrs!$A$2:$C$20,3,FALSE)</f>
        <v>8</v>
      </c>
      <c r="O98">
        <f>VLOOKUP(G98,TeamAttrs!$A$2:$C$20,3,FALSE)</f>
        <v>8</v>
      </c>
      <c r="P98">
        <f t="shared" si="7"/>
        <v>0</v>
      </c>
      <c r="Q98">
        <f>VLOOKUP(B98,TeamAttrs!$A$2:$D$20,3,FALSE)</f>
        <v>8</v>
      </c>
      <c r="R98">
        <f>VLOOKUP(G98,TeamAttrs!$A$2:$D$20,3,FALSE)</f>
        <v>8</v>
      </c>
      <c r="S98">
        <f>RADIANS(VLOOKUP(Table1[[#This Row],[HomeTeam]],TeamAttrs!$A$2:$H$20,7, FALSE))</f>
        <v>0.65217194560496516</v>
      </c>
      <c r="T98">
        <f>RADIANS(VLOOKUP(Table1[[#This Row],[HomeTeam]],TeamAttrs!$A$2:$H$20, 8, FALSE))</f>
        <v>-2.1281323168342459</v>
      </c>
      <c r="U98">
        <f>RADIANS(VLOOKUP(Table1[[#This Row],[VisitorTeam]],TeamAttrs!$A$2:$H$20,7,FALSE))</f>
        <v>0.59224781106699187</v>
      </c>
      <c r="V98">
        <f>RADIANS(VLOOKUP(Table1[[#This Row],[VisitorTeam]], TeamAttrs!$A$2:$H$20,8,FALSE))</f>
        <v>-2.0664698343612864</v>
      </c>
      <c r="W98" s="5">
        <f>60*DEGREES(ACOS(SIN(Table1[[#This Row],[HomeLat]])*SIN(Table1[[#This Row],[VisitorLat]]) +COS(Table1[[#This Row],[HomeLat]])*COS(Table1[[#This Row],[VisitorLat]])*COS(ABS(Table1[[#This Row],[HomeLong]] -Table1[[#This Row],[VisitorLong]]))))</f>
        <v>268.48292730997031</v>
      </c>
      <c r="X98" s="6">
        <f>VLOOKUP(Table1[[#This Row],[HomeTeam]],TeamAttrs!$A$2:$K$20,5,FALSE)</f>
        <v>3210000</v>
      </c>
      <c r="Y98" s="6">
        <f>VLOOKUP(Table1[[#This Row],[HomeTeam]],TeamAttrs!$A$2:$K$20,9,FALSE)</f>
        <v>13293</v>
      </c>
      <c r="Z98" s="6">
        <f>VLOOKUP(Table1[[#This Row],[HomeTeam]],TeamAttrs!$A$2:$K$20,10,FALSE)</f>
        <v>10525</v>
      </c>
      <c r="AA98" s="6">
        <f>VLOOKUP(Table1[[#This Row],[HomeTeam]],TeamAttrs!$A$2:$K$20,11,FALSE)</f>
        <v>1.2629928741092638</v>
      </c>
    </row>
    <row r="99" spans="1:27" x14ac:dyDescent="0.25">
      <c r="A99" s="1">
        <v>41044</v>
      </c>
      <c r="B99" t="s">
        <v>13</v>
      </c>
      <c r="C99" t="str">
        <f>VLOOKUP(Table1[[#This Row],[HomeTeam]], TeamAttrs!$A$2:$B$20,2,FALSE)</f>
        <v>Hou</v>
      </c>
      <c r="D99">
        <v>0</v>
      </c>
      <c r="E99">
        <v>0</v>
      </c>
      <c r="F99">
        <f>Table1[[#This Row],[HomeTeamScore]]-Table1[[#This Row],[VisitorScore]]</f>
        <v>0</v>
      </c>
      <c r="G99" t="s">
        <v>12</v>
      </c>
      <c r="H99" t="str">
        <f>VLOOKUP(Table1[[#This Row],[VisitorTeam]],TeamAttrs!$A$2:$B$20, 2, FALSE)</f>
        <v>Port</v>
      </c>
      <c r="I99">
        <f t="shared" si="4"/>
        <v>0</v>
      </c>
      <c r="J99">
        <f t="shared" si="5"/>
        <v>1</v>
      </c>
      <c r="K99">
        <f t="shared" si="6"/>
        <v>0</v>
      </c>
      <c r="L99">
        <f>3*Table1[HomeWin] +Table1[Draw]</f>
        <v>1</v>
      </c>
      <c r="M99">
        <f>3*Table1[HomeLoss]+Table1[Draw]</f>
        <v>1</v>
      </c>
      <c r="N99">
        <f>VLOOKUP(B99,TeamAttrs!$A$2:$C$20,3,FALSE)</f>
        <v>6</v>
      </c>
      <c r="O99">
        <f>VLOOKUP(G99,TeamAttrs!$A$2:$C$20,3,FALSE)</f>
        <v>8</v>
      </c>
      <c r="P99">
        <f t="shared" si="7"/>
        <v>2</v>
      </c>
      <c r="Q99">
        <f>VLOOKUP(B99,TeamAttrs!$A$2:$D$20,3,FALSE)</f>
        <v>6</v>
      </c>
      <c r="R99">
        <f>VLOOKUP(G99,TeamAttrs!$A$2:$D$20,3,FALSE)</f>
        <v>8</v>
      </c>
      <c r="S99">
        <f>RADIANS(VLOOKUP(Table1[[#This Row],[HomeTeam]],TeamAttrs!$A$2:$H$20,7, FALSE))</f>
        <v>0.52301758095738471</v>
      </c>
      <c r="T99">
        <f>RADIANS(VLOOKUP(Table1[[#This Row],[HomeTeam]],TeamAttrs!$A$2:$H$20, 8, FALSE))</f>
        <v>-1.6641714417765932</v>
      </c>
      <c r="U99">
        <f>RADIANS(VLOOKUP(Table1[[#This Row],[VisitorTeam]],TeamAttrs!$A$2:$H$20,7,FALSE))</f>
        <v>0.79587013890941427</v>
      </c>
      <c r="V99">
        <f>RADIANS(VLOOKUP(Table1[[#This Row],[VisitorTeam]], TeamAttrs!$A$2:$H$20,8,FALSE))</f>
        <v>-2.1397736629450481</v>
      </c>
      <c r="W99" s="5">
        <f>60*DEGREES(ACOS(SIN(Table1[[#This Row],[HomeLat]])*SIN(Table1[[#This Row],[VisitorLat]]) +COS(Table1[[#This Row],[HomeLat]])*COS(Table1[[#This Row],[VisitorLat]])*COS(ABS(Table1[[#This Row],[HomeLong]] -Table1[[#This Row],[VisitorLong]]))))</f>
        <v>1583.8115647250368</v>
      </c>
      <c r="X99" s="6">
        <f>VLOOKUP(Table1[[#This Row],[HomeTeam]],TeamAttrs!$A$2:$K$20,5,FALSE)</f>
        <v>3000000</v>
      </c>
      <c r="Y99" s="6">
        <f>VLOOKUP(Table1[[#This Row],[HomeTeam]],TeamAttrs!$A$2:$K$20,9,FALSE)</f>
        <v>20946</v>
      </c>
      <c r="Z99" s="6">
        <f>VLOOKUP(Table1[[#This Row],[HomeTeam]],TeamAttrs!$A$2:$K$20,10,FALSE)</f>
        <v>22000</v>
      </c>
      <c r="AA99" s="6">
        <f>VLOOKUP(Table1[[#This Row],[HomeTeam]],TeamAttrs!$A$2:$K$20,11,FALSE)</f>
        <v>0.9520909090909091</v>
      </c>
    </row>
    <row r="100" spans="1:27" x14ac:dyDescent="0.25">
      <c r="A100" s="1">
        <v>41045</v>
      </c>
      <c r="B100" t="s">
        <v>3</v>
      </c>
      <c r="C100" t="str">
        <f>VLOOKUP(Table1[[#This Row],[HomeTeam]], TeamAttrs!$A$2:$B$20,2,FALSE)</f>
        <v>DCU</v>
      </c>
      <c r="D100">
        <v>2</v>
      </c>
      <c r="E100">
        <v>0</v>
      </c>
      <c r="F100">
        <f>Table1[[#This Row],[HomeTeamScore]]-Table1[[#This Row],[VisitorScore]]</f>
        <v>2</v>
      </c>
      <c r="G100" t="s">
        <v>14</v>
      </c>
      <c r="H100" t="str">
        <f>VLOOKUP(Table1[[#This Row],[VisitorTeam]],TeamAttrs!$A$2:$B$20, 2, FALSE)</f>
        <v>ColRa</v>
      </c>
      <c r="I100">
        <f t="shared" si="4"/>
        <v>1</v>
      </c>
      <c r="J100">
        <f t="shared" si="5"/>
        <v>0</v>
      </c>
      <c r="K100">
        <f t="shared" si="6"/>
        <v>0</v>
      </c>
      <c r="L100">
        <f>3*Table1[HomeWin] +Table1[Draw]</f>
        <v>3</v>
      </c>
      <c r="M100">
        <f>3*Table1[HomeLoss]+Table1[Draw]</f>
        <v>0</v>
      </c>
      <c r="N100">
        <f>VLOOKUP(B100,TeamAttrs!$A$2:$C$20,3,FALSE)</f>
        <v>5</v>
      </c>
      <c r="O100">
        <f>VLOOKUP(G100,TeamAttrs!$A$2:$C$20,3,FALSE)</f>
        <v>7</v>
      </c>
      <c r="P100">
        <f t="shared" si="7"/>
        <v>2</v>
      </c>
      <c r="Q100">
        <f>VLOOKUP(B100,TeamAttrs!$A$2:$D$20,3,FALSE)</f>
        <v>5</v>
      </c>
      <c r="R100">
        <f>VLOOKUP(G100,TeamAttrs!$A$2:$D$20,3,FALSE)</f>
        <v>7</v>
      </c>
      <c r="S100">
        <f>RADIANS(VLOOKUP(Table1[[#This Row],[HomeTeam]],TeamAttrs!$A$2:$H$20,7, FALSE))</f>
        <v>0.67806041439979703</v>
      </c>
      <c r="T100">
        <f>RADIANS(VLOOKUP(Table1[[#This Row],[HomeTeam]],TeamAttrs!$A$2:$H$20, 8, FALSE))</f>
        <v>-1.3444847186765478</v>
      </c>
      <c r="U100">
        <f>RADIANS(VLOOKUP(Table1[[#This Row],[VisitorTeam]],TeamAttrs!$A$2:$H$20,7,FALSE))</f>
        <v>0.69376837766774602</v>
      </c>
      <c r="V100">
        <f>RADIANS(VLOOKUP(Table1[[#This Row],[VisitorTeam]], TeamAttrs!$A$2:$H$20,8,FALSE))</f>
        <v>-1.8302744266888937</v>
      </c>
      <c r="W100" s="5">
        <f>60*DEGREES(ACOS(SIN(Table1[[#This Row],[HomeLat]])*SIN(Table1[[#This Row],[VisitorLat]]) +COS(Table1[[#This Row],[HomeLat]])*COS(Table1[[#This Row],[VisitorLat]])*COS(ABS(Table1[[#This Row],[HomeLong]] -Table1[[#This Row],[VisitorLong]]))))</f>
        <v>1288.2577902359326</v>
      </c>
      <c r="X100" s="6">
        <f>VLOOKUP(Table1[[#This Row],[HomeTeam]],TeamAttrs!$A$2:$K$20,5,FALSE)</f>
        <v>4190000.0000000005</v>
      </c>
      <c r="Y100" s="6">
        <f>VLOOKUP(Table1[[#This Row],[HomeTeam]],TeamAttrs!$A$2:$K$20,9,FALSE)</f>
        <v>13846</v>
      </c>
      <c r="Z100" s="6">
        <f>VLOOKUP(Table1[[#This Row],[HomeTeam]],TeamAttrs!$A$2:$K$20,10,FALSE)</f>
        <v>19467</v>
      </c>
      <c r="AA100" s="6">
        <f>VLOOKUP(Table1[[#This Row],[HomeTeam]],TeamAttrs!$A$2:$K$20,11,FALSE)</f>
        <v>0.71125494426465297</v>
      </c>
    </row>
    <row r="101" spans="1:27" x14ac:dyDescent="0.25">
      <c r="A101" s="1">
        <v>41048</v>
      </c>
      <c r="B101" t="s">
        <v>2</v>
      </c>
      <c r="C101" t="str">
        <f>VLOOKUP(Table1[[#This Row],[HomeTeam]], TeamAttrs!$A$2:$B$20,2,FALSE)</f>
        <v>Chiv</v>
      </c>
      <c r="D101">
        <v>1</v>
      </c>
      <c r="E101">
        <v>0</v>
      </c>
      <c r="F101">
        <f>Table1[[#This Row],[HomeTeamScore]]-Table1[[#This Row],[VisitorScore]]</f>
        <v>1</v>
      </c>
      <c r="G101" t="s">
        <v>16</v>
      </c>
      <c r="H101" t="str">
        <f>VLOOKUP(Table1[[#This Row],[VisitorTeam]],TeamAttrs!$A$2:$B$20, 2, FALSE)</f>
        <v>LAGxy</v>
      </c>
      <c r="I101">
        <f t="shared" si="4"/>
        <v>1</v>
      </c>
      <c r="J101">
        <f t="shared" si="5"/>
        <v>0</v>
      </c>
      <c r="K101">
        <f t="shared" si="6"/>
        <v>0</v>
      </c>
      <c r="L101">
        <f>3*Table1[HomeWin] +Table1[Draw]</f>
        <v>3</v>
      </c>
      <c r="M101">
        <f>3*Table1[HomeLoss]+Table1[Draw]</f>
        <v>0</v>
      </c>
      <c r="N101">
        <f>VLOOKUP(B101,TeamAttrs!$A$2:$C$20,3,FALSE)</f>
        <v>8</v>
      </c>
      <c r="O101">
        <f>VLOOKUP(G101,TeamAttrs!$A$2:$C$20,3,FALSE)</f>
        <v>8</v>
      </c>
      <c r="P101">
        <f t="shared" si="7"/>
        <v>0</v>
      </c>
      <c r="Q101">
        <f>VLOOKUP(B101,TeamAttrs!$A$2:$D$20,3,FALSE)</f>
        <v>8</v>
      </c>
      <c r="R101">
        <f>VLOOKUP(G101,TeamAttrs!$A$2:$D$20,3,FALSE)</f>
        <v>8</v>
      </c>
      <c r="S101">
        <f>RADIANS(VLOOKUP(Table1[[#This Row],[HomeTeam]],TeamAttrs!$A$2:$H$20,7, FALSE))</f>
        <v>0.59224781106699187</v>
      </c>
      <c r="T101">
        <f>RADIANS(VLOOKUP(Table1[[#This Row],[HomeTeam]],TeamAttrs!$A$2:$H$20, 8, FALSE))</f>
        <v>-2.0664698343612864</v>
      </c>
      <c r="U101">
        <f>RADIANS(VLOOKUP(Table1[[#This Row],[VisitorTeam]],TeamAttrs!$A$2:$H$20,7,FALSE))</f>
        <v>0.59224781106699187</v>
      </c>
      <c r="V101">
        <f>RADIANS(VLOOKUP(Table1[[#This Row],[VisitorTeam]], TeamAttrs!$A$2:$H$20,8,FALSE))</f>
        <v>-2.0664698343612864</v>
      </c>
      <c r="W101" s="5">
        <f>60*DEGREES(ACOS(SIN(Table1[[#This Row],[HomeLat]])*SIN(Table1[[#This Row],[VisitorLat]]) +COS(Table1[[#This Row],[HomeLat]])*COS(Table1[[#This Row],[VisitorLat]])*COS(ABS(Table1[[#This Row],[HomeLong]] -Table1[[#This Row],[VisitorLong]]))))</f>
        <v>0</v>
      </c>
      <c r="X101" s="6">
        <f>VLOOKUP(Table1[[#This Row],[HomeTeam]],TeamAttrs!$A$2:$K$20,5,FALSE)</f>
        <v>3230000</v>
      </c>
      <c r="Y101" s="6">
        <f>VLOOKUP(Table1[[#This Row],[HomeTeam]],TeamAttrs!$A$2:$K$20,9,FALSE)</f>
        <v>13056</v>
      </c>
      <c r="Z101" s="6">
        <f>VLOOKUP(Table1[[#This Row],[HomeTeam]],TeamAttrs!$A$2:$K$20,10,FALSE)</f>
        <v>18800</v>
      </c>
      <c r="AA101" s="6">
        <f>VLOOKUP(Table1[[#This Row],[HomeTeam]],TeamAttrs!$A$2:$K$20,11,FALSE)</f>
        <v>0.69446808510638303</v>
      </c>
    </row>
    <row r="102" spans="1:27" x14ac:dyDescent="0.25">
      <c r="A102" s="1">
        <v>41048</v>
      </c>
      <c r="B102" t="s">
        <v>14</v>
      </c>
      <c r="C102" t="str">
        <f>VLOOKUP(Table1[[#This Row],[HomeTeam]], TeamAttrs!$A$2:$B$20,2,FALSE)</f>
        <v>ColRa</v>
      </c>
      <c r="D102">
        <v>2</v>
      </c>
      <c r="E102">
        <v>2</v>
      </c>
      <c r="F102">
        <f>Table1[[#This Row],[HomeTeamScore]]-Table1[[#This Row],[VisitorScore]]</f>
        <v>0</v>
      </c>
      <c r="G102" t="s">
        <v>6</v>
      </c>
      <c r="H102" t="str">
        <f>VLOOKUP(Table1[[#This Row],[VisitorTeam]],TeamAttrs!$A$2:$B$20, 2, FALSE)</f>
        <v>SKC</v>
      </c>
      <c r="I102">
        <f t="shared" si="4"/>
        <v>0</v>
      </c>
      <c r="J102">
        <f t="shared" si="5"/>
        <v>1</v>
      </c>
      <c r="K102">
        <f t="shared" si="6"/>
        <v>0</v>
      </c>
      <c r="L102">
        <f>3*Table1[HomeWin] +Table1[Draw]</f>
        <v>1</v>
      </c>
      <c r="M102">
        <f>3*Table1[HomeLoss]+Table1[Draw]</f>
        <v>1</v>
      </c>
      <c r="N102">
        <f>VLOOKUP(B102,TeamAttrs!$A$2:$C$20,3,FALSE)</f>
        <v>7</v>
      </c>
      <c r="O102">
        <f>VLOOKUP(G102,TeamAttrs!$A$2:$C$20,3,FALSE)</f>
        <v>6</v>
      </c>
      <c r="P102">
        <f t="shared" si="7"/>
        <v>-1</v>
      </c>
      <c r="Q102">
        <f>VLOOKUP(B102,TeamAttrs!$A$2:$D$20,3,FALSE)</f>
        <v>7</v>
      </c>
      <c r="R102">
        <f>VLOOKUP(G102,TeamAttrs!$A$2:$D$20,3,FALSE)</f>
        <v>6</v>
      </c>
      <c r="S102">
        <f>RADIANS(VLOOKUP(Table1[[#This Row],[HomeTeam]],TeamAttrs!$A$2:$H$20,7, FALSE))</f>
        <v>0.69376837766774602</v>
      </c>
      <c r="T102">
        <f>RADIANS(VLOOKUP(Table1[[#This Row],[HomeTeam]],TeamAttrs!$A$2:$H$20, 8, FALSE))</f>
        <v>-1.8302744266888937</v>
      </c>
      <c r="U102">
        <f>RADIANS(VLOOKUP(Table1[[#This Row],[VisitorTeam]],TeamAttrs!$A$2:$H$20,7,FALSE))</f>
        <v>0.68271520751486592</v>
      </c>
      <c r="V102">
        <f>RADIANS(VLOOKUP(Table1[[#This Row],[VisitorTeam]], TeamAttrs!$A$2:$H$20,8,FALSE))</f>
        <v>-1.65166266702755</v>
      </c>
      <c r="W102" s="5">
        <f>60*DEGREES(ACOS(SIN(Table1[[#This Row],[HomeLat]])*SIN(Table1[[#This Row],[VisitorLat]]) +COS(Table1[[#This Row],[HomeLat]])*COS(Table1[[#This Row],[VisitorLat]])*COS(ABS(Table1[[#This Row],[HomeLong]] -Table1[[#This Row],[VisitorLong]]))))</f>
        <v>475.50703348538389</v>
      </c>
      <c r="X102" s="6">
        <f>VLOOKUP(Table1[[#This Row],[HomeTeam]],TeamAttrs!$A$2:$K$20,5,FALSE)</f>
        <v>3430000</v>
      </c>
      <c r="Y102" s="6">
        <f>VLOOKUP(Table1[[#This Row],[HomeTeam]],TeamAttrs!$A$2:$K$20,9,FALSE)</f>
        <v>15175</v>
      </c>
      <c r="Z102" s="6">
        <f>VLOOKUP(Table1[[#This Row],[HomeTeam]],TeamAttrs!$A$2:$K$20,10,FALSE)</f>
        <v>18086</v>
      </c>
      <c r="AA102" s="6">
        <f>VLOOKUP(Table1[[#This Row],[HomeTeam]],TeamAttrs!$A$2:$K$20,11,FALSE)</f>
        <v>0.83904677651221937</v>
      </c>
    </row>
    <row r="103" spans="1:27" x14ac:dyDescent="0.25">
      <c r="A103" s="1">
        <v>41048</v>
      </c>
      <c r="B103" t="s">
        <v>3</v>
      </c>
      <c r="C103" t="str">
        <f>VLOOKUP(Table1[[#This Row],[HomeTeam]], TeamAttrs!$A$2:$B$20,2,FALSE)</f>
        <v>DCU</v>
      </c>
      <c r="D103">
        <v>3</v>
      </c>
      <c r="E103">
        <v>1</v>
      </c>
      <c r="F103">
        <f>Table1[[#This Row],[HomeTeamScore]]-Table1[[#This Row],[VisitorScore]]</f>
        <v>2</v>
      </c>
      <c r="G103" t="s">
        <v>10</v>
      </c>
      <c r="H103" t="str">
        <f>VLOOKUP(Table1[[#This Row],[VisitorTeam]],TeamAttrs!$A$2:$B$20, 2, FALSE)</f>
        <v>Tor</v>
      </c>
      <c r="I103">
        <f t="shared" si="4"/>
        <v>1</v>
      </c>
      <c r="J103">
        <f t="shared" si="5"/>
        <v>0</v>
      </c>
      <c r="K103">
        <f t="shared" si="6"/>
        <v>0</v>
      </c>
      <c r="L103">
        <f>3*Table1[HomeWin] +Table1[Draw]</f>
        <v>3</v>
      </c>
      <c r="M103">
        <f>3*Table1[HomeLoss]+Table1[Draw]</f>
        <v>0</v>
      </c>
      <c r="N103">
        <f>VLOOKUP(B103,TeamAttrs!$A$2:$C$20,3,FALSE)</f>
        <v>5</v>
      </c>
      <c r="O103">
        <f>VLOOKUP(G103,TeamAttrs!$A$2:$C$20,3,FALSE)</f>
        <v>5</v>
      </c>
      <c r="P103">
        <f t="shared" si="7"/>
        <v>0</v>
      </c>
      <c r="Q103">
        <f>VLOOKUP(B103,TeamAttrs!$A$2:$D$20,3,FALSE)</f>
        <v>5</v>
      </c>
      <c r="R103">
        <f>VLOOKUP(G103,TeamAttrs!$A$2:$D$20,3,FALSE)</f>
        <v>5</v>
      </c>
      <c r="S103">
        <f>RADIANS(VLOOKUP(Table1[[#This Row],[HomeTeam]],TeamAttrs!$A$2:$H$20,7, FALSE))</f>
        <v>0.67806041439979703</v>
      </c>
      <c r="T103">
        <f>RADIANS(VLOOKUP(Table1[[#This Row],[HomeTeam]],TeamAttrs!$A$2:$H$20, 8, FALSE))</f>
        <v>-1.3444847186765478</v>
      </c>
      <c r="U103">
        <f>RADIANS(VLOOKUP(Table1[[#This Row],[VisitorTeam]],TeamAttrs!$A$2:$H$20,7,FALSE))</f>
        <v>0.76241741313643896</v>
      </c>
      <c r="V103">
        <f>RADIANS(VLOOKUP(Table1[[#This Row],[VisitorTeam]], TeamAttrs!$A$2:$H$20,8,FALSE))</f>
        <v>-1.3898632792284005</v>
      </c>
      <c r="W103" s="5">
        <f>60*DEGREES(ACOS(SIN(Table1[[#This Row],[HomeLat]])*SIN(Table1[[#This Row],[VisitorLat]]) +COS(Table1[[#This Row],[HomeLat]])*COS(Table1[[#This Row],[VisitorLat]])*COS(ABS(Table1[[#This Row],[HomeLong]] -Table1[[#This Row],[VisitorLong]]))))</f>
        <v>312.76196193076703</v>
      </c>
      <c r="X103" s="6">
        <f>VLOOKUP(Table1[[#This Row],[HomeTeam]],TeamAttrs!$A$2:$K$20,5,FALSE)</f>
        <v>4190000.0000000005</v>
      </c>
      <c r="Y103" s="6">
        <f>VLOOKUP(Table1[[#This Row],[HomeTeam]],TeamAttrs!$A$2:$K$20,9,FALSE)</f>
        <v>13846</v>
      </c>
      <c r="Z103" s="6">
        <f>VLOOKUP(Table1[[#This Row],[HomeTeam]],TeamAttrs!$A$2:$K$20,10,FALSE)</f>
        <v>19467</v>
      </c>
      <c r="AA103" s="6">
        <f>VLOOKUP(Table1[[#This Row],[HomeTeam]],TeamAttrs!$A$2:$K$20,11,FALSE)</f>
        <v>0.71125494426465297</v>
      </c>
    </row>
    <row r="104" spans="1:27" x14ac:dyDescent="0.25">
      <c r="A104" s="1">
        <v>41048</v>
      </c>
      <c r="B104" t="s">
        <v>7</v>
      </c>
      <c r="C104" t="str">
        <f>VLOOKUP(Table1[[#This Row],[HomeTeam]], TeamAttrs!$A$2:$B$20,2,FALSE)</f>
        <v>FCDal</v>
      </c>
      <c r="D104">
        <v>1</v>
      </c>
      <c r="E104">
        <v>1</v>
      </c>
      <c r="F104">
        <f>Table1[[#This Row],[HomeTeamScore]]-Table1[[#This Row],[VisitorScore]]</f>
        <v>0</v>
      </c>
      <c r="G104" t="s">
        <v>4</v>
      </c>
      <c r="H104" t="str">
        <f>VLOOKUP(Table1[[#This Row],[VisitorTeam]],TeamAttrs!$A$2:$B$20, 2, FALSE)</f>
        <v>Phil</v>
      </c>
      <c r="I104">
        <f t="shared" si="4"/>
        <v>0</v>
      </c>
      <c r="J104">
        <f t="shared" si="5"/>
        <v>1</v>
      </c>
      <c r="K104">
        <f t="shared" si="6"/>
        <v>0</v>
      </c>
      <c r="L104">
        <f>3*Table1[HomeWin] +Table1[Draw]</f>
        <v>1</v>
      </c>
      <c r="M104">
        <f>3*Table1[HomeLoss]+Table1[Draw]</f>
        <v>1</v>
      </c>
      <c r="N104">
        <f>VLOOKUP(B104,TeamAttrs!$A$2:$C$20,3,FALSE)</f>
        <v>6</v>
      </c>
      <c r="O104">
        <f>VLOOKUP(G104,TeamAttrs!$A$2:$C$20,3,FALSE)</f>
        <v>5</v>
      </c>
      <c r="P104">
        <f t="shared" si="7"/>
        <v>-1</v>
      </c>
      <c r="Q104">
        <f>VLOOKUP(B104,TeamAttrs!$A$2:$D$20,3,FALSE)</f>
        <v>6</v>
      </c>
      <c r="R104">
        <f>VLOOKUP(G104,TeamAttrs!$A$2:$D$20,3,FALSE)</f>
        <v>5</v>
      </c>
      <c r="S104">
        <f>RADIANS(VLOOKUP(Table1[[#This Row],[HomeTeam]],TeamAttrs!$A$2:$H$20,7, FALSE))</f>
        <v>0.57334065928013733</v>
      </c>
      <c r="T104">
        <f>RADIANS(VLOOKUP(Table1[[#This Row],[HomeTeam]],TeamAttrs!$A$2:$H$20, 8, FALSE))</f>
        <v>-1.690351380556508</v>
      </c>
      <c r="U104">
        <f>RADIANS(VLOOKUP(Table1[[#This Row],[VisitorTeam]],TeamAttrs!$A$2:$H$20,7,FALSE))</f>
        <v>0.69609490156065446</v>
      </c>
      <c r="V104">
        <f>RADIANS(VLOOKUP(Table1[[#This Row],[VisitorTeam]], TeamAttrs!$A$2:$H$20,8,FALSE))</f>
        <v>-1.313360262125733</v>
      </c>
      <c r="W104" s="5">
        <f>60*DEGREES(ACOS(SIN(Table1[[#This Row],[HomeLat]])*SIN(Table1[[#This Row],[VisitorLat]]) +COS(Table1[[#This Row],[HomeLat]])*COS(Table1[[#This Row],[VisitorLat]])*COS(ABS(Table1[[#This Row],[HomeLong]] -Table1[[#This Row],[VisitorLong]]))))</f>
        <v>1122.048668410833</v>
      </c>
      <c r="X104" s="6">
        <f>VLOOKUP(Table1[[#This Row],[HomeTeam]],TeamAttrs!$A$2:$K$20,5,FALSE)</f>
        <v>3450000</v>
      </c>
      <c r="Y104" s="6">
        <f>VLOOKUP(Table1[[#This Row],[HomeTeam]],TeamAttrs!$A$2:$K$20,9,FALSE)</f>
        <v>14199</v>
      </c>
      <c r="Z104" s="6">
        <f>VLOOKUP(Table1[[#This Row],[HomeTeam]],TeamAttrs!$A$2:$K$20,10,FALSE)</f>
        <v>20500</v>
      </c>
      <c r="AA104" s="6">
        <f>VLOOKUP(Table1[[#This Row],[HomeTeam]],TeamAttrs!$A$2:$K$20,11,FALSE)</f>
        <v>0.69263414634146336</v>
      </c>
    </row>
    <row r="105" spans="1:27" x14ac:dyDescent="0.25">
      <c r="A105" s="1">
        <v>41048</v>
      </c>
      <c r="B105" t="s">
        <v>1</v>
      </c>
      <c r="C105" t="str">
        <f>VLOOKUP(Table1[[#This Row],[HomeTeam]], TeamAttrs!$A$2:$B$20,2,FALSE)</f>
        <v>Mntrl</v>
      </c>
      <c r="D105">
        <v>1</v>
      </c>
      <c r="E105">
        <v>2</v>
      </c>
      <c r="F105">
        <f>Table1[[#This Row],[HomeTeamScore]]-Table1[[#This Row],[VisitorScore]]</f>
        <v>-1</v>
      </c>
      <c r="G105" t="s">
        <v>15</v>
      </c>
      <c r="H105" t="str">
        <f>VLOOKUP(Table1[[#This Row],[VisitorTeam]],TeamAttrs!$A$2:$B$20, 2, FALSE)</f>
        <v>NY</v>
      </c>
      <c r="I105">
        <f t="shared" si="4"/>
        <v>0</v>
      </c>
      <c r="J105">
        <f t="shared" si="5"/>
        <v>0</v>
      </c>
      <c r="K105">
        <f t="shared" si="6"/>
        <v>1</v>
      </c>
      <c r="L105">
        <f>3*Table1[HomeWin] +Table1[Draw]</f>
        <v>0</v>
      </c>
      <c r="M105">
        <f>3*Table1[HomeLoss]+Table1[Draw]</f>
        <v>3</v>
      </c>
      <c r="N105">
        <f>VLOOKUP(B105,TeamAttrs!$A$2:$C$20,3,FALSE)</f>
        <v>5</v>
      </c>
      <c r="O105">
        <f>VLOOKUP(G105,TeamAttrs!$A$2:$C$20,3,FALSE)</f>
        <v>5</v>
      </c>
      <c r="P105">
        <f t="shared" si="7"/>
        <v>0</v>
      </c>
      <c r="Q105">
        <f>VLOOKUP(B105,TeamAttrs!$A$2:$D$20,3,FALSE)</f>
        <v>5</v>
      </c>
      <c r="R105">
        <f>VLOOKUP(G105,TeamAttrs!$A$2:$D$20,3,FALSE)</f>
        <v>5</v>
      </c>
      <c r="S105">
        <f>RADIANS(VLOOKUP(Table1[[#This Row],[HomeTeam]],TeamAttrs!$A$2:$H$20,7, FALSE))</f>
        <v>0.79354361501650583</v>
      </c>
      <c r="T105">
        <f>RADIANS(VLOOKUP(Table1[[#This Row],[HomeTeam]],TeamAttrs!$A$2:$H$20, 8, FALSE))</f>
        <v>-1.2871803233458181</v>
      </c>
      <c r="U105">
        <f>RADIANS(VLOOKUP(Table1[[#This Row],[VisitorTeam]],TeamAttrs!$A$2:$H$20,7,FALSE))</f>
        <v>0.71180286482860333</v>
      </c>
      <c r="V105">
        <f>RADIANS(VLOOKUP(Table1[[#This Row],[VisitorTeam]], TeamAttrs!$A$2:$H$20,8,FALSE))</f>
        <v>-1.2909624518348899</v>
      </c>
      <c r="W105" s="5">
        <f>60*DEGREES(ACOS(SIN(Table1[[#This Row],[HomeLat]])*SIN(Table1[[#This Row],[VisitorLat]]) +COS(Table1[[#This Row],[HomeLat]])*COS(Table1[[#This Row],[VisitorLat]])*COS(ABS(Table1[[#This Row],[HomeLong]] -Table1[[#This Row],[VisitorLong]]))))</f>
        <v>281.16386690877181</v>
      </c>
      <c r="X105" s="6">
        <f>VLOOKUP(Table1[[#This Row],[HomeTeam]],TeamAttrs!$A$2:$K$20,5,FALSE)</f>
        <v>3030000</v>
      </c>
      <c r="Y105" s="6">
        <f>VLOOKUP(Table1[[#This Row],[HomeTeam]],TeamAttrs!$A$2:$K$20,9,FALSE)</f>
        <v>22772</v>
      </c>
      <c r="Z105" s="6">
        <f>VLOOKUP(Table1[[#This Row],[HomeTeam]],TeamAttrs!$A$2:$K$20,10,FALSE)</f>
        <v>20341</v>
      </c>
      <c r="AA105" s="6">
        <f>VLOOKUP(Table1[[#This Row],[HomeTeam]],TeamAttrs!$A$2:$K$20,11,FALSE)</f>
        <v>1.1195123150287596</v>
      </c>
    </row>
    <row r="106" spans="1:27" x14ac:dyDescent="0.25">
      <c r="A106" s="1">
        <v>41048</v>
      </c>
      <c r="B106" t="s">
        <v>9</v>
      </c>
      <c r="C106" t="str">
        <f>VLOOKUP(Table1[[#This Row],[HomeTeam]], TeamAttrs!$A$2:$B$20,2,FALSE)</f>
        <v>NE</v>
      </c>
      <c r="D106">
        <v>2</v>
      </c>
      <c r="E106">
        <v>2</v>
      </c>
      <c r="F106">
        <f>Table1[[#This Row],[HomeTeamScore]]-Table1[[#This Row],[VisitorScore]]</f>
        <v>0</v>
      </c>
      <c r="G106" t="s">
        <v>13</v>
      </c>
      <c r="H106" t="str">
        <f>VLOOKUP(Table1[[#This Row],[VisitorTeam]],TeamAttrs!$A$2:$B$20, 2, FALSE)</f>
        <v>Hou</v>
      </c>
      <c r="I106">
        <f t="shared" si="4"/>
        <v>0</v>
      </c>
      <c r="J106">
        <f t="shared" si="5"/>
        <v>1</v>
      </c>
      <c r="K106">
        <f t="shared" si="6"/>
        <v>0</v>
      </c>
      <c r="L106">
        <f>3*Table1[HomeWin] +Table1[Draw]</f>
        <v>1</v>
      </c>
      <c r="M106">
        <f>3*Table1[HomeLoss]+Table1[Draw]</f>
        <v>1</v>
      </c>
      <c r="N106">
        <f>VLOOKUP(B106,TeamAttrs!$A$2:$C$20,3,FALSE)</f>
        <v>5</v>
      </c>
      <c r="O106">
        <f>VLOOKUP(G106,TeamAttrs!$A$2:$C$20,3,FALSE)</f>
        <v>6</v>
      </c>
      <c r="P106">
        <f t="shared" si="7"/>
        <v>1</v>
      </c>
      <c r="Q106">
        <f>VLOOKUP(B106,TeamAttrs!$A$2:$D$20,3,FALSE)</f>
        <v>5</v>
      </c>
      <c r="R106">
        <f>VLOOKUP(G106,TeamAttrs!$A$2:$D$20,3,FALSE)</f>
        <v>6</v>
      </c>
      <c r="S106">
        <f>RADIANS(VLOOKUP(Table1[[#This Row],[HomeTeam]],TeamAttrs!$A$2:$H$20,7, FALSE))</f>
        <v>0.73943840820468165</v>
      </c>
      <c r="T106">
        <f>RADIANS(VLOOKUP(Table1[[#This Row],[HomeTeam]],TeamAttrs!$A$2:$H$20, 8, FALSE))</f>
        <v>-1.2397649635568881</v>
      </c>
      <c r="U106">
        <f>RADIANS(VLOOKUP(Table1[[#This Row],[VisitorTeam]],TeamAttrs!$A$2:$H$20,7,FALSE))</f>
        <v>0.52301758095738471</v>
      </c>
      <c r="V106">
        <f>RADIANS(VLOOKUP(Table1[[#This Row],[VisitorTeam]], TeamAttrs!$A$2:$H$20,8,FALSE))</f>
        <v>-1.6641714417765932</v>
      </c>
      <c r="W106" s="5">
        <f>60*DEGREES(ACOS(SIN(Table1[[#This Row],[HomeLat]])*SIN(Table1[[#This Row],[VisitorLat]]) +COS(Table1[[#This Row],[HomeLat]])*COS(Table1[[#This Row],[VisitorLat]])*COS(ABS(Table1[[#This Row],[HomeLong]] -Table1[[#This Row],[VisitorLong]]))))</f>
        <v>1385.4265066826183</v>
      </c>
      <c r="X106" s="6">
        <f>VLOOKUP(Table1[[#This Row],[HomeTeam]],TeamAttrs!$A$2:$K$20,5,FALSE)</f>
        <v>3260000</v>
      </c>
      <c r="Y106" s="6">
        <f>VLOOKUP(Table1[[#This Row],[HomeTeam]],TeamAttrs!$A$2:$K$20,9,FALSE)</f>
        <v>14001</v>
      </c>
      <c r="Z106" s="6">
        <f>VLOOKUP(Table1[[#This Row],[HomeTeam]],TeamAttrs!$A$2:$K$20,10,FALSE)</f>
        <v>20000</v>
      </c>
      <c r="AA106" s="6">
        <f>VLOOKUP(Table1[[#This Row],[HomeTeam]],TeamAttrs!$A$2:$K$20,11,FALSE)</f>
        <v>0.70004999999999995</v>
      </c>
    </row>
    <row r="107" spans="1:27" x14ac:dyDescent="0.25">
      <c r="A107" s="1">
        <v>41048</v>
      </c>
      <c r="B107" t="s">
        <v>5</v>
      </c>
      <c r="C107" t="str">
        <f>VLOOKUP(Table1[[#This Row],[HomeTeam]], TeamAttrs!$A$2:$B$20,2,FALSE)</f>
        <v>SJE</v>
      </c>
      <c r="D107">
        <v>1</v>
      </c>
      <c r="E107">
        <v>1</v>
      </c>
      <c r="F107">
        <f>Table1[[#This Row],[HomeTeamScore]]-Table1[[#This Row],[VisitorScore]]</f>
        <v>0</v>
      </c>
      <c r="G107" t="s">
        <v>8</v>
      </c>
      <c r="H107" t="str">
        <f>VLOOKUP(Table1[[#This Row],[VisitorTeam]],TeamAttrs!$A$2:$B$20, 2, FALSE)</f>
        <v>Colum</v>
      </c>
      <c r="I107">
        <f t="shared" si="4"/>
        <v>0</v>
      </c>
      <c r="J107">
        <f t="shared" si="5"/>
        <v>1</v>
      </c>
      <c r="K107">
        <f t="shared" si="6"/>
        <v>0</v>
      </c>
      <c r="L107">
        <f>3*Table1[HomeWin] +Table1[Draw]</f>
        <v>1</v>
      </c>
      <c r="M107">
        <f>3*Table1[HomeLoss]+Table1[Draw]</f>
        <v>1</v>
      </c>
      <c r="N107">
        <f>VLOOKUP(B107,TeamAttrs!$A$2:$C$20,3,FALSE)</f>
        <v>8</v>
      </c>
      <c r="O107">
        <f>VLOOKUP(G107,TeamAttrs!$A$2:$C$20,3,FALSE)</f>
        <v>5</v>
      </c>
      <c r="P107">
        <f t="shared" si="7"/>
        <v>-3</v>
      </c>
      <c r="Q107">
        <f>VLOOKUP(B107,TeamAttrs!$A$2:$D$20,3,FALSE)</f>
        <v>8</v>
      </c>
      <c r="R107">
        <f>VLOOKUP(G107,TeamAttrs!$A$2:$D$20,3,FALSE)</f>
        <v>5</v>
      </c>
      <c r="S107">
        <f>RADIANS(VLOOKUP(Table1[[#This Row],[HomeTeam]],TeamAttrs!$A$2:$H$20,7, FALSE))</f>
        <v>0.65217194560496516</v>
      </c>
      <c r="T107">
        <f>RADIANS(VLOOKUP(Table1[[#This Row],[HomeTeam]],TeamAttrs!$A$2:$H$20, 8, FALSE))</f>
        <v>-2.1281323168342459</v>
      </c>
      <c r="U107">
        <f>RADIANS(VLOOKUP(Table1[[#This Row],[VisitorTeam]],TeamAttrs!$A$2:$H$20,7,FALSE))</f>
        <v>0.69813170079773179</v>
      </c>
      <c r="V107">
        <f>RADIANS(VLOOKUP(Table1[[#This Row],[VisitorTeam]], TeamAttrs!$A$2:$H$20,8,FALSE))</f>
        <v>-1.4465864799182162</v>
      </c>
      <c r="W107" s="5">
        <f>60*DEGREES(ACOS(SIN(Table1[[#This Row],[HomeLat]])*SIN(Table1[[#This Row],[VisitorLat]]) +COS(Table1[[#This Row],[HomeLat]])*COS(Table1[[#This Row],[VisitorLat]])*COS(ABS(Table1[[#This Row],[HomeLong]] -Table1[[#This Row],[VisitorLong]]))))</f>
        <v>1821.1567340483703</v>
      </c>
      <c r="X107" s="6">
        <f>VLOOKUP(Table1[[#This Row],[HomeTeam]],TeamAttrs!$A$2:$K$20,5,FALSE)</f>
        <v>3210000</v>
      </c>
      <c r="Y107" s="6">
        <f>VLOOKUP(Table1[[#This Row],[HomeTeam]],TeamAttrs!$A$2:$K$20,9,FALSE)</f>
        <v>13293</v>
      </c>
      <c r="Z107" s="6">
        <f>VLOOKUP(Table1[[#This Row],[HomeTeam]],TeamAttrs!$A$2:$K$20,10,FALSE)</f>
        <v>10525</v>
      </c>
      <c r="AA107" s="6">
        <f>VLOOKUP(Table1[[#This Row],[HomeTeam]],TeamAttrs!$A$2:$K$20,11,FALSE)</f>
        <v>1.2629928741092638</v>
      </c>
    </row>
    <row r="108" spans="1:27" x14ac:dyDescent="0.25">
      <c r="A108" s="1">
        <v>41048</v>
      </c>
      <c r="B108" t="s">
        <v>0</v>
      </c>
      <c r="C108" t="str">
        <f>VLOOKUP(Table1[[#This Row],[HomeTeam]], TeamAttrs!$A$2:$B$20,2,FALSE)</f>
        <v>Van</v>
      </c>
      <c r="D108">
        <v>2</v>
      </c>
      <c r="E108">
        <v>2</v>
      </c>
      <c r="F108">
        <f>Table1[[#This Row],[HomeTeamScore]]-Table1[[#This Row],[VisitorScore]]</f>
        <v>0</v>
      </c>
      <c r="G108" t="s">
        <v>11</v>
      </c>
      <c r="H108" t="str">
        <f>VLOOKUP(Table1[[#This Row],[VisitorTeam]],TeamAttrs!$A$2:$B$20, 2, FALSE)</f>
        <v>SEA</v>
      </c>
      <c r="I108">
        <f t="shared" si="4"/>
        <v>0</v>
      </c>
      <c r="J108">
        <f t="shared" si="5"/>
        <v>1</v>
      </c>
      <c r="K108">
        <f t="shared" si="6"/>
        <v>0</v>
      </c>
      <c r="L108">
        <f>3*Table1[HomeWin] +Table1[Draw]</f>
        <v>1</v>
      </c>
      <c r="M108">
        <f>3*Table1[HomeLoss]+Table1[Draw]</f>
        <v>1</v>
      </c>
      <c r="N108">
        <f>VLOOKUP(B108,TeamAttrs!$A$2:$C$20,3,FALSE)</f>
        <v>8</v>
      </c>
      <c r="O108">
        <f>VLOOKUP(G108,TeamAttrs!$A$2:$C$20,3,FALSE)</f>
        <v>8</v>
      </c>
      <c r="P108">
        <f t="shared" si="7"/>
        <v>0</v>
      </c>
      <c r="Q108">
        <f>VLOOKUP(B108,TeamAttrs!$A$2:$D$20,3,FALSE)</f>
        <v>8</v>
      </c>
      <c r="R108">
        <f>VLOOKUP(G108,TeamAttrs!$A$2:$D$20,3,FALSE)</f>
        <v>8</v>
      </c>
      <c r="S108">
        <f>RADIANS(VLOOKUP(Table1[[#This Row],[HomeTeam]],TeamAttrs!$A$2:$H$20,7, FALSE))</f>
        <v>0.86015585124812133</v>
      </c>
      <c r="T108">
        <f>RADIANS(VLOOKUP(Table1[[#This Row],[HomeTeam]],TeamAttrs!$A$2:$H$20, 8, FALSE))</f>
        <v>-2.1487970151778586</v>
      </c>
      <c r="U108">
        <f>RADIANS(VLOOKUP(Table1[[#This Row],[VisitorTeam]],TeamAttrs!$A$2:$H$20,7,FALSE))</f>
        <v>0.83164938857529802</v>
      </c>
      <c r="V108">
        <f>RADIANS(VLOOKUP(Table1[[#This Row],[VisitorTeam]], TeamAttrs!$A$2:$H$20,8,FALSE))</f>
        <v>-2.134537675189065</v>
      </c>
      <c r="W108" s="5">
        <f>60*DEGREES(ACOS(SIN(Table1[[#This Row],[HomeLat]])*SIN(Table1[[#This Row],[VisitorLat]]) +COS(Table1[[#This Row],[HomeLat]])*COS(Table1[[#This Row],[VisitorLat]])*COS(ABS(Table1[[#This Row],[HomeLong]] -Table1[[#This Row],[VisitorLong]]))))</f>
        <v>103.24581259540123</v>
      </c>
      <c r="X108" s="6">
        <f>VLOOKUP(Table1[[#This Row],[HomeTeam]],TeamAttrs!$A$2:$K$20,5,FALSE)</f>
        <v>4370000</v>
      </c>
      <c r="Y108" s="6">
        <f>VLOOKUP(Table1[[#This Row],[HomeTeam]],TeamAttrs!$A$2:$K$20,9,FALSE)</f>
        <v>19475</v>
      </c>
      <c r="Z108" s="6">
        <f>VLOOKUP(Table1[[#This Row],[HomeTeam]],TeamAttrs!$A$2:$K$20,10,FALSE)</f>
        <v>21000</v>
      </c>
      <c r="AA108" s="6">
        <f>VLOOKUP(Table1[[#This Row],[HomeTeam]],TeamAttrs!$A$2:$K$20,11,FALSE)</f>
        <v>0.92738095238095242</v>
      </c>
    </row>
    <row r="109" spans="1:27" x14ac:dyDescent="0.25">
      <c r="A109" s="1">
        <v>41049</v>
      </c>
      <c r="B109" t="s">
        <v>12</v>
      </c>
      <c r="C109" t="str">
        <f>VLOOKUP(Table1[[#This Row],[HomeTeam]], TeamAttrs!$A$2:$B$20,2,FALSE)</f>
        <v>Port</v>
      </c>
      <c r="D109">
        <v>2</v>
      </c>
      <c r="E109">
        <v>1</v>
      </c>
      <c r="F109">
        <f>Table1[[#This Row],[HomeTeamScore]]-Table1[[#This Row],[VisitorScore]]</f>
        <v>1</v>
      </c>
      <c r="G109" t="s">
        <v>17</v>
      </c>
      <c r="H109" t="str">
        <f>VLOOKUP(Table1[[#This Row],[VisitorTeam]],TeamAttrs!$A$2:$B$20, 2, FALSE)</f>
        <v>Chi</v>
      </c>
      <c r="I109">
        <f t="shared" si="4"/>
        <v>1</v>
      </c>
      <c r="J109">
        <f t="shared" si="5"/>
        <v>0</v>
      </c>
      <c r="K109">
        <f t="shared" si="6"/>
        <v>0</v>
      </c>
      <c r="L109">
        <f>3*Table1[HomeWin] +Table1[Draw]</f>
        <v>3</v>
      </c>
      <c r="M109">
        <f>3*Table1[HomeLoss]+Table1[Draw]</f>
        <v>0</v>
      </c>
      <c r="N109">
        <f>VLOOKUP(B109,TeamAttrs!$A$2:$C$20,3,FALSE)</f>
        <v>8</v>
      </c>
      <c r="O109">
        <f>VLOOKUP(G109,TeamAttrs!$A$2:$C$20,3,FALSE)</f>
        <v>6</v>
      </c>
      <c r="P109">
        <f t="shared" si="7"/>
        <v>-2</v>
      </c>
      <c r="Q109">
        <f>VLOOKUP(B109,TeamAttrs!$A$2:$D$20,3,FALSE)</f>
        <v>8</v>
      </c>
      <c r="R109">
        <f>VLOOKUP(G109,TeamAttrs!$A$2:$D$20,3,FALSE)</f>
        <v>6</v>
      </c>
      <c r="S109">
        <f>RADIANS(VLOOKUP(Table1[[#This Row],[HomeTeam]],TeamAttrs!$A$2:$H$20,7, FALSE))</f>
        <v>0.79587013890941427</v>
      </c>
      <c r="T109">
        <f>RADIANS(VLOOKUP(Table1[[#This Row],[HomeTeam]],TeamAttrs!$A$2:$H$20, 8, FALSE))</f>
        <v>-2.1397736629450481</v>
      </c>
      <c r="U109">
        <f>RADIANS(VLOOKUP(Table1[[#This Row],[VisitorTeam]],TeamAttrs!$A$2:$H$20,7,FALSE))</f>
        <v>0.72925615734854665</v>
      </c>
      <c r="V109">
        <f>RADIANS(VLOOKUP(Table1[[#This Row],[VisitorTeam]], TeamAttrs!$A$2:$H$20,8,FALSE))</f>
        <v>-1.5315264186250241</v>
      </c>
      <c r="W109" s="5">
        <f>60*DEGREES(ACOS(SIN(Table1[[#This Row],[HomeLat]])*SIN(Table1[[#This Row],[VisitorLat]]) +COS(Table1[[#This Row],[HomeLat]])*COS(Table1[[#This Row],[VisitorLat]])*COS(ABS(Table1[[#This Row],[HomeLong]] -Table1[[#This Row],[VisitorLong]]))))</f>
        <v>1516.9550589066284</v>
      </c>
      <c r="X109" s="6">
        <f>VLOOKUP(Table1[[#This Row],[HomeTeam]],TeamAttrs!$A$2:$K$20,5,FALSE)</f>
        <v>4160000</v>
      </c>
      <c r="Y109" s="6">
        <f>VLOOKUP(Table1[[#This Row],[HomeTeam]],TeamAttrs!$A$2:$K$20,9,FALSE)</f>
        <v>20438</v>
      </c>
      <c r="Z109" s="6">
        <f>VLOOKUP(Table1[[#This Row],[HomeTeam]],TeamAttrs!$A$2:$K$20,10,FALSE)</f>
        <v>20438</v>
      </c>
      <c r="AA109" s="6">
        <f>VLOOKUP(Table1[[#This Row],[HomeTeam]],TeamAttrs!$A$2:$K$20,11,FALSE)</f>
        <v>1</v>
      </c>
    </row>
    <row r="110" spans="1:27" x14ac:dyDescent="0.25">
      <c r="A110" s="1">
        <v>41052</v>
      </c>
      <c r="B110" t="s">
        <v>17</v>
      </c>
      <c r="C110" t="str">
        <f>VLOOKUP(Table1[[#This Row],[HomeTeam]], TeamAttrs!$A$2:$B$20,2,FALSE)</f>
        <v>Chi</v>
      </c>
      <c r="D110">
        <v>2</v>
      </c>
      <c r="E110">
        <v>1</v>
      </c>
      <c r="F110">
        <f>Table1[[#This Row],[HomeTeamScore]]-Table1[[#This Row],[VisitorScore]]</f>
        <v>1</v>
      </c>
      <c r="G110" t="s">
        <v>7</v>
      </c>
      <c r="H110" t="str">
        <f>VLOOKUP(Table1[[#This Row],[VisitorTeam]],TeamAttrs!$A$2:$B$20, 2, FALSE)</f>
        <v>FCDal</v>
      </c>
      <c r="I110">
        <f t="shared" si="4"/>
        <v>1</v>
      </c>
      <c r="J110">
        <f t="shared" si="5"/>
        <v>0</v>
      </c>
      <c r="K110">
        <f t="shared" si="6"/>
        <v>0</v>
      </c>
      <c r="L110">
        <f>3*Table1[HomeWin] +Table1[Draw]</f>
        <v>3</v>
      </c>
      <c r="M110">
        <f>3*Table1[HomeLoss]+Table1[Draw]</f>
        <v>0</v>
      </c>
      <c r="N110">
        <f>VLOOKUP(B110,TeamAttrs!$A$2:$C$20,3,FALSE)</f>
        <v>6</v>
      </c>
      <c r="O110">
        <f>VLOOKUP(G110,TeamAttrs!$A$2:$C$20,3,FALSE)</f>
        <v>6</v>
      </c>
      <c r="P110">
        <f t="shared" si="7"/>
        <v>0</v>
      </c>
      <c r="Q110">
        <f>VLOOKUP(B110,TeamAttrs!$A$2:$D$20,3,FALSE)</f>
        <v>6</v>
      </c>
      <c r="R110">
        <f>VLOOKUP(G110,TeamAttrs!$A$2:$D$20,3,FALSE)</f>
        <v>6</v>
      </c>
      <c r="S110">
        <f>RADIANS(VLOOKUP(Table1[[#This Row],[HomeTeam]],TeamAttrs!$A$2:$H$20,7, FALSE))</f>
        <v>0.72925615734854665</v>
      </c>
      <c r="T110">
        <f>RADIANS(VLOOKUP(Table1[[#This Row],[HomeTeam]],TeamAttrs!$A$2:$H$20, 8, FALSE))</f>
        <v>-1.5315264186250241</v>
      </c>
      <c r="U110">
        <f>RADIANS(VLOOKUP(Table1[[#This Row],[VisitorTeam]],TeamAttrs!$A$2:$H$20,7,FALSE))</f>
        <v>0.57334065928013733</v>
      </c>
      <c r="V110">
        <f>RADIANS(VLOOKUP(Table1[[#This Row],[VisitorTeam]], TeamAttrs!$A$2:$H$20,8,FALSE))</f>
        <v>-1.690351380556508</v>
      </c>
      <c r="W110" s="5">
        <f>60*DEGREES(ACOS(SIN(Table1[[#This Row],[HomeLat]])*SIN(Table1[[#This Row],[VisitorLat]]) +COS(Table1[[#This Row],[HomeLat]])*COS(Table1[[#This Row],[VisitorLat]])*COS(ABS(Table1[[#This Row],[HomeLong]] -Table1[[#This Row],[VisitorLong]]))))</f>
        <v>688.95300721386013</v>
      </c>
      <c r="X110" s="6">
        <f>VLOOKUP(Table1[[#This Row],[HomeTeam]],TeamAttrs!$A$2:$K$20,5,FALSE)</f>
        <v>3230000</v>
      </c>
      <c r="Y110" s="6">
        <f>VLOOKUP(Table1[[#This Row],[HomeTeam]],TeamAttrs!$A$2:$K$20,9,FALSE)</f>
        <v>16407</v>
      </c>
      <c r="Z110" s="6">
        <f>VLOOKUP(Table1[[#This Row],[HomeTeam]],TeamAttrs!$A$2:$K$20,10,FALSE)</f>
        <v>20000</v>
      </c>
      <c r="AA110" s="6">
        <f>VLOOKUP(Table1[[#This Row],[HomeTeam]],TeamAttrs!$A$2:$K$20,11,FALSE)</f>
        <v>0.82035000000000002</v>
      </c>
    </row>
    <row r="111" spans="1:27" x14ac:dyDescent="0.25">
      <c r="A111" s="1">
        <v>41052</v>
      </c>
      <c r="B111" t="s">
        <v>16</v>
      </c>
      <c r="C111" t="str">
        <f>VLOOKUP(Table1[[#This Row],[HomeTeam]], TeamAttrs!$A$2:$B$20,2,FALSE)</f>
        <v>LAGxy</v>
      </c>
      <c r="D111">
        <v>2</v>
      </c>
      <c r="E111">
        <v>3</v>
      </c>
      <c r="F111">
        <f>Table1[[#This Row],[HomeTeamScore]]-Table1[[#This Row],[VisitorScore]]</f>
        <v>-1</v>
      </c>
      <c r="G111" t="s">
        <v>5</v>
      </c>
      <c r="H111" t="str">
        <f>VLOOKUP(Table1[[#This Row],[VisitorTeam]],TeamAttrs!$A$2:$B$20, 2, FALSE)</f>
        <v>SJE</v>
      </c>
      <c r="I111">
        <f t="shared" si="4"/>
        <v>0</v>
      </c>
      <c r="J111">
        <f t="shared" si="5"/>
        <v>0</v>
      </c>
      <c r="K111">
        <f t="shared" si="6"/>
        <v>1</v>
      </c>
      <c r="L111">
        <f>3*Table1[HomeWin] +Table1[Draw]</f>
        <v>0</v>
      </c>
      <c r="M111">
        <f>3*Table1[HomeLoss]+Table1[Draw]</f>
        <v>3</v>
      </c>
      <c r="N111">
        <f>VLOOKUP(B111,TeamAttrs!$A$2:$C$20,3,FALSE)</f>
        <v>8</v>
      </c>
      <c r="O111">
        <f>VLOOKUP(G111,TeamAttrs!$A$2:$C$20,3,FALSE)</f>
        <v>8</v>
      </c>
      <c r="P111">
        <f t="shared" si="7"/>
        <v>0</v>
      </c>
      <c r="Q111">
        <f>VLOOKUP(B111,TeamAttrs!$A$2:$D$20,3,FALSE)</f>
        <v>8</v>
      </c>
      <c r="R111">
        <f>VLOOKUP(G111,TeamAttrs!$A$2:$D$20,3,FALSE)</f>
        <v>8</v>
      </c>
      <c r="S111">
        <f>RADIANS(VLOOKUP(Table1[[#This Row],[HomeTeam]],TeamAttrs!$A$2:$H$20,7, FALSE))</f>
        <v>0.59224781106699187</v>
      </c>
      <c r="T111">
        <f>RADIANS(VLOOKUP(Table1[[#This Row],[HomeTeam]],TeamAttrs!$A$2:$H$20, 8, FALSE))</f>
        <v>-2.0664698343612864</v>
      </c>
      <c r="U111">
        <f>RADIANS(VLOOKUP(Table1[[#This Row],[VisitorTeam]],TeamAttrs!$A$2:$H$20,7,FALSE))</f>
        <v>0.65217194560496516</v>
      </c>
      <c r="V111">
        <f>RADIANS(VLOOKUP(Table1[[#This Row],[VisitorTeam]], TeamAttrs!$A$2:$H$20,8,FALSE))</f>
        <v>-2.1281323168342459</v>
      </c>
      <c r="W111" s="5">
        <f>60*DEGREES(ACOS(SIN(Table1[[#This Row],[HomeLat]])*SIN(Table1[[#This Row],[VisitorLat]]) +COS(Table1[[#This Row],[HomeLat]])*COS(Table1[[#This Row],[VisitorLat]])*COS(ABS(Table1[[#This Row],[HomeLong]] -Table1[[#This Row],[VisitorLong]]))))</f>
        <v>268.48292730997031</v>
      </c>
      <c r="X111" s="6">
        <f>VLOOKUP(Table1[[#This Row],[HomeTeam]],TeamAttrs!$A$2:$K$20,5,FALSE)</f>
        <v>12630000</v>
      </c>
      <c r="Y111" s="6">
        <f>VLOOKUP(Table1[[#This Row],[HomeTeam]],TeamAttrs!$A$2:$K$20,9,FALSE)</f>
        <v>23136</v>
      </c>
      <c r="Z111" s="6">
        <f>VLOOKUP(Table1[[#This Row],[HomeTeam]],TeamAttrs!$A$2:$K$20,10,FALSE)</f>
        <v>27000</v>
      </c>
      <c r="AA111" s="6">
        <f>VLOOKUP(Table1[[#This Row],[HomeTeam]],TeamAttrs!$A$2:$K$20,11,FALSE)</f>
        <v>0.85688888888888892</v>
      </c>
    </row>
    <row r="112" spans="1:27" x14ac:dyDescent="0.25">
      <c r="A112" s="1">
        <v>41052</v>
      </c>
      <c r="B112" t="s">
        <v>15</v>
      </c>
      <c r="C112" t="str">
        <f>VLOOKUP(Table1[[#This Row],[HomeTeam]], TeamAttrs!$A$2:$B$20,2,FALSE)</f>
        <v>NY</v>
      </c>
      <c r="D112">
        <v>1</v>
      </c>
      <c r="E112">
        <v>1</v>
      </c>
      <c r="F112">
        <f>Table1[[#This Row],[HomeTeamScore]]-Table1[[#This Row],[VisitorScore]]</f>
        <v>0</v>
      </c>
      <c r="G112" t="s">
        <v>2</v>
      </c>
      <c r="H112" t="str">
        <f>VLOOKUP(Table1[[#This Row],[VisitorTeam]],TeamAttrs!$A$2:$B$20, 2, FALSE)</f>
        <v>Chiv</v>
      </c>
      <c r="I112">
        <f t="shared" si="4"/>
        <v>0</v>
      </c>
      <c r="J112">
        <f t="shared" si="5"/>
        <v>1</v>
      </c>
      <c r="K112">
        <f t="shared" si="6"/>
        <v>0</v>
      </c>
      <c r="L112">
        <f>3*Table1[HomeWin] +Table1[Draw]</f>
        <v>1</v>
      </c>
      <c r="M112">
        <f>3*Table1[HomeLoss]+Table1[Draw]</f>
        <v>1</v>
      </c>
      <c r="N112">
        <f>VLOOKUP(B112,TeamAttrs!$A$2:$C$20,3,FALSE)</f>
        <v>5</v>
      </c>
      <c r="O112">
        <f>VLOOKUP(G112,TeamAttrs!$A$2:$C$20,3,FALSE)</f>
        <v>8</v>
      </c>
      <c r="P112">
        <f t="shared" si="7"/>
        <v>3</v>
      </c>
      <c r="Q112">
        <f>VLOOKUP(B112,TeamAttrs!$A$2:$D$20,3,FALSE)</f>
        <v>5</v>
      </c>
      <c r="R112">
        <f>VLOOKUP(G112,TeamAttrs!$A$2:$D$20,3,FALSE)</f>
        <v>8</v>
      </c>
      <c r="S112">
        <f>RADIANS(VLOOKUP(Table1[[#This Row],[HomeTeam]],TeamAttrs!$A$2:$H$20,7, FALSE))</f>
        <v>0.71180286482860333</v>
      </c>
      <c r="T112">
        <f>RADIANS(VLOOKUP(Table1[[#This Row],[HomeTeam]],TeamAttrs!$A$2:$H$20, 8, FALSE))</f>
        <v>-1.2909624518348899</v>
      </c>
      <c r="U112">
        <f>RADIANS(VLOOKUP(Table1[[#This Row],[VisitorTeam]],TeamAttrs!$A$2:$H$20,7,FALSE))</f>
        <v>0.59224781106699187</v>
      </c>
      <c r="V112">
        <f>RADIANS(VLOOKUP(Table1[[#This Row],[VisitorTeam]], TeamAttrs!$A$2:$H$20,8,FALSE))</f>
        <v>-2.0664698343612864</v>
      </c>
      <c r="W112" s="5">
        <f>60*DEGREES(ACOS(SIN(Table1[[#This Row],[HomeLat]])*SIN(Table1[[#This Row],[VisitorLat]]) +COS(Table1[[#This Row],[HomeLat]])*COS(Table1[[#This Row],[VisitorLat]])*COS(ABS(Table1[[#This Row],[HomeLong]] -Table1[[#This Row],[VisitorLong]]))))</f>
        <v>2135.2360974823359</v>
      </c>
      <c r="X112" s="6">
        <f>VLOOKUP(Table1[[#This Row],[HomeTeam]],TeamAttrs!$A$2:$K$20,5,FALSE)</f>
        <v>12960000</v>
      </c>
      <c r="Y112" s="6">
        <f>VLOOKUP(Table1[[#This Row],[HomeTeam]],TeamAttrs!$A$2:$K$20,9,FALSE)</f>
        <v>18281</v>
      </c>
      <c r="Z112" s="6">
        <f>VLOOKUP(Table1[[#This Row],[HomeTeam]],TeamAttrs!$A$2:$K$20,10,FALSE)</f>
        <v>25000</v>
      </c>
      <c r="AA112" s="6">
        <f>VLOOKUP(Table1[[#This Row],[HomeTeam]],TeamAttrs!$A$2:$K$20,11,FALSE)</f>
        <v>0.73124</v>
      </c>
    </row>
    <row r="113" spans="1:27" x14ac:dyDescent="0.25">
      <c r="A113" s="1">
        <v>41052</v>
      </c>
      <c r="B113" t="s">
        <v>11</v>
      </c>
      <c r="C113" t="str">
        <f>VLOOKUP(Table1[[#This Row],[HomeTeam]], TeamAttrs!$A$2:$B$20,2,FALSE)</f>
        <v>SEA</v>
      </c>
      <c r="D113">
        <v>0</v>
      </c>
      <c r="E113">
        <v>2</v>
      </c>
      <c r="F113">
        <f>Table1[[#This Row],[HomeTeamScore]]-Table1[[#This Row],[VisitorScore]]</f>
        <v>-2</v>
      </c>
      <c r="G113" t="s">
        <v>8</v>
      </c>
      <c r="H113" t="str">
        <f>VLOOKUP(Table1[[#This Row],[VisitorTeam]],TeamAttrs!$A$2:$B$20, 2, FALSE)</f>
        <v>Colum</v>
      </c>
      <c r="I113">
        <f t="shared" si="4"/>
        <v>0</v>
      </c>
      <c r="J113">
        <f t="shared" si="5"/>
        <v>0</v>
      </c>
      <c r="K113">
        <f t="shared" si="6"/>
        <v>1</v>
      </c>
      <c r="L113">
        <f>3*Table1[HomeWin] +Table1[Draw]</f>
        <v>0</v>
      </c>
      <c r="M113">
        <f>3*Table1[HomeLoss]+Table1[Draw]</f>
        <v>3</v>
      </c>
      <c r="N113">
        <f>VLOOKUP(B113,TeamAttrs!$A$2:$C$20,3,FALSE)</f>
        <v>8</v>
      </c>
      <c r="O113">
        <f>VLOOKUP(G113,TeamAttrs!$A$2:$C$20,3,FALSE)</f>
        <v>5</v>
      </c>
      <c r="P113">
        <f t="shared" si="7"/>
        <v>-3</v>
      </c>
      <c r="Q113">
        <f>VLOOKUP(B113,TeamAttrs!$A$2:$D$20,3,FALSE)</f>
        <v>8</v>
      </c>
      <c r="R113">
        <f>VLOOKUP(G113,TeamAttrs!$A$2:$D$20,3,FALSE)</f>
        <v>5</v>
      </c>
      <c r="S113">
        <f>RADIANS(VLOOKUP(Table1[[#This Row],[HomeTeam]],TeamAttrs!$A$2:$H$20,7, FALSE))</f>
        <v>0.83164938857529802</v>
      </c>
      <c r="T113">
        <f>RADIANS(VLOOKUP(Table1[[#This Row],[HomeTeam]],TeamAttrs!$A$2:$H$20, 8, FALSE))</f>
        <v>-2.134537675189065</v>
      </c>
      <c r="U113">
        <f>RADIANS(VLOOKUP(Table1[[#This Row],[VisitorTeam]],TeamAttrs!$A$2:$H$20,7,FALSE))</f>
        <v>0.69813170079773179</v>
      </c>
      <c r="V113">
        <f>RADIANS(VLOOKUP(Table1[[#This Row],[VisitorTeam]], TeamAttrs!$A$2:$H$20,8,FALSE))</f>
        <v>-1.4465864799182162</v>
      </c>
      <c r="W113" s="5">
        <f>60*DEGREES(ACOS(SIN(Table1[[#This Row],[HomeLat]])*SIN(Table1[[#This Row],[VisitorLat]]) +COS(Table1[[#This Row],[HomeLat]])*COS(Table1[[#This Row],[VisitorLat]])*COS(ABS(Table1[[#This Row],[HomeLong]] -Table1[[#This Row],[VisitorLong]]))))</f>
        <v>1746.347748902693</v>
      </c>
      <c r="X113" s="6">
        <f>VLOOKUP(Table1[[#This Row],[HomeTeam]],TeamAttrs!$A$2:$K$20,5,FALSE)</f>
        <v>3980000</v>
      </c>
      <c r="Y113" s="6">
        <f>VLOOKUP(Table1[[#This Row],[HomeTeam]],TeamAttrs!$A$2:$K$20,9,FALSE)</f>
        <v>43104</v>
      </c>
      <c r="Z113" s="6">
        <f>VLOOKUP(Table1[[#This Row],[HomeTeam]],TeamAttrs!$A$2:$K$20,10,FALSE)</f>
        <v>38500</v>
      </c>
      <c r="AA113" s="6">
        <f>VLOOKUP(Table1[[#This Row],[HomeTeam]],TeamAttrs!$A$2:$K$20,11,FALSE)</f>
        <v>1.1195844155844157</v>
      </c>
    </row>
    <row r="114" spans="1:27" x14ac:dyDescent="0.25">
      <c r="A114" s="1">
        <v>41055</v>
      </c>
      <c r="B114" t="s">
        <v>2</v>
      </c>
      <c r="C114" t="str">
        <f>VLOOKUP(Table1[[#This Row],[HomeTeam]], TeamAttrs!$A$2:$B$20,2,FALSE)</f>
        <v>Chiv</v>
      </c>
      <c r="D114">
        <v>1</v>
      </c>
      <c r="E114">
        <v>1</v>
      </c>
      <c r="F114">
        <f>Table1[[#This Row],[HomeTeamScore]]-Table1[[#This Row],[VisitorScore]]</f>
        <v>0</v>
      </c>
      <c r="G114" t="s">
        <v>11</v>
      </c>
      <c r="H114" t="str">
        <f>VLOOKUP(Table1[[#This Row],[VisitorTeam]],TeamAttrs!$A$2:$B$20, 2, FALSE)</f>
        <v>SEA</v>
      </c>
      <c r="I114">
        <f t="shared" si="4"/>
        <v>0</v>
      </c>
      <c r="J114">
        <f t="shared" si="5"/>
        <v>1</v>
      </c>
      <c r="K114">
        <f t="shared" si="6"/>
        <v>0</v>
      </c>
      <c r="L114">
        <f>3*Table1[HomeWin] +Table1[Draw]</f>
        <v>1</v>
      </c>
      <c r="M114">
        <f>3*Table1[HomeLoss]+Table1[Draw]</f>
        <v>1</v>
      </c>
      <c r="N114">
        <f>VLOOKUP(B114,TeamAttrs!$A$2:$C$20,3,FALSE)</f>
        <v>8</v>
      </c>
      <c r="O114">
        <f>VLOOKUP(G114,TeamAttrs!$A$2:$C$20,3,FALSE)</f>
        <v>8</v>
      </c>
      <c r="P114">
        <f t="shared" si="7"/>
        <v>0</v>
      </c>
      <c r="Q114">
        <f>VLOOKUP(B114,TeamAttrs!$A$2:$D$20,3,FALSE)</f>
        <v>8</v>
      </c>
      <c r="R114">
        <f>VLOOKUP(G114,TeamAttrs!$A$2:$D$20,3,FALSE)</f>
        <v>8</v>
      </c>
      <c r="S114">
        <f>RADIANS(VLOOKUP(Table1[[#This Row],[HomeTeam]],TeamAttrs!$A$2:$H$20,7, FALSE))</f>
        <v>0.59224781106699187</v>
      </c>
      <c r="T114">
        <f>RADIANS(VLOOKUP(Table1[[#This Row],[HomeTeam]],TeamAttrs!$A$2:$H$20, 8, FALSE))</f>
        <v>-2.0664698343612864</v>
      </c>
      <c r="U114">
        <f>RADIANS(VLOOKUP(Table1[[#This Row],[VisitorTeam]],TeamAttrs!$A$2:$H$20,7,FALSE))</f>
        <v>0.83164938857529802</v>
      </c>
      <c r="V114">
        <f>RADIANS(VLOOKUP(Table1[[#This Row],[VisitorTeam]], TeamAttrs!$A$2:$H$20,8,FALSE))</f>
        <v>-2.134537675189065</v>
      </c>
      <c r="W114" s="5">
        <f>60*DEGREES(ACOS(SIN(Table1[[#This Row],[HomeLat]])*SIN(Table1[[#This Row],[VisitorLat]]) +COS(Table1[[#This Row],[HomeLat]])*COS(Table1[[#This Row],[VisitorLat]])*COS(ABS(Table1[[#This Row],[HomeLong]] -Table1[[#This Row],[VisitorLong]]))))</f>
        <v>841.56162088012809</v>
      </c>
      <c r="X114" s="6">
        <f>VLOOKUP(Table1[[#This Row],[HomeTeam]],TeamAttrs!$A$2:$K$20,5,FALSE)</f>
        <v>3230000</v>
      </c>
      <c r="Y114" s="6">
        <f>VLOOKUP(Table1[[#This Row],[HomeTeam]],TeamAttrs!$A$2:$K$20,9,FALSE)</f>
        <v>13056</v>
      </c>
      <c r="Z114" s="6">
        <f>VLOOKUP(Table1[[#This Row],[HomeTeam]],TeamAttrs!$A$2:$K$20,10,FALSE)</f>
        <v>18800</v>
      </c>
      <c r="AA114" s="6">
        <f>VLOOKUP(Table1[[#This Row],[HomeTeam]],TeamAttrs!$A$2:$K$20,11,FALSE)</f>
        <v>0.69446808510638303</v>
      </c>
    </row>
    <row r="115" spans="1:27" x14ac:dyDescent="0.25">
      <c r="A115" s="1">
        <v>41055</v>
      </c>
      <c r="B115" t="s">
        <v>14</v>
      </c>
      <c r="C115" t="str">
        <f>VLOOKUP(Table1[[#This Row],[HomeTeam]], TeamAttrs!$A$2:$B$20,2,FALSE)</f>
        <v>ColRa</v>
      </c>
      <c r="D115">
        <v>3</v>
      </c>
      <c r="E115">
        <v>2</v>
      </c>
      <c r="F115">
        <f>Table1[[#This Row],[HomeTeamScore]]-Table1[[#This Row],[VisitorScore]]</f>
        <v>1</v>
      </c>
      <c r="G115" t="s">
        <v>1</v>
      </c>
      <c r="H115" t="str">
        <f>VLOOKUP(Table1[[#This Row],[VisitorTeam]],TeamAttrs!$A$2:$B$20, 2, FALSE)</f>
        <v>Mntrl</v>
      </c>
      <c r="I115">
        <f t="shared" si="4"/>
        <v>1</v>
      </c>
      <c r="J115">
        <f t="shared" si="5"/>
        <v>0</v>
      </c>
      <c r="K115">
        <f t="shared" si="6"/>
        <v>0</v>
      </c>
      <c r="L115">
        <f>3*Table1[HomeWin] +Table1[Draw]</f>
        <v>3</v>
      </c>
      <c r="M115">
        <f>3*Table1[HomeLoss]+Table1[Draw]</f>
        <v>0</v>
      </c>
      <c r="N115">
        <f>VLOOKUP(B115,TeamAttrs!$A$2:$C$20,3,FALSE)</f>
        <v>7</v>
      </c>
      <c r="O115">
        <f>VLOOKUP(G115,TeamAttrs!$A$2:$C$20,3,FALSE)</f>
        <v>5</v>
      </c>
      <c r="P115">
        <f t="shared" si="7"/>
        <v>-2</v>
      </c>
      <c r="Q115">
        <f>VLOOKUP(B115,TeamAttrs!$A$2:$D$20,3,FALSE)</f>
        <v>7</v>
      </c>
      <c r="R115">
        <f>VLOOKUP(G115,TeamAttrs!$A$2:$D$20,3,FALSE)</f>
        <v>5</v>
      </c>
      <c r="S115">
        <f>RADIANS(VLOOKUP(Table1[[#This Row],[HomeTeam]],TeamAttrs!$A$2:$H$20,7, FALSE))</f>
        <v>0.69376837766774602</v>
      </c>
      <c r="T115">
        <f>RADIANS(VLOOKUP(Table1[[#This Row],[HomeTeam]],TeamAttrs!$A$2:$H$20, 8, FALSE))</f>
        <v>-1.8302744266888937</v>
      </c>
      <c r="U115">
        <f>RADIANS(VLOOKUP(Table1[[#This Row],[VisitorTeam]],TeamAttrs!$A$2:$H$20,7,FALSE))</f>
        <v>0.79354361501650583</v>
      </c>
      <c r="V115">
        <f>RADIANS(VLOOKUP(Table1[[#This Row],[VisitorTeam]], TeamAttrs!$A$2:$H$20,8,FALSE))</f>
        <v>-1.2871803233458181</v>
      </c>
      <c r="W115" s="5">
        <f>60*DEGREES(ACOS(SIN(Table1[[#This Row],[HomeLat]])*SIN(Table1[[#This Row],[VisitorLat]]) +COS(Table1[[#This Row],[HomeLat]])*COS(Table1[[#This Row],[VisitorLat]])*COS(ABS(Table1[[#This Row],[HomeLong]] -Table1[[#This Row],[VisitorLong]]))))</f>
        <v>1406.7025479058357</v>
      </c>
      <c r="X115" s="6">
        <f>VLOOKUP(Table1[[#This Row],[HomeTeam]],TeamAttrs!$A$2:$K$20,5,FALSE)</f>
        <v>3430000</v>
      </c>
      <c r="Y115" s="6">
        <f>VLOOKUP(Table1[[#This Row],[HomeTeam]],TeamAttrs!$A$2:$K$20,9,FALSE)</f>
        <v>15175</v>
      </c>
      <c r="Z115" s="6">
        <f>VLOOKUP(Table1[[#This Row],[HomeTeam]],TeamAttrs!$A$2:$K$20,10,FALSE)</f>
        <v>18086</v>
      </c>
      <c r="AA115" s="6">
        <f>VLOOKUP(Table1[[#This Row],[HomeTeam]],TeamAttrs!$A$2:$K$20,11,FALSE)</f>
        <v>0.83904677651221937</v>
      </c>
    </row>
    <row r="116" spans="1:27" x14ac:dyDescent="0.25">
      <c r="A116" s="1">
        <v>41055</v>
      </c>
      <c r="B116" t="s">
        <v>8</v>
      </c>
      <c r="C116" t="str">
        <f>VLOOKUP(Table1[[#This Row],[HomeTeam]], TeamAttrs!$A$2:$B$20,2,FALSE)</f>
        <v>Colum</v>
      </c>
      <c r="D116">
        <v>2</v>
      </c>
      <c r="E116">
        <v>1</v>
      </c>
      <c r="F116">
        <f>Table1[[#This Row],[HomeTeamScore]]-Table1[[#This Row],[VisitorScore]]</f>
        <v>1</v>
      </c>
      <c r="G116" t="s">
        <v>17</v>
      </c>
      <c r="H116" t="str">
        <f>VLOOKUP(Table1[[#This Row],[VisitorTeam]],TeamAttrs!$A$2:$B$20, 2, FALSE)</f>
        <v>Chi</v>
      </c>
      <c r="I116">
        <f t="shared" si="4"/>
        <v>1</v>
      </c>
      <c r="J116">
        <f t="shared" si="5"/>
        <v>0</v>
      </c>
      <c r="K116">
        <f t="shared" si="6"/>
        <v>0</v>
      </c>
      <c r="L116">
        <f>3*Table1[HomeWin] +Table1[Draw]</f>
        <v>3</v>
      </c>
      <c r="M116">
        <f>3*Table1[HomeLoss]+Table1[Draw]</f>
        <v>0</v>
      </c>
      <c r="N116">
        <f>VLOOKUP(B116,TeamAttrs!$A$2:$C$20,3,FALSE)</f>
        <v>5</v>
      </c>
      <c r="O116">
        <f>VLOOKUP(G116,TeamAttrs!$A$2:$C$20,3,FALSE)</f>
        <v>6</v>
      </c>
      <c r="P116">
        <f t="shared" si="7"/>
        <v>1</v>
      </c>
      <c r="Q116">
        <f>VLOOKUP(B116,TeamAttrs!$A$2:$D$20,3,FALSE)</f>
        <v>5</v>
      </c>
      <c r="R116">
        <f>VLOOKUP(G116,TeamAttrs!$A$2:$D$20,3,FALSE)</f>
        <v>6</v>
      </c>
      <c r="S116">
        <f>RADIANS(VLOOKUP(Table1[[#This Row],[HomeTeam]],TeamAttrs!$A$2:$H$20,7, FALSE))</f>
        <v>0.69813170079773179</v>
      </c>
      <c r="T116">
        <f>RADIANS(VLOOKUP(Table1[[#This Row],[HomeTeam]],TeamAttrs!$A$2:$H$20, 8, FALSE))</f>
        <v>-1.4465864799182162</v>
      </c>
      <c r="U116">
        <f>RADIANS(VLOOKUP(Table1[[#This Row],[VisitorTeam]],TeamAttrs!$A$2:$H$20,7,FALSE))</f>
        <v>0.72925615734854665</v>
      </c>
      <c r="V116">
        <f>RADIANS(VLOOKUP(Table1[[#This Row],[VisitorTeam]], TeamAttrs!$A$2:$H$20,8,FALSE))</f>
        <v>-1.5315264186250241</v>
      </c>
      <c r="W116" s="5">
        <f>60*DEGREES(ACOS(SIN(Table1[[#This Row],[HomeLat]])*SIN(Table1[[#This Row],[VisitorLat]]) +COS(Table1[[#This Row],[HomeLat]])*COS(Table1[[#This Row],[VisitorLat]])*COS(ABS(Table1[[#This Row],[HomeLong]] -Table1[[#This Row],[VisitorLong]]))))</f>
        <v>245.25242728582373</v>
      </c>
      <c r="X116" s="6">
        <f>VLOOKUP(Table1[[#This Row],[HomeTeam]],TeamAttrs!$A$2:$K$20,5,FALSE)</f>
        <v>3330000</v>
      </c>
      <c r="Y116" s="6">
        <f>VLOOKUP(Table1[[#This Row],[HomeTeam]],TeamAttrs!$A$2:$K$20,9,FALSE)</f>
        <v>14397</v>
      </c>
      <c r="Z116" s="6">
        <f>VLOOKUP(Table1[[#This Row],[HomeTeam]],TeamAttrs!$A$2:$K$20,10,FALSE)</f>
        <v>20145</v>
      </c>
      <c r="AA116" s="6">
        <f>VLOOKUP(Table1[[#This Row],[HomeTeam]],TeamAttrs!$A$2:$K$20,11,FALSE)</f>
        <v>0.71466865227103504</v>
      </c>
    </row>
    <row r="117" spans="1:27" x14ac:dyDescent="0.25">
      <c r="A117" s="1">
        <v>41055</v>
      </c>
      <c r="B117" t="s">
        <v>3</v>
      </c>
      <c r="C117" t="str">
        <f>VLOOKUP(Table1[[#This Row],[HomeTeam]], TeamAttrs!$A$2:$B$20,2,FALSE)</f>
        <v>DCU</v>
      </c>
      <c r="D117">
        <v>3</v>
      </c>
      <c r="E117">
        <v>2</v>
      </c>
      <c r="F117">
        <f>Table1[[#This Row],[HomeTeamScore]]-Table1[[#This Row],[VisitorScore]]</f>
        <v>1</v>
      </c>
      <c r="G117" t="s">
        <v>9</v>
      </c>
      <c r="H117" t="str">
        <f>VLOOKUP(Table1[[#This Row],[VisitorTeam]],TeamAttrs!$A$2:$B$20, 2, FALSE)</f>
        <v>NE</v>
      </c>
      <c r="I117">
        <f t="shared" si="4"/>
        <v>1</v>
      </c>
      <c r="J117">
        <f t="shared" si="5"/>
        <v>0</v>
      </c>
      <c r="K117">
        <f t="shared" si="6"/>
        <v>0</v>
      </c>
      <c r="L117">
        <f>3*Table1[HomeWin] +Table1[Draw]</f>
        <v>3</v>
      </c>
      <c r="M117">
        <f>3*Table1[HomeLoss]+Table1[Draw]</f>
        <v>0</v>
      </c>
      <c r="N117">
        <f>VLOOKUP(B117,TeamAttrs!$A$2:$C$20,3,FALSE)</f>
        <v>5</v>
      </c>
      <c r="O117">
        <f>VLOOKUP(G117,TeamAttrs!$A$2:$C$20,3,FALSE)</f>
        <v>5</v>
      </c>
      <c r="P117">
        <f t="shared" si="7"/>
        <v>0</v>
      </c>
      <c r="Q117">
        <f>VLOOKUP(B117,TeamAttrs!$A$2:$D$20,3,FALSE)</f>
        <v>5</v>
      </c>
      <c r="R117">
        <f>VLOOKUP(G117,TeamAttrs!$A$2:$D$20,3,FALSE)</f>
        <v>5</v>
      </c>
      <c r="S117">
        <f>RADIANS(VLOOKUP(Table1[[#This Row],[HomeTeam]],TeamAttrs!$A$2:$H$20,7, FALSE))</f>
        <v>0.67806041439979703</v>
      </c>
      <c r="T117">
        <f>RADIANS(VLOOKUP(Table1[[#This Row],[HomeTeam]],TeamAttrs!$A$2:$H$20, 8, FALSE))</f>
        <v>-1.3444847186765478</v>
      </c>
      <c r="U117">
        <f>RADIANS(VLOOKUP(Table1[[#This Row],[VisitorTeam]],TeamAttrs!$A$2:$H$20,7,FALSE))</f>
        <v>0.73943840820468165</v>
      </c>
      <c r="V117">
        <f>RADIANS(VLOOKUP(Table1[[#This Row],[VisitorTeam]], TeamAttrs!$A$2:$H$20,8,FALSE))</f>
        <v>-1.2397649635568881</v>
      </c>
      <c r="W117" s="5">
        <f>60*DEGREES(ACOS(SIN(Table1[[#This Row],[HomeLat]])*SIN(Table1[[#This Row],[VisitorLat]]) +COS(Table1[[#This Row],[HomeLat]])*COS(Table1[[#This Row],[VisitorLat]])*COS(ABS(Table1[[#This Row],[HomeLong]] -Table1[[#This Row],[VisitorLong]]))))</f>
        <v>345.12686114153212</v>
      </c>
      <c r="X117" s="6">
        <f>VLOOKUP(Table1[[#This Row],[HomeTeam]],TeamAttrs!$A$2:$K$20,5,FALSE)</f>
        <v>4190000.0000000005</v>
      </c>
      <c r="Y117" s="6">
        <f>VLOOKUP(Table1[[#This Row],[HomeTeam]],TeamAttrs!$A$2:$K$20,9,FALSE)</f>
        <v>13846</v>
      </c>
      <c r="Z117" s="6">
        <f>VLOOKUP(Table1[[#This Row],[HomeTeam]],TeamAttrs!$A$2:$K$20,10,FALSE)</f>
        <v>19467</v>
      </c>
      <c r="AA117" s="6">
        <f>VLOOKUP(Table1[[#This Row],[HomeTeam]],TeamAttrs!$A$2:$K$20,11,FALSE)</f>
        <v>0.71125494426465297</v>
      </c>
    </row>
    <row r="118" spans="1:27" x14ac:dyDescent="0.25">
      <c r="A118" s="1">
        <v>41055</v>
      </c>
      <c r="B118" t="s">
        <v>13</v>
      </c>
      <c r="C118" t="str">
        <f>VLOOKUP(Table1[[#This Row],[HomeTeam]], TeamAttrs!$A$2:$B$20,2,FALSE)</f>
        <v>Hou</v>
      </c>
      <c r="D118">
        <v>2</v>
      </c>
      <c r="E118">
        <v>1</v>
      </c>
      <c r="F118">
        <f>Table1[[#This Row],[HomeTeamScore]]-Table1[[#This Row],[VisitorScore]]</f>
        <v>1</v>
      </c>
      <c r="G118" t="s">
        <v>16</v>
      </c>
      <c r="H118" t="str">
        <f>VLOOKUP(Table1[[#This Row],[VisitorTeam]],TeamAttrs!$A$2:$B$20, 2, FALSE)</f>
        <v>LAGxy</v>
      </c>
      <c r="I118">
        <f t="shared" si="4"/>
        <v>1</v>
      </c>
      <c r="J118">
        <f t="shared" si="5"/>
        <v>0</v>
      </c>
      <c r="K118">
        <f t="shared" si="6"/>
        <v>0</v>
      </c>
      <c r="L118">
        <f>3*Table1[HomeWin] +Table1[Draw]</f>
        <v>3</v>
      </c>
      <c r="M118">
        <f>3*Table1[HomeLoss]+Table1[Draw]</f>
        <v>0</v>
      </c>
      <c r="N118">
        <f>VLOOKUP(B118,TeamAttrs!$A$2:$C$20,3,FALSE)</f>
        <v>6</v>
      </c>
      <c r="O118">
        <f>VLOOKUP(G118,TeamAttrs!$A$2:$C$20,3,FALSE)</f>
        <v>8</v>
      </c>
      <c r="P118">
        <f t="shared" si="7"/>
        <v>2</v>
      </c>
      <c r="Q118">
        <f>VLOOKUP(B118,TeamAttrs!$A$2:$D$20,3,FALSE)</f>
        <v>6</v>
      </c>
      <c r="R118">
        <f>VLOOKUP(G118,TeamAttrs!$A$2:$D$20,3,FALSE)</f>
        <v>8</v>
      </c>
      <c r="S118">
        <f>RADIANS(VLOOKUP(Table1[[#This Row],[HomeTeam]],TeamAttrs!$A$2:$H$20,7, FALSE))</f>
        <v>0.52301758095738471</v>
      </c>
      <c r="T118">
        <f>RADIANS(VLOOKUP(Table1[[#This Row],[HomeTeam]],TeamAttrs!$A$2:$H$20, 8, FALSE))</f>
        <v>-1.6641714417765932</v>
      </c>
      <c r="U118">
        <f>RADIANS(VLOOKUP(Table1[[#This Row],[VisitorTeam]],TeamAttrs!$A$2:$H$20,7,FALSE))</f>
        <v>0.59224781106699187</v>
      </c>
      <c r="V118">
        <f>RADIANS(VLOOKUP(Table1[[#This Row],[VisitorTeam]], TeamAttrs!$A$2:$H$20,8,FALSE))</f>
        <v>-2.0664698343612864</v>
      </c>
      <c r="W118" s="5">
        <f>60*DEGREES(ACOS(SIN(Table1[[#This Row],[HomeLat]])*SIN(Table1[[#This Row],[VisitorLat]]) +COS(Table1[[#This Row],[HomeLat]])*COS(Table1[[#This Row],[VisitorLat]])*COS(ABS(Table1[[#This Row],[HomeLong]] -Table1[[#This Row],[VisitorLong]]))))</f>
        <v>1194.6845065728508</v>
      </c>
      <c r="X118" s="6">
        <f>VLOOKUP(Table1[[#This Row],[HomeTeam]],TeamAttrs!$A$2:$K$20,5,FALSE)</f>
        <v>3000000</v>
      </c>
      <c r="Y118" s="6">
        <f>VLOOKUP(Table1[[#This Row],[HomeTeam]],TeamAttrs!$A$2:$K$20,9,FALSE)</f>
        <v>20946</v>
      </c>
      <c r="Z118" s="6">
        <f>VLOOKUP(Table1[[#This Row],[HomeTeam]],TeamAttrs!$A$2:$K$20,10,FALSE)</f>
        <v>22000</v>
      </c>
      <c r="AA118" s="6">
        <f>VLOOKUP(Table1[[#This Row],[HomeTeam]],TeamAttrs!$A$2:$K$20,11,FALSE)</f>
        <v>0.9520909090909091</v>
      </c>
    </row>
    <row r="119" spans="1:27" x14ac:dyDescent="0.25">
      <c r="A119" s="1">
        <v>41055</v>
      </c>
      <c r="B119" t="s">
        <v>12</v>
      </c>
      <c r="C119" t="str">
        <f>VLOOKUP(Table1[[#This Row],[HomeTeam]], TeamAttrs!$A$2:$B$20,2,FALSE)</f>
        <v>Port</v>
      </c>
      <c r="D119">
        <v>1</v>
      </c>
      <c r="E119">
        <v>1</v>
      </c>
      <c r="F119">
        <f>Table1[[#This Row],[HomeTeamScore]]-Table1[[#This Row],[VisitorScore]]</f>
        <v>0</v>
      </c>
      <c r="G119" t="s">
        <v>0</v>
      </c>
      <c r="H119" t="str">
        <f>VLOOKUP(Table1[[#This Row],[VisitorTeam]],TeamAttrs!$A$2:$B$20, 2, FALSE)</f>
        <v>Van</v>
      </c>
      <c r="I119">
        <f t="shared" si="4"/>
        <v>0</v>
      </c>
      <c r="J119">
        <f t="shared" si="5"/>
        <v>1</v>
      </c>
      <c r="K119">
        <f t="shared" si="6"/>
        <v>0</v>
      </c>
      <c r="L119">
        <f>3*Table1[HomeWin] +Table1[Draw]</f>
        <v>1</v>
      </c>
      <c r="M119">
        <f>3*Table1[HomeLoss]+Table1[Draw]</f>
        <v>1</v>
      </c>
      <c r="N119">
        <f>VLOOKUP(B119,TeamAttrs!$A$2:$C$20,3,FALSE)</f>
        <v>8</v>
      </c>
      <c r="O119">
        <f>VLOOKUP(G119,TeamAttrs!$A$2:$C$20,3,FALSE)</f>
        <v>8</v>
      </c>
      <c r="P119">
        <f t="shared" si="7"/>
        <v>0</v>
      </c>
      <c r="Q119">
        <f>VLOOKUP(B119,TeamAttrs!$A$2:$D$20,3,FALSE)</f>
        <v>8</v>
      </c>
      <c r="R119">
        <f>VLOOKUP(G119,TeamAttrs!$A$2:$D$20,3,FALSE)</f>
        <v>8</v>
      </c>
      <c r="S119">
        <f>RADIANS(VLOOKUP(Table1[[#This Row],[HomeTeam]],TeamAttrs!$A$2:$H$20,7, FALSE))</f>
        <v>0.79587013890941427</v>
      </c>
      <c r="T119">
        <f>RADIANS(VLOOKUP(Table1[[#This Row],[HomeTeam]],TeamAttrs!$A$2:$H$20, 8, FALSE))</f>
        <v>-2.1397736629450481</v>
      </c>
      <c r="U119">
        <f>RADIANS(VLOOKUP(Table1[[#This Row],[VisitorTeam]],TeamAttrs!$A$2:$H$20,7,FALSE))</f>
        <v>0.86015585124812133</v>
      </c>
      <c r="V119">
        <f>RADIANS(VLOOKUP(Table1[[#This Row],[VisitorTeam]], TeamAttrs!$A$2:$H$20,8,FALSE))</f>
        <v>-2.1487970151778586</v>
      </c>
      <c r="W119" s="5">
        <f>60*DEGREES(ACOS(SIN(Table1[[#This Row],[HomeLat]])*SIN(Table1[[#This Row],[VisitorLat]]) +COS(Table1[[#This Row],[HomeLat]])*COS(Table1[[#This Row],[VisitorLat]])*COS(ABS(Table1[[#This Row],[HomeLong]] -Table1[[#This Row],[VisitorLong]]))))</f>
        <v>221.99006132070124</v>
      </c>
      <c r="X119" s="6">
        <f>VLOOKUP(Table1[[#This Row],[HomeTeam]],TeamAttrs!$A$2:$K$20,5,FALSE)</f>
        <v>4160000</v>
      </c>
      <c r="Y119" s="6">
        <f>VLOOKUP(Table1[[#This Row],[HomeTeam]],TeamAttrs!$A$2:$K$20,9,FALSE)</f>
        <v>20438</v>
      </c>
      <c r="Z119" s="6">
        <f>VLOOKUP(Table1[[#This Row],[HomeTeam]],TeamAttrs!$A$2:$K$20,10,FALSE)</f>
        <v>20438</v>
      </c>
      <c r="AA119" s="6">
        <f>VLOOKUP(Table1[[#This Row],[HomeTeam]],TeamAttrs!$A$2:$K$20,11,FALSE)</f>
        <v>1</v>
      </c>
    </row>
    <row r="120" spans="1:27" x14ac:dyDescent="0.25">
      <c r="A120" s="1">
        <v>41055</v>
      </c>
      <c r="B120" t="s">
        <v>18</v>
      </c>
      <c r="C120" t="str">
        <f>VLOOKUP(Table1[[#This Row],[HomeTeam]], TeamAttrs!$A$2:$B$20,2,FALSE)</f>
        <v>RSL</v>
      </c>
      <c r="D120">
        <v>3</v>
      </c>
      <c r="E120">
        <v>2</v>
      </c>
      <c r="F120">
        <f>Table1[[#This Row],[HomeTeamScore]]-Table1[[#This Row],[VisitorScore]]</f>
        <v>1</v>
      </c>
      <c r="G120" t="s">
        <v>7</v>
      </c>
      <c r="H120" t="str">
        <f>VLOOKUP(Table1[[#This Row],[VisitorTeam]],TeamAttrs!$A$2:$B$20, 2, FALSE)</f>
        <v>FCDal</v>
      </c>
      <c r="I120">
        <f t="shared" si="4"/>
        <v>1</v>
      </c>
      <c r="J120">
        <f t="shared" si="5"/>
        <v>0</v>
      </c>
      <c r="K120">
        <f t="shared" si="6"/>
        <v>0</v>
      </c>
      <c r="L120">
        <f>3*Table1[HomeWin] +Table1[Draw]</f>
        <v>3</v>
      </c>
      <c r="M120">
        <f>3*Table1[HomeLoss]+Table1[Draw]</f>
        <v>0</v>
      </c>
      <c r="N120">
        <f>VLOOKUP(B120,TeamAttrs!$A$2:$C$20,3,FALSE)</f>
        <v>7</v>
      </c>
      <c r="O120">
        <f>VLOOKUP(G120,TeamAttrs!$A$2:$C$20,3,FALSE)</f>
        <v>6</v>
      </c>
      <c r="P120">
        <f t="shared" si="7"/>
        <v>-1</v>
      </c>
      <c r="Q120">
        <f>VLOOKUP(B120,TeamAttrs!$A$2:$D$20,3,FALSE)</f>
        <v>7</v>
      </c>
      <c r="R120">
        <f>VLOOKUP(G120,TeamAttrs!$A$2:$D$20,3,FALSE)</f>
        <v>6</v>
      </c>
      <c r="S120">
        <f>RADIANS(VLOOKUP(Table1[[#This Row],[HomeTeam]],TeamAttrs!$A$2:$H$20,7, FALSE))</f>
        <v>0.71151314017277234</v>
      </c>
      <c r="T120">
        <f>RADIANS(VLOOKUP(Table1[[#This Row],[HomeTeam]],TeamAttrs!$A$2:$H$20, 8, FALSE))</f>
        <v>-1.954192803580491</v>
      </c>
      <c r="U120">
        <f>RADIANS(VLOOKUP(Table1[[#This Row],[VisitorTeam]],TeamAttrs!$A$2:$H$20,7,FALSE))</f>
        <v>0.57334065928013733</v>
      </c>
      <c r="V120">
        <f>RADIANS(VLOOKUP(Table1[[#This Row],[VisitorTeam]], TeamAttrs!$A$2:$H$20,8,FALSE))</f>
        <v>-1.690351380556508</v>
      </c>
      <c r="W120" s="5">
        <f>60*DEGREES(ACOS(SIN(Table1[[#This Row],[HomeLat]])*SIN(Table1[[#This Row],[VisitorLat]]) +COS(Table1[[#This Row],[HomeLat]])*COS(Table1[[#This Row],[VisitorLat]])*COS(ABS(Table1[[#This Row],[HomeLong]] -Table1[[#This Row],[VisitorLong]]))))</f>
        <v>865.81707334066846</v>
      </c>
      <c r="X120" s="6">
        <f>VLOOKUP(Table1[[#This Row],[HomeTeam]],TeamAttrs!$A$2:$K$20,5,FALSE)</f>
        <v>3520000</v>
      </c>
      <c r="Y120" s="6">
        <f>VLOOKUP(Table1[[#This Row],[HomeTeam]],TeamAttrs!$A$2:$K$20,9,FALSE)</f>
        <v>19087</v>
      </c>
      <c r="Z120" s="6">
        <f>VLOOKUP(Table1[[#This Row],[HomeTeam]],TeamAttrs!$A$2:$K$20,10,FALSE)</f>
        <v>20213</v>
      </c>
      <c r="AA120" s="6">
        <f>VLOOKUP(Table1[[#This Row],[HomeTeam]],TeamAttrs!$A$2:$K$20,11,FALSE)</f>
        <v>0.94429327660416562</v>
      </c>
    </row>
    <row r="121" spans="1:27" x14ac:dyDescent="0.25">
      <c r="A121" s="1">
        <v>41055</v>
      </c>
      <c r="B121" t="s">
        <v>10</v>
      </c>
      <c r="C121" t="str">
        <f>VLOOKUP(Table1[[#This Row],[HomeTeam]], TeamAttrs!$A$2:$B$20,2,FALSE)</f>
        <v>Tor</v>
      </c>
      <c r="D121">
        <v>1</v>
      </c>
      <c r="E121">
        <v>0</v>
      </c>
      <c r="F121">
        <f>Table1[[#This Row],[HomeTeamScore]]-Table1[[#This Row],[VisitorScore]]</f>
        <v>1</v>
      </c>
      <c r="G121" t="s">
        <v>4</v>
      </c>
      <c r="H121" t="str">
        <f>VLOOKUP(Table1[[#This Row],[VisitorTeam]],TeamAttrs!$A$2:$B$20, 2, FALSE)</f>
        <v>Phil</v>
      </c>
      <c r="I121">
        <f t="shared" si="4"/>
        <v>1</v>
      </c>
      <c r="J121">
        <f t="shared" si="5"/>
        <v>0</v>
      </c>
      <c r="K121">
        <f t="shared" si="6"/>
        <v>0</v>
      </c>
      <c r="L121">
        <f>3*Table1[HomeWin] +Table1[Draw]</f>
        <v>3</v>
      </c>
      <c r="M121">
        <f>3*Table1[HomeLoss]+Table1[Draw]</f>
        <v>0</v>
      </c>
      <c r="N121">
        <f>VLOOKUP(B121,TeamAttrs!$A$2:$C$20,3,FALSE)</f>
        <v>5</v>
      </c>
      <c r="O121">
        <f>VLOOKUP(G121,TeamAttrs!$A$2:$C$20,3,FALSE)</f>
        <v>5</v>
      </c>
      <c r="P121">
        <f t="shared" si="7"/>
        <v>0</v>
      </c>
      <c r="Q121">
        <f>VLOOKUP(B121,TeamAttrs!$A$2:$D$20,3,FALSE)</f>
        <v>5</v>
      </c>
      <c r="R121">
        <f>VLOOKUP(G121,TeamAttrs!$A$2:$D$20,3,FALSE)</f>
        <v>5</v>
      </c>
      <c r="S121">
        <f>RADIANS(VLOOKUP(Table1[[#This Row],[HomeTeam]],TeamAttrs!$A$2:$H$20,7, FALSE))</f>
        <v>0.76241741313643896</v>
      </c>
      <c r="T121">
        <f>RADIANS(VLOOKUP(Table1[[#This Row],[HomeTeam]],TeamAttrs!$A$2:$H$20, 8, FALSE))</f>
        <v>-1.3898632792284005</v>
      </c>
      <c r="U121">
        <f>RADIANS(VLOOKUP(Table1[[#This Row],[VisitorTeam]],TeamAttrs!$A$2:$H$20,7,FALSE))</f>
        <v>0.69609490156065446</v>
      </c>
      <c r="V121">
        <f>RADIANS(VLOOKUP(Table1[[#This Row],[VisitorTeam]], TeamAttrs!$A$2:$H$20,8,FALSE))</f>
        <v>-1.313360262125733</v>
      </c>
      <c r="W121" s="5">
        <f>60*DEGREES(ACOS(SIN(Table1[[#This Row],[HomeLat]])*SIN(Table1[[#This Row],[VisitorLat]]) +COS(Table1[[#This Row],[HomeLat]])*COS(Table1[[#This Row],[VisitorLat]])*COS(ABS(Table1[[#This Row],[HomeLong]] -Table1[[#This Row],[VisitorLong]]))))</f>
        <v>300.6440368474797</v>
      </c>
      <c r="X121" s="6">
        <f>VLOOKUP(Table1[[#This Row],[HomeTeam]],TeamAttrs!$A$2:$K$20,5,FALSE)</f>
        <v>8250000</v>
      </c>
      <c r="Y121" s="6">
        <f>VLOOKUP(Table1[[#This Row],[HomeTeam]],TeamAttrs!$A$2:$K$20,9,FALSE)</f>
        <v>18155</v>
      </c>
      <c r="Z121" s="6">
        <f>VLOOKUP(Table1[[#This Row],[HomeTeam]],TeamAttrs!$A$2:$K$20,10,FALSE)</f>
        <v>21140</v>
      </c>
      <c r="AA121" s="6">
        <f>VLOOKUP(Table1[[#This Row],[HomeTeam]],TeamAttrs!$A$2:$K$20,11,FALSE)</f>
        <v>0.85879848628193001</v>
      </c>
    </row>
    <row r="122" spans="1:27" x14ac:dyDescent="0.25">
      <c r="A122" s="1">
        <v>41056</v>
      </c>
      <c r="B122" t="s">
        <v>6</v>
      </c>
      <c r="C122" t="str">
        <f>VLOOKUP(Table1[[#This Row],[HomeTeam]], TeamAttrs!$A$2:$B$20,2,FALSE)</f>
        <v>SKC</v>
      </c>
      <c r="D122">
        <v>2</v>
      </c>
      <c r="E122">
        <v>1</v>
      </c>
      <c r="F122">
        <f>Table1[[#This Row],[HomeTeamScore]]-Table1[[#This Row],[VisitorScore]]</f>
        <v>1</v>
      </c>
      <c r="G122" t="s">
        <v>5</v>
      </c>
      <c r="H122" t="str">
        <f>VLOOKUP(Table1[[#This Row],[VisitorTeam]],TeamAttrs!$A$2:$B$20, 2, FALSE)</f>
        <v>SJE</v>
      </c>
      <c r="I122">
        <f t="shared" si="4"/>
        <v>1</v>
      </c>
      <c r="J122">
        <f t="shared" si="5"/>
        <v>0</v>
      </c>
      <c r="K122">
        <f t="shared" si="6"/>
        <v>0</v>
      </c>
      <c r="L122">
        <f>3*Table1[HomeWin] +Table1[Draw]</f>
        <v>3</v>
      </c>
      <c r="M122">
        <f>3*Table1[HomeLoss]+Table1[Draw]</f>
        <v>0</v>
      </c>
      <c r="N122">
        <f>VLOOKUP(B122,TeamAttrs!$A$2:$C$20,3,FALSE)</f>
        <v>6</v>
      </c>
      <c r="O122">
        <f>VLOOKUP(G122,TeamAttrs!$A$2:$C$20,3,FALSE)</f>
        <v>8</v>
      </c>
      <c r="P122">
        <f t="shared" si="7"/>
        <v>2</v>
      </c>
      <c r="Q122">
        <f>VLOOKUP(B122,TeamAttrs!$A$2:$D$20,3,FALSE)</f>
        <v>6</v>
      </c>
      <c r="R122">
        <f>VLOOKUP(G122,TeamAttrs!$A$2:$D$20,3,FALSE)</f>
        <v>8</v>
      </c>
      <c r="S122">
        <f>RADIANS(VLOOKUP(Table1[[#This Row],[HomeTeam]],TeamAttrs!$A$2:$H$20,7, FALSE))</f>
        <v>0.68271520751486592</v>
      </c>
      <c r="T122">
        <f>RADIANS(VLOOKUP(Table1[[#This Row],[HomeTeam]],TeamAttrs!$A$2:$H$20, 8, FALSE))</f>
        <v>-1.65166266702755</v>
      </c>
      <c r="U122">
        <f>RADIANS(VLOOKUP(Table1[[#This Row],[VisitorTeam]],TeamAttrs!$A$2:$H$20,7,FALSE))</f>
        <v>0.65217194560496516</v>
      </c>
      <c r="V122">
        <f>RADIANS(VLOOKUP(Table1[[#This Row],[VisitorTeam]], TeamAttrs!$A$2:$H$20,8,FALSE))</f>
        <v>-2.1281323168342459</v>
      </c>
      <c r="W122" s="5">
        <f>60*DEGREES(ACOS(SIN(Table1[[#This Row],[HomeLat]])*SIN(Table1[[#This Row],[VisitorLat]]) +COS(Table1[[#This Row],[HomeLat]])*COS(Table1[[#This Row],[VisitorLat]])*COS(ABS(Table1[[#This Row],[HomeLong]] -Table1[[#This Row],[VisitorLong]]))))</f>
        <v>1285.9087683383168</v>
      </c>
      <c r="X122" s="6">
        <f>VLOOKUP(Table1[[#This Row],[HomeTeam]],TeamAttrs!$A$2:$K$20,5,FALSE)</f>
        <v>3120000</v>
      </c>
      <c r="Y122" s="6">
        <f>VLOOKUP(Table1[[#This Row],[HomeTeam]],TeamAttrs!$A$2:$K$20,9,FALSE)</f>
        <v>19404</v>
      </c>
      <c r="Z122" s="6">
        <f>VLOOKUP(Table1[[#This Row],[HomeTeam]],TeamAttrs!$A$2:$K$20,10,FALSE)</f>
        <v>18467</v>
      </c>
      <c r="AA122" s="6">
        <f>VLOOKUP(Table1[[#This Row],[HomeTeam]],TeamAttrs!$A$2:$K$20,11,FALSE)</f>
        <v>1.0507391563329183</v>
      </c>
    </row>
    <row r="123" spans="1:27" x14ac:dyDescent="0.25">
      <c r="A123" s="1">
        <v>41062</v>
      </c>
      <c r="B123" t="s">
        <v>9</v>
      </c>
      <c r="C123" t="str">
        <f>VLOOKUP(Table1[[#This Row],[HomeTeam]], TeamAttrs!$A$2:$B$20,2,FALSE)</f>
        <v>NE</v>
      </c>
      <c r="D123">
        <v>2</v>
      </c>
      <c r="E123">
        <v>0</v>
      </c>
      <c r="F123">
        <f>Table1[[#This Row],[HomeTeamScore]]-Table1[[#This Row],[VisitorScore]]</f>
        <v>2</v>
      </c>
      <c r="G123" t="s">
        <v>17</v>
      </c>
      <c r="H123" t="str">
        <f>VLOOKUP(Table1[[#This Row],[VisitorTeam]],TeamAttrs!$A$2:$B$20, 2, FALSE)</f>
        <v>Chi</v>
      </c>
      <c r="I123">
        <f t="shared" si="4"/>
        <v>1</v>
      </c>
      <c r="J123">
        <f t="shared" si="5"/>
        <v>0</v>
      </c>
      <c r="K123">
        <f t="shared" si="6"/>
        <v>0</v>
      </c>
      <c r="L123">
        <f>3*Table1[HomeWin] +Table1[Draw]</f>
        <v>3</v>
      </c>
      <c r="M123">
        <f>3*Table1[HomeLoss]+Table1[Draw]</f>
        <v>0</v>
      </c>
      <c r="N123">
        <f>VLOOKUP(B123,TeamAttrs!$A$2:$C$20,3,FALSE)</f>
        <v>5</v>
      </c>
      <c r="O123">
        <f>VLOOKUP(G123,TeamAttrs!$A$2:$C$20,3,FALSE)</f>
        <v>6</v>
      </c>
      <c r="P123">
        <f t="shared" si="7"/>
        <v>1</v>
      </c>
      <c r="Q123">
        <f>VLOOKUP(B123,TeamAttrs!$A$2:$D$20,3,FALSE)</f>
        <v>5</v>
      </c>
      <c r="R123">
        <f>VLOOKUP(G123,TeamAttrs!$A$2:$D$20,3,FALSE)</f>
        <v>6</v>
      </c>
      <c r="S123">
        <f>RADIANS(VLOOKUP(Table1[[#This Row],[HomeTeam]],TeamAttrs!$A$2:$H$20,7, FALSE))</f>
        <v>0.73943840820468165</v>
      </c>
      <c r="T123">
        <f>RADIANS(VLOOKUP(Table1[[#This Row],[HomeTeam]],TeamAttrs!$A$2:$H$20, 8, FALSE))</f>
        <v>-1.2397649635568881</v>
      </c>
      <c r="U123">
        <f>RADIANS(VLOOKUP(Table1[[#This Row],[VisitorTeam]],TeamAttrs!$A$2:$H$20,7,FALSE))</f>
        <v>0.72925615734854665</v>
      </c>
      <c r="V123">
        <f>RADIANS(VLOOKUP(Table1[[#This Row],[VisitorTeam]], TeamAttrs!$A$2:$H$20,8,FALSE))</f>
        <v>-1.5315264186250241</v>
      </c>
      <c r="W123" s="5">
        <f>60*DEGREES(ACOS(SIN(Table1[[#This Row],[HomeLat]])*SIN(Table1[[#This Row],[VisitorLat]]) +COS(Table1[[#This Row],[HomeLat]])*COS(Table1[[#This Row],[VisitorLat]])*COS(ABS(Table1[[#This Row],[HomeLong]] -Table1[[#This Row],[VisitorLong]]))))</f>
        <v>744.11850967063151</v>
      </c>
      <c r="X123" s="6">
        <f>VLOOKUP(Table1[[#This Row],[HomeTeam]],TeamAttrs!$A$2:$K$20,5,FALSE)</f>
        <v>3260000</v>
      </c>
      <c r="Y123" s="6">
        <f>VLOOKUP(Table1[[#This Row],[HomeTeam]],TeamAttrs!$A$2:$K$20,9,FALSE)</f>
        <v>14001</v>
      </c>
      <c r="Z123" s="6">
        <f>VLOOKUP(Table1[[#This Row],[HomeTeam]],TeamAttrs!$A$2:$K$20,10,FALSE)</f>
        <v>20000</v>
      </c>
      <c r="AA123" s="6">
        <f>VLOOKUP(Table1[[#This Row],[HomeTeam]],TeamAttrs!$A$2:$K$20,11,FALSE)</f>
        <v>0.70004999999999995</v>
      </c>
    </row>
    <row r="124" spans="1:27" x14ac:dyDescent="0.25">
      <c r="A124" s="1">
        <v>41070</v>
      </c>
      <c r="B124" t="s">
        <v>0</v>
      </c>
      <c r="C124" t="str">
        <f>VLOOKUP(Table1[[#This Row],[HomeTeam]], TeamAttrs!$A$2:$B$20,2,FALSE)</f>
        <v>Van</v>
      </c>
      <c r="D124">
        <v>3</v>
      </c>
      <c r="E124">
        <v>1</v>
      </c>
      <c r="F124">
        <f>Table1[[#This Row],[HomeTeamScore]]-Table1[[#This Row],[VisitorScore]]</f>
        <v>2</v>
      </c>
      <c r="G124" t="s">
        <v>13</v>
      </c>
      <c r="H124" t="str">
        <f>VLOOKUP(Table1[[#This Row],[VisitorTeam]],TeamAttrs!$A$2:$B$20, 2, FALSE)</f>
        <v>Hou</v>
      </c>
      <c r="I124">
        <f t="shared" si="4"/>
        <v>1</v>
      </c>
      <c r="J124">
        <f t="shared" si="5"/>
        <v>0</v>
      </c>
      <c r="K124">
        <f t="shared" si="6"/>
        <v>0</v>
      </c>
      <c r="L124">
        <f>3*Table1[HomeWin] +Table1[Draw]</f>
        <v>3</v>
      </c>
      <c r="M124">
        <f>3*Table1[HomeLoss]+Table1[Draw]</f>
        <v>0</v>
      </c>
      <c r="N124">
        <f>VLOOKUP(B124,TeamAttrs!$A$2:$C$20,3,FALSE)</f>
        <v>8</v>
      </c>
      <c r="O124">
        <f>VLOOKUP(G124,TeamAttrs!$A$2:$C$20,3,FALSE)</f>
        <v>6</v>
      </c>
      <c r="P124">
        <f t="shared" si="7"/>
        <v>-2</v>
      </c>
      <c r="Q124">
        <f>VLOOKUP(B124,TeamAttrs!$A$2:$D$20,3,FALSE)</f>
        <v>8</v>
      </c>
      <c r="R124">
        <f>VLOOKUP(G124,TeamAttrs!$A$2:$D$20,3,FALSE)</f>
        <v>6</v>
      </c>
      <c r="S124">
        <f>RADIANS(VLOOKUP(Table1[[#This Row],[HomeTeam]],TeamAttrs!$A$2:$H$20,7, FALSE))</f>
        <v>0.86015585124812133</v>
      </c>
      <c r="T124">
        <f>RADIANS(VLOOKUP(Table1[[#This Row],[HomeTeam]],TeamAttrs!$A$2:$H$20, 8, FALSE))</f>
        <v>-2.1487970151778586</v>
      </c>
      <c r="U124">
        <f>RADIANS(VLOOKUP(Table1[[#This Row],[VisitorTeam]],TeamAttrs!$A$2:$H$20,7,FALSE))</f>
        <v>0.52301758095738471</v>
      </c>
      <c r="V124">
        <f>RADIANS(VLOOKUP(Table1[[#This Row],[VisitorTeam]], TeamAttrs!$A$2:$H$20,8,FALSE))</f>
        <v>-1.6641714417765932</v>
      </c>
      <c r="W124" s="5">
        <f>60*DEGREES(ACOS(SIN(Table1[[#This Row],[HomeLat]])*SIN(Table1[[#This Row],[VisitorLat]]) +COS(Table1[[#This Row],[HomeLat]])*COS(Table1[[#This Row],[VisitorLat]])*COS(ABS(Table1[[#This Row],[HomeLong]] -Table1[[#This Row],[VisitorLong]]))))</f>
        <v>1711.3339372921548</v>
      </c>
      <c r="X124" s="6">
        <f>VLOOKUP(Table1[[#This Row],[HomeTeam]],TeamAttrs!$A$2:$K$20,5,FALSE)</f>
        <v>4370000</v>
      </c>
      <c r="Y124" s="6">
        <f>VLOOKUP(Table1[[#This Row],[HomeTeam]],TeamAttrs!$A$2:$K$20,9,FALSE)</f>
        <v>19475</v>
      </c>
      <c r="Z124" s="6">
        <f>VLOOKUP(Table1[[#This Row],[HomeTeam]],TeamAttrs!$A$2:$K$20,10,FALSE)</f>
        <v>21000</v>
      </c>
      <c r="AA124" s="6">
        <f>VLOOKUP(Table1[[#This Row],[HomeTeam]],TeamAttrs!$A$2:$K$20,11,FALSE)</f>
        <v>0.92738095238095242</v>
      </c>
    </row>
    <row r="125" spans="1:27" x14ac:dyDescent="0.25">
      <c r="A125" s="1">
        <v>41076</v>
      </c>
      <c r="B125" t="s">
        <v>2</v>
      </c>
      <c r="C125" t="str">
        <f>VLOOKUP(Table1[[#This Row],[HomeTeam]], TeamAttrs!$A$2:$B$20,2,FALSE)</f>
        <v>Chiv</v>
      </c>
      <c r="D125">
        <v>0</v>
      </c>
      <c r="E125">
        <v>3</v>
      </c>
      <c r="F125">
        <f>Table1[[#This Row],[HomeTeamScore]]-Table1[[#This Row],[VisitorScore]]</f>
        <v>-3</v>
      </c>
      <c r="G125" t="s">
        <v>18</v>
      </c>
      <c r="H125" t="str">
        <f>VLOOKUP(Table1[[#This Row],[VisitorTeam]],TeamAttrs!$A$2:$B$20, 2, FALSE)</f>
        <v>RSL</v>
      </c>
      <c r="I125">
        <f t="shared" si="4"/>
        <v>0</v>
      </c>
      <c r="J125">
        <f t="shared" si="5"/>
        <v>0</v>
      </c>
      <c r="K125">
        <f t="shared" si="6"/>
        <v>1</v>
      </c>
      <c r="L125">
        <f>3*Table1[HomeWin] +Table1[Draw]</f>
        <v>0</v>
      </c>
      <c r="M125">
        <f>3*Table1[HomeLoss]+Table1[Draw]</f>
        <v>3</v>
      </c>
      <c r="N125">
        <f>VLOOKUP(B125,TeamAttrs!$A$2:$C$20,3,FALSE)</f>
        <v>8</v>
      </c>
      <c r="O125">
        <f>VLOOKUP(G125,TeamAttrs!$A$2:$C$20,3,FALSE)</f>
        <v>7</v>
      </c>
      <c r="P125">
        <f t="shared" si="7"/>
        <v>-1</v>
      </c>
      <c r="Q125">
        <f>VLOOKUP(B125,TeamAttrs!$A$2:$D$20,3,FALSE)</f>
        <v>8</v>
      </c>
      <c r="R125">
        <f>VLOOKUP(G125,TeamAttrs!$A$2:$D$20,3,FALSE)</f>
        <v>7</v>
      </c>
      <c r="S125">
        <f>RADIANS(VLOOKUP(Table1[[#This Row],[HomeTeam]],TeamAttrs!$A$2:$H$20,7, FALSE))</f>
        <v>0.59224781106699187</v>
      </c>
      <c r="T125">
        <f>RADIANS(VLOOKUP(Table1[[#This Row],[HomeTeam]],TeamAttrs!$A$2:$H$20, 8, FALSE))</f>
        <v>-2.0664698343612864</v>
      </c>
      <c r="U125">
        <f>RADIANS(VLOOKUP(Table1[[#This Row],[VisitorTeam]],TeamAttrs!$A$2:$H$20,7,FALSE))</f>
        <v>0.71151314017277234</v>
      </c>
      <c r="V125">
        <f>RADIANS(VLOOKUP(Table1[[#This Row],[VisitorTeam]], TeamAttrs!$A$2:$H$20,8,FALSE))</f>
        <v>-1.954192803580491</v>
      </c>
      <c r="W125" s="5">
        <f>60*DEGREES(ACOS(SIN(Table1[[#This Row],[HomeLat]])*SIN(Table1[[#This Row],[VisitorLat]]) +COS(Table1[[#This Row],[HomeLat]])*COS(Table1[[#This Row],[VisitorLat]])*COS(ABS(Table1[[#This Row],[HomeLong]] -Table1[[#This Row],[VisitorLong]]))))</f>
        <v>511.76775855631945</v>
      </c>
      <c r="X125" s="6">
        <f>VLOOKUP(Table1[[#This Row],[HomeTeam]],TeamAttrs!$A$2:$K$20,5,FALSE)</f>
        <v>3230000</v>
      </c>
      <c r="Y125" s="6">
        <f>VLOOKUP(Table1[[#This Row],[HomeTeam]],TeamAttrs!$A$2:$K$20,9,FALSE)</f>
        <v>13056</v>
      </c>
      <c r="Z125" s="6">
        <f>VLOOKUP(Table1[[#This Row],[HomeTeam]],TeamAttrs!$A$2:$K$20,10,FALSE)</f>
        <v>18800</v>
      </c>
      <c r="AA125" s="6">
        <f>VLOOKUP(Table1[[#This Row],[HomeTeam]],TeamAttrs!$A$2:$K$20,11,FALSE)</f>
        <v>0.69446808510638303</v>
      </c>
    </row>
    <row r="126" spans="1:27" x14ac:dyDescent="0.25">
      <c r="A126" s="1">
        <v>41076</v>
      </c>
      <c r="B126" t="s">
        <v>13</v>
      </c>
      <c r="C126" t="str">
        <f>VLOOKUP(Table1[[#This Row],[HomeTeam]], TeamAttrs!$A$2:$B$20,2,FALSE)</f>
        <v>Hou</v>
      </c>
      <c r="D126">
        <v>2</v>
      </c>
      <c r="E126">
        <v>1</v>
      </c>
      <c r="F126">
        <f>Table1[[#This Row],[HomeTeamScore]]-Table1[[#This Row],[VisitorScore]]</f>
        <v>1</v>
      </c>
      <c r="G126" t="s">
        <v>7</v>
      </c>
      <c r="H126" t="str">
        <f>VLOOKUP(Table1[[#This Row],[VisitorTeam]],TeamAttrs!$A$2:$B$20, 2, FALSE)</f>
        <v>FCDal</v>
      </c>
      <c r="I126">
        <f t="shared" si="4"/>
        <v>1</v>
      </c>
      <c r="J126">
        <f t="shared" si="5"/>
        <v>0</v>
      </c>
      <c r="K126">
        <f t="shared" si="6"/>
        <v>0</v>
      </c>
      <c r="L126">
        <f>3*Table1[HomeWin] +Table1[Draw]</f>
        <v>3</v>
      </c>
      <c r="M126">
        <f>3*Table1[HomeLoss]+Table1[Draw]</f>
        <v>0</v>
      </c>
      <c r="N126">
        <f>VLOOKUP(B126,TeamAttrs!$A$2:$C$20,3,FALSE)</f>
        <v>6</v>
      </c>
      <c r="O126">
        <f>VLOOKUP(G126,TeamAttrs!$A$2:$C$20,3,FALSE)</f>
        <v>6</v>
      </c>
      <c r="P126">
        <f t="shared" si="7"/>
        <v>0</v>
      </c>
      <c r="Q126">
        <f>VLOOKUP(B126,TeamAttrs!$A$2:$D$20,3,FALSE)</f>
        <v>6</v>
      </c>
      <c r="R126">
        <f>VLOOKUP(G126,TeamAttrs!$A$2:$D$20,3,FALSE)</f>
        <v>6</v>
      </c>
      <c r="S126">
        <f>RADIANS(VLOOKUP(Table1[[#This Row],[HomeTeam]],TeamAttrs!$A$2:$H$20,7, FALSE))</f>
        <v>0.52301758095738471</v>
      </c>
      <c r="T126">
        <f>RADIANS(VLOOKUP(Table1[[#This Row],[HomeTeam]],TeamAttrs!$A$2:$H$20, 8, FALSE))</f>
        <v>-1.6641714417765932</v>
      </c>
      <c r="U126">
        <f>RADIANS(VLOOKUP(Table1[[#This Row],[VisitorTeam]],TeamAttrs!$A$2:$H$20,7,FALSE))</f>
        <v>0.57334065928013733</v>
      </c>
      <c r="V126">
        <f>RADIANS(VLOOKUP(Table1[[#This Row],[VisitorTeam]], TeamAttrs!$A$2:$H$20,8,FALSE))</f>
        <v>-1.690351380556508</v>
      </c>
      <c r="W126" s="5">
        <f>60*DEGREES(ACOS(SIN(Table1[[#This Row],[HomeLat]])*SIN(Table1[[#This Row],[VisitorLat]]) +COS(Table1[[#This Row],[HomeLat]])*COS(Table1[[#This Row],[VisitorLat]])*COS(ABS(Table1[[#This Row],[HomeLong]] -Table1[[#This Row],[VisitorLong]]))))</f>
        <v>189.2769792391864</v>
      </c>
      <c r="X126" s="6">
        <f>VLOOKUP(Table1[[#This Row],[HomeTeam]],TeamAttrs!$A$2:$K$20,5,FALSE)</f>
        <v>3000000</v>
      </c>
      <c r="Y126" s="6">
        <f>VLOOKUP(Table1[[#This Row],[HomeTeam]],TeamAttrs!$A$2:$K$20,9,FALSE)</f>
        <v>20946</v>
      </c>
      <c r="Z126" s="6">
        <f>VLOOKUP(Table1[[#This Row],[HomeTeam]],TeamAttrs!$A$2:$K$20,10,FALSE)</f>
        <v>22000</v>
      </c>
      <c r="AA126" s="6">
        <f>VLOOKUP(Table1[[#This Row],[HomeTeam]],TeamAttrs!$A$2:$K$20,11,FALSE)</f>
        <v>0.9520909090909091</v>
      </c>
    </row>
    <row r="127" spans="1:27" x14ac:dyDescent="0.25">
      <c r="A127" s="1">
        <v>41076</v>
      </c>
      <c r="B127" t="s">
        <v>1</v>
      </c>
      <c r="C127" t="str">
        <f>VLOOKUP(Table1[[#This Row],[HomeTeam]], TeamAttrs!$A$2:$B$20,2,FALSE)</f>
        <v>Mntrl</v>
      </c>
      <c r="D127">
        <v>4</v>
      </c>
      <c r="E127">
        <v>1</v>
      </c>
      <c r="F127">
        <f>Table1[[#This Row],[HomeTeamScore]]-Table1[[#This Row],[VisitorScore]]</f>
        <v>3</v>
      </c>
      <c r="G127" t="s">
        <v>11</v>
      </c>
      <c r="H127" t="str">
        <f>VLOOKUP(Table1[[#This Row],[VisitorTeam]],TeamAttrs!$A$2:$B$20, 2, FALSE)</f>
        <v>SEA</v>
      </c>
      <c r="I127">
        <f t="shared" si="4"/>
        <v>1</v>
      </c>
      <c r="J127">
        <f t="shared" si="5"/>
        <v>0</v>
      </c>
      <c r="K127">
        <f t="shared" si="6"/>
        <v>0</v>
      </c>
      <c r="L127">
        <f>3*Table1[HomeWin] +Table1[Draw]</f>
        <v>3</v>
      </c>
      <c r="M127">
        <f>3*Table1[HomeLoss]+Table1[Draw]</f>
        <v>0</v>
      </c>
      <c r="N127">
        <f>VLOOKUP(B127,TeamAttrs!$A$2:$C$20,3,FALSE)</f>
        <v>5</v>
      </c>
      <c r="O127">
        <f>VLOOKUP(G127,TeamAttrs!$A$2:$C$20,3,FALSE)</f>
        <v>8</v>
      </c>
      <c r="P127">
        <f t="shared" si="7"/>
        <v>3</v>
      </c>
      <c r="Q127">
        <f>VLOOKUP(B127,TeamAttrs!$A$2:$D$20,3,FALSE)</f>
        <v>5</v>
      </c>
      <c r="R127">
        <f>VLOOKUP(G127,TeamAttrs!$A$2:$D$20,3,FALSE)</f>
        <v>8</v>
      </c>
      <c r="S127">
        <f>RADIANS(VLOOKUP(Table1[[#This Row],[HomeTeam]],TeamAttrs!$A$2:$H$20,7, FALSE))</f>
        <v>0.79354361501650583</v>
      </c>
      <c r="T127">
        <f>RADIANS(VLOOKUP(Table1[[#This Row],[HomeTeam]],TeamAttrs!$A$2:$H$20, 8, FALSE))</f>
        <v>-1.2871803233458181</v>
      </c>
      <c r="U127">
        <f>RADIANS(VLOOKUP(Table1[[#This Row],[VisitorTeam]],TeamAttrs!$A$2:$H$20,7,FALSE))</f>
        <v>0.83164938857529802</v>
      </c>
      <c r="V127">
        <f>RADIANS(VLOOKUP(Table1[[#This Row],[VisitorTeam]], TeamAttrs!$A$2:$H$20,8,FALSE))</f>
        <v>-2.134537675189065</v>
      </c>
      <c r="W127" s="5">
        <f>60*DEGREES(ACOS(SIN(Table1[[#This Row],[HomeLat]])*SIN(Table1[[#This Row],[VisitorLat]]) +COS(Table1[[#This Row],[HomeLat]])*COS(Table1[[#This Row],[VisitorLat]])*COS(ABS(Table1[[#This Row],[HomeLong]] -Table1[[#This Row],[VisitorLong]]))))</f>
        <v>1974.3200825600766</v>
      </c>
      <c r="X127" s="6">
        <f>VLOOKUP(Table1[[#This Row],[HomeTeam]],TeamAttrs!$A$2:$K$20,5,FALSE)</f>
        <v>3030000</v>
      </c>
      <c r="Y127" s="6">
        <f>VLOOKUP(Table1[[#This Row],[HomeTeam]],TeamAttrs!$A$2:$K$20,9,FALSE)</f>
        <v>22772</v>
      </c>
      <c r="Z127" s="6">
        <f>VLOOKUP(Table1[[#This Row],[HomeTeam]],TeamAttrs!$A$2:$K$20,10,FALSE)</f>
        <v>20341</v>
      </c>
      <c r="AA127" s="6">
        <f>VLOOKUP(Table1[[#This Row],[HomeTeam]],TeamAttrs!$A$2:$K$20,11,FALSE)</f>
        <v>1.1195123150287596</v>
      </c>
    </row>
    <row r="128" spans="1:27" x14ac:dyDescent="0.25">
      <c r="A128" s="1">
        <v>41076</v>
      </c>
      <c r="B128" t="s">
        <v>9</v>
      </c>
      <c r="C128" t="str">
        <f>VLOOKUP(Table1[[#This Row],[HomeTeam]], TeamAttrs!$A$2:$B$20,2,FALSE)</f>
        <v>NE</v>
      </c>
      <c r="D128">
        <v>0</v>
      </c>
      <c r="E128">
        <v>0</v>
      </c>
      <c r="F128">
        <f>Table1[[#This Row],[HomeTeamScore]]-Table1[[#This Row],[VisitorScore]]</f>
        <v>0</v>
      </c>
      <c r="G128" t="s">
        <v>8</v>
      </c>
      <c r="H128" t="str">
        <f>VLOOKUP(Table1[[#This Row],[VisitorTeam]],TeamAttrs!$A$2:$B$20, 2, FALSE)</f>
        <v>Colum</v>
      </c>
      <c r="I128">
        <f t="shared" si="4"/>
        <v>0</v>
      </c>
      <c r="J128">
        <f t="shared" si="5"/>
        <v>1</v>
      </c>
      <c r="K128">
        <f t="shared" si="6"/>
        <v>0</v>
      </c>
      <c r="L128">
        <f>3*Table1[HomeWin] +Table1[Draw]</f>
        <v>1</v>
      </c>
      <c r="M128">
        <f>3*Table1[HomeLoss]+Table1[Draw]</f>
        <v>1</v>
      </c>
      <c r="N128">
        <f>VLOOKUP(B128,TeamAttrs!$A$2:$C$20,3,FALSE)</f>
        <v>5</v>
      </c>
      <c r="O128">
        <f>VLOOKUP(G128,TeamAttrs!$A$2:$C$20,3,FALSE)</f>
        <v>5</v>
      </c>
      <c r="P128">
        <f t="shared" si="7"/>
        <v>0</v>
      </c>
      <c r="Q128">
        <f>VLOOKUP(B128,TeamAttrs!$A$2:$D$20,3,FALSE)</f>
        <v>5</v>
      </c>
      <c r="R128">
        <f>VLOOKUP(G128,TeamAttrs!$A$2:$D$20,3,FALSE)</f>
        <v>5</v>
      </c>
      <c r="S128">
        <f>RADIANS(VLOOKUP(Table1[[#This Row],[HomeTeam]],TeamAttrs!$A$2:$H$20,7, FALSE))</f>
        <v>0.73943840820468165</v>
      </c>
      <c r="T128">
        <f>RADIANS(VLOOKUP(Table1[[#This Row],[HomeTeam]],TeamAttrs!$A$2:$H$20, 8, FALSE))</f>
        <v>-1.2397649635568881</v>
      </c>
      <c r="U128">
        <f>RADIANS(VLOOKUP(Table1[[#This Row],[VisitorTeam]],TeamAttrs!$A$2:$H$20,7,FALSE))</f>
        <v>0.69813170079773179</v>
      </c>
      <c r="V128">
        <f>RADIANS(VLOOKUP(Table1[[#This Row],[VisitorTeam]], TeamAttrs!$A$2:$H$20,8,FALSE))</f>
        <v>-1.4465864799182162</v>
      </c>
      <c r="W128" s="5">
        <f>60*DEGREES(ACOS(SIN(Table1[[#This Row],[HomeLat]])*SIN(Table1[[#This Row],[VisitorLat]]) +COS(Table1[[#This Row],[HomeLat]])*COS(Table1[[#This Row],[VisitorLat]])*COS(ABS(Table1[[#This Row],[HomeLong]] -Table1[[#This Row],[VisitorLong]]))))</f>
        <v>553.10243220455334</v>
      </c>
      <c r="X128" s="6">
        <f>VLOOKUP(Table1[[#This Row],[HomeTeam]],TeamAttrs!$A$2:$K$20,5,FALSE)</f>
        <v>3260000</v>
      </c>
      <c r="Y128" s="6">
        <f>VLOOKUP(Table1[[#This Row],[HomeTeam]],TeamAttrs!$A$2:$K$20,9,FALSE)</f>
        <v>14001</v>
      </c>
      <c r="Z128" s="6">
        <f>VLOOKUP(Table1[[#This Row],[HomeTeam]],TeamAttrs!$A$2:$K$20,10,FALSE)</f>
        <v>20000</v>
      </c>
      <c r="AA128" s="6">
        <f>VLOOKUP(Table1[[#This Row],[HomeTeam]],TeamAttrs!$A$2:$K$20,11,FALSE)</f>
        <v>0.70004999999999995</v>
      </c>
    </row>
    <row r="129" spans="1:27" x14ac:dyDescent="0.25">
      <c r="A129" s="1">
        <v>41076</v>
      </c>
      <c r="B129" t="s">
        <v>4</v>
      </c>
      <c r="C129" t="str">
        <f>VLOOKUP(Table1[[#This Row],[HomeTeam]], TeamAttrs!$A$2:$B$20,2,FALSE)</f>
        <v>Phil</v>
      </c>
      <c r="D129">
        <v>0</v>
      </c>
      <c r="E129">
        <v>1</v>
      </c>
      <c r="F129">
        <f>Table1[[#This Row],[HomeTeamScore]]-Table1[[#This Row],[VisitorScore]]</f>
        <v>-1</v>
      </c>
      <c r="G129" t="s">
        <v>3</v>
      </c>
      <c r="H129" t="str">
        <f>VLOOKUP(Table1[[#This Row],[VisitorTeam]],TeamAttrs!$A$2:$B$20, 2, FALSE)</f>
        <v>DCU</v>
      </c>
      <c r="I129">
        <f t="shared" si="4"/>
        <v>0</v>
      </c>
      <c r="J129">
        <f t="shared" si="5"/>
        <v>0</v>
      </c>
      <c r="K129">
        <f t="shared" si="6"/>
        <v>1</v>
      </c>
      <c r="L129">
        <f>3*Table1[HomeWin] +Table1[Draw]</f>
        <v>0</v>
      </c>
      <c r="M129">
        <f>3*Table1[HomeLoss]+Table1[Draw]</f>
        <v>3</v>
      </c>
      <c r="N129">
        <f>VLOOKUP(B129,TeamAttrs!$A$2:$C$20,3,FALSE)</f>
        <v>5</v>
      </c>
      <c r="O129">
        <f>VLOOKUP(G129,TeamAttrs!$A$2:$C$20,3,FALSE)</f>
        <v>5</v>
      </c>
      <c r="P129">
        <f t="shared" si="7"/>
        <v>0</v>
      </c>
      <c r="Q129">
        <f>VLOOKUP(B129,TeamAttrs!$A$2:$D$20,3,FALSE)</f>
        <v>5</v>
      </c>
      <c r="R129">
        <f>VLOOKUP(G129,TeamAttrs!$A$2:$D$20,3,FALSE)</f>
        <v>5</v>
      </c>
      <c r="S129">
        <f>RADIANS(VLOOKUP(Table1[[#This Row],[HomeTeam]],TeamAttrs!$A$2:$H$20,7, FALSE))</f>
        <v>0.69609490156065446</v>
      </c>
      <c r="T129">
        <f>RADIANS(VLOOKUP(Table1[[#This Row],[HomeTeam]],TeamAttrs!$A$2:$H$20, 8, FALSE))</f>
        <v>-1.313360262125733</v>
      </c>
      <c r="U129">
        <f>RADIANS(VLOOKUP(Table1[[#This Row],[VisitorTeam]],TeamAttrs!$A$2:$H$20,7,FALSE))</f>
        <v>0.67806041439979703</v>
      </c>
      <c r="V129">
        <f>RADIANS(VLOOKUP(Table1[[#This Row],[VisitorTeam]], TeamAttrs!$A$2:$H$20,8,FALSE))</f>
        <v>-1.3444847186765478</v>
      </c>
      <c r="W129" s="5">
        <f>60*DEGREES(ACOS(SIN(Table1[[#This Row],[HomeLat]])*SIN(Table1[[#This Row],[VisitorLat]]) +COS(Table1[[#This Row],[HomeLat]])*COS(Table1[[#This Row],[VisitorLat]])*COS(ABS(Table1[[#This Row],[HomeLong]] -Table1[[#This Row],[VisitorLong]]))))</f>
        <v>103.37139318979079</v>
      </c>
      <c r="X129" s="6">
        <f>VLOOKUP(Table1[[#This Row],[HomeTeam]],TeamAttrs!$A$2:$K$20,5,FALSE)</f>
        <v>3620000</v>
      </c>
      <c r="Y129" s="6">
        <f>VLOOKUP(Table1[[#This Row],[HomeTeam]],TeamAttrs!$A$2:$K$20,9,FALSE)</f>
        <v>18053</v>
      </c>
      <c r="Z129" s="6">
        <f>VLOOKUP(Table1[[#This Row],[HomeTeam]],TeamAttrs!$A$2:$K$20,10,FALSE)</f>
        <v>18500</v>
      </c>
      <c r="AA129" s="6">
        <f>VLOOKUP(Table1[[#This Row],[HomeTeam]],TeamAttrs!$A$2:$K$20,11,FALSE)</f>
        <v>0.97583783783783784</v>
      </c>
    </row>
    <row r="130" spans="1:27" x14ac:dyDescent="0.25">
      <c r="A130" s="1">
        <v>41076</v>
      </c>
      <c r="B130" t="s">
        <v>6</v>
      </c>
      <c r="C130" t="str">
        <f>VLOOKUP(Table1[[#This Row],[HomeTeam]], TeamAttrs!$A$2:$B$20,2,FALSE)</f>
        <v>SKC</v>
      </c>
      <c r="D130">
        <v>2</v>
      </c>
      <c r="E130">
        <v>0</v>
      </c>
      <c r="F130">
        <f>Table1[[#This Row],[HomeTeamScore]]-Table1[[#This Row],[VisitorScore]]</f>
        <v>2</v>
      </c>
      <c r="G130" t="s">
        <v>10</v>
      </c>
      <c r="H130" t="str">
        <f>VLOOKUP(Table1[[#This Row],[VisitorTeam]],TeamAttrs!$A$2:$B$20, 2, FALSE)</f>
        <v>Tor</v>
      </c>
      <c r="I130">
        <f t="shared" ref="I130:I193" si="8">IF(D130&gt;E130, 1,0)</f>
        <v>1</v>
      </c>
      <c r="J130">
        <f t="shared" ref="J130:J193" si="9">IF(D130=E130, 1, 0)</f>
        <v>0</v>
      </c>
      <c r="K130">
        <f t="shared" ref="K130:K193" si="10">IF(E130&gt;D130, 1,0)</f>
        <v>0</v>
      </c>
      <c r="L130">
        <f>3*Table1[HomeWin] +Table1[Draw]</f>
        <v>3</v>
      </c>
      <c r="M130">
        <f>3*Table1[HomeLoss]+Table1[Draw]</f>
        <v>0</v>
      </c>
      <c r="N130">
        <f>VLOOKUP(B130,TeamAttrs!$A$2:$C$20,3,FALSE)</f>
        <v>6</v>
      </c>
      <c r="O130">
        <f>VLOOKUP(G130,TeamAttrs!$A$2:$C$20,3,FALSE)</f>
        <v>5</v>
      </c>
      <c r="P130">
        <f t="shared" ref="P130:P193" si="11">O130-N130</f>
        <v>-1</v>
      </c>
      <c r="Q130">
        <f>VLOOKUP(B130,TeamAttrs!$A$2:$D$20,3,FALSE)</f>
        <v>6</v>
      </c>
      <c r="R130">
        <f>VLOOKUP(G130,TeamAttrs!$A$2:$D$20,3,FALSE)</f>
        <v>5</v>
      </c>
      <c r="S130">
        <f>RADIANS(VLOOKUP(Table1[[#This Row],[HomeTeam]],TeamAttrs!$A$2:$H$20,7, FALSE))</f>
        <v>0.68271520751486592</v>
      </c>
      <c r="T130">
        <f>RADIANS(VLOOKUP(Table1[[#This Row],[HomeTeam]],TeamAttrs!$A$2:$H$20, 8, FALSE))</f>
        <v>-1.65166266702755</v>
      </c>
      <c r="U130">
        <f>RADIANS(VLOOKUP(Table1[[#This Row],[VisitorTeam]],TeamAttrs!$A$2:$H$20,7,FALSE))</f>
        <v>0.76241741313643896</v>
      </c>
      <c r="V130">
        <f>RADIANS(VLOOKUP(Table1[[#This Row],[VisitorTeam]], TeamAttrs!$A$2:$H$20,8,FALSE))</f>
        <v>-1.3898632792284005</v>
      </c>
      <c r="W130" s="5">
        <f>60*DEGREES(ACOS(SIN(Table1[[#This Row],[HomeLat]])*SIN(Table1[[#This Row],[VisitorLat]]) +COS(Table1[[#This Row],[HomeLat]])*COS(Table1[[#This Row],[VisitorLat]])*COS(ABS(Table1[[#This Row],[HomeLong]] -Table1[[#This Row],[VisitorLong]]))))</f>
        <v>727.24684906635184</v>
      </c>
      <c r="X130" s="6">
        <f>VLOOKUP(Table1[[#This Row],[HomeTeam]],TeamAttrs!$A$2:$K$20,5,FALSE)</f>
        <v>3120000</v>
      </c>
      <c r="Y130" s="6">
        <f>VLOOKUP(Table1[[#This Row],[HomeTeam]],TeamAttrs!$A$2:$K$20,9,FALSE)</f>
        <v>19404</v>
      </c>
      <c r="Z130" s="6">
        <f>VLOOKUP(Table1[[#This Row],[HomeTeam]],TeamAttrs!$A$2:$K$20,10,FALSE)</f>
        <v>18467</v>
      </c>
      <c r="AA130" s="6">
        <f>VLOOKUP(Table1[[#This Row],[HomeTeam]],TeamAttrs!$A$2:$K$20,11,FALSE)</f>
        <v>1.0507391563329183</v>
      </c>
    </row>
    <row r="131" spans="1:27" x14ac:dyDescent="0.25">
      <c r="A131" s="1">
        <v>41076</v>
      </c>
      <c r="B131" t="s">
        <v>0</v>
      </c>
      <c r="C131" t="str">
        <f>VLOOKUP(Table1[[#This Row],[HomeTeam]], TeamAttrs!$A$2:$B$20,2,FALSE)</f>
        <v>Van</v>
      </c>
      <c r="D131">
        <v>1</v>
      </c>
      <c r="E131">
        <v>0</v>
      </c>
      <c r="F131">
        <f>Table1[[#This Row],[HomeTeamScore]]-Table1[[#This Row],[VisitorScore]]</f>
        <v>1</v>
      </c>
      <c r="G131" t="s">
        <v>14</v>
      </c>
      <c r="H131" t="str">
        <f>VLOOKUP(Table1[[#This Row],[VisitorTeam]],TeamAttrs!$A$2:$B$20, 2, FALSE)</f>
        <v>ColRa</v>
      </c>
      <c r="I131">
        <f t="shared" si="8"/>
        <v>1</v>
      </c>
      <c r="J131">
        <f t="shared" si="9"/>
        <v>0</v>
      </c>
      <c r="K131">
        <f t="shared" si="10"/>
        <v>0</v>
      </c>
      <c r="L131">
        <f>3*Table1[HomeWin] +Table1[Draw]</f>
        <v>3</v>
      </c>
      <c r="M131">
        <f>3*Table1[HomeLoss]+Table1[Draw]</f>
        <v>0</v>
      </c>
      <c r="N131">
        <f>VLOOKUP(B131,TeamAttrs!$A$2:$C$20,3,FALSE)</f>
        <v>8</v>
      </c>
      <c r="O131">
        <f>VLOOKUP(G131,TeamAttrs!$A$2:$C$20,3,FALSE)</f>
        <v>7</v>
      </c>
      <c r="P131">
        <f t="shared" si="11"/>
        <v>-1</v>
      </c>
      <c r="Q131">
        <f>VLOOKUP(B131,TeamAttrs!$A$2:$D$20,3,FALSE)</f>
        <v>8</v>
      </c>
      <c r="R131">
        <f>VLOOKUP(G131,TeamAttrs!$A$2:$D$20,3,FALSE)</f>
        <v>7</v>
      </c>
      <c r="S131">
        <f>RADIANS(VLOOKUP(Table1[[#This Row],[HomeTeam]],TeamAttrs!$A$2:$H$20,7, FALSE))</f>
        <v>0.86015585124812133</v>
      </c>
      <c r="T131">
        <f>RADIANS(VLOOKUP(Table1[[#This Row],[HomeTeam]],TeamAttrs!$A$2:$H$20, 8, FALSE))</f>
        <v>-2.1487970151778586</v>
      </c>
      <c r="U131">
        <f>RADIANS(VLOOKUP(Table1[[#This Row],[VisitorTeam]],TeamAttrs!$A$2:$H$20,7,FALSE))</f>
        <v>0.69376837766774602</v>
      </c>
      <c r="V131">
        <f>RADIANS(VLOOKUP(Table1[[#This Row],[VisitorTeam]], TeamAttrs!$A$2:$H$20,8,FALSE))</f>
        <v>-1.8302744266888937</v>
      </c>
      <c r="W131" s="5">
        <f>60*DEGREES(ACOS(SIN(Table1[[#This Row],[HomeLat]])*SIN(Table1[[#This Row],[VisitorLat]]) +COS(Table1[[#This Row],[HomeLat]])*COS(Table1[[#This Row],[VisitorLat]])*COS(ABS(Table1[[#This Row],[HomeLong]] -Table1[[#This Row],[VisitorLong]]))))</f>
        <v>963.72959518333187</v>
      </c>
      <c r="X131" s="6">
        <f>VLOOKUP(Table1[[#This Row],[HomeTeam]],TeamAttrs!$A$2:$K$20,5,FALSE)</f>
        <v>4370000</v>
      </c>
      <c r="Y131" s="6">
        <f>VLOOKUP(Table1[[#This Row],[HomeTeam]],TeamAttrs!$A$2:$K$20,9,FALSE)</f>
        <v>19475</v>
      </c>
      <c r="Z131" s="6">
        <f>VLOOKUP(Table1[[#This Row],[HomeTeam]],TeamAttrs!$A$2:$K$20,10,FALSE)</f>
        <v>21000</v>
      </c>
      <c r="AA131" s="6">
        <f>VLOOKUP(Table1[[#This Row],[HomeTeam]],TeamAttrs!$A$2:$K$20,11,FALSE)</f>
        <v>0.92738095238095242</v>
      </c>
    </row>
    <row r="132" spans="1:27" x14ac:dyDescent="0.25">
      <c r="A132" s="1">
        <v>41077</v>
      </c>
      <c r="B132" t="s">
        <v>17</v>
      </c>
      <c r="C132" t="str">
        <f>VLOOKUP(Table1[[#This Row],[HomeTeam]], TeamAttrs!$A$2:$B$20,2,FALSE)</f>
        <v>Chi</v>
      </c>
      <c r="D132">
        <v>3</v>
      </c>
      <c r="E132">
        <v>1</v>
      </c>
      <c r="F132">
        <f>Table1[[#This Row],[HomeTeamScore]]-Table1[[#This Row],[VisitorScore]]</f>
        <v>2</v>
      </c>
      <c r="G132" t="s">
        <v>15</v>
      </c>
      <c r="H132" t="str">
        <f>VLOOKUP(Table1[[#This Row],[VisitorTeam]],TeamAttrs!$A$2:$B$20, 2, FALSE)</f>
        <v>NY</v>
      </c>
      <c r="I132">
        <f t="shared" si="8"/>
        <v>1</v>
      </c>
      <c r="J132">
        <f t="shared" si="9"/>
        <v>0</v>
      </c>
      <c r="K132">
        <f t="shared" si="10"/>
        <v>0</v>
      </c>
      <c r="L132">
        <f>3*Table1[HomeWin] +Table1[Draw]</f>
        <v>3</v>
      </c>
      <c r="M132">
        <f>3*Table1[HomeLoss]+Table1[Draw]</f>
        <v>0</v>
      </c>
      <c r="N132">
        <f>VLOOKUP(B132,TeamAttrs!$A$2:$C$20,3,FALSE)</f>
        <v>6</v>
      </c>
      <c r="O132">
        <f>VLOOKUP(G132,TeamAttrs!$A$2:$C$20,3,FALSE)</f>
        <v>5</v>
      </c>
      <c r="P132">
        <f t="shared" si="11"/>
        <v>-1</v>
      </c>
      <c r="Q132">
        <f>VLOOKUP(B132,TeamAttrs!$A$2:$D$20,3,FALSE)</f>
        <v>6</v>
      </c>
      <c r="R132">
        <f>VLOOKUP(G132,TeamAttrs!$A$2:$D$20,3,FALSE)</f>
        <v>5</v>
      </c>
      <c r="S132">
        <f>RADIANS(VLOOKUP(Table1[[#This Row],[HomeTeam]],TeamAttrs!$A$2:$H$20,7, FALSE))</f>
        <v>0.72925615734854665</v>
      </c>
      <c r="T132">
        <f>RADIANS(VLOOKUP(Table1[[#This Row],[HomeTeam]],TeamAttrs!$A$2:$H$20, 8, FALSE))</f>
        <v>-1.5315264186250241</v>
      </c>
      <c r="U132">
        <f>RADIANS(VLOOKUP(Table1[[#This Row],[VisitorTeam]],TeamAttrs!$A$2:$H$20,7,FALSE))</f>
        <v>0.71180286482860333</v>
      </c>
      <c r="V132">
        <f>RADIANS(VLOOKUP(Table1[[#This Row],[VisitorTeam]], TeamAttrs!$A$2:$H$20,8,FALSE))</f>
        <v>-1.2909624518348899</v>
      </c>
      <c r="W132" s="5">
        <f>60*DEGREES(ACOS(SIN(Table1[[#This Row],[HomeLat]])*SIN(Table1[[#This Row],[VisitorLat]]) +COS(Table1[[#This Row],[HomeLat]])*COS(Table1[[#This Row],[VisitorLat]])*COS(ABS(Table1[[#This Row],[HomeLong]] -Table1[[#This Row],[VisitorLong]]))))</f>
        <v>623.66546579347437</v>
      </c>
      <c r="X132" s="6">
        <f>VLOOKUP(Table1[[#This Row],[HomeTeam]],TeamAttrs!$A$2:$K$20,5,FALSE)</f>
        <v>3230000</v>
      </c>
      <c r="Y132" s="6">
        <f>VLOOKUP(Table1[[#This Row],[HomeTeam]],TeamAttrs!$A$2:$K$20,9,FALSE)</f>
        <v>16407</v>
      </c>
      <c r="Z132" s="6">
        <f>VLOOKUP(Table1[[#This Row],[HomeTeam]],TeamAttrs!$A$2:$K$20,10,FALSE)</f>
        <v>20000</v>
      </c>
      <c r="AA132" s="6">
        <f>VLOOKUP(Table1[[#This Row],[HomeTeam]],TeamAttrs!$A$2:$K$20,11,FALSE)</f>
        <v>0.82035000000000002</v>
      </c>
    </row>
    <row r="133" spans="1:27" x14ac:dyDescent="0.25">
      <c r="A133" s="1">
        <v>41077</v>
      </c>
      <c r="B133" t="s">
        <v>16</v>
      </c>
      <c r="C133" t="str">
        <f>VLOOKUP(Table1[[#This Row],[HomeTeam]], TeamAttrs!$A$2:$B$20,2,FALSE)</f>
        <v>LAGxy</v>
      </c>
      <c r="D133">
        <v>1</v>
      </c>
      <c r="E133">
        <v>0</v>
      </c>
      <c r="F133">
        <f>Table1[[#This Row],[HomeTeamScore]]-Table1[[#This Row],[VisitorScore]]</f>
        <v>1</v>
      </c>
      <c r="G133" t="s">
        <v>12</v>
      </c>
      <c r="H133" t="str">
        <f>VLOOKUP(Table1[[#This Row],[VisitorTeam]],TeamAttrs!$A$2:$B$20, 2, FALSE)</f>
        <v>Port</v>
      </c>
      <c r="I133">
        <f t="shared" si="8"/>
        <v>1</v>
      </c>
      <c r="J133">
        <f t="shared" si="9"/>
        <v>0</v>
      </c>
      <c r="K133">
        <f t="shared" si="10"/>
        <v>0</v>
      </c>
      <c r="L133">
        <f>3*Table1[HomeWin] +Table1[Draw]</f>
        <v>3</v>
      </c>
      <c r="M133">
        <f>3*Table1[HomeLoss]+Table1[Draw]</f>
        <v>0</v>
      </c>
      <c r="N133">
        <f>VLOOKUP(B133,TeamAttrs!$A$2:$C$20,3,FALSE)</f>
        <v>8</v>
      </c>
      <c r="O133">
        <f>VLOOKUP(G133,TeamAttrs!$A$2:$C$20,3,FALSE)</f>
        <v>8</v>
      </c>
      <c r="P133">
        <f t="shared" si="11"/>
        <v>0</v>
      </c>
      <c r="Q133">
        <f>VLOOKUP(B133,TeamAttrs!$A$2:$D$20,3,FALSE)</f>
        <v>8</v>
      </c>
      <c r="R133">
        <f>VLOOKUP(G133,TeamAttrs!$A$2:$D$20,3,FALSE)</f>
        <v>8</v>
      </c>
      <c r="S133">
        <f>RADIANS(VLOOKUP(Table1[[#This Row],[HomeTeam]],TeamAttrs!$A$2:$H$20,7, FALSE))</f>
        <v>0.59224781106699187</v>
      </c>
      <c r="T133">
        <f>RADIANS(VLOOKUP(Table1[[#This Row],[HomeTeam]],TeamAttrs!$A$2:$H$20, 8, FALSE))</f>
        <v>-2.0664698343612864</v>
      </c>
      <c r="U133">
        <f>RADIANS(VLOOKUP(Table1[[#This Row],[VisitorTeam]],TeamAttrs!$A$2:$H$20,7,FALSE))</f>
        <v>0.79587013890941427</v>
      </c>
      <c r="V133">
        <f>RADIANS(VLOOKUP(Table1[[#This Row],[VisitorTeam]], TeamAttrs!$A$2:$H$20,8,FALSE))</f>
        <v>-2.1397736629450481</v>
      </c>
      <c r="W133" s="5">
        <f>60*DEGREES(ACOS(SIN(Table1[[#This Row],[HomeLat]])*SIN(Table1[[#This Row],[VisitorLat]]) +COS(Table1[[#This Row],[HomeLat]])*COS(Table1[[#This Row],[VisitorLat]])*COS(ABS(Table1[[#This Row],[HomeLong]] -Table1[[#This Row],[VisitorLong]]))))</f>
        <v>726.02762859924019</v>
      </c>
      <c r="X133" s="6">
        <f>VLOOKUP(Table1[[#This Row],[HomeTeam]],TeamAttrs!$A$2:$K$20,5,FALSE)</f>
        <v>12630000</v>
      </c>
      <c r="Y133" s="6">
        <f>VLOOKUP(Table1[[#This Row],[HomeTeam]],TeamAttrs!$A$2:$K$20,9,FALSE)</f>
        <v>23136</v>
      </c>
      <c r="Z133" s="6">
        <f>VLOOKUP(Table1[[#This Row],[HomeTeam]],TeamAttrs!$A$2:$K$20,10,FALSE)</f>
        <v>27000</v>
      </c>
      <c r="AA133" s="6">
        <f>VLOOKUP(Table1[[#This Row],[HomeTeam]],TeamAttrs!$A$2:$K$20,11,FALSE)</f>
        <v>0.85688888888888892</v>
      </c>
    </row>
    <row r="134" spans="1:27" x14ac:dyDescent="0.25">
      <c r="A134" s="1">
        <v>41080</v>
      </c>
      <c r="B134" t="s">
        <v>2</v>
      </c>
      <c r="C134" t="str">
        <f>VLOOKUP(Table1[[#This Row],[HomeTeam]], TeamAttrs!$A$2:$B$20,2,FALSE)</f>
        <v>Chiv</v>
      </c>
      <c r="D134">
        <v>2</v>
      </c>
      <c r="E134">
        <v>1</v>
      </c>
      <c r="F134">
        <f>Table1[[#This Row],[HomeTeamScore]]-Table1[[#This Row],[VisitorScore]]</f>
        <v>1</v>
      </c>
      <c r="G134" t="s">
        <v>1</v>
      </c>
      <c r="H134" t="str">
        <f>VLOOKUP(Table1[[#This Row],[VisitorTeam]],TeamAttrs!$A$2:$B$20, 2, FALSE)</f>
        <v>Mntrl</v>
      </c>
      <c r="I134">
        <f t="shared" si="8"/>
        <v>1</v>
      </c>
      <c r="J134">
        <f t="shared" si="9"/>
        <v>0</v>
      </c>
      <c r="K134">
        <f t="shared" si="10"/>
        <v>0</v>
      </c>
      <c r="L134">
        <f>3*Table1[HomeWin] +Table1[Draw]</f>
        <v>3</v>
      </c>
      <c r="M134">
        <f>3*Table1[HomeLoss]+Table1[Draw]</f>
        <v>0</v>
      </c>
      <c r="N134">
        <f>VLOOKUP(B134,TeamAttrs!$A$2:$C$20,3,FALSE)</f>
        <v>8</v>
      </c>
      <c r="O134">
        <f>VLOOKUP(G134,TeamAttrs!$A$2:$C$20,3,FALSE)</f>
        <v>5</v>
      </c>
      <c r="P134">
        <f t="shared" si="11"/>
        <v>-3</v>
      </c>
      <c r="Q134">
        <f>VLOOKUP(B134,TeamAttrs!$A$2:$D$20,3,FALSE)</f>
        <v>8</v>
      </c>
      <c r="R134">
        <f>VLOOKUP(G134,TeamAttrs!$A$2:$D$20,3,FALSE)</f>
        <v>5</v>
      </c>
      <c r="S134">
        <f>RADIANS(VLOOKUP(Table1[[#This Row],[HomeTeam]],TeamAttrs!$A$2:$H$20,7, FALSE))</f>
        <v>0.59224781106699187</v>
      </c>
      <c r="T134">
        <f>RADIANS(VLOOKUP(Table1[[#This Row],[HomeTeam]],TeamAttrs!$A$2:$H$20, 8, FALSE))</f>
        <v>-2.0664698343612864</v>
      </c>
      <c r="U134">
        <f>RADIANS(VLOOKUP(Table1[[#This Row],[VisitorTeam]],TeamAttrs!$A$2:$H$20,7,FALSE))</f>
        <v>0.79354361501650583</v>
      </c>
      <c r="V134">
        <f>RADIANS(VLOOKUP(Table1[[#This Row],[VisitorTeam]], TeamAttrs!$A$2:$H$20,8,FALSE))</f>
        <v>-1.2871803233458181</v>
      </c>
      <c r="W134" s="5">
        <f>60*DEGREES(ACOS(SIN(Table1[[#This Row],[HomeLat]])*SIN(Table1[[#This Row],[VisitorLat]]) +COS(Table1[[#This Row],[HomeLat]])*COS(Table1[[#This Row],[VisitorLat]])*COS(ABS(Table1[[#This Row],[HomeLong]] -Table1[[#This Row],[VisitorLong]]))))</f>
        <v>2143.1670394136031</v>
      </c>
      <c r="X134" s="6">
        <f>VLOOKUP(Table1[[#This Row],[HomeTeam]],TeamAttrs!$A$2:$K$20,5,FALSE)</f>
        <v>3230000</v>
      </c>
      <c r="Y134" s="6">
        <f>VLOOKUP(Table1[[#This Row],[HomeTeam]],TeamAttrs!$A$2:$K$20,9,FALSE)</f>
        <v>13056</v>
      </c>
      <c r="Z134" s="6">
        <f>VLOOKUP(Table1[[#This Row],[HomeTeam]],TeamAttrs!$A$2:$K$20,10,FALSE)</f>
        <v>18800</v>
      </c>
      <c r="AA134" s="6">
        <f>VLOOKUP(Table1[[#This Row],[HomeTeam]],TeamAttrs!$A$2:$K$20,11,FALSE)</f>
        <v>0.69446808510638303</v>
      </c>
    </row>
    <row r="135" spans="1:27" x14ac:dyDescent="0.25">
      <c r="A135" s="1">
        <v>41080</v>
      </c>
      <c r="B135" t="s">
        <v>14</v>
      </c>
      <c r="C135" t="str">
        <f>VLOOKUP(Table1[[#This Row],[HomeTeam]], TeamAttrs!$A$2:$B$20,2,FALSE)</f>
        <v>ColRa</v>
      </c>
      <c r="D135">
        <v>1</v>
      </c>
      <c r="E135">
        <v>2</v>
      </c>
      <c r="F135">
        <f>Table1[[#This Row],[HomeTeamScore]]-Table1[[#This Row],[VisitorScore]]</f>
        <v>-1</v>
      </c>
      <c r="G135" t="s">
        <v>5</v>
      </c>
      <c r="H135" t="str">
        <f>VLOOKUP(Table1[[#This Row],[VisitorTeam]],TeamAttrs!$A$2:$B$20, 2, FALSE)</f>
        <v>SJE</v>
      </c>
      <c r="I135">
        <f t="shared" si="8"/>
        <v>0</v>
      </c>
      <c r="J135">
        <f t="shared" si="9"/>
        <v>0</v>
      </c>
      <c r="K135">
        <f t="shared" si="10"/>
        <v>1</v>
      </c>
      <c r="L135">
        <f>3*Table1[HomeWin] +Table1[Draw]</f>
        <v>0</v>
      </c>
      <c r="M135">
        <f>3*Table1[HomeLoss]+Table1[Draw]</f>
        <v>3</v>
      </c>
      <c r="N135">
        <f>VLOOKUP(B135,TeamAttrs!$A$2:$C$20,3,FALSE)</f>
        <v>7</v>
      </c>
      <c r="O135">
        <f>VLOOKUP(G135,TeamAttrs!$A$2:$C$20,3,FALSE)</f>
        <v>8</v>
      </c>
      <c r="P135">
        <f t="shared" si="11"/>
        <v>1</v>
      </c>
      <c r="Q135">
        <f>VLOOKUP(B135,TeamAttrs!$A$2:$D$20,3,FALSE)</f>
        <v>7</v>
      </c>
      <c r="R135">
        <f>VLOOKUP(G135,TeamAttrs!$A$2:$D$20,3,FALSE)</f>
        <v>8</v>
      </c>
      <c r="S135">
        <f>RADIANS(VLOOKUP(Table1[[#This Row],[HomeTeam]],TeamAttrs!$A$2:$H$20,7, FALSE))</f>
        <v>0.69376837766774602</v>
      </c>
      <c r="T135">
        <f>RADIANS(VLOOKUP(Table1[[#This Row],[HomeTeam]],TeamAttrs!$A$2:$H$20, 8, FALSE))</f>
        <v>-1.8302744266888937</v>
      </c>
      <c r="U135">
        <f>RADIANS(VLOOKUP(Table1[[#This Row],[VisitorTeam]],TeamAttrs!$A$2:$H$20,7,FALSE))</f>
        <v>0.65217194560496516</v>
      </c>
      <c r="V135">
        <f>RADIANS(VLOOKUP(Table1[[#This Row],[VisitorTeam]], TeamAttrs!$A$2:$H$20,8,FALSE))</f>
        <v>-2.1281323168342459</v>
      </c>
      <c r="W135" s="5">
        <f>60*DEGREES(ACOS(SIN(Table1[[#This Row],[HomeLat]])*SIN(Table1[[#This Row],[VisitorLat]]) +COS(Table1[[#This Row],[HomeLat]])*COS(Table1[[#This Row],[VisitorLat]])*COS(ABS(Table1[[#This Row],[HomeLong]] -Table1[[#This Row],[VisitorLong]]))))</f>
        <v>812.07539182449955</v>
      </c>
      <c r="X135" s="6">
        <f>VLOOKUP(Table1[[#This Row],[HomeTeam]],TeamAttrs!$A$2:$K$20,5,FALSE)</f>
        <v>3430000</v>
      </c>
      <c r="Y135" s="6">
        <f>VLOOKUP(Table1[[#This Row],[HomeTeam]],TeamAttrs!$A$2:$K$20,9,FALSE)</f>
        <v>15175</v>
      </c>
      <c r="Z135" s="6">
        <f>VLOOKUP(Table1[[#This Row],[HomeTeam]],TeamAttrs!$A$2:$K$20,10,FALSE)</f>
        <v>18086</v>
      </c>
      <c r="AA135" s="6">
        <f>VLOOKUP(Table1[[#This Row],[HomeTeam]],TeamAttrs!$A$2:$K$20,11,FALSE)</f>
        <v>0.83904677651221937</v>
      </c>
    </row>
    <row r="136" spans="1:27" x14ac:dyDescent="0.25">
      <c r="A136" s="1">
        <v>41080</v>
      </c>
      <c r="B136" t="s">
        <v>13</v>
      </c>
      <c r="C136" t="str">
        <f>VLOOKUP(Table1[[#This Row],[HomeTeam]], TeamAttrs!$A$2:$B$20,2,FALSE)</f>
        <v>Hou</v>
      </c>
      <c r="D136">
        <v>3</v>
      </c>
      <c r="E136">
        <v>3</v>
      </c>
      <c r="F136">
        <f>Table1[[#This Row],[HomeTeamScore]]-Table1[[#This Row],[VisitorScore]]</f>
        <v>0</v>
      </c>
      <c r="G136" t="s">
        <v>10</v>
      </c>
      <c r="H136" t="str">
        <f>VLOOKUP(Table1[[#This Row],[VisitorTeam]],TeamAttrs!$A$2:$B$20, 2, FALSE)</f>
        <v>Tor</v>
      </c>
      <c r="I136">
        <f t="shared" si="8"/>
        <v>0</v>
      </c>
      <c r="J136">
        <f t="shared" si="9"/>
        <v>1</v>
      </c>
      <c r="K136">
        <f t="shared" si="10"/>
        <v>0</v>
      </c>
      <c r="L136">
        <f>3*Table1[HomeWin] +Table1[Draw]</f>
        <v>1</v>
      </c>
      <c r="M136">
        <f>3*Table1[HomeLoss]+Table1[Draw]</f>
        <v>1</v>
      </c>
      <c r="N136">
        <f>VLOOKUP(B136,TeamAttrs!$A$2:$C$20,3,FALSE)</f>
        <v>6</v>
      </c>
      <c r="O136">
        <f>VLOOKUP(G136,TeamAttrs!$A$2:$C$20,3,FALSE)</f>
        <v>5</v>
      </c>
      <c r="P136">
        <f t="shared" si="11"/>
        <v>-1</v>
      </c>
      <c r="Q136">
        <f>VLOOKUP(B136,TeamAttrs!$A$2:$D$20,3,FALSE)</f>
        <v>6</v>
      </c>
      <c r="R136">
        <f>VLOOKUP(G136,TeamAttrs!$A$2:$D$20,3,FALSE)</f>
        <v>5</v>
      </c>
      <c r="S136">
        <f>RADIANS(VLOOKUP(Table1[[#This Row],[HomeTeam]],TeamAttrs!$A$2:$H$20,7, FALSE))</f>
        <v>0.52301758095738471</v>
      </c>
      <c r="T136">
        <f>RADIANS(VLOOKUP(Table1[[#This Row],[HomeTeam]],TeamAttrs!$A$2:$H$20, 8, FALSE))</f>
        <v>-1.6641714417765932</v>
      </c>
      <c r="U136">
        <f>RADIANS(VLOOKUP(Table1[[#This Row],[VisitorTeam]],TeamAttrs!$A$2:$H$20,7,FALSE))</f>
        <v>0.76241741313643896</v>
      </c>
      <c r="V136">
        <f>RADIANS(VLOOKUP(Table1[[#This Row],[VisitorTeam]], TeamAttrs!$A$2:$H$20,8,FALSE))</f>
        <v>-1.3898632792284005</v>
      </c>
      <c r="W136" s="5">
        <f>60*DEGREES(ACOS(SIN(Table1[[#This Row],[HomeLat]])*SIN(Table1[[#This Row],[VisitorLat]]) +COS(Table1[[#This Row],[HomeLat]])*COS(Table1[[#This Row],[VisitorLat]])*COS(ABS(Table1[[#This Row],[HomeLong]] -Table1[[#This Row],[VisitorLong]]))))</f>
        <v>1112.8779397852613</v>
      </c>
      <c r="X136" s="6">
        <f>VLOOKUP(Table1[[#This Row],[HomeTeam]],TeamAttrs!$A$2:$K$20,5,FALSE)</f>
        <v>3000000</v>
      </c>
      <c r="Y136" s="6">
        <f>VLOOKUP(Table1[[#This Row],[HomeTeam]],TeamAttrs!$A$2:$K$20,9,FALSE)</f>
        <v>20946</v>
      </c>
      <c r="Z136" s="6">
        <f>VLOOKUP(Table1[[#This Row],[HomeTeam]],TeamAttrs!$A$2:$K$20,10,FALSE)</f>
        <v>22000</v>
      </c>
      <c r="AA136" s="6">
        <f>VLOOKUP(Table1[[#This Row],[HomeTeam]],TeamAttrs!$A$2:$K$20,11,FALSE)</f>
        <v>0.9520909090909091</v>
      </c>
    </row>
    <row r="137" spans="1:27" x14ac:dyDescent="0.25">
      <c r="A137" s="1">
        <v>41080</v>
      </c>
      <c r="B137" t="s">
        <v>18</v>
      </c>
      <c r="C137" t="str">
        <f>VLOOKUP(Table1[[#This Row],[HomeTeam]], TeamAttrs!$A$2:$B$20,2,FALSE)</f>
        <v>RSL</v>
      </c>
      <c r="D137">
        <v>2</v>
      </c>
      <c r="E137">
        <v>3</v>
      </c>
      <c r="F137">
        <f>Table1[[#This Row],[HomeTeamScore]]-Table1[[#This Row],[VisitorScore]]</f>
        <v>-1</v>
      </c>
      <c r="G137" t="s">
        <v>16</v>
      </c>
      <c r="H137" t="str">
        <f>VLOOKUP(Table1[[#This Row],[VisitorTeam]],TeamAttrs!$A$2:$B$20, 2, FALSE)</f>
        <v>LAGxy</v>
      </c>
      <c r="I137">
        <f t="shared" si="8"/>
        <v>0</v>
      </c>
      <c r="J137">
        <f t="shared" si="9"/>
        <v>0</v>
      </c>
      <c r="K137">
        <f t="shared" si="10"/>
        <v>1</v>
      </c>
      <c r="L137">
        <f>3*Table1[HomeWin] +Table1[Draw]</f>
        <v>0</v>
      </c>
      <c r="M137">
        <f>3*Table1[HomeLoss]+Table1[Draw]</f>
        <v>3</v>
      </c>
      <c r="N137">
        <f>VLOOKUP(B137,TeamAttrs!$A$2:$C$20,3,FALSE)</f>
        <v>7</v>
      </c>
      <c r="O137">
        <f>VLOOKUP(G137,TeamAttrs!$A$2:$C$20,3,FALSE)</f>
        <v>8</v>
      </c>
      <c r="P137">
        <f t="shared" si="11"/>
        <v>1</v>
      </c>
      <c r="Q137">
        <f>VLOOKUP(B137,TeamAttrs!$A$2:$D$20,3,FALSE)</f>
        <v>7</v>
      </c>
      <c r="R137">
        <f>VLOOKUP(G137,TeamAttrs!$A$2:$D$20,3,FALSE)</f>
        <v>8</v>
      </c>
      <c r="S137">
        <f>RADIANS(VLOOKUP(Table1[[#This Row],[HomeTeam]],TeamAttrs!$A$2:$H$20,7, FALSE))</f>
        <v>0.71151314017277234</v>
      </c>
      <c r="T137">
        <f>RADIANS(VLOOKUP(Table1[[#This Row],[HomeTeam]],TeamAttrs!$A$2:$H$20, 8, FALSE))</f>
        <v>-1.954192803580491</v>
      </c>
      <c r="U137">
        <f>RADIANS(VLOOKUP(Table1[[#This Row],[VisitorTeam]],TeamAttrs!$A$2:$H$20,7,FALSE))</f>
        <v>0.59224781106699187</v>
      </c>
      <c r="V137">
        <f>RADIANS(VLOOKUP(Table1[[#This Row],[VisitorTeam]], TeamAttrs!$A$2:$H$20,8,FALSE))</f>
        <v>-2.0664698343612864</v>
      </c>
      <c r="W137" s="5">
        <f>60*DEGREES(ACOS(SIN(Table1[[#This Row],[HomeLat]])*SIN(Table1[[#This Row],[VisitorLat]]) +COS(Table1[[#This Row],[HomeLat]])*COS(Table1[[#This Row],[VisitorLat]])*COS(ABS(Table1[[#This Row],[HomeLong]] -Table1[[#This Row],[VisitorLong]]))))</f>
        <v>511.76775855631945</v>
      </c>
      <c r="X137" s="6">
        <f>VLOOKUP(Table1[[#This Row],[HomeTeam]],TeamAttrs!$A$2:$K$20,5,FALSE)</f>
        <v>3520000</v>
      </c>
      <c r="Y137" s="6">
        <f>VLOOKUP(Table1[[#This Row],[HomeTeam]],TeamAttrs!$A$2:$K$20,9,FALSE)</f>
        <v>19087</v>
      </c>
      <c r="Z137" s="6">
        <f>VLOOKUP(Table1[[#This Row],[HomeTeam]],TeamAttrs!$A$2:$K$20,10,FALSE)</f>
        <v>20213</v>
      </c>
      <c r="AA137" s="6">
        <f>VLOOKUP(Table1[[#This Row],[HomeTeam]],TeamAttrs!$A$2:$K$20,11,FALSE)</f>
        <v>0.94429327660416562</v>
      </c>
    </row>
    <row r="138" spans="1:27" x14ac:dyDescent="0.25">
      <c r="A138" s="1">
        <v>41080</v>
      </c>
      <c r="B138" t="s">
        <v>11</v>
      </c>
      <c r="C138" t="str">
        <f>VLOOKUP(Table1[[#This Row],[HomeTeam]], TeamAttrs!$A$2:$B$20,2,FALSE)</f>
        <v>SEA</v>
      </c>
      <c r="D138">
        <v>1</v>
      </c>
      <c r="E138">
        <v>1</v>
      </c>
      <c r="F138">
        <f>Table1[[#This Row],[HomeTeamScore]]-Table1[[#This Row],[VisitorScore]]</f>
        <v>0</v>
      </c>
      <c r="G138" t="s">
        <v>6</v>
      </c>
      <c r="H138" t="str">
        <f>VLOOKUP(Table1[[#This Row],[VisitorTeam]],TeamAttrs!$A$2:$B$20, 2, FALSE)</f>
        <v>SKC</v>
      </c>
      <c r="I138">
        <f t="shared" si="8"/>
        <v>0</v>
      </c>
      <c r="J138">
        <f t="shared" si="9"/>
        <v>1</v>
      </c>
      <c r="K138">
        <f t="shared" si="10"/>
        <v>0</v>
      </c>
      <c r="L138">
        <f>3*Table1[HomeWin] +Table1[Draw]</f>
        <v>1</v>
      </c>
      <c r="M138">
        <f>3*Table1[HomeLoss]+Table1[Draw]</f>
        <v>1</v>
      </c>
      <c r="N138">
        <f>VLOOKUP(B138,TeamAttrs!$A$2:$C$20,3,FALSE)</f>
        <v>8</v>
      </c>
      <c r="O138">
        <f>VLOOKUP(G138,TeamAttrs!$A$2:$C$20,3,FALSE)</f>
        <v>6</v>
      </c>
      <c r="P138">
        <f t="shared" si="11"/>
        <v>-2</v>
      </c>
      <c r="Q138">
        <f>VLOOKUP(B138,TeamAttrs!$A$2:$D$20,3,FALSE)</f>
        <v>8</v>
      </c>
      <c r="R138">
        <f>VLOOKUP(G138,TeamAttrs!$A$2:$D$20,3,FALSE)</f>
        <v>6</v>
      </c>
      <c r="S138">
        <f>RADIANS(VLOOKUP(Table1[[#This Row],[HomeTeam]],TeamAttrs!$A$2:$H$20,7, FALSE))</f>
        <v>0.83164938857529802</v>
      </c>
      <c r="T138">
        <f>RADIANS(VLOOKUP(Table1[[#This Row],[HomeTeam]],TeamAttrs!$A$2:$H$20, 8, FALSE))</f>
        <v>-2.134537675189065</v>
      </c>
      <c r="U138">
        <f>RADIANS(VLOOKUP(Table1[[#This Row],[VisitorTeam]],TeamAttrs!$A$2:$H$20,7,FALSE))</f>
        <v>0.68271520751486592</v>
      </c>
      <c r="V138">
        <f>RADIANS(VLOOKUP(Table1[[#This Row],[VisitorTeam]], TeamAttrs!$A$2:$H$20,8,FALSE))</f>
        <v>-1.65166266702755</v>
      </c>
      <c r="W138" s="5">
        <f>60*DEGREES(ACOS(SIN(Table1[[#This Row],[HomeLat]])*SIN(Table1[[#This Row],[VisitorLat]]) +COS(Table1[[#This Row],[HomeLat]])*COS(Table1[[#This Row],[VisitorLat]])*COS(ABS(Table1[[#This Row],[HomeLong]] -Table1[[#This Row],[VisitorLong]]))))</f>
        <v>1301.6511560982935</v>
      </c>
      <c r="X138" s="6">
        <f>VLOOKUP(Table1[[#This Row],[HomeTeam]],TeamAttrs!$A$2:$K$20,5,FALSE)</f>
        <v>3980000</v>
      </c>
      <c r="Y138" s="6">
        <f>VLOOKUP(Table1[[#This Row],[HomeTeam]],TeamAttrs!$A$2:$K$20,9,FALSE)</f>
        <v>43104</v>
      </c>
      <c r="Z138" s="6">
        <f>VLOOKUP(Table1[[#This Row],[HomeTeam]],TeamAttrs!$A$2:$K$20,10,FALSE)</f>
        <v>38500</v>
      </c>
      <c r="AA138" s="6">
        <f>VLOOKUP(Table1[[#This Row],[HomeTeam]],TeamAttrs!$A$2:$K$20,11,FALSE)</f>
        <v>1.1195844155844157</v>
      </c>
    </row>
    <row r="139" spans="1:27" x14ac:dyDescent="0.25">
      <c r="A139" s="1">
        <v>41080</v>
      </c>
      <c r="B139" t="s">
        <v>0</v>
      </c>
      <c r="C139" t="str">
        <f>VLOOKUP(Table1[[#This Row],[HomeTeam]], TeamAttrs!$A$2:$B$20,2,FALSE)</f>
        <v>Van</v>
      </c>
      <c r="D139">
        <v>1</v>
      </c>
      <c r="E139">
        <v>1</v>
      </c>
      <c r="F139">
        <f>Table1[[#This Row],[HomeTeamScore]]-Table1[[#This Row],[VisitorScore]]</f>
        <v>0</v>
      </c>
      <c r="G139" t="s">
        <v>15</v>
      </c>
      <c r="H139" t="str">
        <f>VLOOKUP(Table1[[#This Row],[VisitorTeam]],TeamAttrs!$A$2:$B$20, 2, FALSE)</f>
        <v>NY</v>
      </c>
      <c r="I139">
        <f t="shared" si="8"/>
        <v>0</v>
      </c>
      <c r="J139">
        <f t="shared" si="9"/>
        <v>1</v>
      </c>
      <c r="K139">
        <f t="shared" si="10"/>
        <v>0</v>
      </c>
      <c r="L139">
        <f>3*Table1[HomeWin] +Table1[Draw]</f>
        <v>1</v>
      </c>
      <c r="M139">
        <f>3*Table1[HomeLoss]+Table1[Draw]</f>
        <v>1</v>
      </c>
      <c r="N139">
        <f>VLOOKUP(B139,TeamAttrs!$A$2:$C$20,3,FALSE)</f>
        <v>8</v>
      </c>
      <c r="O139">
        <f>VLOOKUP(G139,TeamAttrs!$A$2:$C$20,3,FALSE)</f>
        <v>5</v>
      </c>
      <c r="P139">
        <f t="shared" si="11"/>
        <v>-3</v>
      </c>
      <c r="Q139">
        <f>VLOOKUP(B139,TeamAttrs!$A$2:$D$20,3,FALSE)</f>
        <v>8</v>
      </c>
      <c r="R139">
        <f>VLOOKUP(G139,TeamAttrs!$A$2:$D$20,3,FALSE)</f>
        <v>5</v>
      </c>
      <c r="S139">
        <f>RADIANS(VLOOKUP(Table1[[#This Row],[HomeTeam]],TeamAttrs!$A$2:$H$20,7, FALSE))</f>
        <v>0.86015585124812133</v>
      </c>
      <c r="T139">
        <f>RADIANS(VLOOKUP(Table1[[#This Row],[HomeTeam]],TeamAttrs!$A$2:$H$20, 8, FALSE))</f>
        <v>-2.1487970151778586</v>
      </c>
      <c r="U139">
        <f>RADIANS(VLOOKUP(Table1[[#This Row],[VisitorTeam]],TeamAttrs!$A$2:$H$20,7,FALSE))</f>
        <v>0.71180286482860333</v>
      </c>
      <c r="V139">
        <f>RADIANS(VLOOKUP(Table1[[#This Row],[VisitorTeam]], TeamAttrs!$A$2:$H$20,8,FALSE))</f>
        <v>-1.2909624518348899</v>
      </c>
      <c r="W139" s="5">
        <f>60*DEGREES(ACOS(SIN(Table1[[#This Row],[HomeLat]])*SIN(Table1[[#This Row],[VisitorLat]]) +COS(Table1[[#This Row],[HomeLat]])*COS(Table1[[#This Row],[VisitorLat]])*COS(ABS(Table1[[#This Row],[HomeLong]] -Table1[[#This Row],[VisitorLong]]))))</f>
        <v>2105.9669625139018</v>
      </c>
      <c r="X139" s="6">
        <f>VLOOKUP(Table1[[#This Row],[HomeTeam]],TeamAttrs!$A$2:$K$20,5,FALSE)</f>
        <v>4370000</v>
      </c>
      <c r="Y139" s="6">
        <f>VLOOKUP(Table1[[#This Row],[HomeTeam]],TeamAttrs!$A$2:$K$20,9,FALSE)</f>
        <v>19475</v>
      </c>
      <c r="Z139" s="6">
        <f>VLOOKUP(Table1[[#This Row],[HomeTeam]],TeamAttrs!$A$2:$K$20,10,FALSE)</f>
        <v>21000</v>
      </c>
      <c r="AA139" s="6">
        <f>VLOOKUP(Table1[[#This Row],[HomeTeam]],TeamAttrs!$A$2:$K$20,11,FALSE)</f>
        <v>0.92738095238095242</v>
      </c>
    </row>
    <row r="140" spans="1:27" x14ac:dyDescent="0.25">
      <c r="A140" s="1">
        <v>41083</v>
      </c>
      <c r="B140" t="s">
        <v>17</v>
      </c>
      <c r="C140" t="str">
        <f>VLOOKUP(Table1[[#This Row],[HomeTeam]], TeamAttrs!$A$2:$B$20,2,FALSE)</f>
        <v>Chi</v>
      </c>
      <c r="D140">
        <v>2</v>
      </c>
      <c r="E140">
        <v>1</v>
      </c>
      <c r="F140">
        <f>Table1[[#This Row],[HomeTeamScore]]-Table1[[#This Row],[VisitorScore]]</f>
        <v>1</v>
      </c>
      <c r="G140" t="s">
        <v>8</v>
      </c>
      <c r="H140" t="str">
        <f>VLOOKUP(Table1[[#This Row],[VisitorTeam]],TeamAttrs!$A$2:$B$20, 2, FALSE)</f>
        <v>Colum</v>
      </c>
      <c r="I140">
        <f t="shared" si="8"/>
        <v>1</v>
      </c>
      <c r="J140">
        <f t="shared" si="9"/>
        <v>0</v>
      </c>
      <c r="K140">
        <f t="shared" si="10"/>
        <v>0</v>
      </c>
      <c r="L140">
        <f>3*Table1[HomeWin] +Table1[Draw]</f>
        <v>3</v>
      </c>
      <c r="M140">
        <f>3*Table1[HomeLoss]+Table1[Draw]</f>
        <v>0</v>
      </c>
      <c r="N140">
        <f>VLOOKUP(B140,TeamAttrs!$A$2:$C$20,3,FALSE)</f>
        <v>6</v>
      </c>
      <c r="O140">
        <f>VLOOKUP(G140,TeamAttrs!$A$2:$C$20,3,FALSE)</f>
        <v>5</v>
      </c>
      <c r="P140">
        <f t="shared" si="11"/>
        <v>-1</v>
      </c>
      <c r="Q140">
        <f>VLOOKUP(B140,TeamAttrs!$A$2:$D$20,3,FALSE)</f>
        <v>6</v>
      </c>
      <c r="R140">
        <f>VLOOKUP(G140,TeamAttrs!$A$2:$D$20,3,FALSE)</f>
        <v>5</v>
      </c>
      <c r="S140">
        <f>RADIANS(VLOOKUP(Table1[[#This Row],[HomeTeam]],TeamAttrs!$A$2:$H$20,7, FALSE))</f>
        <v>0.72925615734854665</v>
      </c>
      <c r="T140">
        <f>RADIANS(VLOOKUP(Table1[[#This Row],[HomeTeam]],TeamAttrs!$A$2:$H$20, 8, FALSE))</f>
        <v>-1.5315264186250241</v>
      </c>
      <c r="U140">
        <f>RADIANS(VLOOKUP(Table1[[#This Row],[VisitorTeam]],TeamAttrs!$A$2:$H$20,7,FALSE))</f>
        <v>0.69813170079773179</v>
      </c>
      <c r="V140">
        <f>RADIANS(VLOOKUP(Table1[[#This Row],[VisitorTeam]], TeamAttrs!$A$2:$H$20,8,FALSE))</f>
        <v>-1.4465864799182162</v>
      </c>
      <c r="W140" s="5">
        <f>60*DEGREES(ACOS(SIN(Table1[[#This Row],[HomeLat]])*SIN(Table1[[#This Row],[VisitorLat]]) +COS(Table1[[#This Row],[HomeLat]])*COS(Table1[[#This Row],[VisitorLat]])*COS(ABS(Table1[[#This Row],[HomeLong]] -Table1[[#This Row],[VisitorLong]]))))</f>
        <v>245.25242728582373</v>
      </c>
      <c r="X140" s="6">
        <f>VLOOKUP(Table1[[#This Row],[HomeTeam]],TeamAttrs!$A$2:$K$20,5,FALSE)</f>
        <v>3230000</v>
      </c>
      <c r="Y140" s="6">
        <f>VLOOKUP(Table1[[#This Row],[HomeTeam]],TeamAttrs!$A$2:$K$20,9,FALSE)</f>
        <v>16407</v>
      </c>
      <c r="Z140" s="6">
        <f>VLOOKUP(Table1[[#This Row],[HomeTeam]],TeamAttrs!$A$2:$K$20,10,FALSE)</f>
        <v>20000</v>
      </c>
      <c r="AA140" s="6">
        <f>VLOOKUP(Table1[[#This Row],[HomeTeam]],TeamAttrs!$A$2:$K$20,11,FALSE)</f>
        <v>0.82035000000000002</v>
      </c>
    </row>
    <row r="141" spans="1:27" x14ac:dyDescent="0.25">
      <c r="A141" s="1">
        <v>41083</v>
      </c>
      <c r="B141" t="s">
        <v>7</v>
      </c>
      <c r="C141" t="str">
        <f>VLOOKUP(Table1[[#This Row],[HomeTeam]], TeamAttrs!$A$2:$B$20,2,FALSE)</f>
        <v>FCDal</v>
      </c>
      <c r="D141">
        <v>0</v>
      </c>
      <c r="E141">
        <v>0</v>
      </c>
      <c r="F141">
        <f>Table1[[#This Row],[HomeTeamScore]]-Table1[[#This Row],[VisitorScore]]</f>
        <v>0</v>
      </c>
      <c r="G141" t="s">
        <v>2</v>
      </c>
      <c r="H141" t="str">
        <f>VLOOKUP(Table1[[#This Row],[VisitorTeam]],TeamAttrs!$A$2:$B$20, 2, FALSE)</f>
        <v>Chiv</v>
      </c>
      <c r="I141">
        <f t="shared" si="8"/>
        <v>0</v>
      </c>
      <c r="J141">
        <f t="shared" si="9"/>
        <v>1</v>
      </c>
      <c r="K141">
        <f t="shared" si="10"/>
        <v>0</v>
      </c>
      <c r="L141">
        <f>3*Table1[HomeWin] +Table1[Draw]</f>
        <v>1</v>
      </c>
      <c r="M141">
        <f>3*Table1[HomeLoss]+Table1[Draw]</f>
        <v>1</v>
      </c>
      <c r="N141">
        <f>VLOOKUP(B141,TeamAttrs!$A$2:$C$20,3,FALSE)</f>
        <v>6</v>
      </c>
      <c r="O141">
        <f>VLOOKUP(G141,TeamAttrs!$A$2:$C$20,3,FALSE)</f>
        <v>8</v>
      </c>
      <c r="P141">
        <f t="shared" si="11"/>
        <v>2</v>
      </c>
      <c r="Q141">
        <f>VLOOKUP(B141,TeamAttrs!$A$2:$D$20,3,FALSE)</f>
        <v>6</v>
      </c>
      <c r="R141">
        <f>VLOOKUP(G141,TeamAttrs!$A$2:$D$20,3,FALSE)</f>
        <v>8</v>
      </c>
      <c r="S141">
        <f>RADIANS(VLOOKUP(Table1[[#This Row],[HomeTeam]],TeamAttrs!$A$2:$H$20,7, FALSE))</f>
        <v>0.57334065928013733</v>
      </c>
      <c r="T141">
        <f>RADIANS(VLOOKUP(Table1[[#This Row],[HomeTeam]],TeamAttrs!$A$2:$H$20, 8, FALSE))</f>
        <v>-1.690351380556508</v>
      </c>
      <c r="U141">
        <f>RADIANS(VLOOKUP(Table1[[#This Row],[VisitorTeam]],TeamAttrs!$A$2:$H$20,7,FALSE))</f>
        <v>0.59224781106699187</v>
      </c>
      <c r="V141">
        <f>RADIANS(VLOOKUP(Table1[[#This Row],[VisitorTeam]], TeamAttrs!$A$2:$H$20,8,FALSE))</f>
        <v>-2.0664698343612864</v>
      </c>
      <c r="W141" s="5">
        <f>60*DEGREES(ACOS(SIN(Table1[[#This Row],[HomeLat]])*SIN(Table1[[#This Row],[VisitorLat]]) +COS(Table1[[#This Row],[HomeLat]])*COS(Table1[[#This Row],[VisitorLat]])*COS(ABS(Table1[[#This Row],[HomeLong]] -Table1[[#This Row],[VisitorLong]]))))</f>
        <v>1079.5378040042574</v>
      </c>
      <c r="X141" s="6">
        <f>VLOOKUP(Table1[[#This Row],[HomeTeam]],TeamAttrs!$A$2:$K$20,5,FALSE)</f>
        <v>3450000</v>
      </c>
      <c r="Y141" s="6">
        <f>VLOOKUP(Table1[[#This Row],[HomeTeam]],TeamAttrs!$A$2:$K$20,9,FALSE)</f>
        <v>14199</v>
      </c>
      <c r="Z141" s="6">
        <f>VLOOKUP(Table1[[#This Row],[HomeTeam]],TeamAttrs!$A$2:$K$20,10,FALSE)</f>
        <v>20500</v>
      </c>
      <c r="AA141" s="6">
        <f>VLOOKUP(Table1[[#This Row],[HomeTeam]],TeamAttrs!$A$2:$K$20,11,FALSE)</f>
        <v>0.69263414634146336</v>
      </c>
    </row>
    <row r="142" spans="1:27" x14ac:dyDescent="0.25">
      <c r="A142" s="1">
        <v>41083</v>
      </c>
      <c r="B142" t="s">
        <v>16</v>
      </c>
      <c r="C142" t="str">
        <f>VLOOKUP(Table1[[#This Row],[HomeTeam]], TeamAttrs!$A$2:$B$20,2,FALSE)</f>
        <v>LAGxy</v>
      </c>
      <c r="D142">
        <v>3</v>
      </c>
      <c r="E142">
        <v>0</v>
      </c>
      <c r="F142">
        <f>Table1[[#This Row],[HomeTeamScore]]-Table1[[#This Row],[VisitorScore]]</f>
        <v>3</v>
      </c>
      <c r="G142" t="s">
        <v>0</v>
      </c>
      <c r="H142" t="str">
        <f>VLOOKUP(Table1[[#This Row],[VisitorTeam]],TeamAttrs!$A$2:$B$20, 2, FALSE)</f>
        <v>Van</v>
      </c>
      <c r="I142">
        <f t="shared" si="8"/>
        <v>1</v>
      </c>
      <c r="J142">
        <f t="shared" si="9"/>
        <v>0</v>
      </c>
      <c r="K142">
        <f t="shared" si="10"/>
        <v>0</v>
      </c>
      <c r="L142">
        <f>3*Table1[HomeWin] +Table1[Draw]</f>
        <v>3</v>
      </c>
      <c r="M142">
        <f>3*Table1[HomeLoss]+Table1[Draw]</f>
        <v>0</v>
      </c>
      <c r="N142">
        <f>VLOOKUP(B142,TeamAttrs!$A$2:$C$20,3,FALSE)</f>
        <v>8</v>
      </c>
      <c r="O142">
        <f>VLOOKUP(G142,TeamAttrs!$A$2:$C$20,3,FALSE)</f>
        <v>8</v>
      </c>
      <c r="P142">
        <f t="shared" si="11"/>
        <v>0</v>
      </c>
      <c r="Q142">
        <f>VLOOKUP(B142,TeamAttrs!$A$2:$D$20,3,FALSE)</f>
        <v>8</v>
      </c>
      <c r="R142">
        <f>VLOOKUP(G142,TeamAttrs!$A$2:$D$20,3,FALSE)</f>
        <v>8</v>
      </c>
      <c r="S142">
        <f>RADIANS(VLOOKUP(Table1[[#This Row],[HomeTeam]],TeamAttrs!$A$2:$H$20,7, FALSE))</f>
        <v>0.59224781106699187</v>
      </c>
      <c r="T142">
        <f>RADIANS(VLOOKUP(Table1[[#This Row],[HomeTeam]],TeamAttrs!$A$2:$H$20, 8, FALSE))</f>
        <v>-2.0664698343612864</v>
      </c>
      <c r="U142">
        <f>RADIANS(VLOOKUP(Table1[[#This Row],[VisitorTeam]],TeamAttrs!$A$2:$H$20,7,FALSE))</f>
        <v>0.86015585124812133</v>
      </c>
      <c r="V142">
        <f>RADIANS(VLOOKUP(Table1[[#This Row],[VisitorTeam]], TeamAttrs!$A$2:$H$20,8,FALSE))</f>
        <v>-2.1487970151778586</v>
      </c>
      <c r="W142" s="5">
        <f>60*DEGREES(ACOS(SIN(Table1[[#This Row],[HomeLat]])*SIN(Table1[[#This Row],[VisitorLat]]) +COS(Table1[[#This Row],[HomeLat]])*COS(Table1[[#This Row],[VisitorLat]])*COS(ABS(Table1[[#This Row],[HomeLong]] -Table1[[#This Row],[VisitorLong]]))))</f>
        <v>944.51302004211243</v>
      </c>
      <c r="X142" s="6">
        <f>VLOOKUP(Table1[[#This Row],[HomeTeam]],TeamAttrs!$A$2:$K$20,5,FALSE)</f>
        <v>12630000</v>
      </c>
      <c r="Y142" s="6">
        <f>VLOOKUP(Table1[[#This Row],[HomeTeam]],TeamAttrs!$A$2:$K$20,9,FALSE)</f>
        <v>23136</v>
      </c>
      <c r="Z142" s="6">
        <f>VLOOKUP(Table1[[#This Row],[HomeTeam]],TeamAttrs!$A$2:$K$20,10,FALSE)</f>
        <v>27000</v>
      </c>
      <c r="AA142" s="6">
        <f>VLOOKUP(Table1[[#This Row],[HomeTeam]],TeamAttrs!$A$2:$K$20,11,FALSE)</f>
        <v>0.85688888888888892</v>
      </c>
    </row>
    <row r="143" spans="1:27" x14ac:dyDescent="0.25">
      <c r="A143" s="1">
        <v>41083</v>
      </c>
      <c r="B143" t="s">
        <v>1</v>
      </c>
      <c r="C143" t="str">
        <f>VLOOKUP(Table1[[#This Row],[HomeTeam]], TeamAttrs!$A$2:$B$20,2,FALSE)</f>
        <v>Mntrl</v>
      </c>
      <c r="D143">
        <v>4</v>
      </c>
      <c r="E143">
        <v>2</v>
      </c>
      <c r="F143">
        <f>Table1[[#This Row],[HomeTeamScore]]-Table1[[#This Row],[VisitorScore]]</f>
        <v>2</v>
      </c>
      <c r="G143" t="s">
        <v>13</v>
      </c>
      <c r="H143" t="str">
        <f>VLOOKUP(Table1[[#This Row],[VisitorTeam]],TeamAttrs!$A$2:$B$20, 2, FALSE)</f>
        <v>Hou</v>
      </c>
      <c r="I143">
        <f t="shared" si="8"/>
        <v>1</v>
      </c>
      <c r="J143">
        <f t="shared" si="9"/>
        <v>0</v>
      </c>
      <c r="K143">
        <f t="shared" si="10"/>
        <v>0</v>
      </c>
      <c r="L143">
        <f>3*Table1[HomeWin] +Table1[Draw]</f>
        <v>3</v>
      </c>
      <c r="M143">
        <f>3*Table1[HomeLoss]+Table1[Draw]</f>
        <v>0</v>
      </c>
      <c r="N143">
        <f>VLOOKUP(B143,TeamAttrs!$A$2:$C$20,3,FALSE)</f>
        <v>5</v>
      </c>
      <c r="O143">
        <f>VLOOKUP(G143,TeamAttrs!$A$2:$C$20,3,FALSE)</f>
        <v>6</v>
      </c>
      <c r="P143">
        <f t="shared" si="11"/>
        <v>1</v>
      </c>
      <c r="Q143">
        <f>VLOOKUP(B143,TeamAttrs!$A$2:$D$20,3,FALSE)</f>
        <v>5</v>
      </c>
      <c r="R143">
        <f>VLOOKUP(G143,TeamAttrs!$A$2:$D$20,3,FALSE)</f>
        <v>6</v>
      </c>
      <c r="S143">
        <f>RADIANS(VLOOKUP(Table1[[#This Row],[HomeTeam]],TeamAttrs!$A$2:$H$20,7, FALSE))</f>
        <v>0.79354361501650583</v>
      </c>
      <c r="T143">
        <f>RADIANS(VLOOKUP(Table1[[#This Row],[HomeTeam]],TeamAttrs!$A$2:$H$20, 8, FALSE))</f>
        <v>-1.2871803233458181</v>
      </c>
      <c r="U143">
        <f>RADIANS(VLOOKUP(Table1[[#This Row],[VisitorTeam]],TeamAttrs!$A$2:$H$20,7,FALSE))</f>
        <v>0.52301758095738471</v>
      </c>
      <c r="V143">
        <f>RADIANS(VLOOKUP(Table1[[#This Row],[VisitorTeam]], TeamAttrs!$A$2:$H$20,8,FALSE))</f>
        <v>-1.6641714417765932</v>
      </c>
      <c r="W143" s="5">
        <f>60*DEGREES(ACOS(SIN(Table1[[#This Row],[HomeLat]])*SIN(Table1[[#This Row],[VisitorLat]]) +COS(Table1[[#This Row],[HomeLat]])*COS(Table1[[#This Row],[VisitorLat]])*COS(ABS(Table1[[#This Row],[HomeLong]] -Table1[[#This Row],[VisitorLong]]))))</f>
        <v>1375.9467217025399</v>
      </c>
      <c r="X143" s="6">
        <f>VLOOKUP(Table1[[#This Row],[HomeTeam]],TeamAttrs!$A$2:$K$20,5,FALSE)</f>
        <v>3030000</v>
      </c>
      <c r="Y143" s="6">
        <f>VLOOKUP(Table1[[#This Row],[HomeTeam]],TeamAttrs!$A$2:$K$20,9,FALSE)</f>
        <v>22772</v>
      </c>
      <c r="Z143" s="6">
        <f>VLOOKUP(Table1[[#This Row],[HomeTeam]],TeamAttrs!$A$2:$K$20,10,FALSE)</f>
        <v>20341</v>
      </c>
      <c r="AA143" s="6">
        <f>VLOOKUP(Table1[[#This Row],[HomeTeam]],TeamAttrs!$A$2:$K$20,11,FALSE)</f>
        <v>1.1195123150287596</v>
      </c>
    </row>
    <row r="144" spans="1:27" x14ac:dyDescent="0.25">
      <c r="A144" s="1">
        <v>41083</v>
      </c>
      <c r="B144" t="s">
        <v>4</v>
      </c>
      <c r="C144" t="str">
        <f>VLOOKUP(Table1[[#This Row],[HomeTeam]], TeamAttrs!$A$2:$B$20,2,FALSE)</f>
        <v>Phil</v>
      </c>
      <c r="D144">
        <v>4</v>
      </c>
      <c r="E144">
        <v>0</v>
      </c>
      <c r="F144">
        <f>Table1[[#This Row],[HomeTeamScore]]-Table1[[#This Row],[VisitorScore]]</f>
        <v>4</v>
      </c>
      <c r="G144" t="s">
        <v>6</v>
      </c>
      <c r="H144" t="str">
        <f>VLOOKUP(Table1[[#This Row],[VisitorTeam]],TeamAttrs!$A$2:$B$20, 2, FALSE)</f>
        <v>SKC</v>
      </c>
      <c r="I144">
        <f t="shared" si="8"/>
        <v>1</v>
      </c>
      <c r="J144">
        <f t="shared" si="9"/>
        <v>0</v>
      </c>
      <c r="K144">
        <f t="shared" si="10"/>
        <v>0</v>
      </c>
      <c r="L144">
        <f>3*Table1[HomeWin] +Table1[Draw]</f>
        <v>3</v>
      </c>
      <c r="M144">
        <f>3*Table1[HomeLoss]+Table1[Draw]</f>
        <v>0</v>
      </c>
      <c r="N144">
        <f>VLOOKUP(B144,TeamAttrs!$A$2:$C$20,3,FALSE)</f>
        <v>5</v>
      </c>
      <c r="O144">
        <f>VLOOKUP(G144,TeamAttrs!$A$2:$C$20,3,FALSE)</f>
        <v>6</v>
      </c>
      <c r="P144">
        <f t="shared" si="11"/>
        <v>1</v>
      </c>
      <c r="Q144">
        <f>VLOOKUP(B144,TeamAttrs!$A$2:$D$20,3,FALSE)</f>
        <v>5</v>
      </c>
      <c r="R144">
        <f>VLOOKUP(G144,TeamAttrs!$A$2:$D$20,3,FALSE)</f>
        <v>6</v>
      </c>
      <c r="S144">
        <f>RADIANS(VLOOKUP(Table1[[#This Row],[HomeTeam]],TeamAttrs!$A$2:$H$20,7, FALSE))</f>
        <v>0.69609490156065446</v>
      </c>
      <c r="T144">
        <f>RADIANS(VLOOKUP(Table1[[#This Row],[HomeTeam]],TeamAttrs!$A$2:$H$20, 8, FALSE))</f>
        <v>-1.313360262125733</v>
      </c>
      <c r="U144">
        <f>RADIANS(VLOOKUP(Table1[[#This Row],[VisitorTeam]],TeamAttrs!$A$2:$H$20,7,FALSE))</f>
        <v>0.68271520751486592</v>
      </c>
      <c r="V144">
        <f>RADIANS(VLOOKUP(Table1[[#This Row],[VisitorTeam]], TeamAttrs!$A$2:$H$20,8,FALSE))</f>
        <v>-1.65166266702755</v>
      </c>
      <c r="W144" s="5">
        <f>60*DEGREES(ACOS(SIN(Table1[[#This Row],[HomeLat]])*SIN(Table1[[#This Row],[VisitorLat]]) +COS(Table1[[#This Row],[HomeLat]])*COS(Table1[[#This Row],[VisitorLat]])*COS(ABS(Table1[[#This Row],[HomeLong]] -Table1[[#This Row],[VisitorLong]]))))</f>
        <v>896.8154906372713</v>
      </c>
      <c r="X144" s="6">
        <f>VLOOKUP(Table1[[#This Row],[HomeTeam]],TeamAttrs!$A$2:$K$20,5,FALSE)</f>
        <v>3620000</v>
      </c>
      <c r="Y144" s="6">
        <f>VLOOKUP(Table1[[#This Row],[HomeTeam]],TeamAttrs!$A$2:$K$20,9,FALSE)</f>
        <v>18053</v>
      </c>
      <c r="Z144" s="6">
        <f>VLOOKUP(Table1[[#This Row],[HomeTeam]],TeamAttrs!$A$2:$K$20,10,FALSE)</f>
        <v>18500</v>
      </c>
      <c r="AA144" s="6">
        <f>VLOOKUP(Table1[[#This Row],[HomeTeam]],TeamAttrs!$A$2:$K$20,11,FALSE)</f>
        <v>0.97583783783783784</v>
      </c>
    </row>
    <row r="145" spans="1:27" x14ac:dyDescent="0.25">
      <c r="A145" s="1">
        <v>41083</v>
      </c>
      <c r="B145" t="s">
        <v>18</v>
      </c>
      <c r="C145" t="str">
        <f>VLOOKUP(Table1[[#This Row],[HomeTeam]], TeamAttrs!$A$2:$B$20,2,FALSE)</f>
        <v>RSL</v>
      </c>
      <c r="D145">
        <v>1</v>
      </c>
      <c r="E145">
        <v>2</v>
      </c>
      <c r="F145">
        <f>Table1[[#This Row],[HomeTeamScore]]-Table1[[#This Row],[VisitorScore]]</f>
        <v>-1</v>
      </c>
      <c r="G145" t="s">
        <v>5</v>
      </c>
      <c r="H145" t="str">
        <f>VLOOKUP(Table1[[#This Row],[VisitorTeam]],TeamAttrs!$A$2:$B$20, 2, FALSE)</f>
        <v>SJE</v>
      </c>
      <c r="I145">
        <f t="shared" si="8"/>
        <v>0</v>
      </c>
      <c r="J145">
        <f t="shared" si="9"/>
        <v>0</v>
      </c>
      <c r="K145">
        <f t="shared" si="10"/>
        <v>1</v>
      </c>
      <c r="L145">
        <f>3*Table1[HomeWin] +Table1[Draw]</f>
        <v>0</v>
      </c>
      <c r="M145">
        <f>3*Table1[HomeLoss]+Table1[Draw]</f>
        <v>3</v>
      </c>
      <c r="N145">
        <f>VLOOKUP(B145,TeamAttrs!$A$2:$C$20,3,FALSE)</f>
        <v>7</v>
      </c>
      <c r="O145">
        <f>VLOOKUP(G145,TeamAttrs!$A$2:$C$20,3,FALSE)</f>
        <v>8</v>
      </c>
      <c r="P145">
        <f t="shared" si="11"/>
        <v>1</v>
      </c>
      <c r="Q145">
        <f>VLOOKUP(B145,TeamAttrs!$A$2:$D$20,3,FALSE)</f>
        <v>7</v>
      </c>
      <c r="R145">
        <f>VLOOKUP(G145,TeamAttrs!$A$2:$D$20,3,FALSE)</f>
        <v>8</v>
      </c>
      <c r="S145">
        <f>RADIANS(VLOOKUP(Table1[[#This Row],[HomeTeam]],TeamAttrs!$A$2:$H$20,7, FALSE))</f>
        <v>0.71151314017277234</v>
      </c>
      <c r="T145">
        <f>RADIANS(VLOOKUP(Table1[[#This Row],[HomeTeam]],TeamAttrs!$A$2:$H$20, 8, FALSE))</f>
        <v>-1.954192803580491</v>
      </c>
      <c r="U145">
        <f>RADIANS(VLOOKUP(Table1[[#This Row],[VisitorTeam]],TeamAttrs!$A$2:$H$20,7,FALSE))</f>
        <v>0.65217194560496516</v>
      </c>
      <c r="V145">
        <f>RADIANS(VLOOKUP(Table1[[#This Row],[VisitorTeam]], TeamAttrs!$A$2:$H$20,8,FALSE))</f>
        <v>-2.1281323168342459</v>
      </c>
      <c r="W145" s="5">
        <f>60*DEGREES(ACOS(SIN(Table1[[#This Row],[HomeLat]])*SIN(Table1[[#This Row],[VisitorLat]]) +COS(Table1[[#This Row],[HomeLat]])*COS(Table1[[#This Row],[VisitorLat]])*COS(ABS(Table1[[#This Row],[HomeLong]] -Table1[[#This Row],[VisitorLong]]))))</f>
        <v>506.7074141019271</v>
      </c>
      <c r="X145" s="6">
        <f>VLOOKUP(Table1[[#This Row],[HomeTeam]],TeamAttrs!$A$2:$K$20,5,FALSE)</f>
        <v>3520000</v>
      </c>
      <c r="Y145" s="6">
        <f>VLOOKUP(Table1[[#This Row],[HomeTeam]],TeamAttrs!$A$2:$K$20,9,FALSE)</f>
        <v>19087</v>
      </c>
      <c r="Z145" s="6">
        <f>VLOOKUP(Table1[[#This Row],[HomeTeam]],TeamAttrs!$A$2:$K$20,10,FALSE)</f>
        <v>20213</v>
      </c>
      <c r="AA145" s="6">
        <f>VLOOKUP(Table1[[#This Row],[HomeTeam]],TeamAttrs!$A$2:$K$20,11,FALSE)</f>
        <v>0.94429327660416562</v>
      </c>
    </row>
    <row r="146" spans="1:27" x14ac:dyDescent="0.25">
      <c r="A146" s="1">
        <v>41083</v>
      </c>
      <c r="B146" t="s">
        <v>10</v>
      </c>
      <c r="C146" t="str">
        <f>VLOOKUP(Table1[[#This Row],[HomeTeam]], TeamAttrs!$A$2:$B$20,2,FALSE)</f>
        <v>Tor</v>
      </c>
      <c r="D146">
        <v>2</v>
      </c>
      <c r="E146">
        <v>2</v>
      </c>
      <c r="F146">
        <f>Table1[[#This Row],[HomeTeamScore]]-Table1[[#This Row],[VisitorScore]]</f>
        <v>0</v>
      </c>
      <c r="G146" t="s">
        <v>9</v>
      </c>
      <c r="H146" t="str">
        <f>VLOOKUP(Table1[[#This Row],[VisitorTeam]],TeamAttrs!$A$2:$B$20, 2, FALSE)</f>
        <v>NE</v>
      </c>
      <c r="I146">
        <f t="shared" si="8"/>
        <v>0</v>
      </c>
      <c r="J146">
        <f t="shared" si="9"/>
        <v>1</v>
      </c>
      <c r="K146">
        <f t="shared" si="10"/>
        <v>0</v>
      </c>
      <c r="L146">
        <f>3*Table1[HomeWin] +Table1[Draw]</f>
        <v>1</v>
      </c>
      <c r="M146">
        <f>3*Table1[HomeLoss]+Table1[Draw]</f>
        <v>1</v>
      </c>
      <c r="N146">
        <f>VLOOKUP(B146,TeamAttrs!$A$2:$C$20,3,FALSE)</f>
        <v>5</v>
      </c>
      <c r="O146">
        <f>VLOOKUP(G146,TeamAttrs!$A$2:$C$20,3,FALSE)</f>
        <v>5</v>
      </c>
      <c r="P146">
        <f t="shared" si="11"/>
        <v>0</v>
      </c>
      <c r="Q146">
        <f>VLOOKUP(B146,TeamAttrs!$A$2:$D$20,3,FALSE)</f>
        <v>5</v>
      </c>
      <c r="R146">
        <f>VLOOKUP(G146,TeamAttrs!$A$2:$D$20,3,FALSE)</f>
        <v>5</v>
      </c>
      <c r="S146">
        <f>RADIANS(VLOOKUP(Table1[[#This Row],[HomeTeam]],TeamAttrs!$A$2:$H$20,7, FALSE))</f>
        <v>0.76241741313643896</v>
      </c>
      <c r="T146">
        <f>RADIANS(VLOOKUP(Table1[[#This Row],[HomeTeam]],TeamAttrs!$A$2:$H$20, 8, FALSE))</f>
        <v>-1.3898632792284005</v>
      </c>
      <c r="U146">
        <f>RADIANS(VLOOKUP(Table1[[#This Row],[VisitorTeam]],TeamAttrs!$A$2:$H$20,7,FALSE))</f>
        <v>0.73943840820468165</v>
      </c>
      <c r="V146">
        <f>RADIANS(VLOOKUP(Table1[[#This Row],[VisitorTeam]], TeamAttrs!$A$2:$H$20,8,FALSE))</f>
        <v>-1.2397649635568881</v>
      </c>
      <c r="W146" s="5">
        <f>60*DEGREES(ACOS(SIN(Table1[[#This Row],[HomeLat]])*SIN(Table1[[#This Row],[VisitorLat]]) +COS(Table1[[#This Row],[HomeLat]])*COS(Table1[[#This Row],[VisitorLat]])*COS(ABS(Table1[[#This Row],[HomeLong]] -Table1[[#This Row],[VisitorLong]]))))</f>
        <v>385.21669636222413</v>
      </c>
      <c r="X146" s="6">
        <f>VLOOKUP(Table1[[#This Row],[HomeTeam]],TeamAttrs!$A$2:$K$20,5,FALSE)</f>
        <v>8250000</v>
      </c>
      <c r="Y146" s="6">
        <f>VLOOKUP(Table1[[#This Row],[HomeTeam]],TeamAttrs!$A$2:$K$20,9,FALSE)</f>
        <v>18155</v>
      </c>
      <c r="Z146" s="6">
        <f>VLOOKUP(Table1[[#This Row],[HomeTeam]],TeamAttrs!$A$2:$K$20,10,FALSE)</f>
        <v>21140</v>
      </c>
      <c r="AA146" s="6">
        <f>VLOOKUP(Table1[[#This Row],[HomeTeam]],TeamAttrs!$A$2:$K$20,11,FALSE)</f>
        <v>0.85879848628193001</v>
      </c>
    </row>
    <row r="147" spans="1:27" x14ac:dyDescent="0.25">
      <c r="A147" s="1">
        <v>41084</v>
      </c>
      <c r="B147" t="s">
        <v>15</v>
      </c>
      <c r="C147" t="str">
        <f>VLOOKUP(Table1[[#This Row],[HomeTeam]], TeamAttrs!$A$2:$B$20,2,FALSE)</f>
        <v>NY</v>
      </c>
      <c r="D147">
        <v>3</v>
      </c>
      <c r="E147">
        <v>2</v>
      </c>
      <c r="F147">
        <f>Table1[[#This Row],[HomeTeamScore]]-Table1[[#This Row],[VisitorScore]]</f>
        <v>1</v>
      </c>
      <c r="G147" t="s">
        <v>3</v>
      </c>
      <c r="H147" t="str">
        <f>VLOOKUP(Table1[[#This Row],[VisitorTeam]],TeamAttrs!$A$2:$B$20, 2, FALSE)</f>
        <v>DCU</v>
      </c>
      <c r="I147">
        <f t="shared" si="8"/>
        <v>1</v>
      </c>
      <c r="J147">
        <f t="shared" si="9"/>
        <v>0</v>
      </c>
      <c r="K147">
        <f t="shared" si="10"/>
        <v>0</v>
      </c>
      <c r="L147">
        <f>3*Table1[HomeWin] +Table1[Draw]</f>
        <v>3</v>
      </c>
      <c r="M147">
        <f>3*Table1[HomeLoss]+Table1[Draw]</f>
        <v>0</v>
      </c>
      <c r="N147">
        <f>VLOOKUP(B147,TeamAttrs!$A$2:$C$20,3,FALSE)</f>
        <v>5</v>
      </c>
      <c r="O147">
        <f>VLOOKUP(G147,TeamAttrs!$A$2:$C$20,3,FALSE)</f>
        <v>5</v>
      </c>
      <c r="P147">
        <f t="shared" si="11"/>
        <v>0</v>
      </c>
      <c r="Q147">
        <f>VLOOKUP(B147,TeamAttrs!$A$2:$D$20,3,FALSE)</f>
        <v>5</v>
      </c>
      <c r="R147">
        <f>VLOOKUP(G147,TeamAttrs!$A$2:$D$20,3,FALSE)</f>
        <v>5</v>
      </c>
      <c r="S147">
        <f>RADIANS(VLOOKUP(Table1[[#This Row],[HomeTeam]],TeamAttrs!$A$2:$H$20,7, FALSE))</f>
        <v>0.71180286482860333</v>
      </c>
      <c r="T147">
        <f>RADIANS(VLOOKUP(Table1[[#This Row],[HomeTeam]],TeamAttrs!$A$2:$H$20, 8, FALSE))</f>
        <v>-1.2909624518348899</v>
      </c>
      <c r="U147">
        <f>RADIANS(VLOOKUP(Table1[[#This Row],[VisitorTeam]],TeamAttrs!$A$2:$H$20,7,FALSE))</f>
        <v>0.67806041439979703</v>
      </c>
      <c r="V147">
        <f>RADIANS(VLOOKUP(Table1[[#This Row],[VisitorTeam]], TeamAttrs!$A$2:$H$20,8,FALSE))</f>
        <v>-1.3444847186765478</v>
      </c>
      <c r="W147" s="5">
        <f>60*DEGREES(ACOS(SIN(Table1[[#This Row],[HomeLat]])*SIN(Table1[[#This Row],[VisitorLat]]) +COS(Table1[[#This Row],[HomeLat]])*COS(Table1[[#This Row],[VisitorLat]])*COS(ABS(Table1[[#This Row],[HomeLong]] -Table1[[#This Row],[VisitorLong]]))))</f>
        <v>182.81415814322813</v>
      </c>
      <c r="X147" s="6">
        <f>VLOOKUP(Table1[[#This Row],[HomeTeam]],TeamAttrs!$A$2:$K$20,5,FALSE)</f>
        <v>12960000</v>
      </c>
      <c r="Y147" s="6">
        <f>VLOOKUP(Table1[[#This Row],[HomeTeam]],TeamAttrs!$A$2:$K$20,9,FALSE)</f>
        <v>18281</v>
      </c>
      <c r="Z147" s="6">
        <f>VLOOKUP(Table1[[#This Row],[HomeTeam]],TeamAttrs!$A$2:$K$20,10,FALSE)</f>
        <v>25000</v>
      </c>
      <c r="AA147" s="6">
        <f>VLOOKUP(Table1[[#This Row],[HomeTeam]],TeamAttrs!$A$2:$K$20,11,FALSE)</f>
        <v>0.73124</v>
      </c>
    </row>
    <row r="148" spans="1:27" x14ac:dyDescent="0.25">
      <c r="A148" s="1">
        <v>41084</v>
      </c>
      <c r="B148" t="s">
        <v>12</v>
      </c>
      <c r="C148" t="str">
        <f>VLOOKUP(Table1[[#This Row],[HomeTeam]], TeamAttrs!$A$2:$B$20,2,FALSE)</f>
        <v>Port</v>
      </c>
      <c r="D148">
        <v>2</v>
      </c>
      <c r="E148">
        <v>1</v>
      </c>
      <c r="F148">
        <f>Table1[[#This Row],[HomeTeamScore]]-Table1[[#This Row],[VisitorScore]]</f>
        <v>1</v>
      </c>
      <c r="G148" t="s">
        <v>11</v>
      </c>
      <c r="H148" t="str">
        <f>VLOOKUP(Table1[[#This Row],[VisitorTeam]],TeamAttrs!$A$2:$B$20, 2, FALSE)</f>
        <v>SEA</v>
      </c>
      <c r="I148">
        <f t="shared" si="8"/>
        <v>1</v>
      </c>
      <c r="J148">
        <f t="shared" si="9"/>
        <v>0</v>
      </c>
      <c r="K148">
        <f t="shared" si="10"/>
        <v>0</v>
      </c>
      <c r="L148">
        <f>3*Table1[HomeWin] +Table1[Draw]</f>
        <v>3</v>
      </c>
      <c r="M148">
        <f>3*Table1[HomeLoss]+Table1[Draw]</f>
        <v>0</v>
      </c>
      <c r="N148">
        <f>VLOOKUP(B148,TeamAttrs!$A$2:$C$20,3,FALSE)</f>
        <v>8</v>
      </c>
      <c r="O148">
        <f>VLOOKUP(G148,TeamAttrs!$A$2:$C$20,3,FALSE)</f>
        <v>8</v>
      </c>
      <c r="P148">
        <f t="shared" si="11"/>
        <v>0</v>
      </c>
      <c r="Q148">
        <f>VLOOKUP(B148,TeamAttrs!$A$2:$D$20,3,FALSE)</f>
        <v>8</v>
      </c>
      <c r="R148">
        <f>VLOOKUP(G148,TeamAttrs!$A$2:$D$20,3,FALSE)</f>
        <v>8</v>
      </c>
      <c r="S148">
        <f>RADIANS(VLOOKUP(Table1[[#This Row],[HomeTeam]],TeamAttrs!$A$2:$H$20,7, FALSE))</f>
        <v>0.79587013890941427</v>
      </c>
      <c r="T148">
        <f>RADIANS(VLOOKUP(Table1[[#This Row],[HomeTeam]],TeamAttrs!$A$2:$H$20, 8, FALSE))</f>
        <v>-2.1397736629450481</v>
      </c>
      <c r="U148">
        <f>RADIANS(VLOOKUP(Table1[[#This Row],[VisitorTeam]],TeamAttrs!$A$2:$H$20,7,FALSE))</f>
        <v>0.83164938857529802</v>
      </c>
      <c r="V148">
        <f>RADIANS(VLOOKUP(Table1[[#This Row],[VisitorTeam]], TeamAttrs!$A$2:$H$20,8,FALSE))</f>
        <v>-2.134537675189065</v>
      </c>
      <c r="W148" s="5">
        <f>60*DEGREES(ACOS(SIN(Table1[[#This Row],[HomeLat]])*SIN(Table1[[#This Row],[VisitorLat]]) +COS(Table1[[#This Row],[HomeLat]])*COS(Table1[[#This Row],[VisitorLat]])*COS(ABS(Table1[[#This Row],[HomeLong]] -Table1[[#This Row],[VisitorLong]]))))</f>
        <v>123.61935321741947</v>
      </c>
      <c r="X148" s="6">
        <f>VLOOKUP(Table1[[#This Row],[HomeTeam]],TeamAttrs!$A$2:$K$20,5,FALSE)</f>
        <v>4160000</v>
      </c>
      <c r="Y148" s="6">
        <f>VLOOKUP(Table1[[#This Row],[HomeTeam]],TeamAttrs!$A$2:$K$20,9,FALSE)</f>
        <v>20438</v>
      </c>
      <c r="Z148" s="6">
        <f>VLOOKUP(Table1[[#This Row],[HomeTeam]],TeamAttrs!$A$2:$K$20,10,FALSE)</f>
        <v>20438</v>
      </c>
      <c r="AA148" s="6">
        <f>VLOOKUP(Table1[[#This Row],[HomeTeam]],TeamAttrs!$A$2:$K$20,11,FALSE)</f>
        <v>1</v>
      </c>
    </row>
    <row r="149" spans="1:27" x14ac:dyDescent="0.25">
      <c r="A149" s="1">
        <v>41087</v>
      </c>
      <c r="B149" t="s">
        <v>1</v>
      </c>
      <c r="C149" t="str">
        <f>VLOOKUP(Table1[[#This Row],[HomeTeam]], TeamAttrs!$A$2:$B$20,2,FALSE)</f>
        <v>Mntrl</v>
      </c>
      <c r="D149">
        <v>0</v>
      </c>
      <c r="E149">
        <v>3</v>
      </c>
      <c r="F149">
        <f>Table1[[#This Row],[HomeTeamScore]]-Table1[[#This Row],[VisitorScore]]</f>
        <v>-3</v>
      </c>
      <c r="G149" t="s">
        <v>10</v>
      </c>
      <c r="H149" t="str">
        <f>VLOOKUP(Table1[[#This Row],[VisitorTeam]],TeamAttrs!$A$2:$B$20, 2, FALSE)</f>
        <v>Tor</v>
      </c>
      <c r="I149">
        <f t="shared" si="8"/>
        <v>0</v>
      </c>
      <c r="J149">
        <f t="shared" si="9"/>
        <v>0</v>
      </c>
      <c r="K149">
        <f t="shared" si="10"/>
        <v>1</v>
      </c>
      <c r="L149">
        <f>3*Table1[HomeWin] +Table1[Draw]</f>
        <v>0</v>
      </c>
      <c r="M149">
        <f>3*Table1[HomeLoss]+Table1[Draw]</f>
        <v>3</v>
      </c>
      <c r="N149">
        <f>VLOOKUP(B149,TeamAttrs!$A$2:$C$20,3,FALSE)</f>
        <v>5</v>
      </c>
      <c r="O149">
        <f>VLOOKUP(G149,TeamAttrs!$A$2:$C$20,3,FALSE)</f>
        <v>5</v>
      </c>
      <c r="P149">
        <f t="shared" si="11"/>
        <v>0</v>
      </c>
      <c r="Q149">
        <f>VLOOKUP(B149,TeamAttrs!$A$2:$D$20,3,FALSE)</f>
        <v>5</v>
      </c>
      <c r="R149">
        <f>VLOOKUP(G149,TeamAttrs!$A$2:$D$20,3,FALSE)</f>
        <v>5</v>
      </c>
      <c r="S149">
        <f>RADIANS(VLOOKUP(Table1[[#This Row],[HomeTeam]],TeamAttrs!$A$2:$H$20,7, FALSE))</f>
        <v>0.79354361501650583</v>
      </c>
      <c r="T149">
        <f>RADIANS(VLOOKUP(Table1[[#This Row],[HomeTeam]],TeamAttrs!$A$2:$H$20, 8, FALSE))</f>
        <v>-1.2871803233458181</v>
      </c>
      <c r="U149">
        <f>RADIANS(VLOOKUP(Table1[[#This Row],[VisitorTeam]],TeamAttrs!$A$2:$H$20,7,FALSE))</f>
        <v>0.76241741313643896</v>
      </c>
      <c r="V149">
        <f>RADIANS(VLOOKUP(Table1[[#This Row],[VisitorTeam]], TeamAttrs!$A$2:$H$20,8,FALSE))</f>
        <v>-1.3898632792284005</v>
      </c>
      <c r="W149" s="5">
        <f>60*DEGREES(ACOS(SIN(Table1[[#This Row],[HomeLat]])*SIN(Table1[[#This Row],[VisitorLat]]) +COS(Table1[[#This Row],[HomeLat]])*COS(Table1[[#This Row],[VisitorLat]])*COS(ABS(Table1[[#This Row],[HomeLong]] -Table1[[#This Row],[VisitorLong]]))))</f>
        <v>273.1859527045325</v>
      </c>
      <c r="X149" s="6">
        <f>VLOOKUP(Table1[[#This Row],[HomeTeam]],TeamAttrs!$A$2:$K$20,5,FALSE)</f>
        <v>3030000</v>
      </c>
      <c r="Y149" s="6">
        <f>VLOOKUP(Table1[[#This Row],[HomeTeam]],TeamAttrs!$A$2:$K$20,9,FALSE)</f>
        <v>22772</v>
      </c>
      <c r="Z149" s="6">
        <f>VLOOKUP(Table1[[#This Row],[HomeTeam]],TeamAttrs!$A$2:$K$20,10,FALSE)</f>
        <v>20341</v>
      </c>
      <c r="AA149" s="6">
        <f>VLOOKUP(Table1[[#This Row],[HomeTeam]],TeamAttrs!$A$2:$K$20,11,FALSE)</f>
        <v>1.1195123150287596</v>
      </c>
    </row>
    <row r="150" spans="1:27" x14ac:dyDescent="0.25">
      <c r="A150" s="1">
        <v>41089</v>
      </c>
      <c r="B150" t="s">
        <v>6</v>
      </c>
      <c r="C150" t="str">
        <f>VLOOKUP(Table1[[#This Row],[HomeTeam]], TeamAttrs!$A$2:$B$20,2,FALSE)</f>
        <v>SKC</v>
      </c>
      <c r="D150">
        <v>0</v>
      </c>
      <c r="E150">
        <v>1</v>
      </c>
      <c r="F150">
        <f>Table1[[#This Row],[HomeTeamScore]]-Table1[[#This Row],[VisitorScore]]</f>
        <v>-1</v>
      </c>
      <c r="G150" t="s">
        <v>17</v>
      </c>
      <c r="H150" t="str">
        <f>VLOOKUP(Table1[[#This Row],[VisitorTeam]],TeamAttrs!$A$2:$B$20, 2, FALSE)</f>
        <v>Chi</v>
      </c>
      <c r="I150">
        <f t="shared" si="8"/>
        <v>0</v>
      </c>
      <c r="J150">
        <f t="shared" si="9"/>
        <v>0</v>
      </c>
      <c r="K150">
        <f t="shared" si="10"/>
        <v>1</v>
      </c>
      <c r="L150">
        <f>3*Table1[HomeWin] +Table1[Draw]</f>
        <v>0</v>
      </c>
      <c r="M150">
        <f>3*Table1[HomeLoss]+Table1[Draw]</f>
        <v>3</v>
      </c>
      <c r="N150">
        <f>VLOOKUP(B150,TeamAttrs!$A$2:$C$20,3,FALSE)</f>
        <v>6</v>
      </c>
      <c r="O150">
        <f>VLOOKUP(G150,TeamAttrs!$A$2:$C$20,3,FALSE)</f>
        <v>6</v>
      </c>
      <c r="P150">
        <f t="shared" si="11"/>
        <v>0</v>
      </c>
      <c r="Q150">
        <f>VLOOKUP(B150,TeamAttrs!$A$2:$D$20,3,FALSE)</f>
        <v>6</v>
      </c>
      <c r="R150">
        <f>VLOOKUP(G150,TeamAttrs!$A$2:$D$20,3,FALSE)</f>
        <v>6</v>
      </c>
      <c r="S150">
        <f>RADIANS(VLOOKUP(Table1[[#This Row],[HomeTeam]],TeamAttrs!$A$2:$H$20,7, FALSE))</f>
        <v>0.68271520751486592</v>
      </c>
      <c r="T150">
        <f>RADIANS(VLOOKUP(Table1[[#This Row],[HomeTeam]],TeamAttrs!$A$2:$H$20, 8, FALSE))</f>
        <v>-1.65166266702755</v>
      </c>
      <c r="U150">
        <f>RADIANS(VLOOKUP(Table1[[#This Row],[VisitorTeam]],TeamAttrs!$A$2:$H$20,7,FALSE))</f>
        <v>0.72925615734854665</v>
      </c>
      <c r="V150">
        <f>RADIANS(VLOOKUP(Table1[[#This Row],[VisitorTeam]], TeamAttrs!$A$2:$H$20,8,FALSE))</f>
        <v>-1.5315264186250241</v>
      </c>
      <c r="W150" s="5">
        <f>60*DEGREES(ACOS(SIN(Table1[[#This Row],[HomeLat]])*SIN(Table1[[#This Row],[VisitorLat]]) +COS(Table1[[#This Row],[HomeLat]])*COS(Table1[[#This Row],[VisitorLat]])*COS(ABS(Table1[[#This Row],[HomeLong]] -Table1[[#This Row],[VisitorLong]]))))</f>
        <v>352.51091361253208</v>
      </c>
      <c r="X150" s="6">
        <f>VLOOKUP(Table1[[#This Row],[HomeTeam]],TeamAttrs!$A$2:$K$20,5,FALSE)</f>
        <v>3120000</v>
      </c>
      <c r="Y150" s="6">
        <f>VLOOKUP(Table1[[#This Row],[HomeTeam]],TeamAttrs!$A$2:$K$20,9,FALSE)</f>
        <v>19404</v>
      </c>
      <c r="Z150" s="6">
        <f>VLOOKUP(Table1[[#This Row],[HomeTeam]],TeamAttrs!$A$2:$K$20,10,FALSE)</f>
        <v>18467</v>
      </c>
      <c r="AA150" s="6">
        <f>VLOOKUP(Table1[[#This Row],[HomeTeam]],TeamAttrs!$A$2:$K$20,11,FALSE)</f>
        <v>1.0507391563329183</v>
      </c>
    </row>
    <row r="151" spans="1:27" x14ac:dyDescent="0.25">
      <c r="A151" s="1">
        <v>41090</v>
      </c>
      <c r="B151" t="s">
        <v>14</v>
      </c>
      <c r="C151" t="str">
        <f>VLOOKUP(Table1[[#This Row],[HomeTeam]], TeamAttrs!$A$2:$B$20,2,FALSE)</f>
        <v>ColRa</v>
      </c>
      <c r="D151">
        <v>3</v>
      </c>
      <c r="E151">
        <v>0</v>
      </c>
      <c r="F151">
        <f>Table1[[#This Row],[HomeTeamScore]]-Table1[[#This Row],[VisitorScore]]</f>
        <v>3</v>
      </c>
      <c r="G151" t="s">
        <v>12</v>
      </c>
      <c r="H151" t="str">
        <f>VLOOKUP(Table1[[#This Row],[VisitorTeam]],TeamAttrs!$A$2:$B$20, 2, FALSE)</f>
        <v>Port</v>
      </c>
      <c r="I151">
        <f t="shared" si="8"/>
        <v>1</v>
      </c>
      <c r="J151">
        <f t="shared" si="9"/>
        <v>0</v>
      </c>
      <c r="K151">
        <f t="shared" si="10"/>
        <v>0</v>
      </c>
      <c r="L151">
        <f>3*Table1[HomeWin] +Table1[Draw]</f>
        <v>3</v>
      </c>
      <c r="M151">
        <f>3*Table1[HomeLoss]+Table1[Draw]</f>
        <v>0</v>
      </c>
      <c r="N151">
        <f>VLOOKUP(B151,TeamAttrs!$A$2:$C$20,3,FALSE)</f>
        <v>7</v>
      </c>
      <c r="O151">
        <f>VLOOKUP(G151,TeamAttrs!$A$2:$C$20,3,FALSE)</f>
        <v>8</v>
      </c>
      <c r="P151">
        <f t="shared" si="11"/>
        <v>1</v>
      </c>
      <c r="Q151">
        <f>VLOOKUP(B151,TeamAttrs!$A$2:$D$20,3,FALSE)</f>
        <v>7</v>
      </c>
      <c r="R151">
        <f>VLOOKUP(G151,TeamAttrs!$A$2:$D$20,3,FALSE)</f>
        <v>8</v>
      </c>
      <c r="S151">
        <f>RADIANS(VLOOKUP(Table1[[#This Row],[HomeTeam]],TeamAttrs!$A$2:$H$20,7, FALSE))</f>
        <v>0.69376837766774602</v>
      </c>
      <c r="T151">
        <f>RADIANS(VLOOKUP(Table1[[#This Row],[HomeTeam]],TeamAttrs!$A$2:$H$20, 8, FALSE))</f>
        <v>-1.8302744266888937</v>
      </c>
      <c r="U151">
        <f>RADIANS(VLOOKUP(Table1[[#This Row],[VisitorTeam]],TeamAttrs!$A$2:$H$20,7,FALSE))</f>
        <v>0.79587013890941427</v>
      </c>
      <c r="V151">
        <f>RADIANS(VLOOKUP(Table1[[#This Row],[VisitorTeam]], TeamAttrs!$A$2:$H$20,8,FALSE))</f>
        <v>-2.1397736629450481</v>
      </c>
      <c r="W151" s="5">
        <f>60*DEGREES(ACOS(SIN(Table1[[#This Row],[HomeLat]])*SIN(Table1[[#This Row],[VisitorLat]]) +COS(Table1[[#This Row],[HomeLat]])*COS(Table1[[#This Row],[VisitorLat]])*COS(ABS(Table1[[#This Row],[HomeLong]] -Table1[[#This Row],[VisitorLong]]))))</f>
        <v>854.9704006018444</v>
      </c>
      <c r="X151" s="6">
        <f>VLOOKUP(Table1[[#This Row],[HomeTeam]],TeamAttrs!$A$2:$K$20,5,FALSE)</f>
        <v>3430000</v>
      </c>
      <c r="Y151" s="6">
        <f>VLOOKUP(Table1[[#This Row],[HomeTeam]],TeamAttrs!$A$2:$K$20,9,FALSE)</f>
        <v>15175</v>
      </c>
      <c r="Z151" s="6">
        <f>VLOOKUP(Table1[[#This Row],[HomeTeam]],TeamAttrs!$A$2:$K$20,10,FALSE)</f>
        <v>18086</v>
      </c>
      <c r="AA151" s="6">
        <f>VLOOKUP(Table1[[#This Row],[HomeTeam]],TeamAttrs!$A$2:$K$20,11,FALSE)</f>
        <v>0.83904677651221937</v>
      </c>
    </row>
    <row r="152" spans="1:27" x14ac:dyDescent="0.25">
      <c r="A152" s="1">
        <v>41090</v>
      </c>
      <c r="B152" t="s">
        <v>8</v>
      </c>
      <c r="C152" t="str">
        <f>VLOOKUP(Table1[[#This Row],[HomeTeam]], TeamAttrs!$A$2:$B$20,2,FALSE)</f>
        <v>Colum</v>
      </c>
      <c r="D152">
        <v>2</v>
      </c>
      <c r="E152">
        <v>0</v>
      </c>
      <c r="F152">
        <f>Table1[[#This Row],[HomeTeamScore]]-Table1[[#This Row],[VisitorScore]]</f>
        <v>2</v>
      </c>
      <c r="G152" t="s">
        <v>18</v>
      </c>
      <c r="H152" t="str">
        <f>VLOOKUP(Table1[[#This Row],[VisitorTeam]],TeamAttrs!$A$2:$B$20, 2, FALSE)</f>
        <v>RSL</v>
      </c>
      <c r="I152">
        <f t="shared" si="8"/>
        <v>1</v>
      </c>
      <c r="J152">
        <f t="shared" si="9"/>
        <v>0</v>
      </c>
      <c r="K152">
        <f t="shared" si="10"/>
        <v>0</v>
      </c>
      <c r="L152">
        <f>3*Table1[HomeWin] +Table1[Draw]</f>
        <v>3</v>
      </c>
      <c r="M152">
        <f>3*Table1[HomeLoss]+Table1[Draw]</f>
        <v>0</v>
      </c>
      <c r="N152">
        <f>VLOOKUP(B152,TeamAttrs!$A$2:$C$20,3,FALSE)</f>
        <v>5</v>
      </c>
      <c r="O152">
        <f>VLOOKUP(G152,TeamAttrs!$A$2:$C$20,3,FALSE)</f>
        <v>7</v>
      </c>
      <c r="P152">
        <f t="shared" si="11"/>
        <v>2</v>
      </c>
      <c r="Q152">
        <f>VLOOKUP(B152,TeamAttrs!$A$2:$D$20,3,FALSE)</f>
        <v>5</v>
      </c>
      <c r="R152">
        <f>VLOOKUP(G152,TeamAttrs!$A$2:$D$20,3,FALSE)</f>
        <v>7</v>
      </c>
      <c r="S152">
        <f>RADIANS(VLOOKUP(Table1[[#This Row],[HomeTeam]],TeamAttrs!$A$2:$H$20,7, FALSE))</f>
        <v>0.69813170079773179</v>
      </c>
      <c r="T152">
        <f>RADIANS(VLOOKUP(Table1[[#This Row],[HomeTeam]],TeamAttrs!$A$2:$H$20, 8, FALSE))</f>
        <v>-1.4465864799182162</v>
      </c>
      <c r="U152">
        <f>RADIANS(VLOOKUP(Table1[[#This Row],[VisitorTeam]],TeamAttrs!$A$2:$H$20,7,FALSE))</f>
        <v>0.71151314017277234</v>
      </c>
      <c r="V152">
        <f>RADIANS(VLOOKUP(Table1[[#This Row],[VisitorTeam]], TeamAttrs!$A$2:$H$20,8,FALSE))</f>
        <v>-1.954192803580491</v>
      </c>
      <c r="W152" s="5">
        <f>60*DEGREES(ACOS(SIN(Table1[[#This Row],[HomeLat]])*SIN(Table1[[#This Row],[VisitorLat]]) +COS(Table1[[#This Row],[HomeLat]])*COS(Table1[[#This Row],[VisitorLat]])*COS(ABS(Table1[[#This Row],[HomeLong]] -Table1[[#This Row],[VisitorLong]]))))</f>
        <v>1323.9249634830917</v>
      </c>
      <c r="X152" s="6">
        <f>VLOOKUP(Table1[[#This Row],[HomeTeam]],TeamAttrs!$A$2:$K$20,5,FALSE)</f>
        <v>3330000</v>
      </c>
      <c r="Y152" s="6">
        <f>VLOOKUP(Table1[[#This Row],[HomeTeam]],TeamAttrs!$A$2:$K$20,9,FALSE)</f>
        <v>14397</v>
      </c>
      <c r="Z152" s="6">
        <f>VLOOKUP(Table1[[#This Row],[HomeTeam]],TeamAttrs!$A$2:$K$20,10,FALSE)</f>
        <v>20145</v>
      </c>
      <c r="AA152" s="6">
        <f>VLOOKUP(Table1[[#This Row],[HomeTeam]],TeamAttrs!$A$2:$K$20,11,FALSE)</f>
        <v>0.71466865227103504</v>
      </c>
    </row>
    <row r="153" spans="1:27" x14ac:dyDescent="0.25">
      <c r="A153" s="1">
        <v>41090</v>
      </c>
      <c r="B153" t="s">
        <v>3</v>
      </c>
      <c r="C153" t="str">
        <f>VLOOKUP(Table1[[#This Row],[HomeTeam]], TeamAttrs!$A$2:$B$20,2,FALSE)</f>
        <v>DCU</v>
      </c>
      <c r="D153">
        <v>3</v>
      </c>
      <c r="E153">
        <v>0</v>
      </c>
      <c r="F153">
        <f>Table1[[#This Row],[HomeTeamScore]]-Table1[[#This Row],[VisitorScore]]</f>
        <v>3</v>
      </c>
      <c r="G153" t="s">
        <v>1</v>
      </c>
      <c r="H153" t="str">
        <f>VLOOKUP(Table1[[#This Row],[VisitorTeam]],TeamAttrs!$A$2:$B$20, 2, FALSE)</f>
        <v>Mntrl</v>
      </c>
      <c r="I153">
        <f t="shared" si="8"/>
        <v>1</v>
      </c>
      <c r="J153">
        <f t="shared" si="9"/>
        <v>0</v>
      </c>
      <c r="K153">
        <f t="shared" si="10"/>
        <v>0</v>
      </c>
      <c r="L153">
        <f>3*Table1[HomeWin] +Table1[Draw]</f>
        <v>3</v>
      </c>
      <c r="M153">
        <f>3*Table1[HomeLoss]+Table1[Draw]</f>
        <v>0</v>
      </c>
      <c r="N153">
        <f>VLOOKUP(B153,TeamAttrs!$A$2:$C$20,3,FALSE)</f>
        <v>5</v>
      </c>
      <c r="O153">
        <f>VLOOKUP(G153,TeamAttrs!$A$2:$C$20,3,FALSE)</f>
        <v>5</v>
      </c>
      <c r="P153">
        <f t="shared" si="11"/>
        <v>0</v>
      </c>
      <c r="Q153">
        <f>VLOOKUP(B153,TeamAttrs!$A$2:$D$20,3,FALSE)</f>
        <v>5</v>
      </c>
      <c r="R153">
        <f>VLOOKUP(G153,TeamAttrs!$A$2:$D$20,3,FALSE)</f>
        <v>5</v>
      </c>
      <c r="S153">
        <f>RADIANS(VLOOKUP(Table1[[#This Row],[HomeTeam]],TeamAttrs!$A$2:$H$20,7, FALSE))</f>
        <v>0.67806041439979703</v>
      </c>
      <c r="T153">
        <f>RADIANS(VLOOKUP(Table1[[#This Row],[HomeTeam]],TeamAttrs!$A$2:$H$20, 8, FALSE))</f>
        <v>-1.3444847186765478</v>
      </c>
      <c r="U153">
        <f>RADIANS(VLOOKUP(Table1[[#This Row],[VisitorTeam]],TeamAttrs!$A$2:$H$20,7,FALSE))</f>
        <v>0.79354361501650583</v>
      </c>
      <c r="V153">
        <f>RADIANS(VLOOKUP(Table1[[#This Row],[VisitorTeam]], TeamAttrs!$A$2:$H$20,8,FALSE))</f>
        <v>-1.2871803233458181</v>
      </c>
      <c r="W153" s="5">
        <f>60*DEGREES(ACOS(SIN(Table1[[#This Row],[HomeLat]])*SIN(Table1[[#This Row],[VisitorLat]]) +COS(Table1[[#This Row],[HomeLat]])*COS(Table1[[#This Row],[VisitorLat]])*COS(ABS(Table1[[#This Row],[HomeLong]] -Table1[[#This Row],[VisitorLong]]))))</f>
        <v>422.90848824135901</v>
      </c>
      <c r="X153" s="6">
        <f>VLOOKUP(Table1[[#This Row],[HomeTeam]],TeamAttrs!$A$2:$K$20,5,FALSE)</f>
        <v>4190000.0000000005</v>
      </c>
      <c r="Y153" s="6">
        <f>VLOOKUP(Table1[[#This Row],[HomeTeam]],TeamAttrs!$A$2:$K$20,9,FALSE)</f>
        <v>13846</v>
      </c>
      <c r="Z153" s="6">
        <f>VLOOKUP(Table1[[#This Row],[HomeTeam]],TeamAttrs!$A$2:$K$20,10,FALSE)</f>
        <v>19467</v>
      </c>
      <c r="AA153" s="6">
        <f>VLOOKUP(Table1[[#This Row],[HomeTeam]],TeamAttrs!$A$2:$K$20,11,FALSE)</f>
        <v>0.71125494426465297</v>
      </c>
    </row>
    <row r="154" spans="1:27" x14ac:dyDescent="0.25">
      <c r="A154" s="1">
        <v>41090</v>
      </c>
      <c r="B154" t="s">
        <v>13</v>
      </c>
      <c r="C154" t="str">
        <f>VLOOKUP(Table1[[#This Row],[HomeTeam]], TeamAttrs!$A$2:$B$20,2,FALSE)</f>
        <v>Hou</v>
      </c>
      <c r="D154">
        <v>2</v>
      </c>
      <c r="E154">
        <v>1</v>
      </c>
      <c r="F154">
        <f>Table1[[#This Row],[HomeTeamScore]]-Table1[[#This Row],[VisitorScore]]</f>
        <v>1</v>
      </c>
      <c r="G154" t="s">
        <v>4</v>
      </c>
      <c r="H154" t="str">
        <f>VLOOKUP(Table1[[#This Row],[VisitorTeam]],TeamAttrs!$A$2:$B$20, 2, FALSE)</f>
        <v>Phil</v>
      </c>
      <c r="I154">
        <f t="shared" si="8"/>
        <v>1</v>
      </c>
      <c r="J154">
        <f t="shared" si="9"/>
        <v>0</v>
      </c>
      <c r="K154">
        <f t="shared" si="10"/>
        <v>0</v>
      </c>
      <c r="L154">
        <f>3*Table1[HomeWin] +Table1[Draw]</f>
        <v>3</v>
      </c>
      <c r="M154">
        <f>3*Table1[HomeLoss]+Table1[Draw]</f>
        <v>0</v>
      </c>
      <c r="N154">
        <f>VLOOKUP(B154,TeamAttrs!$A$2:$C$20,3,FALSE)</f>
        <v>6</v>
      </c>
      <c r="O154">
        <f>VLOOKUP(G154,TeamAttrs!$A$2:$C$20,3,FALSE)</f>
        <v>5</v>
      </c>
      <c r="P154">
        <f t="shared" si="11"/>
        <v>-1</v>
      </c>
      <c r="Q154">
        <f>VLOOKUP(B154,TeamAttrs!$A$2:$D$20,3,FALSE)</f>
        <v>6</v>
      </c>
      <c r="R154">
        <f>VLOOKUP(G154,TeamAttrs!$A$2:$D$20,3,FALSE)</f>
        <v>5</v>
      </c>
      <c r="S154">
        <f>RADIANS(VLOOKUP(Table1[[#This Row],[HomeTeam]],TeamAttrs!$A$2:$H$20,7, FALSE))</f>
        <v>0.52301758095738471</v>
      </c>
      <c r="T154">
        <f>RADIANS(VLOOKUP(Table1[[#This Row],[HomeTeam]],TeamAttrs!$A$2:$H$20, 8, FALSE))</f>
        <v>-1.6641714417765932</v>
      </c>
      <c r="U154">
        <f>RADIANS(VLOOKUP(Table1[[#This Row],[VisitorTeam]],TeamAttrs!$A$2:$H$20,7,FALSE))</f>
        <v>0.69609490156065446</v>
      </c>
      <c r="V154">
        <f>RADIANS(VLOOKUP(Table1[[#This Row],[VisitorTeam]], TeamAttrs!$A$2:$H$20,8,FALSE))</f>
        <v>-1.313360262125733</v>
      </c>
      <c r="W154" s="5">
        <f>60*DEGREES(ACOS(SIN(Table1[[#This Row],[HomeLat]])*SIN(Table1[[#This Row],[VisitorLat]]) +COS(Table1[[#This Row],[HomeLat]])*COS(Table1[[#This Row],[VisitorLat]])*COS(ABS(Table1[[#This Row],[HomeLong]] -Table1[[#This Row],[VisitorLong]]))))</f>
        <v>1149.9616181637095</v>
      </c>
      <c r="X154" s="6">
        <f>VLOOKUP(Table1[[#This Row],[HomeTeam]],TeamAttrs!$A$2:$K$20,5,FALSE)</f>
        <v>3000000</v>
      </c>
      <c r="Y154" s="6">
        <f>VLOOKUP(Table1[[#This Row],[HomeTeam]],TeamAttrs!$A$2:$K$20,9,FALSE)</f>
        <v>20946</v>
      </c>
      <c r="Z154" s="6">
        <f>VLOOKUP(Table1[[#This Row],[HomeTeam]],TeamAttrs!$A$2:$K$20,10,FALSE)</f>
        <v>22000</v>
      </c>
      <c r="AA154" s="6">
        <f>VLOOKUP(Table1[[#This Row],[HomeTeam]],TeamAttrs!$A$2:$K$20,11,FALSE)</f>
        <v>0.9520909090909091</v>
      </c>
    </row>
    <row r="155" spans="1:27" x14ac:dyDescent="0.25">
      <c r="A155" s="1">
        <v>41090</v>
      </c>
      <c r="B155" t="s">
        <v>9</v>
      </c>
      <c r="C155" t="str">
        <f>VLOOKUP(Table1[[#This Row],[HomeTeam]], TeamAttrs!$A$2:$B$20,2,FALSE)</f>
        <v>NE</v>
      </c>
      <c r="D155">
        <v>2</v>
      </c>
      <c r="E155">
        <v>2</v>
      </c>
      <c r="F155">
        <f>Table1[[#This Row],[HomeTeamScore]]-Table1[[#This Row],[VisitorScore]]</f>
        <v>0</v>
      </c>
      <c r="G155" t="s">
        <v>11</v>
      </c>
      <c r="H155" t="str">
        <f>VLOOKUP(Table1[[#This Row],[VisitorTeam]],TeamAttrs!$A$2:$B$20, 2, FALSE)</f>
        <v>SEA</v>
      </c>
      <c r="I155">
        <f t="shared" si="8"/>
        <v>0</v>
      </c>
      <c r="J155">
        <f t="shared" si="9"/>
        <v>1</v>
      </c>
      <c r="K155">
        <f t="shared" si="10"/>
        <v>0</v>
      </c>
      <c r="L155">
        <f>3*Table1[HomeWin] +Table1[Draw]</f>
        <v>1</v>
      </c>
      <c r="M155">
        <f>3*Table1[HomeLoss]+Table1[Draw]</f>
        <v>1</v>
      </c>
      <c r="N155">
        <f>VLOOKUP(B155,TeamAttrs!$A$2:$C$20,3,FALSE)</f>
        <v>5</v>
      </c>
      <c r="O155">
        <f>VLOOKUP(G155,TeamAttrs!$A$2:$C$20,3,FALSE)</f>
        <v>8</v>
      </c>
      <c r="P155">
        <f t="shared" si="11"/>
        <v>3</v>
      </c>
      <c r="Q155">
        <f>VLOOKUP(B155,TeamAttrs!$A$2:$D$20,3,FALSE)</f>
        <v>5</v>
      </c>
      <c r="R155">
        <f>VLOOKUP(G155,TeamAttrs!$A$2:$D$20,3,FALSE)</f>
        <v>8</v>
      </c>
      <c r="S155">
        <f>RADIANS(VLOOKUP(Table1[[#This Row],[HomeTeam]],TeamAttrs!$A$2:$H$20,7, FALSE))</f>
        <v>0.73943840820468165</v>
      </c>
      <c r="T155">
        <f>RADIANS(VLOOKUP(Table1[[#This Row],[HomeTeam]],TeamAttrs!$A$2:$H$20, 8, FALSE))</f>
        <v>-1.2397649635568881</v>
      </c>
      <c r="U155">
        <f>RADIANS(VLOOKUP(Table1[[#This Row],[VisitorTeam]],TeamAttrs!$A$2:$H$20,7,FALSE))</f>
        <v>0.83164938857529802</v>
      </c>
      <c r="V155">
        <f>RADIANS(VLOOKUP(Table1[[#This Row],[VisitorTeam]], TeamAttrs!$A$2:$H$20,8,FALSE))</f>
        <v>-2.134537675189065</v>
      </c>
      <c r="W155" s="5">
        <f>60*DEGREES(ACOS(SIN(Table1[[#This Row],[HomeLat]])*SIN(Table1[[#This Row],[VisitorLat]]) +COS(Table1[[#This Row],[HomeLat]])*COS(Table1[[#This Row],[VisitorLat]])*COS(ABS(Table1[[#This Row],[HomeLong]] -Table1[[#This Row],[VisitorLong]]))))</f>
        <v>2157.4703472157348</v>
      </c>
      <c r="X155" s="6">
        <f>VLOOKUP(Table1[[#This Row],[HomeTeam]],TeamAttrs!$A$2:$K$20,5,FALSE)</f>
        <v>3260000</v>
      </c>
      <c r="Y155" s="6">
        <f>VLOOKUP(Table1[[#This Row],[HomeTeam]],TeamAttrs!$A$2:$K$20,9,FALSE)</f>
        <v>14001</v>
      </c>
      <c r="Z155" s="6">
        <f>VLOOKUP(Table1[[#This Row],[HomeTeam]],TeamAttrs!$A$2:$K$20,10,FALSE)</f>
        <v>20000</v>
      </c>
      <c r="AA155" s="6">
        <f>VLOOKUP(Table1[[#This Row],[HomeTeam]],TeamAttrs!$A$2:$K$20,11,FALSE)</f>
        <v>0.70004999999999995</v>
      </c>
    </row>
    <row r="156" spans="1:27" x14ac:dyDescent="0.25">
      <c r="A156" s="1">
        <v>41090</v>
      </c>
      <c r="B156" t="s">
        <v>5</v>
      </c>
      <c r="C156" t="str">
        <f>VLOOKUP(Table1[[#This Row],[HomeTeam]], TeamAttrs!$A$2:$B$20,2,FALSE)</f>
        <v>SJE</v>
      </c>
      <c r="D156">
        <v>4</v>
      </c>
      <c r="E156">
        <v>3</v>
      </c>
      <c r="F156">
        <f>Table1[[#This Row],[HomeTeamScore]]-Table1[[#This Row],[VisitorScore]]</f>
        <v>1</v>
      </c>
      <c r="G156" t="s">
        <v>16</v>
      </c>
      <c r="H156" t="str">
        <f>VLOOKUP(Table1[[#This Row],[VisitorTeam]],TeamAttrs!$A$2:$B$20, 2, FALSE)</f>
        <v>LAGxy</v>
      </c>
      <c r="I156">
        <f t="shared" si="8"/>
        <v>1</v>
      </c>
      <c r="J156">
        <f t="shared" si="9"/>
        <v>0</v>
      </c>
      <c r="K156">
        <f t="shared" si="10"/>
        <v>0</v>
      </c>
      <c r="L156">
        <f>3*Table1[HomeWin] +Table1[Draw]</f>
        <v>3</v>
      </c>
      <c r="M156">
        <f>3*Table1[HomeLoss]+Table1[Draw]</f>
        <v>0</v>
      </c>
      <c r="N156">
        <f>VLOOKUP(B156,TeamAttrs!$A$2:$C$20,3,FALSE)</f>
        <v>8</v>
      </c>
      <c r="O156">
        <f>VLOOKUP(G156,TeamAttrs!$A$2:$C$20,3,FALSE)</f>
        <v>8</v>
      </c>
      <c r="P156">
        <f t="shared" si="11"/>
        <v>0</v>
      </c>
      <c r="Q156">
        <f>VLOOKUP(B156,TeamAttrs!$A$2:$D$20,3,FALSE)</f>
        <v>8</v>
      </c>
      <c r="R156">
        <f>VLOOKUP(G156,TeamAttrs!$A$2:$D$20,3,FALSE)</f>
        <v>8</v>
      </c>
      <c r="S156">
        <f>RADIANS(VLOOKUP(Table1[[#This Row],[HomeTeam]],TeamAttrs!$A$2:$H$20,7, FALSE))</f>
        <v>0.65217194560496516</v>
      </c>
      <c r="T156">
        <f>RADIANS(VLOOKUP(Table1[[#This Row],[HomeTeam]],TeamAttrs!$A$2:$H$20, 8, FALSE))</f>
        <v>-2.1281323168342459</v>
      </c>
      <c r="U156">
        <f>RADIANS(VLOOKUP(Table1[[#This Row],[VisitorTeam]],TeamAttrs!$A$2:$H$20,7,FALSE))</f>
        <v>0.59224781106699187</v>
      </c>
      <c r="V156">
        <f>RADIANS(VLOOKUP(Table1[[#This Row],[VisitorTeam]], TeamAttrs!$A$2:$H$20,8,FALSE))</f>
        <v>-2.0664698343612864</v>
      </c>
      <c r="W156" s="5">
        <f>60*DEGREES(ACOS(SIN(Table1[[#This Row],[HomeLat]])*SIN(Table1[[#This Row],[VisitorLat]]) +COS(Table1[[#This Row],[HomeLat]])*COS(Table1[[#This Row],[VisitorLat]])*COS(ABS(Table1[[#This Row],[HomeLong]] -Table1[[#This Row],[VisitorLong]]))))</f>
        <v>268.48292730997031</v>
      </c>
      <c r="X156" s="6">
        <f>VLOOKUP(Table1[[#This Row],[HomeTeam]],TeamAttrs!$A$2:$K$20,5,FALSE)</f>
        <v>3210000</v>
      </c>
      <c r="Y156" s="6">
        <f>VLOOKUP(Table1[[#This Row],[HomeTeam]],TeamAttrs!$A$2:$K$20,9,FALSE)</f>
        <v>13293</v>
      </c>
      <c r="Z156" s="6">
        <f>VLOOKUP(Table1[[#This Row],[HomeTeam]],TeamAttrs!$A$2:$K$20,10,FALSE)</f>
        <v>10525</v>
      </c>
      <c r="AA156" s="6">
        <f>VLOOKUP(Table1[[#This Row],[HomeTeam]],TeamAttrs!$A$2:$K$20,11,FALSE)</f>
        <v>1.2629928741092638</v>
      </c>
    </row>
    <row r="157" spans="1:27" x14ac:dyDescent="0.25">
      <c r="A157" s="1">
        <v>41090</v>
      </c>
      <c r="B157" t="s">
        <v>10</v>
      </c>
      <c r="C157" t="str">
        <f>VLOOKUP(Table1[[#This Row],[HomeTeam]], TeamAttrs!$A$2:$B$20,2,FALSE)</f>
        <v>Tor</v>
      </c>
      <c r="D157">
        <v>1</v>
      </c>
      <c r="E157">
        <v>1</v>
      </c>
      <c r="F157">
        <f>Table1[[#This Row],[HomeTeamScore]]-Table1[[#This Row],[VisitorScore]]</f>
        <v>0</v>
      </c>
      <c r="G157" t="s">
        <v>15</v>
      </c>
      <c r="H157" t="str">
        <f>VLOOKUP(Table1[[#This Row],[VisitorTeam]],TeamAttrs!$A$2:$B$20, 2, FALSE)</f>
        <v>NY</v>
      </c>
      <c r="I157">
        <f t="shared" si="8"/>
        <v>0</v>
      </c>
      <c r="J157">
        <f t="shared" si="9"/>
        <v>1</v>
      </c>
      <c r="K157">
        <f t="shared" si="10"/>
        <v>0</v>
      </c>
      <c r="L157">
        <f>3*Table1[HomeWin] +Table1[Draw]</f>
        <v>1</v>
      </c>
      <c r="M157">
        <f>3*Table1[HomeLoss]+Table1[Draw]</f>
        <v>1</v>
      </c>
      <c r="N157">
        <f>VLOOKUP(B157,TeamAttrs!$A$2:$C$20,3,FALSE)</f>
        <v>5</v>
      </c>
      <c r="O157">
        <f>VLOOKUP(G157,TeamAttrs!$A$2:$C$20,3,FALSE)</f>
        <v>5</v>
      </c>
      <c r="P157">
        <f t="shared" si="11"/>
        <v>0</v>
      </c>
      <c r="Q157">
        <f>VLOOKUP(B157,TeamAttrs!$A$2:$D$20,3,FALSE)</f>
        <v>5</v>
      </c>
      <c r="R157">
        <f>VLOOKUP(G157,TeamAttrs!$A$2:$D$20,3,FALSE)</f>
        <v>5</v>
      </c>
      <c r="S157">
        <f>RADIANS(VLOOKUP(Table1[[#This Row],[HomeTeam]],TeamAttrs!$A$2:$H$20,7, FALSE))</f>
        <v>0.76241741313643896</v>
      </c>
      <c r="T157">
        <f>RADIANS(VLOOKUP(Table1[[#This Row],[HomeTeam]],TeamAttrs!$A$2:$H$20, 8, FALSE))</f>
        <v>-1.3898632792284005</v>
      </c>
      <c r="U157">
        <f>RADIANS(VLOOKUP(Table1[[#This Row],[VisitorTeam]],TeamAttrs!$A$2:$H$20,7,FALSE))</f>
        <v>0.71180286482860333</v>
      </c>
      <c r="V157">
        <f>RADIANS(VLOOKUP(Table1[[#This Row],[VisitorTeam]], TeamAttrs!$A$2:$H$20,8,FALSE))</f>
        <v>-1.2909624518348899</v>
      </c>
      <c r="W157" s="5">
        <f>60*DEGREES(ACOS(SIN(Table1[[#This Row],[HomeLat]])*SIN(Table1[[#This Row],[VisitorLat]]) +COS(Table1[[#This Row],[HomeLat]])*COS(Table1[[#This Row],[VisitorLat]])*COS(ABS(Table1[[#This Row],[HomeLong]] -Table1[[#This Row],[VisitorLong]]))))</f>
        <v>305.90456223714011</v>
      </c>
      <c r="X157" s="6">
        <f>VLOOKUP(Table1[[#This Row],[HomeTeam]],TeamAttrs!$A$2:$K$20,5,FALSE)</f>
        <v>8250000</v>
      </c>
      <c r="Y157" s="6">
        <f>VLOOKUP(Table1[[#This Row],[HomeTeam]],TeamAttrs!$A$2:$K$20,9,FALSE)</f>
        <v>18155</v>
      </c>
      <c r="Z157" s="6">
        <f>VLOOKUP(Table1[[#This Row],[HomeTeam]],TeamAttrs!$A$2:$K$20,10,FALSE)</f>
        <v>21140</v>
      </c>
      <c r="AA157" s="6">
        <f>VLOOKUP(Table1[[#This Row],[HomeTeam]],TeamAttrs!$A$2:$K$20,11,FALSE)</f>
        <v>0.85879848628193001</v>
      </c>
    </row>
    <row r="158" spans="1:27" x14ac:dyDescent="0.25">
      <c r="A158" s="1">
        <v>41093</v>
      </c>
      <c r="B158" t="s">
        <v>13</v>
      </c>
      <c r="C158" t="str">
        <f>VLOOKUP(Table1[[#This Row],[HomeTeam]], TeamAttrs!$A$2:$B$20,2,FALSE)</f>
        <v>Hou</v>
      </c>
      <c r="D158">
        <v>0</v>
      </c>
      <c r="E158">
        <v>0</v>
      </c>
      <c r="F158">
        <f>Table1[[#This Row],[HomeTeamScore]]-Table1[[#This Row],[VisitorScore]]</f>
        <v>0</v>
      </c>
      <c r="G158" t="s">
        <v>17</v>
      </c>
      <c r="H158" t="str">
        <f>VLOOKUP(Table1[[#This Row],[VisitorTeam]],TeamAttrs!$A$2:$B$20, 2, FALSE)</f>
        <v>Chi</v>
      </c>
      <c r="I158">
        <f t="shared" si="8"/>
        <v>0</v>
      </c>
      <c r="J158">
        <f t="shared" si="9"/>
        <v>1</v>
      </c>
      <c r="K158">
        <f t="shared" si="10"/>
        <v>0</v>
      </c>
      <c r="L158">
        <f>3*Table1[HomeWin] +Table1[Draw]</f>
        <v>1</v>
      </c>
      <c r="M158">
        <f>3*Table1[HomeLoss]+Table1[Draw]</f>
        <v>1</v>
      </c>
      <c r="N158">
        <f>VLOOKUP(B158,TeamAttrs!$A$2:$C$20,3,FALSE)</f>
        <v>6</v>
      </c>
      <c r="O158">
        <f>VLOOKUP(G158,TeamAttrs!$A$2:$C$20,3,FALSE)</f>
        <v>6</v>
      </c>
      <c r="P158">
        <f t="shared" si="11"/>
        <v>0</v>
      </c>
      <c r="Q158">
        <f>VLOOKUP(B158,TeamAttrs!$A$2:$D$20,3,FALSE)</f>
        <v>6</v>
      </c>
      <c r="R158">
        <f>VLOOKUP(G158,TeamAttrs!$A$2:$D$20,3,FALSE)</f>
        <v>6</v>
      </c>
      <c r="S158">
        <f>RADIANS(VLOOKUP(Table1[[#This Row],[HomeTeam]],TeamAttrs!$A$2:$H$20,7, FALSE))</f>
        <v>0.52301758095738471</v>
      </c>
      <c r="T158">
        <f>RADIANS(VLOOKUP(Table1[[#This Row],[HomeTeam]],TeamAttrs!$A$2:$H$20, 8, FALSE))</f>
        <v>-1.6641714417765932</v>
      </c>
      <c r="U158">
        <f>RADIANS(VLOOKUP(Table1[[#This Row],[VisitorTeam]],TeamAttrs!$A$2:$H$20,7,FALSE))</f>
        <v>0.72925615734854665</v>
      </c>
      <c r="V158">
        <f>RADIANS(VLOOKUP(Table1[[#This Row],[VisitorTeam]], TeamAttrs!$A$2:$H$20,8,FALSE))</f>
        <v>-1.5315264186250241</v>
      </c>
      <c r="W158" s="5">
        <f>60*DEGREES(ACOS(SIN(Table1[[#This Row],[HomeLat]])*SIN(Table1[[#This Row],[VisitorLat]]) +COS(Table1[[#This Row],[HomeLat]])*COS(Table1[[#This Row],[VisitorLat]])*COS(ABS(Table1[[#This Row],[HomeLong]] -Table1[[#This Row],[VisitorLong]]))))</f>
        <v>798.67830471317484</v>
      </c>
      <c r="X158" s="6">
        <f>VLOOKUP(Table1[[#This Row],[HomeTeam]],TeamAttrs!$A$2:$K$20,5,FALSE)</f>
        <v>3000000</v>
      </c>
      <c r="Y158" s="6">
        <f>VLOOKUP(Table1[[#This Row],[HomeTeam]],TeamAttrs!$A$2:$K$20,9,FALSE)</f>
        <v>20946</v>
      </c>
      <c r="Z158" s="6">
        <f>VLOOKUP(Table1[[#This Row],[HomeTeam]],TeamAttrs!$A$2:$K$20,10,FALSE)</f>
        <v>22000</v>
      </c>
      <c r="AA158" s="6">
        <f>VLOOKUP(Table1[[#This Row],[HomeTeam]],TeamAttrs!$A$2:$K$20,11,FALSE)</f>
        <v>0.9520909090909091</v>
      </c>
    </row>
    <row r="159" spans="1:27" x14ac:dyDescent="0.25">
      <c r="A159" s="1">
        <v>41093</v>
      </c>
      <c r="B159" t="s">
        <v>12</v>
      </c>
      <c r="C159" t="str">
        <f>VLOOKUP(Table1[[#This Row],[HomeTeam]], TeamAttrs!$A$2:$B$20,2,FALSE)</f>
        <v>Port</v>
      </c>
      <c r="D159">
        <v>2</v>
      </c>
      <c r="E159">
        <v>1</v>
      </c>
      <c r="F159">
        <f>Table1[[#This Row],[HomeTeamScore]]-Table1[[#This Row],[VisitorScore]]</f>
        <v>1</v>
      </c>
      <c r="G159" t="s">
        <v>5</v>
      </c>
      <c r="H159" t="str">
        <f>VLOOKUP(Table1[[#This Row],[VisitorTeam]],TeamAttrs!$A$2:$B$20, 2, FALSE)</f>
        <v>SJE</v>
      </c>
      <c r="I159">
        <f t="shared" si="8"/>
        <v>1</v>
      </c>
      <c r="J159">
        <f t="shared" si="9"/>
        <v>0</v>
      </c>
      <c r="K159">
        <f t="shared" si="10"/>
        <v>0</v>
      </c>
      <c r="L159">
        <f>3*Table1[HomeWin] +Table1[Draw]</f>
        <v>3</v>
      </c>
      <c r="M159">
        <f>3*Table1[HomeLoss]+Table1[Draw]</f>
        <v>0</v>
      </c>
      <c r="N159">
        <f>VLOOKUP(B159,TeamAttrs!$A$2:$C$20,3,FALSE)</f>
        <v>8</v>
      </c>
      <c r="O159">
        <f>VLOOKUP(G159,TeamAttrs!$A$2:$C$20,3,FALSE)</f>
        <v>8</v>
      </c>
      <c r="P159">
        <f t="shared" si="11"/>
        <v>0</v>
      </c>
      <c r="Q159">
        <f>VLOOKUP(B159,TeamAttrs!$A$2:$D$20,3,FALSE)</f>
        <v>8</v>
      </c>
      <c r="R159">
        <f>VLOOKUP(G159,TeamAttrs!$A$2:$D$20,3,FALSE)</f>
        <v>8</v>
      </c>
      <c r="S159">
        <f>RADIANS(VLOOKUP(Table1[[#This Row],[HomeTeam]],TeamAttrs!$A$2:$H$20,7, FALSE))</f>
        <v>0.79587013890941427</v>
      </c>
      <c r="T159">
        <f>RADIANS(VLOOKUP(Table1[[#This Row],[HomeTeam]],TeamAttrs!$A$2:$H$20, 8, FALSE))</f>
        <v>-2.1397736629450481</v>
      </c>
      <c r="U159">
        <f>RADIANS(VLOOKUP(Table1[[#This Row],[VisitorTeam]],TeamAttrs!$A$2:$H$20,7,FALSE))</f>
        <v>0.65217194560496516</v>
      </c>
      <c r="V159">
        <f>RADIANS(VLOOKUP(Table1[[#This Row],[VisitorTeam]], TeamAttrs!$A$2:$H$20,8,FALSE))</f>
        <v>-2.1281323168342459</v>
      </c>
      <c r="W159" s="5">
        <f>60*DEGREES(ACOS(SIN(Table1[[#This Row],[HomeLat]])*SIN(Table1[[#This Row],[VisitorLat]]) +COS(Table1[[#This Row],[HomeLat]])*COS(Table1[[#This Row],[VisitorLat]])*COS(ABS(Table1[[#This Row],[HomeLong]] -Table1[[#This Row],[VisitorLong]]))))</f>
        <v>494.90170074246748</v>
      </c>
      <c r="X159" s="6">
        <f>VLOOKUP(Table1[[#This Row],[HomeTeam]],TeamAttrs!$A$2:$K$20,5,FALSE)</f>
        <v>4160000</v>
      </c>
      <c r="Y159" s="6">
        <f>VLOOKUP(Table1[[#This Row],[HomeTeam]],TeamAttrs!$A$2:$K$20,9,FALSE)</f>
        <v>20438</v>
      </c>
      <c r="Z159" s="6">
        <f>VLOOKUP(Table1[[#This Row],[HomeTeam]],TeamAttrs!$A$2:$K$20,10,FALSE)</f>
        <v>20438</v>
      </c>
      <c r="AA159" s="6">
        <f>VLOOKUP(Table1[[#This Row],[HomeTeam]],TeamAttrs!$A$2:$K$20,11,FALSE)</f>
        <v>1</v>
      </c>
    </row>
    <row r="160" spans="1:27" x14ac:dyDescent="0.25">
      <c r="A160" s="1">
        <v>41094</v>
      </c>
      <c r="B160" t="s">
        <v>14</v>
      </c>
      <c r="C160" t="str">
        <f>VLOOKUP(Table1[[#This Row],[HomeTeam]], TeamAttrs!$A$2:$B$20,2,FALSE)</f>
        <v>ColRa</v>
      </c>
      <c r="D160">
        <v>0</v>
      </c>
      <c r="E160">
        <v>1</v>
      </c>
      <c r="F160">
        <f>Table1[[#This Row],[HomeTeamScore]]-Table1[[#This Row],[VisitorScore]]</f>
        <v>-1</v>
      </c>
      <c r="G160" t="s">
        <v>0</v>
      </c>
      <c r="H160" t="str">
        <f>VLOOKUP(Table1[[#This Row],[VisitorTeam]],TeamAttrs!$A$2:$B$20, 2, FALSE)</f>
        <v>Van</v>
      </c>
      <c r="I160">
        <f t="shared" si="8"/>
        <v>0</v>
      </c>
      <c r="J160">
        <f t="shared" si="9"/>
        <v>0</v>
      </c>
      <c r="K160">
        <f t="shared" si="10"/>
        <v>1</v>
      </c>
      <c r="L160">
        <f>3*Table1[HomeWin] +Table1[Draw]</f>
        <v>0</v>
      </c>
      <c r="M160">
        <f>3*Table1[HomeLoss]+Table1[Draw]</f>
        <v>3</v>
      </c>
      <c r="N160">
        <f>VLOOKUP(B160,TeamAttrs!$A$2:$C$20,3,FALSE)</f>
        <v>7</v>
      </c>
      <c r="O160">
        <f>VLOOKUP(G160,TeamAttrs!$A$2:$C$20,3,FALSE)</f>
        <v>8</v>
      </c>
      <c r="P160">
        <f t="shared" si="11"/>
        <v>1</v>
      </c>
      <c r="Q160">
        <f>VLOOKUP(B160,TeamAttrs!$A$2:$D$20,3,FALSE)</f>
        <v>7</v>
      </c>
      <c r="R160">
        <f>VLOOKUP(G160,TeamAttrs!$A$2:$D$20,3,FALSE)</f>
        <v>8</v>
      </c>
      <c r="S160">
        <f>RADIANS(VLOOKUP(Table1[[#This Row],[HomeTeam]],TeamAttrs!$A$2:$H$20,7, FALSE))</f>
        <v>0.69376837766774602</v>
      </c>
      <c r="T160">
        <f>RADIANS(VLOOKUP(Table1[[#This Row],[HomeTeam]],TeamAttrs!$A$2:$H$20, 8, FALSE))</f>
        <v>-1.8302744266888937</v>
      </c>
      <c r="U160">
        <f>RADIANS(VLOOKUP(Table1[[#This Row],[VisitorTeam]],TeamAttrs!$A$2:$H$20,7,FALSE))</f>
        <v>0.86015585124812133</v>
      </c>
      <c r="V160">
        <f>RADIANS(VLOOKUP(Table1[[#This Row],[VisitorTeam]], TeamAttrs!$A$2:$H$20,8,FALSE))</f>
        <v>-2.1487970151778586</v>
      </c>
      <c r="W160" s="5">
        <f>60*DEGREES(ACOS(SIN(Table1[[#This Row],[HomeLat]])*SIN(Table1[[#This Row],[VisitorLat]]) +COS(Table1[[#This Row],[HomeLat]])*COS(Table1[[#This Row],[VisitorLat]])*COS(ABS(Table1[[#This Row],[HomeLong]] -Table1[[#This Row],[VisitorLong]]))))</f>
        <v>963.72959518333187</v>
      </c>
      <c r="X160" s="6">
        <f>VLOOKUP(Table1[[#This Row],[HomeTeam]],TeamAttrs!$A$2:$K$20,5,FALSE)</f>
        <v>3430000</v>
      </c>
      <c r="Y160" s="6">
        <f>VLOOKUP(Table1[[#This Row],[HomeTeam]],TeamAttrs!$A$2:$K$20,9,FALSE)</f>
        <v>15175</v>
      </c>
      <c r="Z160" s="6">
        <f>VLOOKUP(Table1[[#This Row],[HomeTeam]],TeamAttrs!$A$2:$K$20,10,FALSE)</f>
        <v>18086</v>
      </c>
      <c r="AA160" s="6">
        <f>VLOOKUP(Table1[[#This Row],[HomeTeam]],TeamAttrs!$A$2:$K$20,11,FALSE)</f>
        <v>0.83904677651221937</v>
      </c>
    </row>
    <row r="161" spans="1:27" x14ac:dyDescent="0.25">
      <c r="A161" s="1">
        <v>41094</v>
      </c>
      <c r="B161" t="s">
        <v>7</v>
      </c>
      <c r="C161" t="str">
        <f>VLOOKUP(Table1[[#This Row],[HomeTeam]], TeamAttrs!$A$2:$B$20,2,FALSE)</f>
        <v>FCDal</v>
      </c>
      <c r="D161">
        <v>1</v>
      </c>
      <c r="E161">
        <v>1</v>
      </c>
      <c r="F161">
        <f>Table1[[#This Row],[HomeTeamScore]]-Table1[[#This Row],[VisitorScore]]</f>
        <v>0</v>
      </c>
      <c r="G161" t="s">
        <v>10</v>
      </c>
      <c r="H161" t="str">
        <f>VLOOKUP(Table1[[#This Row],[VisitorTeam]],TeamAttrs!$A$2:$B$20, 2, FALSE)</f>
        <v>Tor</v>
      </c>
      <c r="I161">
        <f t="shared" si="8"/>
        <v>0</v>
      </c>
      <c r="J161">
        <f t="shared" si="9"/>
        <v>1</v>
      </c>
      <c r="K161">
        <f t="shared" si="10"/>
        <v>0</v>
      </c>
      <c r="L161">
        <f>3*Table1[HomeWin] +Table1[Draw]</f>
        <v>1</v>
      </c>
      <c r="M161">
        <f>3*Table1[HomeLoss]+Table1[Draw]</f>
        <v>1</v>
      </c>
      <c r="N161">
        <f>VLOOKUP(B161,TeamAttrs!$A$2:$C$20,3,FALSE)</f>
        <v>6</v>
      </c>
      <c r="O161">
        <f>VLOOKUP(G161,TeamAttrs!$A$2:$C$20,3,FALSE)</f>
        <v>5</v>
      </c>
      <c r="P161">
        <f t="shared" si="11"/>
        <v>-1</v>
      </c>
      <c r="Q161">
        <f>VLOOKUP(B161,TeamAttrs!$A$2:$D$20,3,FALSE)</f>
        <v>6</v>
      </c>
      <c r="R161">
        <f>VLOOKUP(G161,TeamAttrs!$A$2:$D$20,3,FALSE)</f>
        <v>5</v>
      </c>
      <c r="S161">
        <f>RADIANS(VLOOKUP(Table1[[#This Row],[HomeTeam]],TeamAttrs!$A$2:$H$20,7, FALSE))</f>
        <v>0.57334065928013733</v>
      </c>
      <c r="T161">
        <f>RADIANS(VLOOKUP(Table1[[#This Row],[HomeTeam]],TeamAttrs!$A$2:$H$20, 8, FALSE))</f>
        <v>-1.690351380556508</v>
      </c>
      <c r="U161">
        <f>RADIANS(VLOOKUP(Table1[[#This Row],[VisitorTeam]],TeamAttrs!$A$2:$H$20,7,FALSE))</f>
        <v>0.76241741313643896</v>
      </c>
      <c r="V161">
        <f>RADIANS(VLOOKUP(Table1[[#This Row],[VisitorTeam]], TeamAttrs!$A$2:$H$20,8,FALSE))</f>
        <v>-1.3898632792284005</v>
      </c>
      <c r="W161" s="5">
        <f>60*DEGREES(ACOS(SIN(Table1[[#This Row],[HomeLat]])*SIN(Table1[[#This Row],[VisitorLat]]) +COS(Table1[[#This Row],[HomeLat]])*COS(Table1[[#This Row],[VisitorLat]])*COS(ABS(Table1[[#This Row],[HomeLong]] -Table1[[#This Row],[VisitorLong]]))))</f>
        <v>1035.7399717016299</v>
      </c>
      <c r="X161" s="6">
        <f>VLOOKUP(Table1[[#This Row],[HomeTeam]],TeamAttrs!$A$2:$K$20,5,FALSE)</f>
        <v>3450000</v>
      </c>
      <c r="Y161" s="6">
        <f>VLOOKUP(Table1[[#This Row],[HomeTeam]],TeamAttrs!$A$2:$K$20,9,FALSE)</f>
        <v>14199</v>
      </c>
      <c r="Z161" s="6">
        <f>VLOOKUP(Table1[[#This Row],[HomeTeam]],TeamAttrs!$A$2:$K$20,10,FALSE)</f>
        <v>20500</v>
      </c>
      <c r="AA161" s="6">
        <f>VLOOKUP(Table1[[#This Row],[HomeTeam]],TeamAttrs!$A$2:$K$20,11,FALSE)</f>
        <v>0.69263414634146336</v>
      </c>
    </row>
    <row r="162" spans="1:27" x14ac:dyDescent="0.25">
      <c r="A162" s="1">
        <v>41094</v>
      </c>
      <c r="B162" t="s">
        <v>16</v>
      </c>
      <c r="C162" t="str">
        <f>VLOOKUP(Table1[[#This Row],[HomeTeam]], TeamAttrs!$A$2:$B$20,2,FALSE)</f>
        <v>LAGxy</v>
      </c>
      <c r="D162">
        <v>1</v>
      </c>
      <c r="E162">
        <v>2</v>
      </c>
      <c r="F162">
        <f>Table1[[#This Row],[HomeTeamScore]]-Table1[[#This Row],[VisitorScore]]</f>
        <v>-1</v>
      </c>
      <c r="G162" t="s">
        <v>4</v>
      </c>
      <c r="H162" t="str">
        <f>VLOOKUP(Table1[[#This Row],[VisitorTeam]],TeamAttrs!$A$2:$B$20, 2, FALSE)</f>
        <v>Phil</v>
      </c>
      <c r="I162">
        <f t="shared" si="8"/>
        <v>0</v>
      </c>
      <c r="J162">
        <f t="shared" si="9"/>
        <v>0</v>
      </c>
      <c r="K162">
        <f t="shared" si="10"/>
        <v>1</v>
      </c>
      <c r="L162">
        <f>3*Table1[HomeWin] +Table1[Draw]</f>
        <v>0</v>
      </c>
      <c r="M162">
        <f>3*Table1[HomeLoss]+Table1[Draw]</f>
        <v>3</v>
      </c>
      <c r="N162">
        <f>VLOOKUP(B162,TeamAttrs!$A$2:$C$20,3,FALSE)</f>
        <v>8</v>
      </c>
      <c r="O162">
        <f>VLOOKUP(G162,TeamAttrs!$A$2:$C$20,3,FALSE)</f>
        <v>5</v>
      </c>
      <c r="P162">
        <f t="shared" si="11"/>
        <v>-3</v>
      </c>
      <c r="Q162">
        <f>VLOOKUP(B162,TeamAttrs!$A$2:$D$20,3,FALSE)</f>
        <v>8</v>
      </c>
      <c r="R162">
        <f>VLOOKUP(G162,TeamAttrs!$A$2:$D$20,3,FALSE)</f>
        <v>5</v>
      </c>
      <c r="S162">
        <f>RADIANS(VLOOKUP(Table1[[#This Row],[HomeTeam]],TeamAttrs!$A$2:$H$20,7, FALSE))</f>
        <v>0.59224781106699187</v>
      </c>
      <c r="T162">
        <f>RADIANS(VLOOKUP(Table1[[#This Row],[HomeTeam]],TeamAttrs!$A$2:$H$20, 8, FALSE))</f>
        <v>-2.0664698343612864</v>
      </c>
      <c r="U162">
        <f>RADIANS(VLOOKUP(Table1[[#This Row],[VisitorTeam]],TeamAttrs!$A$2:$H$20,7,FALSE))</f>
        <v>0.69609490156065446</v>
      </c>
      <c r="V162">
        <f>RADIANS(VLOOKUP(Table1[[#This Row],[VisitorTeam]], TeamAttrs!$A$2:$H$20,8,FALSE))</f>
        <v>-1.313360262125733</v>
      </c>
      <c r="W162" s="5">
        <f>60*DEGREES(ACOS(SIN(Table1[[#This Row],[HomeLat]])*SIN(Table1[[#This Row],[VisitorLat]]) +COS(Table1[[#This Row],[HomeLat]])*COS(Table1[[#This Row],[VisitorLat]])*COS(ABS(Table1[[#This Row],[HomeLong]] -Table1[[#This Row],[VisitorLong]]))))</f>
        <v>2080.2284533269417</v>
      </c>
      <c r="X162" s="6">
        <f>VLOOKUP(Table1[[#This Row],[HomeTeam]],TeamAttrs!$A$2:$K$20,5,FALSE)</f>
        <v>12630000</v>
      </c>
      <c r="Y162" s="6">
        <f>VLOOKUP(Table1[[#This Row],[HomeTeam]],TeamAttrs!$A$2:$K$20,9,FALSE)</f>
        <v>23136</v>
      </c>
      <c r="Z162" s="6">
        <f>VLOOKUP(Table1[[#This Row],[HomeTeam]],TeamAttrs!$A$2:$K$20,10,FALSE)</f>
        <v>27000</v>
      </c>
      <c r="AA162" s="6">
        <f>VLOOKUP(Table1[[#This Row],[HomeTeam]],TeamAttrs!$A$2:$K$20,11,FALSE)</f>
        <v>0.85688888888888892</v>
      </c>
    </row>
    <row r="163" spans="1:27" x14ac:dyDescent="0.25">
      <c r="A163" s="1">
        <v>41094</v>
      </c>
      <c r="B163" t="s">
        <v>1</v>
      </c>
      <c r="C163" t="str">
        <f>VLOOKUP(Table1[[#This Row],[HomeTeam]], TeamAttrs!$A$2:$B$20,2,FALSE)</f>
        <v>Mntrl</v>
      </c>
      <c r="D163">
        <v>1</v>
      </c>
      <c r="E163">
        <v>3</v>
      </c>
      <c r="F163">
        <f>Table1[[#This Row],[HomeTeamScore]]-Table1[[#This Row],[VisitorScore]]</f>
        <v>-2</v>
      </c>
      <c r="G163" t="s">
        <v>6</v>
      </c>
      <c r="H163" t="str">
        <f>VLOOKUP(Table1[[#This Row],[VisitorTeam]],TeamAttrs!$A$2:$B$20, 2, FALSE)</f>
        <v>SKC</v>
      </c>
      <c r="I163">
        <f t="shared" si="8"/>
        <v>0</v>
      </c>
      <c r="J163">
        <f t="shared" si="9"/>
        <v>0</v>
      </c>
      <c r="K163">
        <f t="shared" si="10"/>
        <v>1</v>
      </c>
      <c r="L163">
        <f>3*Table1[HomeWin] +Table1[Draw]</f>
        <v>0</v>
      </c>
      <c r="M163">
        <f>3*Table1[HomeLoss]+Table1[Draw]</f>
        <v>3</v>
      </c>
      <c r="N163">
        <f>VLOOKUP(B163,TeamAttrs!$A$2:$C$20,3,FALSE)</f>
        <v>5</v>
      </c>
      <c r="O163">
        <f>VLOOKUP(G163,TeamAttrs!$A$2:$C$20,3,FALSE)</f>
        <v>6</v>
      </c>
      <c r="P163">
        <f t="shared" si="11"/>
        <v>1</v>
      </c>
      <c r="Q163">
        <f>VLOOKUP(B163,TeamAttrs!$A$2:$D$20,3,FALSE)</f>
        <v>5</v>
      </c>
      <c r="R163">
        <f>VLOOKUP(G163,TeamAttrs!$A$2:$D$20,3,FALSE)</f>
        <v>6</v>
      </c>
      <c r="S163">
        <f>RADIANS(VLOOKUP(Table1[[#This Row],[HomeTeam]],TeamAttrs!$A$2:$H$20,7, FALSE))</f>
        <v>0.79354361501650583</v>
      </c>
      <c r="T163">
        <f>RADIANS(VLOOKUP(Table1[[#This Row],[HomeTeam]],TeamAttrs!$A$2:$H$20, 8, FALSE))</f>
        <v>-1.2871803233458181</v>
      </c>
      <c r="U163">
        <f>RADIANS(VLOOKUP(Table1[[#This Row],[VisitorTeam]],TeamAttrs!$A$2:$H$20,7,FALSE))</f>
        <v>0.68271520751486592</v>
      </c>
      <c r="V163">
        <f>RADIANS(VLOOKUP(Table1[[#This Row],[VisitorTeam]], TeamAttrs!$A$2:$H$20,8,FALSE))</f>
        <v>-1.65166266702755</v>
      </c>
      <c r="W163" s="5">
        <f>60*DEGREES(ACOS(SIN(Table1[[#This Row],[HomeLat]])*SIN(Table1[[#This Row],[VisitorLat]]) +COS(Table1[[#This Row],[HomeLat]])*COS(Table1[[#This Row],[VisitorLat]])*COS(ABS(Table1[[#This Row],[HomeLong]] -Table1[[#This Row],[VisitorLong]]))))</f>
        <v>998.43471415559191</v>
      </c>
      <c r="X163" s="6">
        <f>VLOOKUP(Table1[[#This Row],[HomeTeam]],TeamAttrs!$A$2:$K$20,5,FALSE)</f>
        <v>3030000</v>
      </c>
      <c r="Y163" s="6">
        <f>VLOOKUP(Table1[[#This Row],[HomeTeam]],TeamAttrs!$A$2:$K$20,9,FALSE)</f>
        <v>22772</v>
      </c>
      <c r="Z163" s="6">
        <f>VLOOKUP(Table1[[#This Row],[HomeTeam]],TeamAttrs!$A$2:$K$20,10,FALSE)</f>
        <v>20341</v>
      </c>
      <c r="AA163" s="6">
        <f>VLOOKUP(Table1[[#This Row],[HomeTeam]],TeamAttrs!$A$2:$K$20,11,FALSE)</f>
        <v>1.1195123150287596</v>
      </c>
    </row>
    <row r="164" spans="1:27" x14ac:dyDescent="0.25">
      <c r="A164" s="1">
        <v>41094</v>
      </c>
      <c r="B164" t="s">
        <v>18</v>
      </c>
      <c r="C164" t="str">
        <f>VLOOKUP(Table1[[#This Row],[HomeTeam]], TeamAttrs!$A$2:$B$20,2,FALSE)</f>
        <v>RSL</v>
      </c>
      <c r="D164">
        <v>0</v>
      </c>
      <c r="E164">
        <v>0</v>
      </c>
      <c r="F164">
        <f>Table1[[#This Row],[HomeTeamScore]]-Table1[[#This Row],[VisitorScore]]</f>
        <v>0</v>
      </c>
      <c r="G164" t="s">
        <v>11</v>
      </c>
      <c r="H164" t="str">
        <f>VLOOKUP(Table1[[#This Row],[VisitorTeam]],TeamAttrs!$A$2:$B$20, 2, FALSE)</f>
        <v>SEA</v>
      </c>
      <c r="I164">
        <f t="shared" si="8"/>
        <v>0</v>
      </c>
      <c r="J164">
        <f t="shared" si="9"/>
        <v>1</v>
      </c>
      <c r="K164">
        <f t="shared" si="10"/>
        <v>0</v>
      </c>
      <c r="L164">
        <f>3*Table1[HomeWin] +Table1[Draw]</f>
        <v>1</v>
      </c>
      <c r="M164">
        <f>3*Table1[HomeLoss]+Table1[Draw]</f>
        <v>1</v>
      </c>
      <c r="N164">
        <f>VLOOKUP(B164,TeamAttrs!$A$2:$C$20,3,FALSE)</f>
        <v>7</v>
      </c>
      <c r="O164">
        <f>VLOOKUP(G164,TeamAttrs!$A$2:$C$20,3,FALSE)</f>
        <v>8</v>
      </c>
      <c r="P164">
        <f t="shared" si="11"/>
        <v>1</v>
      </c>
      <c r="Q164">
        <f>VLOOKUP(B164,TeamAttrs!$A$2:$D$20,3,FALSE)</f>
        <v>7</v>
      </c>
      <c r="R164">
        <f>VLOOKUP(G164,TeamAttrs!$A$2:$D$20,3,FALSE)</f>
        <v>8</v>
      </c>
      <c r="S164">
        <f>RADIANS(VLOOKUP(Table1[[#This Row],[HomeTeam]],TeamAttrs!$A$2:$H$20,7, FALSE))</f>
        <v>0.71151314017277234</v>
      </c>
      <c r="T164">
        <f>RADIANS(VLOOKUP(Table1[[#This Row],[HomeTeam]],TeamAttrs!$A$2:$H$20, 8, FALSE))</f>
        <v>-1.954192803580491</v>
      </c>
      <c r="U164">
        <f>RADIANS(VLOOKUP(Table1[[#This Row],[VisitorTeam]],TeamAttrs!$A$2:$H$20,7,FALSE))</f>
        <v>0.83164938857529802</v>
      </c>
      <c r="V164">
        <f>RADIANS(VLOOKUP(Table1[[#This Row],[VisitorTeam]], TeamAttrs!$A$2:$H$20,8,FALSE))</f>
        <v>-2.134537675189065</v>
      </c>
      <c r="W164" s="5">
        <f>60*DEGREES(ACOS(SIN(Table1[[#This Row],[HomeLat]])*SIN(Table1[[#This Row],[VisitorLat]]) +COS(Table1[[#This Row],[HomeLat]])*COS(Table1[[#This Row],[VisitorLat]])*COS(ABS(Table1[[#This Row],[HomeLong]] -Table1[[#This Row],[VisitorLong]]))))</f>
        <v>605.71619462811998</v>
      </c>
      <c r="X164" s="6">
        <f>VLOOKUP(Table1[[#This Row],[HomeTeam]],TeamAttrs!$A$2:$K$20,5,FALSE)</f>
        <v>3520000</v>
      </c>
      <c r="Y164" s="6">
        <f>VLOOKUP(Table1[[#This Row],[HomeTeam]],TeamAttrs!$A$2:$K$20,9,FALSE)</f>
        <v>19087</v>
      </c>
      <c r="Z164" s="6">
        <f>VLOOKUP(Table1[[#This Row],[HomeTeam]],TeamAttrs!$A$2:$K$20,10,FALSE)</f>
        <v>20213</v>
      </c>
      <c r="AA164" s="6">
        <f>VLOOKUP(Table1[[#This Row],[HomeTeam]],TeamAttrs!$A$2:$K$20,11,FALSE)</f>
        <v>0.94429327660416562</v>
      </c>
    </row>
    <row r="165" spans="1:27" x14ac:dyDescent="0.25">
      <c r="A165" s="1">
        <v>41097</v>
      </c>
      <c r="B165" t="s">
        <v>2</v>
      </c>
      <c r="C165" t="str">
        <f>VLOOKUP(Table1[[#This Row],[HomeTeam]], TeamAttrs!$A$2:$B$20,2,FALSE)</f>
        <v>Chiv</v>
      </c>
      <c r="D165">
        <v>0</v>
      </c>
      <c r="E165">
        <v>0</v>
      </c>
      <c r="F165">
        <f>Table1[[#This Row],[HomeTeamScore]]-Table1[[#This Row],[VisitorScore]]</f>
        <v>0</v>
      </c>
      <c r="G165" t="s">
        <v>0</v>
      </c>
      <c r="H165" t="str">
        <f>VLOOKUP(Table1[[#This Row],[VisitorTeam]],TeamAttrs!$A$2:$B$20, 2, FALSE)</f>
        <v>Van</v>
      </c>
      <c r="I165">
        <f t="shared" si="8"/>
        <v>0</v>
      </c>
      <c r="J165">
        <f t="shared" si="9"/>
        <v>1</v>
      </c>
      <c r="K165">
        <f t="shared" si="10"/>
        <v>0</v>
      </c>
      <c r="L165">
        <f>3*Table1[HomeWin] +Table1[Draw]</f>
        <v>1</v>
      </c>
      <c r="M165">
        <f>3*Table1[HomeLoss]+Table1[Draw]</f>
        <v>1</v>
      </c>
      <c r="N165">
        <f>VLOOKUP(B165,TeamAttrs!$A$2:$C$20,3,FALSE)</f>
        <v>8</v>
      </c>
      <c r="O165">
        <f>VLOOKUP(G165,TeamAttrs!$A$2:$C$20,3,FALSE)</f>
        <v>8</v>
      </c>
      <c r="P165">
        <f t="shared" si="11"/>
        <v>0</v>
      </c>
      <c r="Q165">
        <f>VLOOKUP(B165,TeamAttrs!$A$2:$D$20,3,FALSE)</f>
        <v>8</v>
      </c>
      <c r="R165">
        <f>VLOOKUP(G165,TeamAttrs!$A$2:$D$20,3,FALSE)</f>
        <v>8</v>
      </c>
      <c r="S165">
        <f>RADIANS(VLOOKUP(Table1[[#This Row],[HomeTeam]],TeamAttrs!$A$2:$H$20,7, FALSE))</f>
        <v>0.59224781106699187</v>
      </c>
      <c r="T165">
        <f>RADIANS(VLOOKUP(Table1[[#This Row],[HomeTeam]],TeamAttrs!$A$2:$H$20, 8, FALSE))</f>
        <v>-2.0664698343612864</v>
      </c>
      <c r="U165">
        <f>RADIANS(VLOOKUP(Table1[[#This Row],[VisitorTeam]],TeamAttrs!$A$2:$H$20,7,FALSE))</f>
        <v>0.86015585124812133</v>
      </c>
      <c r="V165">
        <f>RADIANS(VLOOKUP(Table1[[#This Row],[VisitorTeam]], TeamAttrs!$A$2:$H$20,8,FALSE))</f>
        <v>-2.1487970151778586</v>
      </c>
      <c r="W165" s="5">
        <f>60*DEGREES(ACOS(SIN(Table1[[#This Row],[HomeLat]])*SIN(Table1[[#This Row],[VisitorLat]]) +COS(Table1[[#This Row],[HomeLat]])*COS(Table1[[#This Row],[VisitorLat]])*COS(ABS(Table1[[#This Row],[HomeLong]] -Table1[[#This Row],[VisitorLong]]))))</f>
        <v>944.51302004211243</v>
      </c>
      <c r="X165" s="6">
        <f>VLOOKUP(Table1[[#This Row],[HomeTeam]],TeamAttrs!$A$2:$K$20,5,FALSE)</f>
        <v>3230000</v>
      </c>
      <c r="Y165" s="6">
        <f>VLOOKUP(Table1[[#This Row],[HomeTeam]],TeamAttrs!$A$2:$K$20,9,FALSE)</f>
        <v>13056</v>
      </c>
      <c r="Z165" s="6">
        <f>VLOOKUP(Table1[[#This Row],[HomeTeam]],TeamAttrs!$A$2:$K$20,10,FALSE)</f>
        <v>18800</v>
      </c>
      <c r="AA165" s="6">
        <f>VLOOKUP(Table1[[#This Row],[HomeTeam]],TeamAttrs!$A$2:$K$20,11,FALSE)</f>
        <v>0.69446808510638303</v>
      </c>
    </row>
    <row r="166" spans="1:27" x14ac:dyDescent="0.25">
      <c r="A166" s="1">
        <v>41097</v>
      </c>
      <c r="B166" t="s">
        <v>7</v>
      </c>
      <c r="C166" t="str">
        <f>VLOOKUP(Table1[[#This Row],[HomeTeam]], TeamAttrs!$A$2:$B$20,2,FALSE)</f>
        <v>FCDal</v>
      </c>
      <c r="D166">
        <v>0</v>
      </c>
      <c r="E166">
        <v>0</v>
      </c>
      <c r="F166">
        <f>Table1[[#This Row],[HomeTeamScore]]-Table1[[#This Row],[VisitorScore]]</f>
        <v>0</v>
      </c>
      <c r="G166" t="s">
        <v>5</v>
      </c>
      <c r="H166" t="str">
        <f>VLOOKUP(Table1[[#This Row],[VisitorTeam]],TeamAttrs!$A$2:$B$20, 2, FALSE)</f>
        <v>SJE</v>
      </c>
      <c r="I166">
        <f t="shared" si="8"/>
        <v>0</v>
      </c>
      <c r="J166">
        <f t="shared" si="9"/>
        <v>1</v>
      </c>
      <c r="K166">
        <f t="shared" si="10"/>
        <v>0</v>
      </c>
      <c r="L166">
        <f>3*Table1[HomeWin] +Table1[Draw]</f>
        <v>1</v>
      </c>
      <c r="M166">
        <f>3*Table1[HomeLoss]+Table1[Draw]</f>
        <v>1</v>
      </c>
      <c r="N166">
        <f>VLOOKUP(B166,TeamAttrs!$A$2:$C$20,3,FALSE)</f>
        <v>6</v>
      </c>
      <c r="O166">
        <f>VLOOKUP(G166,TeamAttrs!$A$2:$C$20,3,FALSE)</f>
        <v>8</v>
      </c>
      <c r="P166">
        <f t="shared" si="11"/>
        <v>2</v>
      </c>
      <c r="Q166">
        <f>VLOOKUP(B166,TeamAttrs!$A$2:$D$20,3,FALSE)</f>
        <v>6</v>
      </c>
      <c r="R166">
        <f>VLOOKUP(G166,TeamAttrs!$A$2:$D$20,3,FALSE)</f>
        <v>8</v>
      </c>
      <c r="S166">
        <f>RADIANS(VLOOKUP(Table1[[#This Row],[HomeTeam]],TeamAttrs!$A$2:$H$20,7, FALSE))</f>
        <v>0.57334065928013733</v>
      </c>
      <c r="T166">
        <f>RADIANS(VLOOKUP(Table1[[#This Row],[HomeTeam]],TeamAttrs!$A$2:$H$20, 8, FALSE))</f>
        <v>-1.690351380556508</v>
      </c>
      <c r="U166">
        <f>RADIANS(VLOOKUP(Table1[[#This Row],[VisitorTeam]],TeamAttrs!$A$2:$H$20,7,FALSE))</f>
        <v>0.65217194560496516</v>
      </c>
      <c r="V166">
        <f>RADIANS(VLOOKUP(Table1[[#This Row],[VisitorTeam]], TeamAttrs!$A$2:$H$20,8,FALSE))</f>
        <v>-2.1281323168342459</v>
      </c>
      <c r="W166" s="5">
        <f>60*DEGREES(ACOS(SIN(Table1[[#This Row],[HomeLat]])*SIN(Table1[[#This Row],[VisitorLat]]) +COS(Table1[[#This Row],[HomeLat]])*COS(Table1[[#This Row],[VisitorLat]])*COS(ABS(Table1[[#This Row],[HomeLong]] -Table1[[#This Row],[VisitorLong]]))))</f>
        <v>1256.6548664398847</v>
      </c>
      <c r="X166" s="6">
        <f>VLOOKUP(Table1[[#This Row],[HomeTeam]],TeamAttrs!$A$2:$K$20,5,FALSE)</f>
        <v>3450000</v>
      </c>
      <c r="Y166" s="6">
        <f>VLOOKUP(Table1[[#This Row],[HomeTeam]],TeamAttrs!$A$2:$K$20,9,FALSE)</f>
        <v>14199</v>
      </c>
      <c r="Z166" s="6">
        <f>VLOOKUP(Table1[[#This Row],[HomeTeam]],TeamAttrs!$A$2:$K$20,10,FALSE)</f>
        <v>20500</v>
      </c>
      <c r="AA166" s="6">
        <f>VLOOKUP(Table1[[#This Row],[HomeTeam]],TeamAttrs!$A$2:$K$20,11,FALSE)</f>
        <v>0.69263414634146336</v>
      </c>
    </row>
    <row r="167" spans="1:27" x14ac:dyDescent="0.25">
      <c r="A167" s="1">
        <v>41097</v>
      </c>
      <c r="B167" t="s">
        <v>18</v>
      </c>
      <c r="C167" t="str">
        <f>VLOOKUP(Table1[[#This Row],[HomeTeam]], TeamAttrs!$A$2:$B$20,2,FALSE)</f>
        <v>RSL</v>
      </c>
      <c r="D167">
        <v>3</v>
      </c>
      <c r="E167">
        <v>0</v>
      </c>
      <c r="F167">
        <f>Table1[[#This Row],[HomeTeamScore]]-Table1[[#This Row],[VisitorScore]]</f>
        <v>3</v>
      </c>
      <c r="G167" t="s">
        <v>12</v>
      </c>
      <c r="H167" t="str">
        <f>VLOOKUP(Table1[[#This Row],[VisitorTeam]],TeamAttrs!$A$2:$B$20, 2, FALSE)</f>
        <v>Port</v>
      </c>
      <c r="I167">
        <f t="shared" si="8"/>
        <v>1</v>
      </c>
      <c r="J167">
        <f t="shared" si="9"/>
        <v>0</v>
      </c>
      <c r="K167">
        <f t="shared" si="10"/>
        <v>0</v>
      </c>
      <c r="L167">
        <f>3*Table1[HomeWin] +Table1[Draw]</f>
        <v>3</v>
      </c>
      <c r="M167">
        <f>3*Table1[HomeLoss]+Table1[Draw]</f>
        <v>0</v>
      </c>
      <c r="N167">
        <f>VLOOKUP(B167,TeamAttrs!$A$2:$C$20,3,FALSE)</f>
        <v>7</v>
      </c>
      <c r="O167">
        <f>VLOOKUP(G167,TeamAttrs!$A$2:$C$20,3,FALSE)</f>
        <v>8</v>
      </c>
      <c r="P167">
        <f t="shared" si="11"/>
        <v>1</v>
      </c>
      <c r="Q167">
        <f>VLOOKUP(B167,TeamAttrs!$A$2:$D$20,3,FALSE)</f>
        <v>7</v>
      </c>
      <c r="R167">
        <f>VLOOKUP(G167,TeamAttrs!$A$2:$D$20,3,FALSE)</f>
        <v>8</v>
      </c>
      <c r="S167">
        <f>RADIANS(VLOOKUP(Table1[[#This Row],[HomeTeam]],TeamAttrs!$A$2:$H$20,7, FALSE))</f>
        <v>0.71151314017277234</v>
      </c>
      <c r="T167">
        <f>RADIANS(VLOOKUP(Table1[[#This Row],[HomeTeam]],TeamAttrs!$A$2:$H$20, 8, FALSE))</f>
        <v>-1.954192803580491</v>
      </c>
      <c r="U167">
        <f>RADIANS(VLOOKUP(Table1[[#This Row],[VisitorTeam]],TeamAttrs!$A$2:$H$20,7,FALSE))</f>
        <v>0.79587013890941427</v>
      </c>
      <c r="V167">
        <f>RADIANS(VLOOKUP(Table1[[#This Row],[VisitorTeam]], TeamAttrs!$A$2:$H$20,8,FALSE))</f>
        <v>-2.1397736629450481</v>
      </c>
      <c r="W167" s="5">
        <f>60*DEGREES(ACOS(SIN(Table1[[#This Row],[HomeLat]])*SIN(Table1[[#This Row],[VisitorLat]]) +COS(Table1[[#This Row],[HomeLat]])*COS(Table1[[#This Row],[VisitorLat]])*COS(ABS(Table1[[#This Row],[HomeLong]] -Table1[[#This Row],[VisitorLong]]))))</f>
        <v>547.49041503778903</v>
      </c>
      <c r="X167" s="6">
        <f>VLOOKUP(Table1[[#This Row],[HomeTeam]],TeamAttrs!$A$2:$K$20,5,FALSE)</f>
        <v>3520000</v>
      </c>
      <c r="Y167" s="6">
        <f>VLOOKUP(Table1[[#This Row],[HomeTeam]],TeamAttrs!$A$2:$K$20,9,FALSE)</f>
        <v>19087</v>
      </c>
      <c r="Z167" s="6">
        <f>VLOOKUP(Table1[[#This Row],[HomeTeam]],TeamAttrs!$A$2:$K$20,10,FALSE)</f>
        <v>20213</v>
      </c>
      <c r="AA167" s="6">
        <f>VLOOKUP(Table1[[#This Row],[HomeTeam]],TeamAttrs!$A$2:$K$20,11,FALSE)</f>
        <v>0.94429327660416562</v>
      </c>
    </row>
    <row r="168" spans="1:27" x14ac:dyDescent="0.25">
      <c r="A168" s="1">
        <v>41097</v>
      </c>
      <c r="B168" t="s">
        <v>11</v>
      </c>
      <c r="C168" t="str">
        <f>VLOOKUP(Table1[[#This Row],[HomeTeam]], TeamAttrs!$A$2:$B$20,2,FALSE)</f>
        <v>SEA</v>
      </c>
      <c r="D168">
        <v>2</v>
      </c>
      <c r="E168">
        <v>1</v>
      </c>
      <c r="F168">
        <f>Table1[[#This Row],[HomeTeamScore]]-Table1[[#This Row],[VisitorScore]]</f>
        <v>1</v>
      </c>
      <c r="G168" t="s">
        <v>14</v>
      </c>
      <c r="H168" t="str">
        <f>VLOOKUP(Table1[[#This Row],[VisitorTeam]],TeamAttrs!$A$2:$B$20, 2, FALSE)</f>
        <v>ColRa</v>
      </c>
      <c r="I168">
        <f t="shared" si="8"/>
        <v>1</v>
      </c>
      <c r="J168">
        <f t="shared" si="9"/>
        <v>0</v>
      </c>
      <c r="K168">
        <f t="shared" si="10"/>
        <v>0</v>
      </c>
      <c r="L168">
        <f>3*Table1[HomeWin] +Table1[Draw]</f>
        <v>3</v>
      </c>
      <c r="M168">
        <f>3*Table1[HomeLoss]+Table1[Draw]</f>
        <v>0</v>
      </c>
      <c r="N168">
        <f>VLOOKUP(B168,TeamAttrs!$A$2:$C$20,3,FALSE)</f>
        <v>8</v>
      </c>
      <c r="O168">
        <f>VLOOKUP(G168,TeamAttrs!$A$2:$C$20,3,FALSE)</f>
        <v>7</v>
      </c>
      <c r="P168">
        <f t="shared" si="11"/>
        <v>-1</v>
      </c>
      <c r="Q168">
        <f>VLOOKUP(B168,TeamAttrs!$A$2:$D$20,3,FALSE)</f>
        <v>8</v>
      </c>
      <c r="R168">
        <f>VLOOKUP(G168,TeamAttrs!$A$2:$D$20,3,FALSE)</f>
        <v>7</v>
      </c>
      <c r="S168">
        <f>RADIANS(VLOOKUP(Table1[[#This Row],[HomeTeam]],TeamAttrs!$A$2:$H$20,7, FALSE))</f>
        <v>0.83164938857529802</v>
      </c>
      <c r="T168">
        <f>RADIANS(VLOOKUP(Table1[[#This Row],[HomeTeam]],TeamAttrs!$A$2:$H$20, 8, FALSE))</f>
        <v>-2.134537675189065</v>
      </c>
      <c r="U168">
        <f>RADIANS(VLOOKUP(Table1[[#This Row],[VisitorTeam]],TeamAttrs!$A$2:$H$20,7,FALSE))</f>
        <v>0.69376837766774602</v>
      </c>
      <c r="V168">
        <f>RADIANS(VLOOKUP(Table1[[#This Row],[VisitorTeam]], TeamAttrs!$A$2:$H$20,8,FALSE))</f>
        <v>-1.8302744266888937</v>
      </c>
      <c r="W168" s="5">
        <f>60*DEGREES(ACOS(SIN(Table1[[#This Row],[HomeLat]])*SIN(Table1[[#This Row],[VisitorLat]]) +COS(Table1[[#This Row],[HomeLat]])*COS(Table1[[#This Row],[VisitorLat]])*COS(ABS(Table1[[#This Row],[HomeLong]] -Table1[[#This Row],[VisitorLong]]))))</f>
        <v>889.3959271453482</v>
      </c>
      <c r="X168" s="6">
        <f>VLOOKUP(Table1[[#This Row],[HomeTeam]],TeamAttrs!$A$2:$K$20,5,FALSE)</f>
        <v>3980000</v>
      </c>
      <c r="Y168" s="6">
        <f>VLOOKUP(Table1[[#This Row],[HomeTeam]],TeamAttrs!$A$2:$K$20,9,FALSE)</f>
        <v>43104</v>
      </c>
      <c r="Z168" s="6">
        <f>VLOOKUP(Table1[[#This Row],[HomeTeam]],TeamAttrs!$A$2:$K$20,10,FALSE)</f>
        <v>38500</v>
      </c>
      <c r="AA168" s="6">
        <f>VLOOKUP(Table1[[#This Row],[HomeTeam]],TeamAttrs!$A$2:$K$20,11,FALSE)</f>
        <v>1.1195844155844157</v>
      </c>
    </row>
    <row r="169" spans="1:27" x14ac:dyDescent="0.25">
      <c r="A169" s="1">
        <v>41097</v>
      </c>
      <c r="B169" t="s">
        <v>6</v>
      </c>
      <c r="C169" t="str">
        <f>VLOOKUP(Table1[[#This Row],[HomeTeam]], TeamAttrs!$A$2:$B$20,2,FALSE)</f>
        <v>SKC</v>
      </c>
      <c r="D169">
        <v>0</v>
      </c>
      <c r="E169">
        <v>0</v>
      </c>
      <c r="F169">
        <f>Table1[[#This Row],[HomeTeamScore]]-Table1[[#This Row],[VisitorScore]]</f>
        <v>0</v>
      </c>
      <c r="G169" t="s">
        <v>13</v>
      </c>
      <c r="H169" t="str">
        <f>VLOOKUP(Table1[[#This Row],[VisitorTeam]],TeamAttrs!$A$2:$B$20, 2, FALSE)</f>
        <v>Hou</v>
      </c>
      <c r="I169">
        <f t="shared" si="8"/>
        <v>0</v>
      </c>
      <c r="J169">
        <f t="shared" si="9"/>
        <v>1</v>
      </c>
      <c r="K169">
        <f t="shared" si="10"/>
        <v>0</v>
      </c>
      <c r="L169">
        <f>3*Table1[HomeWin] +Table1[Draw]</f>
        <v>1</v>
      </c>
      <c r="M169">
        <f>3*Table1[HomeLoss]+Table1[Draw]</f>
        <v>1</v>
      </c>
      <c r="N169">
        <f>VLOOKUP(B169,TeamAttrs!$A$2:$C$20,3,FALSE)</f>
        <v>6</v>
      </c>
      <c r="O169">
        <f>VLOOKUP(G169,TeamAttrs!$A$2:$C$20,3,FALSE)</f>
        <v>6</v>
      </c>
      <c r="P169">
        <f t="shared" si="11"/>
        <v>0</v>
      </c>
      <c r="Q169">
        <f>VLOOKUP(B169,TeamAttrs!$A$2:$D$20,3,FALSE)</f>
        <v>6</v>
      </c>
      <c r="R169">
        <f>VLOOKUP(G169,TeamAttrs!$A$2:$D$20,3,FALSE)</f>
        <v>6</v>
      </c>
      <c r="S169">
        <f>RADIANS(VLOOKUP(Table1[[#This Row],[HomeTeam]],TeamAttrs!$A$2:$H$20,7, FALSE))</f>
        <v>0.68271520751486592</v>
      </c>
      <c r="T169">
        <f>RADIANS(VLOOKUP(Table1[[#This Row],[HomeTeam]],TeamAttrs!$A$2:$H$20, 8, FALSE))</f>
        <v>-1.65166266702755</v>
      </c>
      <c r="U169">
        <f>RADIANS(VLOOKUP(Table1[[#This Row],[VisitorTeam]],TeamAttrs!$A$2:$H$20,7,FALSE))</f>
        <v>0.52301758095738471</v>
      </c>
      <c r="V169">
        <f>RADIANS(VLOOKUP(Table1[[#This Row],[VisitorTeam]], TeamAttrs!$A$2:$H$20,8,FALSE))</f>
        <v>-1.6641714417765932</v>
      </c>
      <c r="W169" s="5">
        <f>60*DEGREES(ACOS(SIN(Table1[[#This Row],[HomeLat]])*SIN(Table1[[#This Row],[VisitorLat]]) +COS(Table1[[#This Row],[HomeLat]])*COS(Table1[[#This Row],[VisitorLat]])*COS(ABS(Table1[[#This Row],[HomeLong]] -Table1[[#This Row],[VisitorLong]]))))</f>
        <v>550.13561942068407</v>
      </c>
      <c r="X169" s="6">
        <f>VLOOKUP(Table1[[#This Row],[HomeTeam]],TeamAttrs!$A$2:$K$20,5,FALSE)</f>
        <v>3120000</v>
      </c>
      <c r="Y169" s="6">
        <f>VLOOKUP(Table1[[#This Row],[HomeTeam]],TeamAttrs!$A$2:$K$20,9,FALSE)</f>
        <v>19404</v>
      </c>
      <c r="Z169" s="6">
        <f>VLOOKUP(Table1[[#This Row],[HomeTeam]],TeamAttrs!$A$2:$K$20,10,FALSE)</f>
        <v>18467</v>
      </c>
      <c r="AA169" s="6">
        <f>VLOOKUP(Table1[[#This Row],[HomeTeam]],TeamAttrs!$A$2:$K$20,11,FALSE)</f>
        <v>1.0507391563329183</v>
      </c>
    </row>
    <row r="170" spans="1:27" x14ac:dyDescent="0.25">
      <c r="A170" s="1">
        <v>41098</v>
      </c>
      <c r="B170" t="s">
        <v>17</v>
      </c>
      <c r="C170" t="str">
        <f>VLOOKUP(Table1[[#This Row],[HomeTeam]], TeamAttrs!$A$2:$B$20,2,FALSE)</f>
        <v>Chi</v>
      </c>
      <c r="D170">
        <v>0</v>
      </c>
      <c r="E170">
        <v>2</v>
      </c>
      <c r="F170">
        <f>Table1[[#This Row],[HomeTeamScore]]-Table1[[#This Row],[VisitorScore]]</f>
        <v>-2</v>
      </c>
      <c r="G170" t="s">
        <v>16</v>
      </c>
      <c r="H170" t="str">
        <f>VLOOKUP(Table1[[#This Row],[VisitorTeam]],TeamAttrs!$A$2:$B$20, 2, FALSE)</f>
        <v>LAGxy</v>
      </c>
      <c r="I170">
        <f t="shared" si="8"/>
        <v>0</v>
      </c>
      <c r="J170">
        <f t="shared" si="9"/>
        <v>0</v>
      </c>
      <c r="K170">
        <f t="shared" si="10"/>
        <v>1</v>
      </c>
      <c r="L170">
        <f>3*Table1[HomeWin] +Table1[Draw]</f>
        <v>0</v>
      </c>
      <c r="M170">
        <f>3*Table1[HomeLoss]+Table1[Draw]</f>
        <v>3</v>
      </c>
      <c r="N170">
        <f>VLOOKUP(B170,TeamAttrs!$A$2:$C$20,3,FALSE)</f>
        <v>6</v>
      </c>
      <c r="O170">
        <f>VLOOKUP(G170,TeamAttrs!$A$2:$C$20,3,FALSE)</f>
        <v>8</v>
      </c>
      <c r="P170">
        <f t="shared" si="11"/>
        <v>2</v>
      </c>
      <c r="Q170">
        <f>VLOOKUP(B170,TeamAttrs!$A$2:$D$20,3,FALSE)</f>
        <v>6</v>
      </c>
      <c r="R170">
        <f>VLOOKUP(G170,TeamAttrs!$A$2:$D$20,3,FALSE)</f>
        <v>8</v>
      </c>
      <c r="S170">
        <f>RADIANS(VLOOKUP(Table1[[#This Row],[HomeTeam]],TeamAttrs!$A$2:$H$20,7, FALSE))</f>
        <v>0.72925615734854665</v>
      </c>
      <c r="T170">
        <f>RADIANS(VLOOKUP(Table1[[#This Row],[HomeTeam]],TeamAttrs!$A$2:$H$20, 8, FALSE))</f>
        <v>-1.5315264186250241</v>
      </c>
      <c r="U170">
        <f>RADIANS(VLOOKUP(Table1[[#This Row],[VisitorTeam]],TeamAttrs!$A$2:$H$20,7,FALSE))</f>
        <v>0.59224781106699187</v>
      </c>
      <c r="V170">
        <f>RADIANS(VLOOKUP(Table1[[#This Row],[VisitorTeam]], TeamAttrs!$A$2:$H$20,8,FALSE))</f>
        <v>-2.0664698343612864</v>
      </c>
      <c r="W170" s="5">
        <f>60*DEGREES(ACOS(SIN(Table1[[#This Row],[HomeLat]])*SIN(Table1[[#This Row],[VisitorLat]]) +COS(Table1[[#This Row],[HomeLat]])*COS(Table1[[#This Row],[VisitorLat]])*COS(ABS(Table1[[#This Row],[HomeLong]] -Table1[[#This Row],[VisitorLong]]))))</f>
        <v>1517.0649107416111</v>
      </c>
      <c r="X170" s="6">
        <f>VLOOKUP(Table1[[#This Row],[HomeTeam]],TeamAttrs!$A$2:$K$20,5,FALSE)</f>
        <v>3230000</v>
      </c>
      <c r="Y170" s="6">
        <f>VLOOKUP(Table1[[#This Row],[HomeTeam]],TeamAttrs!$A$2:$K$20,9,FALSE)</f>
        <v>16407</v>
      </c>
      <c r="Z170" s="6">
        <f>VLOOKUP(Table1[[#This Row],[HomeTeam]],TeamAttrs!$A$2:$K$20,10,FALSE)</f>
        <v>20000</v>
      </c>
      <c r="AA170" s="6">
        <f>VLOOKUP(Table1[[#This Row],[HomeTeam]],TeamAttrs!$A$2:$K$20,11,FALSE)</f>
        <v>0.82035000000000002</v>
      </c>
    </row>
    <row r="171" spans="1:27" x14ac:dyDescent="0.25">
      <c r="A171" s="1">
        <v>41098</v>
      </c>
      <c r="B171" t="s">
        <v>1</v>
      </c>
      <c r="C171" t="str">
        <f>VLOOKUP(Table1[[#This Row],[HomeTeam]], TeamAttrs!$A$2:$B$20,2,FALSE)</f>
        <v>Mntrl</v>
      </c>
      <c r="D171">
        <v>2</v>
      </c>
      <c r="E171">
        <v>1</v>
      </c>
      <c r="F171">
        <f>Table1[[#This Row],[HomeTeamScore]]-Table1[[#This Row],[VisitorScore]]</f>
        <v>1</v>
      </c>
      <c r="G171" t="s">
        <v>8</v>
      </c>
      <c r="H171" t="str">
        <f>VLOOKUP(Table1[[#This Row],[VisitorTeam]],TeamAttrs!$A$2:$B$20, 2, FALSE)</f>
        <v>Colum</v>
      </c>
      <c r="I171">
        <f t="shared" si="8"/>
        <v>1</v>
      </c>
      <c r="J171">
        <f t="shared" si="9"/>
        <v>0</v>
      </c>
      <c r="K171">
        <f t="shared" si="10"/>
        <v>0</v>
      </c>
      <c r="L171">
        <f>3*Table1[HomeWin] +Table1[Draw]</f>
        <v>3</v>
      </c>
      <c r="M171">
        <f>3*Table1[HomeLoss]+Table1[Draw]</f>
        <v>0</v>
      </c>
      <c r="N171">
        <f>VLOOKUP(B171,TeamAttrs!$A$2:$C$20,3,FALSE)</f>
        <v>5</v>
      </c>
      <c r="O171">
        <f>VLOOKUP(G171,TeamAttrs!$A$2:$C$20,3,FALSE)</f>
        <v>5</v>
      </c>
      <c r="P171">
        <f t="shared" si="11"/>
        <v>0</v>
      </c>
      <c r="Q171">
        <f>VLOOKUP(B171,TeamAttrs!$A$2:$D$20,3,FALSE)</f>
        <v>5</v>
      </c>
      <c r="R171">
        <f>VLOOKUP(G171,TeamAttrs!$A$2:$D$20,3,FALSE)</f>
        <v>5</v>
      </c>
      <c r="S171">
        <f>RADIANS(VLOOKUP(Table1[[#This Row],[HomeTeam]],TeamAttrs!$A$2:$H$20,7, FALSE))</f>
        <v>0.79354361501650583</v>
      </c>
      <c r="T171">
        <f>RADIANS(VLOOKUP(Table1[[#This Row],[HomeTeam]],TeamAttrs!$A$2:$H$20, 8, FALSE))</f>
        <v>-1.2871803233458181</v>
      </c>
      <c r="U171">
        <f>RADIANS(VLOOKUP(Table1[[#This Row],[VisitorTeam]],TeamAttrs!$A$2:$H$20,7,FALSE))</f>
        <v>0.69813170079773179</v>
      </c>
      <c r="V171">
        <f>RADIANS(VLOOKUP(Table1[[#This Row],[VisitorTeam]], TeamAttrs!$A$2:$H$20,8,FALSE))</f>
        <v>-1.4465864799182162</v>
      </c>
      <c r="W171" s="5">
        <f>60*DEGREES(ACOS(SIN(Table1[[#This Row],[HomeLat]])*SIN(Table1[[#This Row],[VisitorLat]]) +COS(Table1[[#This Row],[HomeLat]])*COS(Table1[[#This Row],[VisitorLat]])*COS(ABS(Table1[[#This Row],[HomeLong]] -Table1[[#This Row],[VisitorLong]]))))</f>
        <v>518.65975299794491</v>
      </c>
      <c r="X171" s="6">
        <f>VLOOKUP(Table1[[#This Row],[HomeTeam]],TeamAttrs!$A$2:$K$20,5,FALSE)</f>
        <v>3030000</v>
      </c>
      <c r="Y171" s="6">
        <f>VLOOKUP(Table1[[#This Row],[HomeTeam]],TeamAttrs!$A$2:$K$20,9,FALSE)</f>
        <v>22772</v>
      </c>
      <c r="Z171" s="6">
        <f>VLOOKUP(Table1[[#This Row],[HomeTeam]],TeamAttrs!$A$2:$K$20,10,FALSE)</f>
        <v>20341</v>
      </c>
      <c r="AA171" s="6">
        <f>VLOOKUP(Table1[[#This Row],[HomeTeam]],TeamAttrs!$A$2:$K$20,11,FALSE)</f>
        <v>1.1195123150287596</v>
      </c>
    </row>
    <row r="172" spans="1:27" x14ac:dyDescent="0.25">
      <c r="A172" s="1">
        <v>41098</v>
      </c>
      <c r="B172" t="s">
        <v>9</v>
      </c>
      <c r="C172" t="str">
        <f>VLOOKUP(Table1[[#This Row],[HomeTeam]], TeamAttrs!$A$2:$B$20,2,FALSE)</f>
        <v>NE</v>
      </c>
      <c r="D172">
        <v>2</v>
      </c>
      <c r="E172">
        <v>0</v>
      </c>
      <c r="F172">
        <f>Table1[[#This Row],[HomeTeamScore]]-Table1[[#This Row],[VisitorScore]]</f>
        <v>2</v>
      </c>
      <c r="G172" t="s">
        <v>15</v>
      </c>
      <c r="H172" t="str">
        <f>VLOOKUP(Table1[[#This Row],[VisitorTeam]],TeamAttrs!$A$2:$B$20, 2, FALSE)</f>
        <v>NY</v>
      </c>
      <c r="I172">
        <f t="shared" si="8"/>
        <v>1</v>
      </c>
      <c r="J172">
        <f t="shared" si="9"/>
        <v>0</v>
      </c>
      <c r="K172">
        <f t="shared" si="10"/>
        <v>0</v>
      </c>
      <c r="L172">
        <f>3*Table1[HomeWin] +Table1[Draw]</f>
        <v>3</v>
      </c>
      <c r="M172">
        <f>3*Table1[HomeLoss]+Table1[Draw]</f>
        <v>0</v>
      </c>
      <c r="N172">
        <f>VLOOKUP(B172,TeamAttrs!$A$2:$C$20,3,FALSE)</f>
        <v>5</v>
      </c>
      <c r="O172">
        <f>VLOOKUP(G172,TeamAttrs!$A$2:$C$20,3,FALSE)</f>
        <v>5</v>
      </c>
      <c r="P172">
        <f t="shared" si="11"/>
        <v>0</v>
      </c>
      <c r="Q172">
        <f>VLOOKUP(B172,TeamAttrs!$A$2:$D$20,3,FALSE)</f>
        <v>5</v>
      </c>
      <c r="R172">
        <f>VLOOKUP(G172,TeamAttrs!$A$2:$D$20,3,FALSE)</f>
        <v>5</v>
      </c>
      <c r="S172">
        <f>RADIANS(VLOOKUP(Table1[[#This Row],[HomeTeam]],TeamAttrs!$A$2:$H$20,7, FALSE))</f>
        <v>0.73943840820468165</v>
      </c>
      <c r="T172">
        <f>RADIANS(VLOOKUP(Table1[[#This Row],[HomeTeam]],TeamAttrs!$A$2:$H$20, 8, FALSE))</f>
        <v>-1.2397649635568881</v>
      </c>
      <c r="U172">
        <f>RADIANS(VLOOKUP(Table1[[#This Row],[VisitorTeam]],TeamAttrs!$A$2:$H$20,7,FALSE))</f>
        <v>0.71180286482860333</v>
      </c>
      <c r="V172">
        <f>RADIANS(VLOOKUP(Table1[[#This Row],[VisitorTeam]], TeamAttrs!$A$2:$H$20,8,FALSE))</f>
        <v>-1.2909624518348899</v>
      </c>
      <c r="W172" s="5">
        <f>60*DEGREES(ACOS(SIN(Table1[[#This Row],[HomeLat]])*SIN(Table1[[#This Row],[VisitorLat]]) +COS(Table1[[#This Row],[HomeLat]])*COS(Table1[[#This Row],[VisitorLat]])*COS(ABS(Table1[[#This Row],[HomeLong]] -Table1[[#This Row],[VisitorLong]]))))</f>
        <v>162.34664432106447</v>
      </c>
      <c r="X172" s="6">
        <f>VLOOKUP(Table1[[#This Row],[HomeTeam]],TeamAttrs!$A$2:$K$20,5,FALSE)</f>
        <v>3260000</v>
      </c>
      <c r="Y172" s="6">
        <f>VLOOKUP(Table1[[#This Row],[HomeTeam]],TeamAttrs!$A$2:$K$20,9,FALSE)</f>
        <v>14001</v>
      </c>
      <c r="Z172" s="6">
        <f>VLOOKUP(Table1[[#This Row],[HomeTeam]],TeamAttrs!$A$2:$K$20,10,FALSE)</f>
        <v>20000</v>
      </c>
      <c r="AA172" s="6">
        <f>VLOOKUP(Table1[[#This Row],[HomeTeam]],TeamAttrs!$A$2:$K$20,11,FALSE)</f>
        <v>0.70004999999999995</v>
      </c>
    </row>
    <row r="173" spans="1:27" x14ac:dyDescent="0.25">
      <c r="A173" s="1">
        <v>41098</v>
      </c>
      <c r="B173" t="s">
        <v>4</v>
      </c>
      <c r="C173" t="str">
        <f>VLOOKUP(Table1[[#This Row],[HomeTeam]], TeamAttrs!$A$2:$B$20,2,FALSE)</f>
        <v>Phil</v>
      </c>
      <c r="D173">
        <v>3</v>
      </c>
      <c r="E173">
        <v>0</v>
      </c>
      <c r="F173">
        <f>Table1[[#This Row],[HomeTeamScore]]-Table1[[#This Row],[VisitorScore]]</f>
        <v>3</v>
      </c>
      <c r="G173" t="s">
        <v>10</v>
      </c>
      <c r="H173" t="str">
        <f>VLOOKUP(Table1[[#This Row],[VisitorTeam]],TeamAttrs!$A$2:$B$20, 2, FALSE)</f>
        <v>Tor</v>
      </c>
      <c r="I173">
        <f t="shared" si="8"/>
        <v>1</v>
      </c>
      <c r="J173">
        <f t="shared" si="9"/>
        <v>0</v>
      </c>
      <c r="K173">
        <f t="shared" si="10"/>
        <v>0</v>
      </c>
      <c r="L173">
        <f>3*Table1[HomeWin] +Table1[Draw]</f>
        <v>3</v>
      </c>
      <c r="M173">
        <f>3*Table1[HomeLoss]+Table1[Draw]</f>
        <v>0</v>
      </c>
      <c r="N173">
        <f>VLOOKUP(B173,TeamAttrs!$A$2:$C$20,3,FALSE)</f>
        <v>5</v>
      </c>
      <c r="O173">
        <f>VLOOKUP(G173,TeamAttrs!$A$2:$C$20,3,FALSE)</f>
        <v>5</v>
      </c>
      <c r="P173">
        <f t="shared" si="11"/>
        <v>0</v>
      </c>
      <c r="Q173">
        <f>VLOOKUP(B173,TeamAttrs!$A$2:$D$20,3,FALSE)</f>
        <v>5</v>
      </c>
      <c r="R173">
        <f>VLOOKUP(G173,TeamAttrs!$A$2:$D$20,3,FALSE)</f>
        <v>5</v>
      </c>
      <c r="S173">
        <f>RADIANS(VLOOKUP(Table1[[#This Row],[HomeTeam]],TeamAttrs!$A$2:$H$20,7, FALSE))</f>
        <v>0.69609490156065446</v>
      </c>
      <c r="T173">
        <f>RADIANS(VLOOKUP(Table1[[#This Row],[HomeTeam]],TeamAttrs!$A$2:$H$20, 8, FALSE))</f>
        <v>-1.313360262125733</v>
      </c>
      <c r="U173">
        <f>RADIANS(VLOOKUP(Table1[[#This Row],[VisitorTeam]],TeamAttrs!$A$2:$H$20,7,FALSE))</f>
        <v>0.76241741313643896</v>
      </c>
      <c r="V173">
        <f>RADIANS(VLOOKUP(Table1[[#This Row],[VisitorTeam]], TeamAttrs!$A$2:$H$20,8,FALSE))</f>
        <v>-1.3898632792284005</v>
      </c>
      <c r="W173" s="5">
        <f>60*DEGREES(ACOS(SIN(Table1[[#This Row],[HomeLat]])*SIN(Table1[[#This Row],[VisitorLat]]) +COS(Table1[[#This Row],[HomeLat]])*COS(Table1[[#This Row],[VisitorLat]])*COS(ABS(Table1[[#This Row],[HomeLong]] -Table1[[#This Row],[VisitorLong]]))))</f>
        <v>300.6440368474797</v>
      </c>
      <c r="X173" s="6">
        <f>VLOOKUP(Table1[[#This Row],[HomeTeam]],TeamAttrs!$A$2:$K$20,5,FALSE)</f>
        <v>3620000</v>
      </c>
      <c r="Y173" s="6">
        <f>VLOOKUP(Table1[[#This Row],[HomeTeam]],TeamAttrs!$A$2:$K$20,9,FALSE)</f>
        <v>18053</v>
      </c>
      <c r="Z173" s="6">
        <f>VLOOKUP(Table1[[#This Row],[HomeTeam]],TeamAttrs!$A$2:$K$20,10,FALSE)</f>
        <v>18500</v>
      </c>
      <c r="AA173" s="6">
        <f>VLOOKUP(Table1[[#This Row],[HomeTeam]],TeamAttrs!$A$2:$K$20,11,FALSE)</f>
        <v>0.97583783783783784</v>
      </c>
    </row>
    <row r="174" spans="1:27" x14ac:dyDescent="0.25">
      <c r="A174" s="1">
        <v>41101</v>
      </c>
      <c r="B174" t="s">
        <v>10</v>
      </c>
      <c r="C174" t="str">
        <f>VLOOKUP(Table1[[#This Row],[HomeTeam]], TeamAttrs!$A$2:$B$20,2,FALSE)</f>
        <v>Tor</v>
      </c>
      <c r="D174">
        <v>3</v>
      </c>
      <c r="E174">
        <v>2</v>
      </c>
      <c r="F174">
        <f>Table1[[#This Row],[HomeTeamScore]]-Table1[[#This Row],[VisitorScore]]</f>
        <v>1</v>
      </c>
      <c r="G174" t="s">
        <v>0</v>
      </c>
      <c r="H174" t="str">
        <f>VLOOKUP(Table1[[#This Row],[VisitorTeam]],TeamAttrs!$A$2:$B$20, 2, FALSE)</f>
        <v>Van</v>
      </c>
      <c r="I174">
        <f t="shared" si="8"/>
        <v>1</v>
      </c>
      <c r="J174">
        <f t="shared" si="9"/>
        <v>0</v>
      </c>
      <c r="K174">
        <f t="shared" si="10"/>
        <v>0</v>
      </c>
      <c r="L174">
        <f>3*Table1[HomeWin] +Table1[Draw]</f>
        <v>3</v>
      </c>
      <c r="M174">
        <f>3*Table1[HomeLoss]+Table1[Draw]</f>
        <v>0</v>
      </c>
      <c r="N174">
        <f>VLOOKUP(B174,TeamAttrs!$A$2:$C$20,3,FALSE)</f>
        <v>5</v>
      </c>
      <c r="O174">
        <f>VLOOKUP(G174,TeamAttrs!$A$2:$C$20,3,FALSE)</f>
        <v>8</v>
      </c>
      <c r="P174">
        <f t="shared" si="11"/>
        <v>3</v>
      </c>
      <c r="Q174">
        <f>VLOOKUP(B174,TeamAttrs!$A$2:$D$20,3,FALSE)</f>
        <v>5</v>
      </c>
      <c r="R174">
        <f>VLOOKUP(G174,TeamAttrs!$A$2:$D$20,3,FALSE)</f>
        <v>8</v>
      </c>
      <c r="S174">
        <f>RADIANS(VLOOKUP(Table1[[#This Row],[HomeTeam]],TeamAttrs!$A$2:$H$20,7, FALSE))</f>
        <v>0.76241741313643896</v>
      </c>
      <c r="T174">
        <f>RADIANS(VLOOKUP(Table1[[#This Row],[HomeTeam]],TeamAttrs!$A$2:$H$20, 8, FALSE))</f>
        <v>-1.3898632792284005</v>
      </c>
      <c r="U174">
        <f>RADIANS(VLOOKUP(Table1[[#This Row],[VisitorTeam]],TeamAttrs!$A$2:$H$20,7,FALSE))</f>
        <v>0.86015585124812133</v>
      </c>
      <c r="V174">
        <f>RADIANS(VLOOKUP(Table1[[#This Row],[VisitorTeam]], TeamAttrs!$A$2:$H$20,8,FALSE))</f>
        <v>-2.1487970151778586</v>
      </c>
      <c r="W174" s="5">
        <f>60*DEGREES(ACOS(SIN(Table1[[#This Row],[HomeLat]])*SIN(Table1[[#This Row],[VisitorLat]]) +COS(Table1[[#This Row],[HomeLat]])*COS(Table1[[#This Row],[VisitorLat]])*COS(ABS(Table1[[#This Row],[HomeLong]] -Table1[[#This Row],[VisitorLong]]))))</f>
        <v>1801.7638283790939</v>
      </c>
      <c r="X174" s="6">
        <f>VLOOKUP(Table1[[#This Row],[HomeTeam]],TeamAttrs!$A$2:$K$20,5,FALSE)</f>
        <v>8250000</v>
      </c>
      <c r="Y174" s="6">
        <f>VLOOKUP(Table1[[#This Row],[HomeTeam]],TeamAttrs!$A$2:$K$20,9,FALSE)</f>
        <v>18155</v>
      </c>
      <c r="Z174" s="6">
        <f>VLOOKUP(Table1[[#This Row],[HomeTeam]],TeamAttrs!$A$2:$K$20,10,FALSE)</f>
        <v>21140</v>
      </c>
      <c r="AA174" s="6">
        <f>VLOOKUP(Table1[[#This Row],[HomeTeam]],TeamAttrs!$A$2:$K$20,11,FALSE)</f>
        <v>0.85879848628193001</v>
      </c>
    </row>
    <row r="175" spans="1:27" x14ac:dyDescent="0.25">
      <c r="A175" s="1">
        <v>41104</v>
      </c>
      <c r="B175" t="s">
        <v>17</v>
      </c>
      <c r="C175" t="str">
        <f>VLOOKUP(Table1[[#This Row],[HomeTeam]], TeamAttrs!$A$2:$B$20,2,FALSE)</f>
        <v>Chi</v>
      </c>
      <c r="D175">
        <v>1</v>
      </c>
      <c r="E175">
        <v>0</v>
      </c>
      <c r="F175">
        <f>Table1[[#This Row],[HomeTeamScore]]-Table1[[#This Row],[VisitorScore]]</f>
        <v>1</v>
      </c>
      <c r="G175" t="s">
        <v>0</v>
      </c>
      <c r="H175" t="str">
        <f>VLOOKUP(Table1[[#This Row],[VisitorTeam]],TeamAttrs!$A$2:$B$20, 2, FALSE)</f>
        <v>Van</v>
      </c>
      <c r="I175">
        <f t="shared" si="8"/>
        <v>1</v>
      </c>
      <c r="J175">
        <f t="shared" si="9"/>
        <v>0</v>
      </c>
      <c r="K175">
        <f t="shared" si="10"/>
        <v>0</v>
      </c>
      <c r="L175">
        <f>3*Table1[HomeWin] +Table1[Draw]</f>
        <v>3</v>
      </c>
      <c r="M175">
        <f>3*Table1[HomeLoss]+Table1[Draw]</f>
        <v>0</v>
      </c>
      <c r="N175">
        <f>VLOOKUP(B175,TeamAttrs!$A$2:$C$20,3,FALSE)</f>
        <v>6</v>
      </c>
      <c r="O175">
        <f>VLOOKUP(G175,TeamAttrs!$A$2:$C$20,3,FALSE)</f>
        <v>8</v>
      </c>
      <c r="P175">
        <f t="shared" si="11"/>
        <v>2</v>
      </c>
      <c r="Q175">
        <f>VLOOKUP(B175,TeamAttrs!$A$2:$D$20,3,FALSE)</f>
        <v>6</v>
      </c>
      <c r="R175">
        <f>VLOOKUP(G175,TeamAttrs!$A$2:$D$20,3,FALSE)</f>
        <v>8</v>
      </c>
      <c r="S175">
        <f>RADIANS(VLOOKUP(Table1[[#This Row],[HomeTeam]],TeamAttrs!$A$2:$H$20,7, FALSE))</f>
        <v>0.72925615734854665</v>
      </c>
      <c r="T175">
        <f>RADIANS(VLOOKUP(Table1[[#This Row],[HomeTeam]],TeamAttrs!$A$2:$H$20, 8, FALSE))</f>
        <v>-1.5315264186250241</v>
      </c>
      <c r="U175">
        <f>RADIANS(VLOOKUP(Table1[[#This Row],[VisitorTeam]],TeamAttrs!$A$2:$H$20,7,FALSE))</f>
        <v>0.86015585124812133</v>
      </c>
      <c r="V175">
        <f>RADIANS(VLOOKUP(Table1[[#This Row],[VisitorTeam]], TeamAttrs!$A$2:$H$20,8,FALSE))</f>
        <v>-2.1487970151778586</v>
      </c>
      <c r="W175" s="5">
        <f>60*DEGREES(ACOS(SIN(Table1[[#This Row],[HomeLat]])*SIN(Table1[[#This Row],[VisitorLat]]) +COS(Table1[[#This Row],[HomeLat]])*COS(Table1[[#This Row],[VisitorLat]])*COS(ABS(Table1[[#This Row],[HomeLong]] -Table1[[#This Row],[VisitorLong]]))))</f>
        <v>1537.1936218402727</v>
      </c>
      <c r="X175" s="6">
        <f>VLOOKUP(Table1[[#This Row],[HomeTeam]],TeamAttrs!$A$2:$K$20,5,FALSE)</f>
        <v>3230000</v>
      </c>
      <c r="Y175" s="6">
        <f>VLOOKUP(Table1[[#This Row],[HomeTeam]],TeamAttrs!$A$2:$K$20,9,FALSE)</f>
        <v>16407</v>
      </c>
      <c r="Z175" s="6">
        <f>VLOOKUP(Table1[[#This Row],[HomeTeam]],TeamAttrs!$A$2:$K$20,10,FALSE)</f>
        <v>20000</v>
      </c>
      <c r="AA175" s="6">
        <f>VLOOKUP(Table1[[#This Row],[HomeTeam]],TeamAttrs!$A$2:$K$20,11,FALSE)</f>
        <v>0.82035000000000002</v>
      </c>
    </row>
    <row r="176" spans="1:27" x14ac:dyDescent="0.25">
      <c r="A176" s="1">
        <v>41104</v>
      </c>
      <c r="B176" t="s">
        <v>14</v>
      </c>
      <c r="C176" t="str">
        <f>VLOOKUP(Table1[[#This Row],[HomeTeam]], TeamAttrs!$A$2:$B$20,2,FALSE)</f>
        <v>ColRa</v>
      </c>
      <c r="D176">
        <v>1</v>
      </c>
      <c r="E176">
        <v>2</v>
      </c>
      <c r="F176">
        <f>Table1[[#This Row],[HomeTeamScore]]-Table1[[#This Row],[VisitorScore]]</f>
        <v>-1</v>
      </c>
      <c r="G176" t="s">
        <v>7</v>
      </c>
      <c r="H176" t="str">
        <f>VLOOKUP(Table1[[#This Row],[VisitorTeam]],TeamAttrs!$A$2:$B$20, 2, FALSE)</f>
        <v>FCDal</v>
      </c>
      <c r="I176">
        <f t="shared" si="8"/>
        <v>0</v>
      </c>
      <c r="J176">
        <f t="shared" si="9"/>
        <v>0</v>
      </c>
      <c r="K176">
        <f t="shared" si="10"/>
        <v>1</v>
      </c>
      <c r="L176">
        <f>3*Table1[HomeWin] +Table1[Draw]</f>
        <v>0</v>
      </c>
      <c r="M176">
        <f>3*Table1[HomeLoss]+Table1[Draw]</f>
        <v>3</v>
      </c>
      <c r="N176">
        <f>VLOOKUP(B176,TeamAttrs!$A$2:$C$20,3,FALSE)</f>
        <v>7</v>
      </c>
      <c r="O176">
        <f>VLOOKUP(G176,TeamAttrs!$A$2:$C$20,3,FALSE)</f>
        <v>6</v>
      </c>
      <c r="P176">
        <f t="shared" si="11"/>
        <v>-1</v>
      </c>
      <c r="Q176">
        <f>VLOOKUP(B176,TeamAttrs!$A$2:$D$20,3,FALSE)</f>
        <v>7</v>
      </c>
      <c r="R176">
        <f>VLOOKUP(G176,TeamAttrs!$A$2:$D$20,3,FALSE)</f>
        <v>6</v>
      </c>
      <c r="S176">
        <f>RADIANS(VLOOKUP(Table1[[#This Row],[HomeTeam]],TeamAttrs!$A$2:$H$20,7, FALSE))</f>
        <v>0.69376837766774602</v>
      </c>
      <c r="T176">
        <f>RADIANS(VLOOKUP(Table1[[#This Row],[HomeTeam]],TeamAttrs!$A$2:$H$20, 8, FALSE))</f>
        <v>-1.8302744266888937</v>
      </c>
      <c r="U176">
        <f>RADIANS(VLOOKUP(Table1[[#This Row],[VisitorTeam]],TeamAttrs!$A$2:$H$20,7,FALSE))</f>
        <v>0.57334065928013733</v>
      </c>
      <c r="V176">
        <f>RADIANS(VLOOKUP(Table1[[#This Row],[VisitorTeam]], TeamAttrs!$A$2:$H$20,8,FALSE))</f>
        <v>-1.690351380556508</v>
      </c>
      <c r="W176" s="5">
        <f>60*DEGREES(ACOS(SIN(Table1[[#This Row],[HomeLat]])*SIN(Table1[[#This Row],[VisitorLat]]) +COS(Table1[[#This Row],[HomeLat]])*COS(Table1[[#This Row],[VisitorLat]])*COS(ABS(Table1[[#This Row],[HomeLong]] -Table1[[#This Row],[VisitorLong]]))))</f>
        <v>566.67453377920572</v>
      </c>
      <c r="X176" s="6">
        <f>VLOOKUP(Table1[[#This Row],[HomeTeam]],TeamAttrs!$A$2:$K$20,5,FALSE)</f>
        <v>3430000</v>
      </c>
      <c r="Y176" s="6">
        <f>VLOOKUP(Table1[[#This Row],[HomeTeam]],TeamAttrs!$A$2:$K$20,9,FALSE)</f>
        <v>15175</v>
      </c>
      <c r="Z176" s="6">
        <f>VLOOKUP(Table1[[#This Row],[HomeTeam]],TeamAttrs!$A$2:$K$20,10,FALSE)</f>
        <v>18086</v>
      </c>
      <c r="AA176" s="6">
        <f>VLOOKUP(Table1[[#This Row],[HomeTeam]],TeamAttrs!$A$2:$K$20,11,FALSE)</f>
        <v>0.83904677651221937</v>
      </c>
    </row>
    <row r="177" spans="1:27" x14ac:dyDescent="0.25">
      <c r="A177" s="1">
        <v>41104</v>
      </c>
      <c r="B177" t="s">
        <v>8</v>
      </c>
      <c r="C177" t="str">
        <f>VLOOKUP(Table1[[#This Row],[HomeTeam]], TeamAttrs!$A$2:$B$20,2,FALSE)</f>
        <v>Colum</v>
      </c>
      <c r="D177">
        <v>0</v>
      </c>
      <c r="E177">
        <v>2</v>
      </c>
      <c r="F177">
        <f>Table1[[#This Row],[HomeTeamScore]]-Table1[[#This Row],[VisitorScore]]</f>
        <v>-2</v>
      </c>
      <c r="G177" t="s">
        <v>6</v>
      </c>
      <c r="H177" t="str">
        <f>VLOOKUP(Table1[[#This Row],[VisitorTeam]],TeamAttrs!$A$2:$B$20, 2, FALSE)</f>
        <v>SKC</v>
      </c>
      <c r="I177">
        <f t="shared" si="8"/>
        <v>0</v>
      </c>
      <c r="J177">
        <f t="shared" si="9"/>
        <v>0</v>
      </c>
      <c r="K177">
        <f t="shared" si="10"/>
        <v>1</v>
      </c>
      <c r="L177">
        <f>3*Table1[HomeWin] +Table1[Draw]</f>
        <v>0</v>
      </c>
      <c r="M177">
        <f>3*Table1[HomeLoss]+Table1[Draw]</f>
        <v>3</v>
      </c>
      <c r="N177">
        <f>VLOOKUP(B177,TeamAttrs!$A$2:$C$20,3,FALSE)</f>
        <v>5</v>
      </c>
      <c r="O177">
        <f>VLOOKUP(G177,TeamAttrs!$A$2:$C$20,3,FALSE)</f>
        <v>6</v>
      </c>
      <c r="P177">
        <f t="shared" si="11"/>
        <v>1</v>
      </c>
      <c r="Q177">
        <f>VLOOKUP(B177,TeamAttrs!$A$2:$D$20,3,FALSE)</f>
        <v>5</v>
      </c>
      <c r="R177">
        <f>VLOOKUP(G177,TeamAttrs!$A$2:$D$20,3,FALSE)</f>
        <v>6</v>
      </c>
      <c r="S177">
        <f>RADIANS(VLOOKUP(Table1[[#This Row],[HomeTeam]],TeamAttrs!$A$2:$H$20,7, FALSE))</f>
        <v>0.69813170079773179</v>
      </c>
      <c r="T177">
        <f>RADIANS(VLOOKUP(Table1[[#This Row],[HomeTeam]],TeamAttrs!$A$2:$H$20, 8, FALSE))</f>
        <v>-1.4465864799182162</v>
      </c>
      <c r="U177">
        <f>RADIANS(VLOOKUP(Table1[[#This Row],[VisitorTeam]],TeamAttrs!$A$2:$H$20,7,FALSE))</f>
        <v>0.68271520751486592</v>
      </c>
      <c r="V177">
        <f>RADIANS(VLOOKUP(Table1[[#This Row],[VisitorTeam]], TeamAttrs!$A$2:$H$20,8,FALSE))</f>
        <v>-1.65166266702755</v>
      </c>
      <c r="W177" s="5">
        <f>60*DEGREES(ACOS(SIN(Table1[[#This Row],[HomeLat]])*SIN(Table1[[#This Row],[VisitorLat]]) +COS(Table1[[#This Row],[HomeLat]])*COS(Table1[[#This Row],[VisitorLat]])*COS(ABS(Table1[[#This Row],[HomeLong]] -Table1[[#This Row],[VisitorLong]]))))</f>
        <v>545.71434098790951</v>
      </c>
      <c r="X177" s="6">
        <f>VLOOKUP(Table1[[#This Row],[HomeTeam]],TeamAttrs!$A$2:$K$20,5,FALSE)</f>
        <v>3330000</v>
      </c>
      <c r="Y177" s="6">
        <f>VLOOKUP(Table1[[#This Row],[HomeTeam]],TeamAttrs!$A$2:$K$20,9,FALSE)</f>
        <v>14397</v>
      </c>
      <c r="Z177" s="6">
        <f>VLOOKUP(Table1[[#This Row],[HomeTeam]],TeamAttrs!$A$2:$K$20,10,FALSE)</f>
        <v>20145</v>
      </c>
      <c r="AA177" s="6">
        <f>VLOOKUP(Table1[[#This Row],[HomeTeam]],TeamAttrs!$A$2:$K$20,11,FALSE)</f>
        <v>0.71466865227103504</v>
      </c>
    </row>
    <row r="178" spans="1:27" x14ac:dyDescent="0.25">
      <c r="A178" s="1">
        <v>41104</v>
      </c>
      <c r="B178" t="s">
        <v>9</v>
      </c>
      <c r="C178" t="str">
        <f>VLOOKUP(Table1[[#This Row],[HomeTeam]], TeamAttrs!$A$2:$B$20,2,FALSE)</f>
        <v>NE</v>
      </c>
      <c r="D178">
        <v>0</v>
      </c>
      <c r="E178">
        <v>1</v>
      </c>
      <c r="F178">
        <f>Table1[[#This Row],[HomeTeamScore]]-Table1[[#This Row],[VisitorScore]]</f>
        <v>-1</v>
      </c>
      <c r="G178" t="s">
        <v>10</v>
      </c>
      <c r="H178" t="str">
        <f>VLOOKUP(Table1[[#This Row],[VisitorTeam]],TeamAttrs!$A$2:$B$20, 2, FALSE)</f>
        <v>Tor</v>
      </c>
      <c r="I178">
        <f t="shared" si="8"/>
        <v>0</v>
      </c>
      <c r="J178">
        <f t="shared" si="9"/>
        <v>0</v>
      </c>
      <c r="K178">
        <f t="shared" si="10"/>
        <v>1</v>
      </c>
      <c r="L178">
        <f>3*Table1[HomeWin] +Table1[Draw]</f>
        <v>0</v>
      </c>
      <c r="M178">
        <f>3*Table1[HomeLoss]+Table1[Draw]</f>
        <v>3</v>
      </c>
      <c r="N178">
        <f>VLOOKUP(B178,TeamAttrs!$A$2:$C$20,3,FALSE)</f>
        <v>5</v>
      </c>
      <c r="O178">
        <f>VLOOKUP(G178,TeamAttrs!$A$2:$C$20,3,FALSE)</f>
        <v>5</v>
      </c>
      <c r="P178">
        <f t="shared" si="11"/>
        <v>0</v>
      </c>
      <c r="Q178">
        <f>VLOOKUP(B178,TeamAttrs!$A$2:$D$20,3,FALSE)</f>
        <v>5</v>
      </c>
      <c r="R178">
        <f>VLOOKUP(G178,TeamAttrs!$A$2:$D$20,3,FALSE)</f>
        <v>5</v>
      </c>
      <c r="S178">
        <f>RADIANS(VLOOKUP(Table1[[#This Row],[HomeTeam]],TeamAttrs!$A$2:$H$20,7, FALSE))</f>
        <v>0.73943840820468165</v>
      </c>
      <c r="T178">
        <f>RADIANS(VLOOKUP(Table1[[#This Row],[HomeTeam]],TeamAttrs!$A$2:$H$20, 8, FALSE))</f>
        <v>-1.2397649635568881</v>
      </c>
      <c r="U178">
        <f>RADIANS(VLOOKUP(Table1[[#This Row],[VisitorTeam]],TeamAttrs!$A$2:$H$20,7,FALSE))</f>
        <v>0.76241741313643896</v>
      </c>
      <c r="V178">
        <f>RADIANS(VLOOKUP(Table1[[#This Row],[VisitorTeam]], TeamAttrs!$A$2:$H$20,8,FALSE))</f>
        <v>-1.3898632792284005</v>
      </c>
      <c r="W178" s="5">
        <f>60*DEGREES(ACOS(SIN(Table1[[#This Row],[HomeLat]])*SIN(Table1[[#This Row],[VisitorLat]]) +COS(Table1[[#This Row],[HomeLat]])*COS(Table1[[#This Row],[VisitorLat]])*COS(ABS(Table1[[#This Row],[HomeLong]] -Table1[[#This Row],[VisitorLong]]))))</f>
        <v>385.21669636222413</v>
      </c>
      <c r="X178" s="6">
        <f>VLOOKUP(Table1[[#This Row],[HomeTeam]],TeamAttrs!$A$2:$K$20,5,FALSE)</f>
        <v>3260000</v>
      </c>
      <c r="Y178" s="6">
        <f>VLOOKUP(Table1[[#This Row],[HomeTeam]],TeamAttrs!$A$2:$K$20,9,FALSE)</f>
        <v>14001</v>
      </c>
      <c r="Z178" s="6">
        <f>VLOOKUP(Table1[[#This Row],[HomeTeam]],TeamAttrs!$A$2:$K$20,10,FALSE)</f>
        <v>20000</v>
      </c>
      <c r="AA178" s="6">
        <f>VLOOKUP(Table1[[#This Row],[HomeTeam]],TeamAttrs!$A$2:$K$20,11,FALSE)</f>
        <v>0.70004999999999995</v>
      </c>
    </row>
    <row r="179" spans="1:27" x14ac:dyDescent="0.25">
      <c r="A179" s="1">
        <v>41104</v>
      </c>
      <c r="B179" t="s">
        <v>4</v>
      </c>
      <c r="C179" t="str">
        <f>VLOOKUP(Table1[[#This Row],[HomeTeam]], TeamAttrs!$A$2:$B$20,2,FALSE)</f>
        <v>Phil</v>
      </c>
      <c r="D179">
        <v>2</v>
      </c>
      <c r="E179">
        <v>1</v>
      </c>
      <c r="F179">
        <f>Table1[[#This Row],[HomeTeamScore]]-Table1[[#This Row],[VisitorScore]]</f>
        <v>1</v>
      </c>
      <c r="G179" t="s">
        <v>1</v>
      </c>
      <c r="H179" t="str">
        <f>VLOOKUP(Table1[[#This Row],[VisitorTeam]],TeamAttrs!$A$2:$B$20, 2, FALSE)</f>
        <v>Mntrl</v>
      </c>
      <c r="I179">
        <f t="shared" si="8"/>
        <v>1</v>
      </c>
      <c r="J179">
        <f t="shared" si="9"/>
        <v>0</v>
      </c>
      <c r="K179">
        <f t="shared" si="10"/>
        <v>0</v>
      </c>
      <c r="L179">
        <f>3*Table1[HomeWin] +Table1[Draw]</f>
        <v>3</v>
      </c>
      <c r="M179">
        <f>3*Table1[HomeLoss]+Table1[Draw]</f>
        <v>0</v>
      </c>
      <c r="N179">
        <f>VLOOKUP(B179,TeamAttrs!$A$2:$C$20,3,FALSE)</f>
        <v>5</v>
      </c>
      <c r="O179">
        <f>VLOOKUP(G179,TeamAttrs!$A$2:$C$20,3,FALSE)</f>
        <v>5</v>
      </c>
      <c r="P179">
        <f t="shared" si="11"/>
        <v>0</v>
      </c>
      <c r="Q179">
        <f>VLOOKUP(B179,TeamAttrs!$A$2:$D$20,3,FALSE)</f>
        <v>5</v>
      </c>
      <c r="R179">
        <f>VLOOKUP(G179,TeamAttrs!$A$2:$D$20,3,FALSE)</f>
        <v>5</v>
      </c>
      <c r="S179">
        <f>RADIANS(VLOOKUP(Table1[[#This Row],[HomeTeam]],TeamAttrs!$A$2:$H$20,7, FALSE))</f>
        <v>0.69609490156065446</v>
      </c>
      <c r="T179">
        <f>RADIANS(VLOOKUP(Table1[[#This Row],[HomeTeam]],TeamAttrs!$A$2:$H$20, 8, FALSE))</f>
        <v>-1.313360262125733</v>
      </c>
      <c r="U179">
        <f>RADIANS(VLOOKUP(Table1[[#This Row],[VisitorTeam]],TeamAttrs!$A$2:$H$20,7,FALSE))</f>
        <v>0.79354361501650583</v>
      </c>
      <c r="V179">
        <f>RADIANS(VLOOKUP(Table1[[#This Row],[VisitorTeam]], TeamAttrs!$A$2:$H$20,8,FALSE))</f>
        <v>-1.2871803233458181</v>
      </c>
      <c r="W179" s="5">
        <f>60*DEGREES(ACOS(SIN(Table1[[#This Row],[HomeLat]])*SIN(Table1[[#This Row],[VisitorLat]]) +COS(Table1[[#This Row],[HomeLat]])*COS(Table1[[#This Row],[VisitorLat]])*COS(ABS(Table1[[#This Row],[HomeLong]] -Table1[[#This Row],[VisitorLong]]))))</f>
        <v>341.45802923770231</v>
      </c>
      <c r="X179" s="6">
        <f>VLOOKUP(Table1[[#This Row],[HomeTeam]],TeamAttrs!$A$2:$K$20,5,FALSE)</f>
        <v>3620000</v>
      </c>
      <c r="Y179" s="6">
        <f>VLOOKUP(Table1[[#This Row],[HomeTeam]],TeamAttrs!$A$2:$K$20,9,FALSE)</f>
        <v>18053</v>
      </c>
      <c r="Z179" s="6">
        <f>VLOOKUP(Table1[[#This Row],[HomeTeam]],TeamAttrs!$A$2:$K$20,10,FALSE)</f>
        <v>18500</v>
      </c>
      <c r="AA179" s="6">
        <f>VLOOKUP(Table1[[#This Row],[HomeTeam]],TeamAttrs!$A$2:$K$20,11,FALSE)</f>
        <v>0.97583783783783784</v>
      </c>
    </row>
    <row r="180" spans="1:27" x14ac:dyDescent="0.25">
      <c r="A180" s="1">
        <v>41104</v>
      </c>
      <c r="B180" t="s">
        <v>12</v>
      </c>
      <c r="C180" t="str">
        <f>VLOOKUP(Table1[[#This Row],[HomeTeam]], TeamAttrs!$A$2:$B$20,2,FALSE)</f>
        <v>Port</v>
      </c>
      <c r="D180">
        <v>3</v>
      </c>
      <c r="E180">
        <v>5</v>
      </c>
      <c r="F180">
        <f>Table1[[#This Row],[HomeTeamScore]]-Table1[[#This Row],[VisitorScore]]</f>
        <v>-2</v>
      </c>
      <c r="G180" t="s">
        <v>16</v>
      </c>
      <c r="H180" t="str">
        <f>VLOOKUP(Table1[[#This Row],[VisitorTeam]],TeamAttrs!$A$2:$B$20, 2, FALSE)</f>
        <v>LAGxy</v>
      </c>
      <c r="I180">
        <f t="shared" si="8"/>
        <v>0</v>
      </c>
      <c r="J180">
        <f t="shared" si="9"/>
        <v>0</v>
      </c>
      <c r="K180">
        <f t="shared" si="10"/>
        <v>1</v>
      </c>
      <c r="L180">
        <f>3*Table1[HomeWin] +Table1[Draw]</f>
        <v>0</v>
      </c>
      <c r="M180">
        <f>3*Table1[HomeLoss]+Table1[Draw]</f>
        <v>3</v>
      </c>
      <c r="N180">
        <f>VLOOKUP(B180,TeamAttrs!$A$2:$C$20,3,FALSE)</f>
        <v>8</v>
      </c>
      <c r="O180">
        <f>VLOOKUP(G180,TeamAttrs!$A$2:$C$20,3,FALSE)</f>
        <v>8</v>
      </c>
      <c r="P180">
        <f t="shared" si="11"/>
        <v>0</v>
      </c>
      <c r="Q180">
        <f>VLOOKUP(B180,TeamAttrs!$A$2:$D$20,3,FALSE)</f>
        <v>8</v>
      </c>
      <c r="R180">
        <f>VLOOKUP(G180,TeamAttrs!$A$2:$D$20,3,FALSE)</f>
        <v>8</v>
      </c>
      <c r="S180">
        <f>RADIANS(VLOOKUP(Table1[[#This Row],[HomeTeam]],TeamAttrs!$A$2:$H$20,7, FALSE))</f>
        <v>0.79587013890941427</v>
      </c>
      <c r="T180">
        <f>RADIANS(VLOOKUP(Table1[[#This Row],[HomeTeam]],TeamAttrs!$A$2:$H$20, 8, FALSE))</f>
        <v>-2.1397736629450481</v>
      </c>
      <c r="U180">
        <f>RADIANS(VLOOKUP(Table1[[#This Row],[VisitorTeam]],TeamAttrs!$A$2:$H$20,7,FALSE))</f>
        <v>0.59224781106699187</v>
      </c>
      <c r="V180">
        <f>RADIANS(VLOOKUP(Table1[[#This Row],[VisitorTeam]], TeamAttrs!$A$2:$H$20,8,FALSE))</f>
        <v>-2.0664698343612864</v>
      </c>
      <c r="W180" s="5">
        <f>60*DEGREES(ACOS(SIN(Table1[[#This Row],[HomeLat]])*SIN(Table1[[#This Row],[VisitorLat]]) +COS(Table1[[#This Row],[HomeLat]])*COS(Table1[[#This Row],[VisitorLat]])*COS(ABS(Table1[[#This Row],[HomeLong]] -Table1[[#This Row],[VisitorLong]]))))</f>
        <v>726.02762859924019</v>
      </c>
      <c r="X180" s="6">
        <f>VLOOKUP(Table1[[#This Row],[HomeTeam]],TeamAttrs!$A$2:$K$20,5,FALSE)</f>
        <v>4160000</v>
      </c>
      <c r="Y180" s="6">
        <f>VLOOKUP(Table1[[#This Row],[HomeTeam]],TeamAttrs!$A$2:$K$20,9,FALSE)</f>
        <v>20438</v>
      </c>
      <c r="Z180" s="6">
        <f>VLOOKUP(Table1[[#This Row],[HomeTeam]],TeamAttrs!$A$2:$K$20,10,FALSE)</f>
        <v>20438</v>
      </c>
      <c r="AA180" s="6">
        <f>VLOOKUP(Table1[[#This Row],[HomeTeam]],TeamAttrs!$A$2:$K$20,11,FALSE)</f>
        <v>1</v>
      </c>
    </row>
    <row r="181" spans="1:27" x14ac:dyDescent="0.25">
      <c r="A181" s="1">
        <v>41104</v>
      </c>
      <c r="B181" t="s">
        <v>5</v>
      </c>
      <c r="C181" t="str">
        <f>VLOOKUP(Table1[[#This Row],[HomeTeam]], TeamAttrs!$A$2:$B$20,2,FALSE)</f>
        <v>SJE</v>
      </c>
      <c r="D181">
        <v>5</v>
      </c>
      <c r="E181">
        <v>0</v>
      </c>
      <c r="F181">
        <f>Table1[[#This Row],[HomeTeamScore]]-Table1[[#This Row],[VisitorScore]]</f>
        <v>5</v>
      </c>
      <c r="G181" t="s">
        <v>18</v>
      </c>
      <c r="H181" t="str">
        <f>VLOOKUP(Table1[[#This Row],[VisitorTeam]],TeamAttrs!$A$2:$B$20, 2, FALSE)</f>
        <v>RSL</v>
      </c>
      <c r="I181">
        <f t="shared" si="8"/>
        <v>1</v>
      </c>
      <c r="J181">
        <f t="shared" si="9"/>
        <v>0</v>
      </c>
      <c r="K181">
        <f t="shared" si="10"/>
        <v>0</v>
      </c>
      <c r="L181">
        <f>3*Table1[HomeWin] +Table1[Draw]</f>
        <v>3</v>
      </c>
      <c r="M181">
        <f>3*Table1[HomeLoss]+Table1[Draw]</f>
        <v>0</v>
      </c>
      <c r="N181">
        <f>VLOOKUP(B181,TeamAttrs!$A$2:$C$20,3,FALSE)</f>
        <v>8</v>
      </c>
      <c r="O181">
        <f>VLOOKUP(G181,TeamAttrs!$A$2:$C$20,3,FALSE)</f>
        <v>7</v>
      </c>
      <c r="P181">
        <f t="shared" si="11"/>
        <v>-1</v>
      </c>
      <c r="Q181">
        <f>VLOOKUP(B181,TeamAttrs!$A$2:$D$20,3,FALSE)</f>
        <v>8</v>
      </c>
      <c r="R181">
        <f>VLOOKUP(G181,TeamAttrs!$A$2:$D$20,3,FALSE)</f>
        <v>7</v>
      </c>
      <c r="S181">
        <f>RADIANS(VLOOKUP(Table1[[#This Row],[HomeTeam]],TeamAttrs!$A$2:$H$20,7, FALSE))</f>
        <v>0.65217194560496516</v>
      </c>
      <c r="T181">
        <f>RADIANS(VLOOKUP(Table1[[#This Row],[HomeTeam]],TeamAttrs!$A$2:$H$20, 8, FALSE))</f>
        <v>-2.1281323168342459</v>
      </c>
      <c r="U181">
        <f>RADIANS(VLOOKUP(Table1[[#This Row],[VisitorTeam]],TeamAttrs!$A$2:$H$20,7,FALSE))</f>
        <v>0.71151314017277234</v>
      </c>
      <c r="V181">
        <f>RADIANS(VLOOKUP(Table1[[#This Row],[VisitorTeam]], TeamAttrs!$A$2:$H$20,8,FALSE))</f>
        <v>-1.954192803580491</v>
      </c>
      <c r="W181" s="5">
        <f>60*DEGREES(ACOS(SIN(Table1[[#This Row],[HomeLat]])*SIN(Table1[[#This Row],[VisitorLat]]) +COS(Table1[[#This Row],[HomeLat]])*COS(Table1[[#This Row],[VisitorLat]])*COS(ABS(Table1[[#This Row],[HomeLong]] -Table1[[#This Row],[VisitorLong]]))))</f>
        <v>506.7074141019271</v>
      </c>
      <c r="X181" s="6">
        <f>VLOOKUP(Table1[[#This Row],[HomeTeam]],TeamAttrs!$A$2:$K$20,5,FALSE)</f>
        <v>3210000</v>
      </c>
      <c r="Y181" s="6">
        <f>VLOOKUP(Table1[[#This Row],[HomeTeam]],TeamAttrs!$A$2:$K$20,9,FALSE)</f>
        <v>13293</v>
      </c>
      <c r="Z181" s="6">
        <f>VLOOKUP(Table1[[#This Row],[HomeTeam]],TeamAttrs!$A$2:$K$20,10,FALSE)</f>
        <v>10525</v>
      </c>
      <c r="AA181" s="6">
        <f>VLOOKUP(Table1[[#This Row],[HomeTeam]],TeamAttrs!$A$2:$K$20,11,FALSE)</f>
        <v>1.2629928741092638</v>
      </c>
    </row>
    <row r="182" spans="1:27" x14ac:dyDescent="0.25">
      <c r="A182" s="1">
        <v>41105</v>
      </c>
      <c r="B182" t="s">
        <v>13</v>
      </c>
      <c r="C182" t="str">
        <f>VLOOKUP(Table1[[#This Row],[HomeTeam]], TeamAttrs!$A$2:$B$20,2,FALSE)</f>
        <v>Hou</v>
      </c>
      <c r="D182">
        <v>4</v>
      </c>
      <c r="E182">
        <v>0</v>
      </c>
      <c r="F182">
        <f>Table1[[#This Row],[HomeTeamScore]]-Table1[[#This Row],[VisitorScore]]</f>
        <v>4</v>
      </c>
      <c r="G182" t="s">
        <v>3</v>
      </c>
      <c r="H182" t="str">
        <f>VLOOKUP(Table1[[#This Row],[VisitorTeam]],TeamAttrs!$A$2:$B$20, 2, FALSE)</f>
        <v>DCU</v>
      </c>
      <c r="I182">
        <f t="shared" si="8"/>
        <v>1</v>
      </c>
      <c r="J182">
        <f t="shared" si="9"/>
        <v>0</v>
      </c>
      <c r="K182">
        <f t="shared" si="10"/>
        <v>0</v>
      </c>
      <c r="L182">
        <f>3*Table1[HomeWin] +Table1[Draw]</f>
        <v>3</v>
      </c>
      <c r="M182">
        <f>3*Table1[HomeLoss]+Table1[Draw]</f>
        <v>0</v>
      </c>
      <c r="N182">
        <f>VLOOKUP(B182,TeamAttrs!$A$2:$C$20,3,FALSE)</f>
        <v>6</v>
      </c>
      <c r="O182">
        <f>VLOOKUP(G182,TeamAttrs!$A$2:$C$20,3,FALSE)</f>
        <v>5</v>
      </c>
      <c r="P182">
        <f t="shared" si="11"/>
        <v>-1</v>
      </c>
      <c r="Q182">
        <f>VLOOKUP(B182,TeamAttrs!$A$2:$D$20,3,FALSE)</f>
        <v>6</v>
      </c>
      <c r="R182">
        <f>VLOOKUP(G182,TeamAttrs!$A$2:$D$20,3,FALSE)</f>
        <v>5</v>
      </c>
      <c r="S182">
        <f>RADIANS(VLOOKUP(Table1[[#This Row],[HomeTeam]],TeamAttrs!$A$2:$H$20,7, FALSE))</f>
        <v>0.52301758095738471</v>
      </c>
      <c r="T182">
        <f>RADIANS(VLOOKUP(Table1[[#This Row],[HomeTeam]],TeamAttrs!$A$2:$H$20, 8, FALSE))</f>
        <v>-1.6641714417765932</v>
      </c>
      <c r="U182">
        <f>RADIANS(VLOOKUP(Table1[[#This Row],[VisitorTeam]],TeamAttrs!$A$2:$H$20,7,FALSE))</f>
        <v>0.67806041439979703</v>
      </c>
      <c r="V182">
        <f>RADIANS(VLOOKUP(Table1[[#This Row],[VisitorTeam]], TeamAttrs!$A$2:$H$20,8,FALSE))</f>
        <v>-1.3444847186765478</v>
      </c>
      <c r="W182" s="5">
        <f>60*DEGREES(ACOS(SIN(Table1[[#This Row],[HomeLat]])*SIN(Table1[[#This Row],[VisitorLat]]) +COS(Table1[[#This Row],[HomeLat]])*COS(Table1[[#This Row],[VisitorLat]])*COS(ABS(Table1[[#This Row],[HomeLong]] -Table1[[#This Row],[VisitorLong]]))))</f>
        <v>1048.8031611896665</v>
      </c>
      <c r="X182" s="6">
        <f>VLOOKUP(Table1[[#This Row],[HomeTeam]],TeamAttrs!$A$2:$K$20,5,FALSE)</f>
        <v>3000000</v>
      </c>
      <c r="Y182" s="6">
        <f>VLOOKUP(Table1[[#This Row],[HomeTeam]],TeamAttrs!$A$2:$K$20,9,FALSE)</f>
        <v>20946</v>
      </c>
      <c r="Z182" s="6">
        <f>VLOOKUP(Table1[[#This Row],[HomeTeam]],TeamAttrs!$A$2:$K$20,10,FALSE)</f>
        <v>22000</v>
      </c>
      <c r="AA182" s="6">
        <f>VLOOKUP(Table1[[#This Row],[HomeTeam]],TeamAttrs!$A$2:$K$20,11,FALSE)</f>
        <v>0.9520909090909091</v>
      </c>
    </row>
    <row r="183" spans="1:27" x14ac:dyDescent="0.25">
      <c r="A183" s="1">
        <v>41105</v>
      </c>
      <c r="B183" t="s">
        <v>15</v>
      </c>
      <c r="C183" t="str">
        <f>VLOOKUP(Table1[[#This Row],[HomeTeam]], TeamAttrs!$A$2:$B$20,2,FALSE)</f>
        <v>NY</v>
      </c>
      <c r="D183">
        <v>2</v>
      </c>
      <c r="E183">
        <v>2</v>
      </c>
      <c r="F183">
        <f>Table1[[#This Row],[HomeTeamScore]]-Table1[[#This Row],[VisitorScore]]</f>
        <v>0</v>
      </c>
      <c r="G183" t="s">
        <v>11</v>
      </c>
      <c r="H183" t="str">
        <f>VLOOKUP(Table1[[#This Row],[VisitorTeam]],TeamAttrs!$A$2:$B$20, 2, FALSE)</f>
        <v>SEA</v>
      </c>
      <c r="I183">
        <f t="shared" si="8"/>
        <v>0</v>
      </c>
      <c r="J183">
        <f t="shared" si="9"/>
        <v>1</v>
      </c>
      <c r="K183">
        <f t="shared" si="10"/>
        <v>0</v>
      </c>
      <c r="L183">
        <f>3*Table1[HomeWin] +Table1[Draw]</f>
        <v>1</v>
      </c>
      <c r="M183">
        <f>3*Table1[HomeLoss]+Table1[Draw]</f>
        <v>1</v>
      </c>
      <c r="N183">
        <f>VLOOKUP(B183,TeamAttrs!$A$2:$C$20,3,FALSE)</f>
        <v>5</v>
      </c>
      <c r="O183">
        <f>VLOOKUP(G183,TeamAttrs!$A$2:$C$20,3,FALSE)</f>
        <v>8</v>
      </c>
      <c r="P183">
        <f t="shared" si="11"/>
        <v>3</v>
      </c>
      <c r="Q183">
        <f>VLOOKUP(B183,TeamAttrs!$A$2:$D$20,3,FALSE)</f>
        <v>5</v>
      </c>
      <c r="R183">
        <f>VLOOKUP(G183,TeamAttrs!$A$2:$D$20,3,FALSE)</f>
        <v>8</v>
      </c>
      <c r="S183">
        <f>RADIANS(VLOOKUP(Table1[[#This Row],[HomeTeam]],TeamAttrs!$A$2:$H$20,7, FALSE))</f>
        <v>0.71180286482860333</v>
      </c>
      <c r="T183">
        <f>RADIANS(VLOOKUP(Table1[[#This Row],[HomeTeam]],TeamAttrs!$A$2:$H$20, 8, FALSE))</f>
        <v>-1.2909624518348899</v>
      </c>
      <c r="U183">
        <f>RADIANS(VLOOKUP(Table1[[#This Row],[VisitorTeam]],TeamAttrs!$A$2:$H$20,7,FALSE))</f>
        <v>0.83164938857529802</v>
      </c>
      <c r="V183">
        <f>RADIANS(VLOOKUP(Table1[[#This Row],[VisitorTeam]], TeamAttrs!$A$2:$H$20,8,FALSE))</f>
        <v>-2.134537675189065</v>
      </c>
      <c r="W183" s="5">
        <f>60*DEGREES(ACOS(SIN(Table1[[#This Row],[HomeLat]])*SIN(Table1[[#This Row],[VisitorLat]]) +COS(Table1[[#This Row],[HomeLat]])*COS(Table1[[#This Row],[VisitorLat]])*COS(ABS(Table1[[#This Row],[HomeLong]] -Table1[[#This Row],[VisitorLong]]))))</f>
        <v>2083.8050970024119</v>
      </c>
      <c r="X183" s="6">
        <f>VLOOKUP(Table1[[#This Row],[HomeTeam]],TeamAttrs!$A$2:$K$20,5,FALSE)</f>
        <v>12960000</v>
      </c>
      <c r="Y183" s="6">
        <f>VLOOKUP(Table1[[#This Row],[HomeTeam]],TeamAttrs!$A$2:$K$20,9,FALSE)</f>
        <v>18281</v>
      </c>
      <c r="Z183" s="6">
        <f>VLOOKUP(Table1[[#This Row],[HomeTeam]],TeamAttrs!$A$2:$K$20,10,FALSE)</f>
        <v>25000</v>
      </c>
      <c r="AA183" s="6">
        <f>VLOOKUP(Table1[[#This Row],[HomeTeam]],TeamAttrs!$A$2:$K$20,11,FALSE)</f>
        <v>0.73124</v>
      </c>
    </row>
    <row r="184" spans="1:27" x14ac:dyDescent="0.25">
      <c r="A184" s="1">
        <v>41108</v>
      </c>
      <c r="B184" t="s">
        <v>2</v>
      </c>
      <c r="C184" t="str">
        <f>VLOOKUP(Table1[[#This Row],[HomeTeam]], TeamAttrs!$A$2:$B$20,2,FALSE)</f>
        <v>Chiv</v>
      </c>
      <c r="D184">
        <v>1</v>
      </c>
      <c r="E184">
        <v>0</v>
      </c>
      <c r="F184">
        <f>Table1[[#This Row],[HomeTeamScore]]-Table1[[#This Row],[VisitorScore]]</f>
        <v>1</v>
      </c>
      <c r="G184" t="s">
        <v>12</v>
      </c>
      <c r="H184" t="str">
        <f>VLOOKUP(Table1[[#This Row],[VisitorTeam]],TeamAttrs!$A$2:$B$20, 2, FALSE)</f>
        <v>Port</v>
      </c>
      <c r="I184">
        <f t="shared" si="8"/>
        <v>1</v>
      </c>
      <c r="J184">
        <f t="shared" si="9"/>
        <v>0</v>
      </c>
      <c r="K184">
        <f t="shared" si="10"/>
        <v>0</v>
      </c>
      <c r="L184">
        <f>3*Table1[HomeWin] +Table1[Draw]</f>
        <v>3</v>
      </c>
      <c r="M184">
        <f>3*Table1[HomeLoss]+Table1[Draw]</f>
        <v>0</v>
      </c>
      <c r="N184">
        <f>VLOOKUP(B184,TeamAttrs!$A$2:$C$20,3,FALSE)</f>
        <v>8</v>
      </c>
      <c r="O184">
        <f>VLOOKUP(G184,TeamAttrs!$A$2:$C$20,3,FALSE)</f>
        <v>8</v>
      </c>
      <c r="P184">
        <f t="shared" si="11"/>
        <v>0</v>
      </c>
      <c r="Q184">
        <f>VLOOKUP(B184,TeamAttrs!$A$2:$D$20,3,FALSE)</f>
        <v>8</v>
      </c>
      <c r="R184">
        <f>VLOOKUP(G184,TeamAttrs!$A$2:$D$20,3,FALSE)</f>
        <v>8</v>
      </c>
      <c r="S184">
        <f>RADIANS(VLOOKUP(Table1[[#This Row],[HomeTeam]],TeamAttrs!$A$2:$H$20,7, FALSE))</f>
        <v>0.59224781106699187</v>
      </c>
      <c r="T184">
        <f>RADIANS(VLOOKUP(Table1[[#This Row],[HomeTeam]],TeamAttrs!$A$2:$H$20, 8, FALSE))</f>
        <v>-2.0664698343612864</v>
      </c>
      <c r="U184">
        <f>RADIANS(VLOOKUP(Table1[[#This Row],[VisitorTeam]],TeamAttrs!$A$2:$H$20,7,FALSE))</f>
        <v>0.79587013890941427</v>
      </c>
      <c r="V184">
        <f>RADIANS(VLOOKUP(Table1[[#This Row],[VisitorTeam]], TeamAttrs!$A$2:$H$20,8,FALSE))</f>
        <v>-2.1397736629450481</v>
      </c>
      <c r="W184" s="5">
        <f>60*DEGREES(ACOS(SIN(Table1[[#This Row],[HomeLat]])*SIN(Table1[[#This Row],[VisitorLat]]) +COS(Table1[[#This Row],[HomeLat]])*COS(Table1[[#This Row],[VisitorLat]])*COS(ABS(Table1[[#This Row],[HomeLong]] -Table1[[#This Row],[VisitorLong]]))))</f>
        <v>726.02762859924019</v>
      </c>
      <c r="X184" s="6">
        <f>VLOOKUP(Table1[[#This Row],[HomeTeam]],TeamAttrs!$A$2:$K$20,5,FALSE)</f>
        <v>3230000</v>
      </c>
      <c r="Y184" s="6">
        <f>VLOOKUP(Table1[[#This Row],[HomeTeam]],TeamAttrs!$A$2:$K$20,9,FALSE)</f>
        <v>13056</v>
      </c>
      <c r="Z184" s="6">
        <f>VLOOKUP(Table1[[#This Row],[HomeTeam]],TeamAttrs!$A$2:$K$20,10,FALSE)</f>
        <v>18800</v>
      </c>
      <c r="AA184" s="6">
        <f>VLOOKUP(Table1[[#This Row],[HomeTeam]],TeamAttrs!$A$2:$K$20,11,FALSE)</f>
        <v>0.69446808510638303</v>
      </c>
    </row>
    <row r="185" spans="1:27" x14ac:dyDescent="0.25">
      <c r="A185" s="1">
        <v>41108</v>
      </c>
      <c r="B185" t="s">
        <v>13</v>
      </c>
      <c r="C185" t="str">
        <f>VLOOKUP(Table1[[#This Row],[HomeTeam]], TeamAttrs!$A$2:$B$20,2,FALSE)</f>
        <v>Hou</v>
      </c>
      <c r="D185">
        <v>2</v>
      </c>
      <c r="E185">
        <v>1</v>
      </c>
      <c r="F185">
        <f>Table1[[#This Row],[HomeTeamScore]]-Table1[[#This Row],[VisitorScore]]</f>
        <v>1</v>
      </c>
      <c r="G185" t="s">
        <v>6</v>
      </c>
      <c r="H185" t="str">
        <f>VLOOKUP(Table1[[#This Row],[VisitorTeam]],TeamAttrs!$A$2:$B$20, 2, FALSE)</f>
        <v>SKC</v>
      </c>
      <c r="I185">
        <f t="shared" si="8"/>
        <v>1</v>
      </c>
      <c r="J185">
        <f t="shared" si="9"/>
        <v>0</v>
      </c>
      <c r="K185">
        <f t="shared" si="10"/>
        <v>0</v>
      </c>
      <c r="L185">
        <f>3*Table1[HomeWin] +Table1[Draw]</f>
        <v>3</v>
      </c>
      <c r="M185">
        <f>3*Table1[HomeLoss]+Table1[Draw]</f>
        <v>0</v>
      </c>
      <c r="N185">
        <f>VLOOKUP(B185,TeamAttrs!$A$2:$C$20,3,FALSE)</f>
        <v>6</v>
      </c>
      <c r="O185">
        <f>VLOOKUP(G185,TeamAttrs!$A$2:$C$20,3,FALSE)</f>
        <v>6</v>
      </c>
      <c r="P185">
        <f t="shared" si="11"/>
        <v>0</v>
      </c>
      <c r="Q185">
        <f>VLOOKUP(B185,TeamAttrs!$A$2:$D$20,3,FALSE)</f>
        <v>6</v>
      </c>
      <c r="R185">
        <f>VLOOKUP(G185,TeamAttrs!$A$2:$D$20,3,FALSE)</f>
        <v>6</v>
      </c>
      <c r="S185">
        <f>RADIANS(VLOOKUP(Table1[[#This Row],[HomeTeam]],TeamAttrs!$A$2:$H$20,7, FALSE))</f>
        <v>0.52301758095738471</v>
      </c>
      <c r="T185">
        <f>RADIANS(VLOOKUP(Table1[[#This Row],[HomeTeam]],TeamAttrs!$A$2:$H$20, 8, FALSE))</f>
        <v>-1.6641714417765932</v>
      </c>
      <c r="U185">
        <f>RADIANS(VLOOKUP(Table1[[#This Row],[VisitorTeam]],TeamAttrs!$A$2:$H$20,7,FALSE))</f>
        <v>0.68271520751486592</v>
      </c>
      <c r="V185">
        <f>RADIANS(VLOOKUP(Table1[[#This Row],[VisitorTeam]], TeamAttrs!$A$2:$H$20,8,FALSE))</f>
        <v>-1.65166266702755</v>
      </c>
      <c r="W185" s="5">
        <f>60*DEGREES(ACOS(SIN(Table1[[#This Row],[HomeLat]])*SIN(Table1[[#This Row],[VisitorLat]]) +COS(Table1[[#This Row],[HomeLat]])*COS(Table1[[#This Row],[VisitorLat]])*COS(ABS(Table1[[#This Row],[HomeLong]] -Table1[[#This Row],[VisitorLong]]))))</f>
        <v>550.13561942068407</v>
      </c>
      <c r="X185" s="6">
        <f>VLOOKUP(Table1[[#This Row],[HomeTeam]],TeamAttrs!$A$2:$K$20,5,FALSE)</f>
        <v>3000000</v>
      </c>
      <c r="Y185" s="6">
        <f>VLOOKUP(Table1[[#This Row],[HomeTeam]],TeamAttrs!$A$2:$K$20,9,FALSE)</f>
        <v>20946</v>
      </c>
      <c r="Z185" s="6">
        <f>VLOOKUP(Table1[[#This Row],[HomeTeam]],TeamAttrs!$A$2:$K$20,10,FALSE)</f>
        <v>22000</v>
      </c>
      <c r="AA185" s="6">
        <f>VLOOKUP(Table1[[#This Row],[HomeTeam]],TeamAttrs!$A$2:$K$20,11,FALSE)</f>
        <v>0.9520909090909091</v>
      </c>
    </row>
    <row r="186" spans="1:27" x14ac:dyDescent="0.25">
      <c r="A186" s="1">
        <v>41108</v>
      </c>
      <c r="B186" t="s">
        <v>1</v>
      </c>
      <c r="C186" t="str">
        <f>VLOOKUP(Table1[[#This Row],[HomeTeam]], TeamAttrs!$A$2:$B$20,2,FALSE)</f>
        <v>Mntrl</v>
      </c>
      <c r="D186">
        <v>2</v>
      </c>
      <c r="E186">
        <v>1</v>
      </c>
      <c r="F186">
        <f>Table1[[#This Row],[HomeTeamScore]]-Table1[[#This Row],[VisitorScore]]</f>
        <v>1</v>
      </c>
      <c r="G186" t="s">
        <v>9</v>
      </c>
      <c r="H186" t="str">
        <f>VLOOKUP(Table1[[#This Row],[VisitorTeam]],TeamAttrs!$A$2:$B$20, 2, FALSE)</f>
        <v>NE</v>
      </c>
      <c r="I186">
        <f t="shared" si="8"/>
        <v>1</v>
      </c>
      <c r="J186">
        <f t="shared" si="9"/>
        <v>0</v>
      </c>
      <c r="K186">
        <f t="shared" si="10"/>
        <v>0</v>
      </c>
      <c r="L186">
        <f>3*Table1[HomeWin] +Table1[Draw]</f>
        <v>3</v>
      </c>
      <c r="M186">
        <f>3*Table1[HomeLoss]+Table1[Draw]</f>
        <v>0</v>
      </c>
      <c r="N186">
        <f>VLOOKUP(B186,TeamAttrs!$A$2:$C$20,3,FALSE)</f>
        <v>5</v>
      </c>
      <c r="O186">
        <f>VLOOKUP(G186,TeamAttrs!$A$2:$C$20,3,FALSE)</f>
        <v>5</v>
      </c>
      <c r="P186">
        <f t="shared" si="11"/>
        <v>0</v>
      </c>
      <c r="Q186">
        <f>VLOOKUP(B186,TeamAttrs!$A$2:$D$20,3,FALSE)</f>
        <v>5</v>
      </c>
      <c r="R186">
        <f>VLOOKUP(G186,TeamAttrs!$A$2:$D$20,3,FALSE)</f>
        <v>5</v>
      </c>
      <c r="S186">
        <f>RADIANS(VLOOKUP(Table1[[#This Row],[HomeTeam]],TeamAttrs!$A$2:$H$20,7, FALSE))</f>
        <v>0.79354361501650583</v>
      </c>
      <c r="T186">
        <f>RADIANS(VLOOKUP(Table1[[#This Row],[HomeTeam]],TeamAttrs!$A$2:$H$20, 8, FALSE))</f>
        <v>-1.2871803233458181</v>
      </c>
      <c r="U186">
        <f>RADIANS(VLOOKUP(Table1[[#This Row],[VisitorTeam]],TeamAttrs!$A$2:$H$20,7,FALSE))</f>
        <v>0.73943840820468165</v>
      </c>
      <c r="V186">
        <f>RADIANS(VLOOKUP(Table1[[#This Row],[VisitorTeam]], TeamAttrs!$A$2:$H$20,8,FALSE))</f>
        <v>-1.2397649635568881</v>
      </c>
      <c r="W186" s="5">
        <f>60*DEGREES(ACOS(SIN(Table1[[#This Row],[HomeLat]])*SIN(Table1[[#This Row],[VisitorLat]]) +COS(Table1[[#This Row],[HomeLat]])*COS(Table1[[#This Row],[VisitorLat]])*COS(ABS(Table1[[#This Row],[HomeLong]] -Table1[[#This Row],[VisitorLong]]))))</f>
        <v>219.92976036609551</v>
      </c>
      <c r="X186" s="6">
        <f>VLOOKUP(Table1[[#This Row],[HomeTeam]],TeamAttrs!$A$2:$K$20,5,FALSE)</f>
        <v>3030000</v>
      </c>
      <c r="Y186" s="6">
        <f>VLOOKUP(Table1[[#This Row],[HomeTeam]],TeamAttrs!$A$2:$K$20,9,FALSE)</f>
        <v>22772</v>
      </c>
      <c r="Z186" s="6">
        <f>VLOOKUP(Table1[[#This Row],[HomeTeam]],TeamAttrs!$A$2:$K$20,10,FALSE)</f>
        <v>20341</v>
      </c>
      <c r="AA186" s="6">
        <f>VLOOKUP(Table1[[#This Row],[HomeTeam]],TeamAttrs!$A$2:$K$20,11,FALSE)</f>
        <v>1.1195123150287596</v>
      </c>
    </row>
    <row r="187" spans="1:27" x14ac:dyDescent="0.25">
      <c r="A187" s="1">
        <v>41108</v>
      </c>
      <c r="B187" t="s">
        <v>15</v>
      </c>
      <c r="C187" t="str">
        <f>VLOOKUP(Table1[[#This Row],[HomeTeam]], TeamAttrs!$A$2:$B$20,2,FALSE)</f>
        <v>NY</v>
      </c>
      <c r="D187">
        <v>1</v>
      </c>
      <c r="E187">
        <v>0</v>
      </c>
      <c r="F187">
        <f>Table1[[#This Row],[HomeTeamScore]]-Table1[[#This Row],[VisitorScore]]</f>
        <v>1</v>
      </c>
      <c r="G187" t="s">
        <v>17</v>
      </c>
      <c r="H187" t="str">
        <f>VLOOKUP(Table1[[#This Row],[VisitorTeam]],TeamAttrs!$A$2:$B$20, 2, FALSE)</f>
        <v>Chi</v>
      </c>
      <c r="I187">
        <f t="shared" si="8"/>
        <v>1</v>
      </c>
      <c r="J187">
        <f t="shared" si="9"/>
        <v>0</v>
      </c>
      <c r="K187">
        <f t="shared" si="10"/>
        <v>0</v>
      </c>
      <c r="L187">
        <f>3*Table1[HomeWin] +Table1[Draw]</f>
        <v>3</v>
      </c>
      <c r="M187">
        <f>3*Table1[HomeLoss]+Table1[Draw]</f>
        <v>0</v>
      </c>
      <c r="N187">
        <f>VLOOKUP(B187,TeamAttrs!$A$2:$C$20,3,FALSE)</f>
        <v>5</v>
      </c>
      <c r="O187">
        <f>VLOOKUP(G187,TeamAttrs!$A$2:$C$20,3,FALSE)</f>
        <v>6</v>
      </c>
      <c r="P187">
        <f t="shared" si="11"/>
        <v>1</v>
      </c>
      <c r="Q187">
        <f>VLOOKUP(B187,TeamAttrs!$A$2:$D$20,3,FALSE)</f>
        <v>5</v>
      </c>
      <c r="R187">
        <f>VLOOKUP(G187,TeamAttrs!$A$2:$D$20,3,FALSE)</f>
        <v>6</v>
      </c>
      <c r="S187">
        <f>RADIANS(VLOOKUP(Table1[[#This Row],[HomeTeam]],TeamAttrs!$A$2:$H$20,7, FALSE))</f>
        <v>0.71180286482860333</v>
      </c>
      <c r="T187">
        <f>RADIANS(VLOOKUP(Table1[[#This Row],[HomeTeam]],TeamAttrs!$A$2:$H$20, 8, FALSE))</f>
        <v>-1.2909624518348899</v>
      </c>
      <c r="U187">
        <f>RADIANS(VLOOKUP(Table1[[#This Row],[VisitorTeam]],TeamAttrs!$A$2:$H$20,7,FALSE))</f>
        <v>0.72925615734854665</v>
      </c>
      <c r="V187">
        <f>RADIANS(VLOOKUP(Table1[[#This Row],[VisitorTeam]], TeamAttrs!$A$2:$H$20,8,FALSE))</f>
        <v>-1.5315264186250241</v>
      </c>
      <c r="W187" s="5">
        <f>60*DEGREES(ACOS(SIN(Table1[[#This Row],[HomeLat]])*SIN(Table1[[#This Row],[VisitorLat]]) +COS(Table1[[#This Row],[HomeLat]])*COS(Table1[[#This Row],[VisitorLat]])*COS(ABS(Table1[[#This Row],[HomeLong]] -Table1[[#This Row],[VisitorLong]]))))</f>
        <v>623.66546579347437</v>
      </c>
      <c r="X187" s="6">
        <f>VLOOKUP(Table1[[#This Row],[HomeTeam]],TeamAttrs!$A$2:$K$20,5,FALSE)</f>
        <v>12960000</v>
      </c>
      <c r="Y187" s="6">
        <f>VLOOKUP(Table1[[#This Row],[HomeTeam]],TeamAttrs!$A$2:$K$20,9,FALSE)</f>
        <v>18281</v>
      </c>
      <c r="Z187" s="6">
        <f>VLOOKUP(Table1[[#This Row],[HomeTeam]],TeamAttrs!$A$2:$K$20,10,FALSE)</f>
        <v>25000</v>
      </c>
      <c r="AA187" s="6">
        <f>VLOOKUP(Table1[[#This Row],[HomeTeam]],TeamAttrs!$A$2:$K$20,11,FALSE)</f>
        <v>0.73124</v>
      </c>
    </row>
    <row r="188" spans="1:27" x14ac:dyDescent="0.25">
      <c r="A188" s="1">
        <v>41108</v>
      </c>
      <c r="B188" t="s">
        <v>5</v>
      </c>
      <c r="C188" t="str">
        <f>VLOOKUP(Table1[[#This Row],[HomeTeam]], TeamAttrs!$A$2:$B$20,2,FALSE)</f>
        <v>SJE</v>
      </c>
      <c r="D188">
        <v>2</v>
      </c>
      <c r="E188">
        <v>1</v>
      </c>
      <c r="F188">
        <f>Table1[[#This Row],[HomeTeamScore]]-Table1[[#This Row],[VisitorScore]]</f>
        <v>1</v>
      </c>
      <c r="G188" t="s">
        <v>7</v>
      </c>
      <c r="H188" t="str">
        <f>VLOOKUP(Table1[[#This Row],[VisitorTeam]],TeamAttrs!$A$2:$B$20, 2, FALSE)</f>
        <v>FCDal</v>
      </c>
      <c r="I188">
        <f t="shared" si="8"/>
        <v>1</v>
      </c>
      <c r="J188">
        <f t="shared" si="9"/>
        <v>0</v>
      </c>
      <c r="K188">
        <f t="shared" si="10"/>
        <v>0</v>
      </c>
      <c r="L188">
        <f>3*Table1[HomeWin] +Table1[Draw]</f>
        <v>3</v>
      </c>
      <c r="M188">
        <f>3*Table1[HomeLoss]+Table1[Draw]</f>
        <v>0</v>
      </c>
      <c r="N188">
        <f>VLOOKUP(B188,TeamAttrs!$A$2:$C$20,3,FALSE)</f>
        <v>8</v>
      </c>
      <c r="O188">
        <f>VLOOKUP(G188,TeamAttrs!$A$2:$C$20,3,FALSE)</f>
        <v>6</v>
      </c>
      <c r="P188">
        <f t="shared" si="11"/>
        <v>-2</v>
      </c>
      <c r="Q188">
        <f>VLOOKUP(B188,TeamAttrs!$A$2:$D$20,3,FALSE)</f>
        <v>8</v>
      </c>
      <c r="R188">
        <f>VLOOKUP(G188,TeamAttrs!$A$2:$D$20,3,FALSE)</f>
        <v>6</v>
      </c>
      <c r="S188">
        <f>RADIANS(VLOOKUP(Table1[[#This Row],[HomeTeam]],TeamAttrs!$A$2:$H$20,7, FALSE))</f>
        <v>0.65217194560496516</v>
      </c>
      <c r="T188">
        <f>RADIANS(VLOOKUP(Table1[[#This Row],[HomeTeam]],TeamAttrs!$A$2:$H$20, 8, FALSE))</f>
        <v>-2.1281323168342459</v>
      </c>
      <c r="U188">
        <f>RADIANS(VLOOKUP(Table1[[#This Row],[VisitorTeam]],TeamAttrs!$A$2:$H$20,7,FALSE))</f>
        <v>0.57334065928013733</v>
      </c>
      <c r="V188">
        <f>RADIANS(VLOOKUP(Table1[[#This Row],[VisitorTeam]], TeamAttrs!$A$2:$H$20,8,FALSE))</f>
        <v>-1.690351380556508</v>
      </c>
      <c r="W188" s="5">
        <f>60*DEGREES(ACOS(SIN(Table1[[#This Row],[HomeLat]])*SIN(Table1[[#This Row],[VisitorLat]]) +COS(Table1[[#This Row],[HomeLat]])*COS(Table1[[#This Row],[VisitorLat]])*COS(ABS(Table1[[#This Row],[HomeLong]] -Table1[[#This Row],[VisitorLong]]))))</f>
        <v>1256.6548664398847</v>
      </c>
      <c r="X188" s="6">
        <f>VLOOKUP(Table1[[#This Row],[HomeTeam]],TeamAttrs!$A$2:$K$20,5,FALSE)</f>
        <v>3210000</v>
      </c>
      <c r="Y188" s="6">
        <f>VLOOKUP(Table1[[#This Row],[HomeTeam]],TeamAttrs!$A$2:$K$20,9,FALSE)</f>
        <v>13293</v>
      </c>
      <c r="Z188" s="6">
        <f>VLOOKUP(Table1[[#This Row],[HomeTeam]],TeamAttrs!$A$2:$K$20,10,FALSE)</f>
        <v>10525</v>
      </c>
      <c r="AA188" s="6">
        <f>VLOOKUP(Table1[[#This Row],[HomeTeam]],TeamAttrs!$A$2:$K$20,11,FALSE)</f>
        <v>1.2629928741092638</v>
      </c>
    </row>
    <row r="189" spans="1:27" x14ac:dyDescent="0.25">
      <c r="A189" s="1">
        <v>41108</v>
      </c>
      <c r="B189" t="s">
        <v>10</v>
      </c>
      <c r="C189" t="str">
        <f>VLOOKUP(Table1[[#This Row],[HomeTeam]], TeamAttrs!$A$2:$B$20,2,FALSE)</f>
        <v>Tor</v>
      </c>
      <c r="D189">
        <v>2</v>
      </c>
      <c r="E189">
        <v>1</v>
      </c>
      <c r="F189">
        <f>Table1[[#This Row],[HomeTeamScore]]-Table1[[#This Row],[VisitorScore]]</f>
        <v>1</v>
      </c>
      <c r="G189" t="s">
        <v>14</v>
      </c>
      <c r="H189" t="str">
        <f>VLOOKUP(Table1[[#This Row],[VisitorTeam]],TeamAttrs!$A$2:$B$20, 2, FALSE)</f>
        <v>ColRa</v>
      </c>
      <c r="I189">
        <f t="shared" si="8"/>
        <v>1</v>
      </c>
      <c r="J189">
        <f t="shared" si="9"/>
        <v>0</v>
      </c>
      <c r="K189">
        <f t="shared" si="10"/>
        <v>0</v>
      </c>
      <c r="L189">
        <f>3*Table1[HomeWin] +Table1[Draw]</f>
        <v>3</v>
      </c>
      <c r="M189">
        <f>3*Table1[HomeLoss]+Table1[Draw]</f>
        <v>0</v>
      </c>
      <c r="N189">
        <f>VLOOKUP(B189,TeamAttrs!$A$2:$C$20,3,FALSE)</f>
        <v>5</v>
      </c>
      <c r="O189">
        <f>VLOOKUP(G189,TeamAttrs!$A$2:$C$20,3,FALSE)</f>
        <v>7</v>
      </c>
      <c r="P189">
        <f t="shared" si="11"/>
        <v>2</v>
      </c>
      <c r="Q189">
        <f>VLOOKUP(B189,TeamAttrs!$A$2:$D$20,3,FALSE)</f>
        <v>5</v>
      </c>
      <c r="R189">
        <f>VLOOKUP(G189,TeamAttrs!$A$2:$D$20,3,FALSE)</f>
        <v>7</v>
      </c>
      <c r="S189">
        <f>RADIANS(VLOOKUP(Table1[[#This Row],[HomeTeam]],TeamAttrs!$A$2:$H$20,7, FALSE))</f>
        <v>0.76241741313643896</v>
      </c>
      <c r="T189">
        <f>RADIANS(VLOOKUP(Table1[[#This Row],[HomeTeam]],TeamAttrs!$A$2:$H$20, 8, FALSE))</f>
        <v>-1.3898632792284005</v>
      </c>
      <c r="U189">
        <f>RADIANS(VLOOKUP(Table1[[#This Row],[VisitorTeam]],TeamAttrs!$A$2:$H$20,7,FALSE))</f>
        <v>0.69376837766774602</v>
      </c>
      <c r="V189">
        <f>RADIANS(VLOOKUP(Table1[[#This Row],[VisitorTeam]], TeamAttrs!$A$2:$H$20,8,FALSE))</f>
        <v>-1.8302744266888937</v>
      </c>
      <c r="W189" s="5">
        <f>60*DEGREES(ACOS(SIN(Table1[[#This Row],[HomeLat]])*SIN(Table1[[#This Row],[VisitorLat]]) +COS(Table1[[#This Row],[HomeLat]])*COS(Table1[[#This Row],[VisitorLat]])*COS(ABS(Table1[[#This Row],[HomeLong]] -Table1[[#This Row],[VisitorLong]]))))</f>
        <v>1149.7764497862345</v>
      </c>
      <c r="X189" s="6">
        <f>VLOOKUP(Table1[[#This Row],[HomeTeam]],TeamAttrs!$A$2:$K$20,5,FALSE)</f>
        <v>8250000</v>
      </c>
      <c r="Y189" s="6">
        <f>VLOOKUP(Table1[[#This Row],[HomeTeam]],TeamAttrs!$A$2:$K$20,9,FALSE)</f>
        <v>18155</v>
      </c>
      <c r="Z189" s="6">
        <f>VLOOKUP(Table1[[#This Row],[HomeTeam]],TeamAttrs!$A$2:$K$20,10,FALSE)</f>
        <v>21140</v>
      </c>
      <c r="AA189" s="6">
        <f>VLOOKUP(Table1[[#This Row],[HomeTeam]],TeamAttrs!$A$2:$K$20,11,FALSE)</f>
        <v>0.85879848628193001</v>
      </c>
    </row>
    <row r="190" spans="1:27" x14ac:dyDescent="0.25">
      <c r="A190" s="1">
        <v>41108</v>
      </c>
      <c r="B190" t="s">
        <v>0</v>
      </c>
      <c r="C190" t="str">
        <f>VLOOKUP(Table1[[#This Row],[HomeTeam]], TeamAttrs!$A$2:$B$20,2,FALSE)</f>
        <v>Van</v>
      </c>
      <c r="D190">
        <v>2</v>
      </c>
      <c r="E190">
        <v>2</v>
      </c>
      <c r="F190">
        <f>Table1[[#This Row],[HomeTeamScore]]-Table1[[#This Row],[VisitorScore]]</f>
        <v>0</v>
      </c>
      <c r="G190" t="s">
        <v>16</v>
      </c>
      <c r="H190" t="str">
        <f>VLOOKUP(Table1[[#This Row],[VisitorTeam]],TeamAttrs!$A$2:$B$20, 2, FALSE)</f>
        <v>LAGxy</v>
      </c>
      <c r="I190">
        <f t="shared" si="8"/>
        <v>0</v>
      </c>
      <c r="J190">
        <f t="shared" si="9"/>
        <v>1</v>
      </c>
      <c r="K190">
        <f t="shared" si="10"/>
        <v>0</v>
      </c>
      <c r="L190">
        <f>3*Table1[HomeWin] +Table1[Draw]</f>
        <v>1</v>
      </c>
      <c r="M190">
        <f>3*Table1[HomeLoss]+Table1[Draw]</f>
        <v>1</v>
      </c>
      <c r="N190">
        <f>VLOOKUP(B190,TeamAttrs!$A$2:$C$20,3,FALSE)</f>
        <v>8</v>
      </c>
      <c r="O190">
        <f>VLOOKUP(G190,TeamAttrs!$A$2:$C$20,3,FALSE)</f>
        <v>8</v>
      </c>
      <c r="P190">
        <f t="shared" si="11"/>
        <v>0</v>
      </c>
      <c r="Q190">
        <f>VLOOKUP(B190,TeamAttrs!$A$2:$D$20,3,FALSE)</f>
        <v>8</v>
      </c>
      <c r="R190">
        <f>VLOOKUP(G190,TeamAttrs!$A$2:$D$20,3,FALSE)</f>
        <v>8</v>
      </c>
      <c r="S190">
        <f>RADIANS(VLOOKUP(Table1[[#This Row],[HomeTeam]],TeamAttrs!$A$2:$H$20,7, FALSE))</f>
        <v>0.86015585124812133</v>
      </c>
      <c r="T190">
        <f>RADIANS(VLOOKUP(Table1[[#This Row],[HomeTeam]],TeamAttrs!$A$2:$H$20, 8, FALSE))</f>
        <v>-2.1487970151778586</v>
      </c>
      <c r="U190">
        <f>RADIANS(VLOOKUP(Table1[[#This Row],[VisitorTeam]],TeamAttrs!$A$2:$H$20,7,FALSE))</f>
        <v>0.59224781106699187</v>
      </c>
      <c r="V190">
        <f>RADIANS(VLOOKUP(Table1[[#This Row],[VisitorTeam]], TeamAttrs!$A$2:$H$20,8,FALSE))</f>
        <v>-2.0664698343612864</v>
      </c>
      <c r="W190" s="5">
        <f>60*DEGREES(ACOS(SIN(Table1[[#This Row],[HomeLat]])*SIN(Table1[[#This Row],[VisitorLat]]) +COS(Table1[[#This Row],[HomeLat]])*COS(Table1[[#This Row],[VisitorLat]])*COS(ABS(Table1[[#This Row],[HomeLong]] -Table1[[#This Row],[VisitorLong]]))))</f>
        <v>944.51302004211243</v>
      </c>
      <c r="X190" s="6">
        <f>VLOOKUP(Table1[[#This Row],[HomeTeam]],TeamAttrs!$A$2:$K$20,5,FALSE)</f>
        <v>4370000</v>
      </c>
      <c r="Y190" s="6">
        <f>VLOOKUP(Table1[[#This Row],[HomeTeam]],TeamAttrs!$A$2:$K$20,9,FALSE)</f>
        <v>19475</v>
      </c>
      <c r="Z190" s="6">
        <f>VLOOKUP(Table1[[#This Row],[HomeTeam]],TeamAttrs!$A$2:$K$20,10,FALSE)</f>
        <v>21000</v>
      </c>
      <c r="AA190" s="6">
        <f>VLOOKUP(Table1[[#This Row],[HomeTeam]],TeamAttrs!$A$2:$K$20,11,FALSE)</f>
        <v>0.92738095238095242</v>
      </c>
    </row>
    <row r="191" spans="1:27" x14ac:dyDescent="0.25">
      <c r="A191" s="1">
        <v>41111</v>
      </c>
      <c r="B191" t="s">
        <v>8</v>
      </c>
      <c r="C191" t="str">
        <f>VLOOKUP(Table1[[#This Row],[HomeTeam]], TeamAttrs!$A$2:$B$20,2,FALSE)</f>
        <v>Colum</v>
      </c>
      <c r="D191">
        <v>1</v>
      </c>
      <c r="E191">
        <v>0</v>
      </c>
      <c r="F191">
        <f>Table1[[#This Row],[HomeTeamScore]]-Table1[[#This Row],[VisitorScore]]</f>
        <v>1</v>
      </c>
      <c r="G191" t="s">
        <v>3</v>
      </c>
      <c r="H191" t="str">
        <f>VLOOKUP(Table1[[#This Row],[VisitorTeam]],TeamAttrs!$A$2:$B$20, 2, FALSE)</f>
        <v>DCU</v>
      </c>
      <c r="I191">
        <f t="shared" si="8"/>
        <v>1</v>
      </c>
      <c r="J191">
        <f t="shared" si="9"/>
        <v>0</v>
      </c>
      <c r="K191">
        <f t="shared" si="10"/>
        <v>0</v>
      </c>
      <c r="L191">
        <f>3*Table1[HomeWin] +Table1[Draw]</f>
        <v>3</v>
      </c>
      <c r="M191">
        <f>3*Table1[HomeLoss]+Table1[Draw]</f>
        <v>0</v>
      </c>
      <c r="N191">
        <f>VLOOKUP(B191,TeamAttrs!$A$2:$C$20,3,FALSE)</f>
        <v>5</v>
      </c>
      <c r="O191">
        <f>VLOOKUP(G191,TeamAttrs!$A$2:$C$20,3,FALSE)</f>
        <v>5</v>
      </c>
      <c r="P191">
        <f t="shared" si="11"/>
        <v>0</v>
      </c>
      <c r="Q191">
        <f>VLOOKUP(B191,TeamAttrs!$A$2:$D$20,3,FALSE)</f>
        <v>5</v>
      </c>
      <c r="R191">
        <f>VLOOKUP(G191,TeamAttrs!$A$2:$D$20,3,FALSE)</f>
        <v>5</v>
      </c>
      <c r="S191">
        <f>RADIANS(VLOOKUP(Table1[[#This Row],[HomeTeam]],TeamAttrs!$A$2:$H$20,7, FALSE))</f>
        <v>0.69813170079773179</v>
      </c>
      <c r="T191">
        <f>RADIANS(VLOOKUP(Table1[[#This Row],[HomeTeam]],TeamAttrs!$A$2:$H$20, 8, FALSE))</f>
        <v>-1.4465864799182162</v>
      </c>
      <c r="U191">
        <f>RADIANS(VLOOKUP(Table1[[#This Row],[VisitorTeam]],TeamAttrs!$A$2:$H$20,7,FALSE))</f>
        <v>0.67806041439979703</v>
      </c>
      <c r="V191">
        <f>RADIANS(VLOOKUP(Table1[[#This Row],[VisitorTeam]], TeamAttrs!$A$2:$H$20,8,FALSE))</f>
        <v>-1.3444847186765478</v>
      </c>
      <c r="W191" s="5">
        <f>60*DEGREES(ACOS(SIN(Table1[[#This Row],[HomeLat]])*SIN(Table1[[#This Row],[VisitorLat]]) +COS(Table1[[#This Row],[HomeLat]])*COS(Table1[[#This Row],[VisitorLat]])*COS(ABS(Table1[[#This Row],[HomeLong]] -Table1[[#This Row],[VisitorLong]]))))</f>
        <v>279.71495170162672</v>
      </c>
      <c r="X191" s="6">
        <f>VLOOKUP(Table1[[#This Row],[HomeTeam]],TeamAttrs!$A$2:$K$20,5,FALSE)</f>
        <v>3330000</v>
      </c>
      <c r="Y191" s="6">
        <f>VLOOKUP(Table1[[#This Row],[HomeTeam]],TeamAttrs!$A$2:$K$20,9,FALSE)</f>
        <v>14397</v>
      </c>
      <c r="Z191" s="6">
        <f>VLOOKUP(Table1[[#This Row],[HomeTeam]],TeamAttrs!$A$2:$K$20,10,FALSE)</f>
        <v>20145</v>
      </c>
      <c r="AA191" s="6">
        <f>VLOOKUP(Table1[[#This Row],[HomeTeam]],TeamAttrs!$A$2:$K$20,11,FALSE)</f>
        <v>0.71466865227103504</v>
      </c>
    </row>
    <row r="192" spans="1:27" x14ac:dyDescent="0.25">
      <c r="A192" s="1">
        <v>41111</v>
      </c>
      <c r="B192" t="s">
        <v>7</v>
      </c>
      <c r="C192" t="str">
        <f>VLOOKUP(Table1[[#This Row],[HomeTeam]], TeamAttrs!$A$2:$B$20,2,FALSE)</f>
        <v>FCDal</v>
      </c>
      <c r="D192">
        <v>5</v>
      </c>
      <c r="E192">
        <v>0</v>
      </c>
      <c r="F192">
        <f>Table1[[#This Row],[HomeTeamScore]]-Table1[[#This Row],[VisitorScore]]</f>
        <v>5</v>
      </c>
      <c r="G192" t="s">
        <v>12</v>
      </c>
      <c r="H192" t="str">
        <f>VLOOKUP(Table1[[#This Row],[VisitorTeam]],TeamAttrs!$A$2:$B$20, 2, FALSE)</f>
        <v>Port</v>
      </c>
      <c r="I192">
        <f t="shared" si="8"/>
        <v>1</v>
      </c>
      <c r="J192">
        <f t="shared" si="9"/>
        <v>0</v>
      </c>
      <c r="K192">
        <f t="shared" si="10"/>
        <v>0</v>
      </c>
      <c r="L192">
        <f>3*Table1[HomeWin] +Table1[Draw]</f>
        <v>3</v>
      </c>
      <c r="M192">
        <f>3*Table1[HomeLoss]+Table1[Draw]</f>
        <v>0</v>
      </c>
      <c r="N192">
        <f>VLOOKUP(B192,TeamAttrs!$A$2:$C$20,3,FALSE)</f>
        <v>6</v>
      </c>
      <c r="O192">
        <f>VLOOKUP(G192,TeamAttrs!$A$2:$C$20,3,FALSE)</f>
        <v>8</v>
      </c>
      <c r="P192">
        <f t="shared" si="11"/>
        <v>2</v>
      </c>
      <c r="Q192">
        <f>VLOOKUP(B192,TeamAttrs!$A$2:$D$20,3,FALSE)</f>
        <v>6</v>
      </c>
      <c r="R192">
        <f>VLOOKUP(G192,TeamAttrs!$A$2:$D$20,3,FALSE)</f>
        <v>8</v>
      </c>
      <c r="S192">
        <f>RADIANS(VLOOKUP(Table1[[#This Row],[HomeTeam]],TeamAttrs!$A$2:$H$20,7, FALSE))</f>
        <v>0.57334065928013733</v>
      </c>
      <c r="T192">
        <f>RADIANS(VLOOKUP(Table1[[#This Row],[HomeTeam]],TeamAttrs!$A$2:$H$20, 8, FALSE))</f>
        <v>-1.690351380556508</v>
      </c>
      <c r="U192">
        <f>RADIANS(VLOOKUP(Table1[[#This Row],[VisitorTeam]],TeamAttrs!$A$2:$H$20,7,FALSE))</f>
        <v>0.79587013890941427</v>
      </c>
      <c r="V192">
        <f>RADIANS(VLOOKUP(Table1[[#This Row],[VisitorTeam]], TeamAttrs!$A$2:$H$20,8,FALSE))</f>
        <v>-2.1397736629450481</v>
      </c>
      <c r="W192" s="5">
        <f>60*DEGREES(ACOS(SIN(Table1[[#This Row],[HomeLat]])*SIN(Table1[[#This Row],[VisitorLat]]) +COS(Table1[[#This Row],[HomeLat]])*COS(Table1[[#This Row],[VisitorLat]])*COS(ABS(Table1[[#This Row],[HomeLong]] -Table1[[#This Row],[VisitorLong]]))))</f>
        <v>1410.7378651362624</v>
      </c>
      <c r="X192" s="6">
        <f>VLOOKUP(Table1[[#This Row],[HomeTeam]],TeamAttrs!$A$2:$K$20,5,FALSE)</f>
        <v>3450000</v>
      </c>
      <c r="Y192" s="6">
        <f>VLOOKUP(Table1[[#This Row],[HomeTeam]],TeamAttrs!$A$2:$K$20,9,FALSE)</f>
        <v>14199</v>
      </c>
      <c r="Z192" s="6">
        <f>VLOOKUP(Table1[[#This Row],[HomeTeam]],TeamAttrs!$A$2:$K$20,10,FALSE)</f>
        <v>20500</v>
      </c>
      <c r="AA192" s="6">
        <f>VLOOKUP(Table1[[#This Row],[HomeTeam]],TeamAttrs!$A$2:$K$20,11,FALSE)</f>
        <v>0.69263414634146336</v>
      </c>
    </row>
    <row r="193" spans="1:27" x14ac:dyDescent="0.25">
      <c r="A193" s="1">
        <v>41111</v>
      </c>
      <c r="B193" t="s">
        <v>13</v>
      </c>
      <c r="C193" t="str">
        <f>VLOOKUP(Table1[[#This Row],[HomeTeam]], TeamAttrs!$A$2:$B$20,2,FALSE)</f>
        <v>Hou</v>
      </c>
      <c r="D193">
        <v>3</v>
      </c>
      <c r="E193">
        <v>0</v>
      </c>
      <c r="F193">
        <f>Table1[[#This Row],[HomeTeamScore]]-Table1[[#This Row],[VisitorScore]]</f>
        <v>3</v>
      </c>
      <c r="G193" t="s">
        <v>1</v>
      </c>
      <c r="H193" t="str">
        <f>VLOOKUP(Table1[[#This Row],[VisitorTeam]],TeamAttrs!$A$2:$B$20, 2, FALSE)</f>
        <v>Mntrl</v>
      </c>
      <c r="I193">
        <f t="shared" si="8"/>
        <v>1</v>
      </c>
      <c r="J193">
        <f t="shared" si="9"/>
        <v>0</v>
      </c>
      <c r="K193">
        <f t="shared" si="10"/>
        <v>0</v>
      </c>
      <c r="L193">
        <f>3*Table1[HomeWin] +Table1[Draw]</f>
        <v>3</v>
      </c>
      <c r="M193">
        <f>3*Table1[HomeLoss]+Table1[Draw]</f>
        <v>0</v>
      </c>
      <c r="N193">
        <f>VLOOKUP(B193,TeamAttrs!$A$2:$C$20,3,FALSE)</f>
        <v>6</v>
      </c>
      <c r="O193">
        <f>VLOOKUP(G193,TeamAttrs!$A$2:$C$20,3,FALSE)</f>
        <v>5</v>
      </c>
      <c r="P193">
        <f t="shared" si="11"/>
        <v>-1</v>
      </c>
      <c r="Q193">
        <f>VLOOKUP(B193,TeamAttrs!$A$2:$D$20,3,FALSE)</f>
        <v>6</v>
      </c>
      <c r="R193">
        <f>VLOOKUP(G193,TeamAttrs!$A$2:$D$20,3,FALSE)</f>
        <v>5</v>
      </c>
      <c r="S193">
        <f>RADIANS(VLOOKUP(Table1[[#This Row],[HomeTeam]],TeamAttrs!$A$2:$H$20,7, FALSE))</f>
        <v>0.52301758095738471</v>
      </c>
      <c r="T193">
        <f>RADIANS(VLOOKUP(Table1[[#This Row],[HomeTeam]],TeamAttrs!$A$2:$H$20, 8, FALSE))</f>
        <v>-1.6641714417765932</v>
      </c>
      <c r="U193">
        <f>RADIANS(VLOOKUP(Table1[[#This Row],[VisitorTeam]],TeamAttrs!$A$2:$H$20,7,FALSE))</f>
        <v>0.79354361501650583</v>
      </c>
      <c r="V193">
        <f>RADIANS(VLOOKUP(Table1[[#This Row],[VisitorTeam]], TeamAttrs!$A$2:$H$20,8,FALSE))</f>
        <v>-1.2871803233458181</v>
      </c>
      <c r="W193" s="5">
        <f>60*DEGREES(ACOS(SIN(Table1[[#This Row],[HomeLat]])*SIN(Table1[[#This Row],[VisitorLat]]) +COS(Table1[[#This Row],[HomeLat]])*COS(Table1[[#This Row],[VisitorLat]])*COS(ABS(Table1[[#This Row],[HomeLong]] -Table1[[#This Row],[VisitorLong]]))))</f>
        <v>1375.9467217025399</v>
      </c>
      <c r="X193" s="6">
        <f>VLOOKUP(Table1[[#This Row],[HomeTeam]],TeamAttrs!$A$2:$K$20,5,FALSE)</f>
        <v>3000000</v>
      </c>
      <c r="Y193" s="6">
        <f>VLOOKUP(Table1[[#This Row],[HomeTeam]],TeamAttrs!$A$2:$K$20,9,FALSE)</f>
        <v>20946</v>
      </c>
      <c r="Z193" s="6">
        <f>VLOOKUP(Table1[[#This Row],[HomeTeam]],TeamAttrs!$A$2:$K$20,10,FALSE)</f>
        <v>22000</v>
      </c>
      <c r="AA193" s="6">
        <f>VLOOKUP(Table1[[#This Row],[HomeTeam]],TeamAttrs!$A$2:$K$20,11,FALSE)</f>
        <v>0.9520909090909091</v>
      </c>
    </row>
    <row r="194" spans="1:27" x14ac:dyDescent="0.25">
      <c r="A194" s="1">
        <v>41111</v>
      </c>
      <c r="B194" t="s">
        <v>16</v>
      </c>
      <c r="C194" t="str">
        <f>VLOOKUP(Table1[[#This Row],[HomeTeam]], TeamAttrs!$A$2:$B$20,2,FALSE)</f>
        <v>LAGxy</v>
      </c>
      <c r="D194">
        <v>3</v>
      </c>
      <c r="E194">
        <v>1</v>
      </c>
      <c r="F194">
        <f>Table1[[#This Row],[HomeTeamScore]]-Table1[[#This Row],[VisitorScore]]</f>
        <v>2</v>
      </c>
      <c r="G194" t="s">
        <v>2</v>
      </c>
      <c r="H194" t="str">
        <f>VLOOKUP(Table1[[#This Row],[VisitorTeam]],TeamAttrs!$A$2:$B$20, 2, FALSE)</f>
        <v>Chiv</v>
      </c>
      <c r="I194">
        <f t="shared" ref="I194:I257" si="12">IF(D194&gt;E194, 1,0)</f>
        <v>1</v>
      </c>
      <c r="J194">
        <f t="shared" ref="J194:J257" si="13">IF(D194=E194, 1, 0)</f>
        <v>0</v>
      </c>
      <c r="K194">
        <f t="shared" ref="K194:K257" si="14">IF(E194&gt;D194, 1,0)</f>
        <v>0</v>
      </c>
      <c r="L194">
        <f>3*Table1[HomeWin] +Table1[Draw]</f>
        <v>3</v>
      </c>
      <c r="M194">
        <f>3*Table1[HomeLoss]+Table1[Draw]</f>
        <v>0</v>
      </c>
      <c r="N194">
        <f>VLOOKUP(B194,TeamAttrs!$A$2:$C$20,3,FALSE)</f>
        <v>8</v>
      </c>
      <c r="O194">
        <f>VLOOKUP(G194,TeamAttrs!$A$2:$C$20,3,FALSE)</f>
        <v>8</v>
      </c>
      <c r="P194">
        <f t="shared" ref="P194:P257" si="15">O194-N194</f>
        <v>0</v>
      </c>
      <c r="Q194">
        <f>VLOOKUP(B194,TeamAttrs!$A$2:$D$20,3,FALSE)</f>
        <v>8</v>
      </c>
      <c r="R194">
        <f>VLOOKUP(G194,TeamAttrs!$A$2:$D$20,3,FALSE)</f>
        <v>8</v>
      </c>
      <c r="S194">
        <f>RADIANS(VLOOKUP(Table1[[#This Row],[HomeTeam]],TeamAttrs!$A$2:$H$20,7, FALSE))</f>
        <v>0.59224781106699187</v>
      </c>
      <c r="T194">
        <f>RADIANS(VLOOKUP(Table1[[#This Row],[HomeTeam]],TeamAttrs!$A$2:$H$20, 8, FALSE))</f>
        <v>-2.0664698343612864</v>
      </c>
      <c r="U194">
        <f>RADIANS(VLOOKUP(Table1[[#This Row],[VisitorTeam]],TeamAttrs!$A$2:$H$20,7,FALSE))</f>
        <v>0.59224781106699187</v>
      </c>
      <c r="V194">
        <f>RADIANS(VLOOKUP(Table1[[#This Row],[VisitorTeam]], TeamAttrs!$A$2:$H$20,8,FALSE))</f>
        <v>-2.0664698343612864</v>
      </c>
      <c r="W194" s="5">
        <f>60*DEGREES(ACOS(SIN(Table1[[#This Row],[HomeLat]])*SIN(Table1[[#This Row],[VisitorLat]]) +COS(Table1[[#This Row],[HomeLat]])*COS(Table1[[#This Row],[VisitorLat]])*COS(ABS(Table1[[#This Row],[HomeLong]] -Table1[[#This Row],[VisitorLong]]))))</f>
        <v>0</v>
      </c>
      <c r="X194" s="6">
        <f>VLOOKUP(Table1[[#This Row],[HomeTeam]],TeamAttrs!$A$2:$K$20,5,FALSE)</f>
        <v>12630000</v>
      </c>
      <c r="Y194" s="6">
        <f>VLOOKUP(Table1[[#This Row],[HomeTeam]],TeamAttrs!$A$2:$K$20,9,FALSE)</f>
        <v>23136</v>
      </c>
      <c r="Z194" s="6">
        <f>VLOOKUP(Table1[[#This Row],[HomeTeam]],TeamAttrs!$A$2:$K$20,10,FALSE)</f>
        <v>27000</v>
      </c>
      <c r="AA194" s="6">
        <f>VLOOKUP(Table1[[#This Row],[HomeTeam]],TeamAttrs!$A$2:$K$20,11,FALSE)</f>
        <v>0.85688888888888892</v>
      </c>
    </row>
    <row r="195" spans="1:27" x14ac:dyDescent="0.25">
      <c r="A195" s="1">
        <v>41111</v>
      </c>
      <c r="B195" t="s">
        <v>15</v>
      </c>
      <c r="C195" t="str">
        <f>VLOOKUP(Table1[[#This Row],[HomeTeam]], TeamAttrs!$A$2:$B$20,2,FALSE)</f>
        <v>NY</v>
      </c>
      <c r="D195">
        <v>2</v>
      </c>
      <c r="E195">
        <v>0</v>
      </c>
      <c r="F195">
        <f>Table1[[#This Row],[HomeTeamScore]]-Table1[[#This Row],[VisitorScore]]</f>
        <v>2</v>
      </c>
      <c r="G195" t="s">
        <v>4</v>
      </c>
      <c r="H195" t="str">
        <f>VLOOKUP(Table1[[#This Row],[VisitorTeam]],TeamAttrs!$A$2:$B$20, 2, FALSE)</f>
        <v>Phil</v>
      </c>
      <c r="I195">
        <f t="shared" si="12"/>
        <v>1</v>
      </c>
      <c r="J195">
        <f t="shared" si="13"/>
        <v>0</v>
      </c>
      <c r="K195">
        <f t="shared" si="14"/>
        <v>0</v>
      </c>
      <c r="L195">
        <f>3*Table1[HomeWin] +Table1[Draw]</f>
        <v>3</v>
      </c>
      <c r="M195">
        <f>3*Table1[HomeLoss]+Table1[Draw]</f>
        <v>0</v>
      </c>
      <c r="N195">
        <f>VLOOKUP(B195,TeamAttrs!$A$2:$C$20,3,FALSE)</f>
        <v>5</v>
      </c>
      <c r="O195">
        <f>VLOOKUP(G195,TeamAttrs!$A$2:$C$20,3,FALSE)</f>
        <v>5</v>
      </c>
      <c r="P195">
        <f t="shared" si="15"/>
        <v>0</v>
      </c>
      <c r="Q195">
        <f>VLOOKUP(B195,TeamAttrs!$A$2:$D$20,3,FALSE)</f>
        <v>5</v>
      </c>
      <c r="R195">
        <f>VLOOKUP(G195,TeamAttrs!$A$2:$D$20,3,FALSE)</f>
        <v>5</v>
      </c>
      <c r="S195">
        <f>RADIANS(VLOOKUP(Table1[[#This Row],[HomeTeam]],TeamAttrs!$A$2:$H$20,7, FALSE))</f>
        <v>0.71180286482860333</v>
      </c>
      <c r="T195">
        <f>RADIANS(VLOOKUP(Table1[[#This Row],[HomeTeam]],TeamAttrs!$A$2:$H$20, 8, FALSE))</f>
        <v>-1.2909624518348899</v>
      </c>
      <c r="U195">
        <f>RADIANS(VLOOKUP(Table1[[#This Row],[VisitorTeam]],TeamAttrs!$A$2:$H$20,7,FALSE))</f>
        <v>0.69609490156065446</v>
      </c>
      <c r="V195">
        <f>RADIANS(VLOOKUP(Table1[[#This Row],[VisitorTeam]], TeamAttrs!$A$2:$H$20,8,FALSE))</f>
        <v>-1.313360262125733</v>
      </c>
      <c r="W195" s="5">
        <f>60*DEGREES(ACOS(SIN(Table1[[#This Row],[HomeLat]])*SIN(Table1[[#This Row],[VisitorLat]]) +COS(Table1[[#This Row],[HomeLat]])*COS(Table1[[#This Row],[VisitorLat]])*COS(ABS(Table1[[#This Row],[HomeLong]] -Table1[[#This Row],[VisitorLong]]))))</f>
        <v>79.754727185209106</v>
      </c>
      <c r="X195" s="6">
        <f>VLOOKUP(Table1[[#This Row],[HomeTeam]],TeamAttrs!$A$2:$K$20,5,FALSE)</f>
        <v>12960000</v>
      </c>
      <c r="Y195" s="6">
        <f>VLOOKUP(Table1[[#This Row],[HomeTeam]],TeamAttrs!$A$2:$K$20,9,FALSE)</f>
        <v>18281</v>
      </c>
      <c r="Z195" s="6">
        <f>VLOOKUP(Table1[[#This Row],[HomeTeam]],TeamAttrs!$A$2:$K$20,10,FALSE)</f>
        <v>25000</v>
      </c>
      <c r="AA195" s="6">
        <f>VLOOKUP(Table1[[#This Row],[HomeTeam]],TeamAttrs!$A$2:$K$20,11,FALSE)</f>
        <v>0.73124</v>
      </c>
    </row>
    <row r="196" spans="1:27" x14ac:dyDescent="0.25">
      <c r="A196" s="1">
        <v>41111</v>
      </c>
      <c r="B196" t="s">
        <v>18</v>
      </c>
      <c r="C196" t="str">
        <f>VLOOKUP(Table1[[#This Row],[HomeTeam]], TeamAttrs!$A$2:$B$20,2,FALSE)</f>
        <v>RSL</v>
      </c>
      <c r="D196">
        <v>2</v>
      </c>
      <c r="E196">
        <v>0</v>
      </c>
      <c r="F196">
        <f>Table1[[#This Row],[HomeTeamScore]]-Table1[[#This Row],[VisitorScore]]</f>
        <v>2</v>
      </c>
      <c r="G196" t="s">
        <v>14</v>
      </c>
      <c r="H196" t="str">
        <f>VLOOKUP(Table1[[#This Row],[VisitorTeam]],TeamAttrs!$A$2:$B$20, 2, FALSE)</f>
        <v>ColRa</v>
      </c>
      <c r="I196">
        <f t="shared" si="12"/>
        <v>1</v>
      </c>
      <c r="J196">
        <f t="shared" si="13"/>
        <v>0</v>
      </c>
      <c r="K196">
        <f t="shared" si="14"/>
        <v>0</v>
      </c>
      <c r="L196">
        <f>3*Table1[HomeWin] +Table1[Draw]</f>
        <v>3</v>
      </c>
      <c r="M196">
        <f>3*Table1[HomeLoss]+Table1[Draw]</f>
        <v>0</v>
      </c>
      <c r="N196">
        <f>VLOOKUP(B196,TeamAttrs!$A$2:$C$20,3,FALSE)</f>
        <v>7</v>
      </c>
      <c r="O196">
        <f>VLOOKUP(G196,TeamAttrs!$A$2:$C$20,3,FALSE)</f>
        <v>7</v>
      </c>
      <c r="P196">
        <f t="shared" si="15"/>
        <v>0</v>
      </c>
      <c r="Q196">
        <f>VLOOKUP(B196,TeamAttrs!$A$2:$D$20,3,FALSE)</f>
        <v>7</v>
      </c>
      <c r="R196">
        <f>VLOOKUP(G196,TeamAttrs!$A$2:$D$20,3,FALSE)</f>
        <v>7</v>
      </c>
      <c r="S196">
        <f>RADIANS(VLOOKUP(Table1[[#This Row],[HomeTeam]],TeamAttrs!$A$2:$H$20,7, FALSE))</f>
        <v>0.71151314017277234</v>
      </c>
      <c r="T196">
        <f>RADIANS(VLOOKUP(Table1[[#This Row],[HomeTeam]],TeamAttrs!$A$2:$H$20, 8, FALSE))</f>
        <v>-1.954192803580491</v>
      </c>
      <c r="U196">
        <f>RADIANS(VLOOKUP(Table1[[#This Row],[VisitorTeam]],TeamAttrs!$A$2:$H$20,7,FALSE))</f>
        <v>0.69376837766774602</v>
      </c>
      <c r="V196">
        <f>RADIANS(VLOOKUP(Table1[[#This Row],[VisitorTeam]], TeamAttrs!$A$2:$H$20,8,FALSE))</f>
        <v>-1.8302744266888937</v>
      </c>
      <c r="W196" s="5">
        <f>60*DEGREES(ACOS(SIN(Table1[[#This Row],[HomeLat]])*SIN(Table1[[#This Row],[VisitorLat]]) +COS(Table1[[#This Row],[HomeLat]])*COS(Table1[[#This Row],[VisitorLat]])*COS(ABS(Table1[[#This Row],[HomeLong]] -Table1[[#This Row],[VisitorLong]]))))</f>
        <v>330.67202788672762</v>
      </c>
      <c r="X196" s="6">
        <f>VLOOKUP(Table1[[#This Row],[HomeTeam]],TeamAttrs!$A$2:$K$20,5,FALSE)</f>
        <v>3520000</v>
      </c>
      <c r="Y196" s="6">
        <f>VLOOKUP(Table1[[#This Row],[HomeTeam]],TeamAttrs!$A$2:$K$20,9,FALSE)</f>
        <v>19087</v>
      </c>
      <c r="Z196" s="6">
        <f>VLOOKUP(Table1[[#This Row],[HomeTeam]],TeamAttrs!$A$2:$K$20,10,FALSE)</f>
        <v>20213</v>
      </c>
      <c r="AA196" s="6">
        <f>VLOOKUP(Table1[[#This Row],[HomeTeam]],TeamAttrs!$A$2:$K$20,11,FALSE)</f>
        <v>0.94429327660416562</v>
      </c>
    </row>
    <row r="197" spans="1:27" x14ac:dyDescent="0.25">
      <c r="A197" s="1">
        <v>41111</v>
      </c>
      <c r="B197" t="s">
        <v>6</v>
      </c>
      <c r="C197" t="str">
        <f>VLOOKUP(Table1[[#This Row],[HomeTeam]], TeamAttrs!$A$2:$B$20,2,FALSE)</f>
        <v>SKC</v>
      </c>
      <c r="D197">
        <v>0</v>
      </c>
      <c r="E197">
        <v>0</v>
      </c>
      <c r="F197">
        <f>Table1[[#This Row],[HomeTeamScore]]-Table1[[#This Row],[VisitorScore]]</f>
        <v>0</v>
      </c>
      <c r="G197" t="s">
        <v>9</v>
      </c>
      <c r="H197" t="str">
        <f>VLOOKUP(Table1[[#This Row],[VisitorTeam]],TeamAttrs!$A$2:$B$20, 2, FALSE)</f>
        <v>NE</v>
      </c>
      <c r="I197">
        <f t="shared" si="12"/>
        <v>0</v>
      </c>
      <c r="J197">
        <f t="shared" si="13"/>
        <v>1</v>
      </c>
      <c r="K197">
        <f t="shared" si="14"/>
        <v>0</v>
      </c>
      <c r="L197">
        <f>3*Table1[HomeWin] +Table1[Draw]</f>
        <v>1</v>
      </c>
      <c r="M197">
        <f>3*Table1[HomeLoss]+Table1[Draw]</f>
        <v>1</v>
      </c>
      <c r="N197">
        <f>VLOOKUP(B197,TeamAttrs!$A$2:$C$20,3,FALSE)</f>
        <v>6</v>
      </c>
      <c r="O197">
        <f>VLOOKUP(G197,TeamAttrs!$A$2:$C$20,3,FALSE)</f>
        <v>5</v>
      </c>
      <c r="P197">
        <f t="shared" si="15"/>
        <v>-1</v>
      </c>
      <c r="Q197">
        <f>VLOOKUP(B197,TeamAttrs!$A$2:$D$20,3,FALSE)</f>
        <v>6</v>
      </c>
      <c r="R197">
        <f>VLOOKUP(G197,TeamAttrs!$A$2:$D$20,3,FALSE)</f>
        <v>5</v>
      </c>
      <c r="S197">
        <f>RADIANS(VLOOKUP(Table1[[#This Row],[HomeTeam]],TeamAttrs!$A$2:$H$20,7, FALSE))</f>
        <v>0.68271520751486592</v>
      </c>
      <c r="T197">
        <f>RADIANS(VLOOKUP(Table1[[#This Row],[HomeTeam]],TeamAttrs!$A$2:$H$20, 8, FALSE))</f>
        <v>-1.65166266702755</v>
      </c>
      <c r="U197">
        <f>RADIANS(VLOOKUP(Table1[[#This Row],[VisitorTeam]],TeamAttrs!$A$2:$H$20,7,FALSE))</f>
        <v>0.73943840820468165</v>
      </c>
      <c r="V197">
        <f>RADIANS(VLOOKUP(Table1[[#This Row],[VisitorTeam]], TeamAttrs!$A$2:$H$20,8,FALSE))</f>
        <v>-1.2397649635568881</v>
      </c>
      <c r="W197" s="5">
        <f>60*DEGREES(ACOS(SIN(Table1[[#This Row],[HomeLat]])*SIN(Table1[[#This Row],[VisitorLat]]) +COS(Table1[[#This Row],[HomeLat]])*COS(Table1[[#This Row],[VisitorLat]])*COS(ABS(Table1[[#This Row],[HomeLong]] -Table1[[#This Row],[VisitorLong]]))))</f>
        <v>1086.7589219617198</v>
      </c>
      <c r="X197" s="6">
        <f>VLOOKUP(Table1[[#This Row],[HomeTeam]],TeamAttrs!$A$2:$K$20,5,FALSE)</f>
        <v>3120000</v>
      </c>
      <c r="Y197" s="6">
        <f>VLOOKUP(Table1[[#This Row],[HomeTeam]],TeamAttrs!$A$2:$K$20,9,FALSE)</f>
        <v>19404</v>
      </c>
      <c r="Z197" s="6">
        <f>VLOOKUP(Table1[[#This Row],[HomeTeam]],TeamAttrs!$A$2:$K$20,10,FALSE)</f>
        <v>18467</v>
      </c>
      <c r="AA197" s="6">
        <f>VLOOKUP(Table1[[#This Row],[HomeTeam]],TeamAttrs!$A$2:$K$20,11,FALSE)</f>
        <v>1.0507391563329183</v>
      </c>
    </row>
    <row r="198" spans="1:27" x14ac:dyDescent="0.25">
      <c r="A198" s="1">
        <v>41112</v>
      </c>
      <c r="B198" t="s">
        <v>0</v>
      </c>
      <c r="C198" t="str">
        <f>VLOOKUP(Table1[[#This Row],[HomeTeam]], TeamAttrs!$A$2:$B$20,2,FALSE)</f>
        <v>Van</v>
      </c>
      <c r="D198">
        <v>2</v>
      </c>
      <c r="E198">
        <v>1</v>
      </c>
      <c r="F198">
        <f>Table1[[#This Row],[HomeTeamScore]]-Table1[[#This Row],[VisitorScore]]</f>
        <v>1</v>
      </c>
      <c r="G198" t="s">
        <v>5</v>
      </c>
      <c r="H198" t="str">
        <f>VLOOKUP(Table1[[#This Row],[VisitorTeam]],TeamAttrs!$A$2:$B$20, 2, FALSE)</f>
        <v>SJE</v>
      </c>
      <c r="I198">
        <f t="shared" si="12"/>
        <v>1</v>
      </c>
      <c r="J198">
        <f t="shared" si="13"/>
        <v>0</v>
      </c>
      <c r="K198">
        <f t="shared" si="14"/>
        <v>0</v>
      </c>
      <c r="L198">
        <f>3*Table1[HomeWin] +Table1[Draw]</f>
        <v>3</v>
      </c>
      <c r="M198">
        <f>3*Table1[HomeLoss]+Table1[Draw]</f>
        <v>0</v>
      </c>
      <c r="N198">
        <f>VLOOKUP(B198,TeamAttrs!$A$2:$C$20,3,FALSE)</f>
        <v>8</v>
      </c>
      <c r="O198">
        <f>VLOOKUP(G198,TeamAttrs!$A$2:$C$20,3,FALSE)</f>
        <v>8</v>
      </c>
      <c r="P198">
        <f t="shared" si="15"/>
        <v>0</v>
      </c>
      <c r="Q198">
        <f>VLOOKUP(B198,TeamAttrs!$A$2:$D$20,3,FALSE)</f>
        <v>8</v>
      </c>
      <c r="R198">
        <f>VLOOKUP(G198,TeamAttrs!$A$2:$D$20,3,FALSE)</f>
        <v>8</v>
      </c>
      <c r="S198">
        <f>RADIANS(VLOOKUP(Table1[[#This Row],[HomeTeam]],TeamAttrs!$A$2:$H$20,7, FALSE))</f>
        <v>0.86015585124812133</v>
      </c>
      <c r="T198">
        <f>RADIANS(VLOOKUP(Table1[[#This Row],[HomeTeam]],TeamAttrs!$A$2:$H$20, 8, FALSE))</f>
        <v>-2.1487970151778586</v>
      </c>
      <c r="U198">
        <f>RADIANS(VLOOKUP(Table1[[#This Row],[VisitorTeam]],TeamAttrs!$A$2:$H$20,7,FALSE))</f>
        <v>0.65217194560496516</v>
      </c>
      <c r="V198">
        <f>RADIANS(VLOOKUP(Table1[[#This Row],[VisitorTeam]], TeamAttrs!$A$2:$H$20,8,FALSE))</f>
        <v>-2.1281323168342459</v>
      </c>
      <c r="W198" s="5">
        <f>60*DEGREES(ACOS(SIN(Table1[[#This Row],[HomeLat]])*SIN(Table1[[#This Row],[VisitorLat]]) +COS(Table1[[#This Row],[HomeLat]])*COS(Table1[[#This Row],[VisitorLat]])*COS(ABS(Table1[[#This Row],[HomeLong]] -Table1[[#This Row],[VisitorLong]]))))</f>
        <v>716.83652732946905</v>
      </c>
      <c r="X198" s="6">
        <f>VLOOKUP(Table1[[#This Row],[HomeTeam]],TeamAttrs!$A$2:$K$20,5,FALSE)</f>
        <v>4370000</v>
      </c>
      <c r="Y198" s="6">
        <f>VLOOKUP(Table1[[#This Row],[HomeTeam]],TeamAttrs!$A$2:$K$20,9,FALSE)</f>
        <v>19475</v>
      </c>
      <c r="Z198" s="6">
        <f>VLOOKUP(Table1[[#This Row],[HomeTeam]],TeamAttrs!$A$2:$K$20,10,FALSE)</f>
        <v>21000</v>
      </c>
      <c r="AA198" s="6">
        <f>VLOOKUP(Table1[[#This Row],[HomeTeam]],TeamAttrs!$A$2:$K$20,11,FALSE)</f>
        <v>0.92738095238095242</v>
      </c>
    </row>
    <row r="199" spans="1:27" x14ac:dyDescent="0.25">
      <c r="A199" s="1">
        <v>41117</v>
      </c>
      <c r="B199" t="s">
        <v>18</v>
      </c>
      <c r="C199" t="str">
        <f>VLOOKUP(Table1[[#This Row],[HomeTeam]], TeamAttrs!$A$2:$B$20,2,FALSE)</f>
        <v>RSL</v>
      </c>
      <c r="D199">
        <v>2</v>
      </c>
      <c r="E199">
        <v>1</v>
      </c>
      <c r="F199">
        <f>Table1[[#This Row],[HomeTeamScore]]-Table1[[#This Row],[VisitorScore]]</f>
        <v>1</v>
      </c>
      <c r="G199" t="s">
        <v>0</v>
      </c>
      <c r="H199" t="str">
        <f>VLOOKUP(Table1[[#This Row],[VisitorTeam]],TeamAttrs!$A$2:$B$20, 2, FALSE)</f>
        <v>Van</v>
      </c>
      <c r="I199">
        <f t="shared" si="12"/>
        <v>1</v>
      </c>
      <c r="J199">
        <f t="shared" si="13"/>
        <v>0</v>
      </c>
      <c r="K199">
        <f t="shared" si="14"/>
        <v>0</v>
      </c>
      <c r="L199">
        <f>3*Table1[HomeWin] +Table1[Draw]</f>
        <v>3</v>
      </c>
      <c r="M199">
        <f>3*Table1[HomeLoss]+Table1[Draw]</f>
        <v>0</v>
      </c>
      <c r="N199">
        <f>VLOOKUP(B199,TeamAttrs!$A$2:$C$20,3,FALSE)</f>
        <v>7</v>
      </c>
      <c r="O199">
        <f>VLOOKUP(G199,TeamAttrs!$A$2:$C$20,3,FALSE)</f>
        <v>8</v>
      </c>
      <c r="P199">
        <f t="shared" si="15"/>
        <v>1</v>
      </c>
      <c r="Q199">
        <f>VLOOKUP(B199,TeamAttrs!$A$2:$D$20,3,FALSE)</f>
        <v>7</v>
      </c>
      <c r="R199">
        <f>VLOOKUP(G199,TeamAttrs!$A$2:$D$20,3,FALSE)</f>
        <v>8</v>
      </c>
      <c r="S199">
        <f>RADIANS(VLOOKUP(Table1[[#This Row],[HomeTeam]],TeamAttrs!$A$2:$H$20,7, FALSE))</f>
        <v>0.71151314017277234</v>
      </c>
      <c r="T199">
        <f>RADIANS(VLOOKUP(Table1[[#This Row],[HomeTeam]],TeamAttrs!$A$2:$H$20, 8, FALSE))</f>
        <v>-1.954192803580491</v>
      </c>
      <c r="U199">
        <f>RADIANS(VLOOKUP(Table1[[#This Row],[VisitorTeam]],TeamAttrs!$A$2:$H$20,7,FALSE))</f>
        <v>0.86015585124812133</v>
      </c>
      <c r="V199">
        <f>RADIANS(VLOOKUP(Table1[[#This Row],[VisitorTeam]], TeamAttrs!$A$2:$H$20,8,FALSE))</f>
        <v>-2.1487970151778586</v>
      </c>
      <c r="W199" s="5">
        <f>60*DEGREES(ACOS(SIN(Table1[[#This Row],[HomeLat]])*SIN(Table1[[#This Row],[VisitorLat]]) +COS(Table1[[#This Row],[HomeLat]])*COS(Table1[[#This Row],[VisitorLat]])*COS(ABS(Table1[[#This Row],[HomeLong]] -Table1[[#This Row],[VisitorLong]]))))</f>
        <v>694.76459230129387</v>
      </c>
      <c r="X199" s="6">
        <f>VLOOKUP(Table1[[#This Row],[HomeTeam]],TeamAttrs!$A$2:$K$20,5,FALSE)</f>
        <v>3520000</v>
      </c>
      <c r="Y199" s="6">
        <f>VLOOKUP(Table1[[#This Row],[HomeTeam]],TeamAttrs!$A$2:$K$20,9,FALSE)</f>
        <v>19087</v>
      </c>
      <c r="Z199" s="6">
        <f>VLOOKUP(Table1[[#This Row],[HomeTeam]],TeamAttrs!$A$2:$K$20,10,FALSE)</f>
        <v>20213</v>
      </c>
      <c r="AA199" s="6">
        <f>VLOOKUP(Table1[[#This Row],[HomeTeam]],TeamAttrs!$A$2:$K$20,11,FALSE)</f>
        <v>0.94429327660416562</v>
      </c>
    </row>
    <row r="200" spans="1:27" x14ac:dyDescent="0.25">
      <c r="A200" s="1">
        <v>41118</v>
      </c>
      <c r="B200" t="s">
        <v>14</v>
      </c>
      <c r="C200" t="str">
        <f>VLOOKUP(Table1[[#This Row],[HomeTeam]], TeamAttrs!$A$2:$B$20,2,FALSE)</f>
        <v>ColRa</v>
      </c>
      <c r="D200">
        <v>1</v>
      </c>
      <c r="E200">
        <v>2</v>
      </c>
      <c r="F200">
        <f>Table1[[#This Row],[HomeTeamScore]]-Table1[[#This Row],[VisitorScore]]</f>
        <v>-1</v>
      </c>
      <c r="G200" t="s">
        <v>11</v>
      </c>
      <c r="H200" t="str">
        <f>VLOOKUP(Table1[[#This Row],[VisitorTeam]],TeamAttrs!$A$2:$B$20, 2, FALSE)</f>
        <v>SEA</v>
      </c>
      <c r="I200">
        <f t="shared" si="12"/>
        <v>0</v>
      </c>
      <c r="J200">
        <f t="shared" si="13"/>
        <v>0</v>
      </c>
      <c r="K200">
        <f t="shared" si="14"/>
        <v>1</v>
      </c>
      <c r="L200">
        <f>3*Table1[HomeWin] +Table1[Draw]</f>
        <v>0</v>
      </c>
      <c r="M200">
        <f>3*Table1[HomeLoss]+Table1[Draw]</f>
        <v>3</v>
      </c>
      <c r="N200">
        <f>VLOOKUP(B200,TeamAttrs!$A$2:$C$20,3,FALSE)</f>
        <v>7</v>
      </c>
      <c r="O200">
        <f>VLOOKUP(G200,TeamAttrs!$A$2:$C$20,3,FALSE)</f>
        <v>8</v>
      </c>
      <c r="P200">
        <f t="shared" si="15"/>
        <v>1</v>
      </c>
      <c r="Q200">
        <f>VLOOKUP(B200,TeamAttrs!$A$2:$D$20,3,FALSE)</f>
        <v>7</v>
      </c>
      <c r="R200">
        <f>VLOOKUP(G200,TeamAttrs!$A$2:$D$20,3,FALSE)</f>
        <v>8</v>
      </c>
      <c r="S200">
        <f>RADIANS(VLOOKUP(Table1[[#This Row],[HomeTeam]],TeamAttrs!$A$2:$H$20,7, FALSE))</f>
        <v>0.69376837766774602</v>
      </c>
      <c r="T200">
        <f>RADIANS(VLOOKUP(Table1[[#This Row],[HomeTeam]],TeamAttrs!$A$2:$H$20, 8, FALSE))</f>
        <v>-1.8302744266888937</v>
      </c>
      <c r="U200">
        <f>RADIANS(VLOOKUP(Table1[[#This Row],[VisitorTeam]],TeamAttrs!$A$2:$H$20,7,FALSE))</f>
        <v>0.83164938857529802</v>
      </c>
      <c r="V200">
        <f>RADIANS(VLOOKUP(Table1[[#This Row],[VisitorTeam]], TeamAttrs!$A$2:$H$20,8,FALSE))</f>
        <v>-2.134537675189065</v>
      </c>
      <c r="W200" s="5">
        <f>60*DEGREES(ACOS(SIN(Table1[[#This Row],[HomeLat]])*SIN(Table1[[#This Row],[VisitorLat]]) +COS(Table1[[#This Row],[HomeLat]])*COS(Table1[[#This Row],[VisitorLat]])*COS(ABS(Table1[[#This Row],[HomeLong]] -Table1[[#This Row],[VisitorLong]]))))</f>
        <v>889.3959271453482</v>
      </c>
      <c r="X200" s="6">
        <f>VLOOKUP(Table1[[#This Row],[HomeTeam]],TeamAttrs!$A$2:$K$20,5,FALSE)</f>
        <v>3430000</v>
      </c>
      <c r="Y200" s="6">
        <f>VLOOKUP(Table1[[#This Row],[HomeTeam]],TeamAttrs!$A$2:$K$20,9,FALSE)</f>
        <v>15175</v>
      </c>
      <c r="Z200" s="6">
        <f>VLOOKUP(Table1[[#This Row],[HomeTeam]],TeamAttrs!$A$2:$K$20,10,FALSE)</f>
        <v>18086</v>
      </c>
      <c r="AA200" s="6">
        <f>VLOOKUP(Table1[[#This Row],[HomeTeam]],TeamAttrs!$A$2:$K$20,11,FALSE)</f>
        <v>0.83904677651221937</v>
      </c>
    </row>
    <row r="201" spans="1:27" x14ac:dyDescent="0.25">
      <c r="A201" s="1">
        <v>41118</v>
      </c>
      <c r="B201" t="s">
        <v>7</v>
      </c>
      <c r="C201" t="str">
        <f>VLOOKUP(Table1[[#This Row],[HomeTeam]], TeamAttrs!$A$2:$B$20,2,FALSE)</f>
        <v>FCDal</v>
      </c>
      <c r="D201">
        <v>0</v>
      </c>
      <c r="E201">
        <v>1</v>
      </c>
      <c r="F201">
        <f>Table1[[#This Row],[HomeTeamScore]]-Table1[[#This Row],[VisitorScore]]</f>
        <v>-1</v>
      </c>
      <c r="G201" t="s">
        <v>16</v>
      </c>
      <c r="H201" t="str">
        <f>VLOOKUP(Table1[[#This Row],[VisitorTeam]],TeamAttrs!$A$2:$B$20, 2, FALSE)</f>
        <v>LAGxy</v>
      </c>
      <c r="I201">
        <f t="shared" si="12"/>
        <v>0</v>
      </c>
      <c r="J201">
        <f t="shared" si="13"/>
        <v>0</v>
      </c>
      <c r="K201">
        <f t="shared" si="14"/>
        <v>1</v>
      </c>
      <c r="L201">
        <f>3*Table1[HomeWin] +Table1[Draw]</f>
        <v>0</v>
      </c>
      <c r="M201">
        <f>3*Table1[HomeLoss]+Table1[Draw]</f>
        <v>3</v>
      </c>
      <c r="N201">
        <f>VLOOKUP(B201,TeamAttrs!$A$2:$C$20,3,FALSE)</f>
        <v>6</v>
      </c>
      <c r="O201">
        <f>VLOOKUP(G201,TeamAttrs!$A$2:$C$20,3,FALSE)</f>
        <v>8</v>
      </c>
      <c r="P201">
        <f t="shared" si="15"/>
        <v>2</v>
      </c>
      <c r="Q201">
        <f>VLOOKUP(B201,TeamAttrs!$A$2:$D$20,3,FALSE)</f>
        <v>6</v>
      </c>
      <c r="R201">
        <f>VLOOKUP(G201,TeamAttrs!$A$2:$D$20,3,FALSE)</f>
        <v>8</v>
      </c>
      <c r="S201">
        <f>RADIANS(VLOOKUP(Table1[[#This Row],[HomeTeam]],TeamAttrs!$A$2:$H$20,7, FALSE))</f>
        <v>0.57334065928013733</v>
      </c>
      <c r="T201">
        <f>RADIANS(VLOOKUP(Table1[[#This Row],[HomeTeam]],TeamAttrs!$A$2:$H$20, 8, FALSE))</f>
        <v>-1.690351380556508</v>
      </c>
      <c r="U201">
        <f>RADIANS(VLOOKUP(Table1[[#This Row],[VisitorTeam]],TeamAttrs!$A$2:$H$20,7,FALSE))</f>
        <v>0.59224781106699187</v>
      </c>
      <c r="V201">
        <f>RADIANS(VLOOKUP(Table1[[#This Row],[VisitorTeam]], TeamAttrs!$A$2:$H$20,8,FALSE))</f>
        <v>-2.0664698343612864</v>
      </c>
      <c r="W201" s="5">
        <f>60*DEGREES(ACOS(SIN(Table1[[#This Row],[HomeLat]])*SIN(Table1[[#This Row],[VisitorLat]]) +COS(Table1[[#This Row],[HomeLat]])*COS(Table1[[#This Row],[VisitorLat]])*COS(ABS(Table1[[#This Row],[HomeLong]] -Table1[[#This Row],[VisitorLong]]))))</f>
        <v>1079.5378040042574</v>
      </c>
      <c r="X201" s="6">
        <f>VLOOKUP(Table1[[#This Row],[HomeTeam]],TeamAttrs!$A$2:$K$20,5,FALSE)</f>
        <v>3450000</v>
      </c>
      <c r="Y201" s="6">
        <f>VLOOKUP(Table1[[#This Row],[HomeTeam]],TeamAttrs!$A$2:$K$20,9,FALSE)</f>
        <v>14199</v>
      </c>
      <c r="Z201" s="6">
        <f>VLOOKUP(Table1[[#This Row],[HomeTeam]],TeamAttrs!$A$2:$K$20,10,FALSE)</f>
        <v>20500</v>
      </c>
      <c r="AA201" s="6">
        <f>VLOOKUP(Table1[[#This Row],[HomeTeam]],TeamAttrs!$A$2:$K$20,11,FALSE)</f>
        <v>0.69263414634146336</v>
      </c>
    </row>
    <row r="202" spans="1:27" x14ac:dyDescent="0.25">
      <c r="A202" s="1">
        <v>41118</v>
      </c>
      <c r="B202" t="s">
        <v>1</v>
      </c>
      <c r="C202" t="str">
        <f>VLOOKUP(Table1[[#This Row],[HomeTeam]], TeamAttrs!$A$2:$B$20,2,FALSE)</f>
        <v>Mntrl</v>
      </c>
      <c r="D202">
        <v>3</v>
      </c>
      <c r="E202">
        <v>1</v>
      </c>
      <c r="F202">
        <f>Table1[[#This Row],[HomeTeamScore]]-Table1[[#This Row],[VisitorScore]]</f>
        <v>2</v>
      </c>
      <c r="G202" t="s">
        <v>15</v>
      </c>
      <c r="H202" t="str">
        <f>VLOOKUP(Table1[[#This Row],[VisitorTeam]],TeamAttrs!$A$2:$B$20, 2, FALSE)</f>
        <v>NY</v>
      </c>
      <c r="I202">
        <f t="shared" si="12"/>
        <v>1</v>
      </c>
      <c r="J202">
        <f t="shared" si="13"/>
        <v>0</v>
      </c>
      <c r="K202">
        <f t="shared" si="14"/>
        <v>0</v>
      </c>
      <c r="L202">
        <f>3*Table1[HomeWin] +Table1[Draw]</f>
        <v>3</v>
      </c>
      <c r="M202">
        <f>3*Table1[HomeLoss]+Table1[Draw]</f>
        <v>0</v>
      </c>
      <c r="N202">
        <f>VLOOKUP(B202,TeamAttrs!$A$2:$C$20,3,FALSE)</f>
        <v>5</v>
      </c>
      <c r="O202">
        <f>VLOOKUP(G202,TeamAttrs!$A$2:$C$20,3,FALSE)</f>
        <v>5</v>
      </c>
      <c r="P202">
        <f t="shared" si="15"/>
        <v>0</v>
      </c>
      <c r="Q202">
        <f>VLOOKUP(B202,TeamAttrs!$A$2:$D$20,3,FALSE)</f>
        <v>5</v>
      </c>
      <c r="R202">
        <f>VLOOKUP(G202,TeamAttrs!$A$2:$D$20,3,FALSE)</f>
        <v>5</v>
      </c>
      <c r="S202">
        <f>RADIANS(VLOOKUP(Table1[[#This Row],[HomeTeam]],TeamAttrs!$A$2:$H$20,7, FALSE))</f>
        <v>0.79354361501650583</v>
      </c>
      <c r="T202">
        <f>RADIANS(VLOOKUP(Table1[[#This Row],[HomeTeam]],TeamAttrs!$A$2:$H$20, 8, FALSE))</f>
        <v>-1.2871803233458181</v>
      </c>
      <c r="U202">
        <f>RADIANS(VLOOKUP(Table1[[#This Row],[VisitorTeam]],TeamAttrs!$A$2:$H$20,7,FALSE))</f>
        <v>0.71180286482860333</v>
      </c>
      <c r="V202">
        <f>RADIANS(VLOOKUP(Table1[[#This Row],[VisitorTeam]], TeamAttrs!$A$2:$H$20,8,FALSE))</f>
        <v>-1.2909624518348899</v>
      </c>
      <c r="W202" s="5">
        <f>60*DEGREES(ACOS(SIN(Table1[[#This Row],[HomeLat]])*SIN(Table1[[#This Row],[VisitorLat]]) +COS(Table1[[#This Row],[HomeLat]])*COS(Table1[[#This Row],[VisitorLat]])*COS(ABS(Table1[[#This Row],[HomeLong]] -Table1[[#This Row],[VisitorLong]]))))</f>
        <v>281.16386690877181</v>
      </c>
      <c r="X202" s="6">
        <f>VLOOKUP(Table1[[#This Row],[HomeTeam]],TeamAttrs!$A$2:$K$20,5,FALSE)</f>
        <v>3030000</v>
      </c>
      <c r="Y202" s="6">
        <f>VLOOKUP(Table1[[#This Row],[HomeTeam]],TeamAttrs!$A$2:$K$20,9,FALSE)</f>
        <v>22772</v>
      </c>
      <c r="Z202" s="6">
        <f>VLOOKUP(Table1[[#This Row],[HomeTeam]],TeamAttrs!$A$2:$K$20,10,FALSE)</f>
        <v>20341</v>
      </c>
      <c r="AA202" s="6">
        <f>VLOOKUP(Table1[[#This Row],[HomeTeam]],TeamAttrs!$A$2:$K$20,11,FALSE)</f>
        <v>1.1195123150287596</v>
      </c>
    </row>
    <row r="203" spans="1:27" x14ac:dyDescent="0.25">
      <c r="A203" s="1">
        <v>41118</v>
      </c>
      <c r="B203" t="s">
        <v>12</v>
      </c>
      <c r="C203" t="str">
        <f>VLOOKUP(Table1[[#This Row],[HomeTeam]], TeamAttrs!$A$2:$B$20,2,FALSE)</f>
        <v>Port</v>
      </c>
      <c r="D203">
        <v>0</v>
      </c>
      <c r="E203">
        <v>1</v>
      </c>
      <c r="F203">
        <f>Table1[[#This Row],[HomeTeamScore]]-Table1[[#This Row],[VisitorScore]]</f>
        <v>-1</v>
      </c>
      <c r="G203" t="s">
        <v>2</v>
      </c>
      <c r="H203" t="str">
        <f>VLOOKUP(Table1[[#This Row],[VisitorTeam]],TeamAttrs!$A$2:$B$20, 2, FALSE)</f>
        <v>Chiv</v>
      </c>
      <c r="I203">
        <f t="shared" si="12"/>
        <v>0</v>
      </c>
      <c r="J203">
        <f t="shared" si="13"/>
        <v>0</v>
      </c>
      <c r="K203">
        <f t="shared" si="14"/>
        <v>1</v>
      </c>
      <c r="L203">
        <f>3*Table1[HomeWin] +Table1[Draw]</f>
        <v>0</v>
      </c>
      <c r="M203">
        <f>3*Table1[HomeLoss]+Table1[Draw]</f>
        <v>3</v>
      </c>
      <c r="N203">
        <f>VLOOKUP(B203,TeamAttrs!$A$2:$C$20,3,FALSE)</f>
        <v>8</v>
      </c>
      <c r="O203">
        <f>VLOOKUP(G203,TeamAttrs!$A$2:$C$20,3,FALSE)</f>
        <v>8</v>
      </c>
      <c r="P203">
        <f t="shared" si="15"/>
        <v>0</v>
      </c>
      <c r="Q203">
        <f>VLOOKUP(B203,TeamAttrs!$A$2:$D$20,3,FALSE)</f>
        <v>8</v>
      </c>
      <c r="R203">
        <f>VLOOKUP(G203,TeamAttrs!$A$2:$D$20,3,FALSE)</f>
        <v>8</v>
      </c>
      <c r="S203">
        <f>RADIANS(VLOOKUP(Table1[[#This Row],[HomeTeam]],TeamAttrs!$A$2:$H$20,7, FALSE))</f>
        <v>0.79587013890941427</v>
      </c>
      <c r="T203">
        <f>RADIANS(VLOOKUP(Table1[[#This Row],[HomeTeam]],TeamAttrs!$A$2:$H$20, 8, FALSE))</f>
        <v>-2.1397736629450481</v>
      </c>
      <c r="U203">
        <f>RADIANS(VLOOKUP(Table1[[#This Row],[VisitorTeam]],TeamAttrs!$A$2:$H$20,7,FALSE))</f>
        <v>0.59224781106699187</v>
      </c>
      <c r="V203">
        <f>RADIANS(VLOOKUP(Table1[[#This Row],[VisitorTeam]], TeamAttrs!$A$2:$H$20,8,FALSE))</f>
        <v>-2.0664698343612864</v>
      </c>
      <c r="W203" s="5">
        <f>60*DEGREES(ACOS(SIN(Table1[[#This Row],[HomeLat]])*SIN(Table1[[#This Row],[VisitorLat]]) +COS(Table1[[#This Row],[HomeLat]])*COS(Table1[[#This Row],[VisitorLat]])*COS(ABS(Table1[[#This Row],[HomeLong]] -Table1[[#This Row],[VisitorLong]]))))</f>
        <v>726.02762859924019</v>
      </c>
      <c r="X203" s="6">
        <f>VLOOKUP(Table1[[#This Row],[HomeTeam]],TeamAttrs!$A$2:$K$20,5,FALSE)</f>
        <v>4160000</v>
      </c>
      <c r="Y203" s="6">
        <f>VLOOKUP(Table1[[#This Row],[HomeTeam]],TeamAttrs!$A$2:$K$20,9,FALSE)</f>
        <v>20438</v>
      </c>
      <c r="Z203" s="6">
        <f>VLOOKUP(Table1[[#This Row],[HomeTeam]],TeamAttrs!$A$2:$K$20,10,FALSE)</f>
        <v>20438</v>
      </c>
      <c r="AA203" s="6">
        <f>VLOOKUP(Table1[[#This Row],[HomeTeam]],TeamAttrs!$A$2:$K$20,11,FALSE)</f>
        <v>1</v>
      </c>
    </row>
    <row r="204" spans="1:27" x14ac:dyDescent="0.25">
      <c r="A204" s="1">
        <v>41118</v>
      </c>
      <c r="B204" t="s">
        <v>5</v>
      </c>
      <c r="C204" t="str">
        <f>VLOOKUP(Table1[[#This Row],[HomeTeam]], TeamAttrs!$A$2:$B$20,2,FALSE)</f>
        <v>SJE</v>
      </c>
      <c r="D204">
        <v>1</v>
      </c>
      <c r="E204">
        <v>1</v>
      </c>
      <c r="F204">
        <f>Table1[[#This Row],[HomeTeamScore]]-Table1[[#This Row],[VisitorScore]]</f>
        <v>0</v>
      </c>
      <c r="G204" t="s">
        <v>17</v>
      </c>
      <c r="H204" t="str">
        <f>VLOOKUP(Table1[[#This Row],[VisitorTeam]],TeamAttrs!$A$2:$B$20, 2, FALSE)</f>
        <v>Chi</v>
      </c>
      <c r="I204">
        <f t="shared" si="12"/>
        <v>0</v>
      </c>
      <c r="J204">
        <f t="shared" si="13"/>
        <v>1</v>
      </c>
      <c r="K204">
        <f t="shared" si="14"/>
        <v>0</v>
      </c>
      <c r="L204">
        <f>3*Table1[HomeWin] +Table1[Draw]</f>
        <v>1</v>
      </c>
      <c r="M204">
        <f>3*Table1[HomeLoss]+Table1[Draw]</f>
        <v>1</v>
      </c>
      <c r="N204">
        <f>VLOOKUP(B204,TeamAttrs!$A$2:$C$20,3,FALSE)</f>
        <v>8</v>
      </c>
      <c r="O204">
        <f>VLOOKUP(G204,TeamAttrs!$A$2:$C$20,3,FALSE)</f>
        <v>6</v>
      </c>
      <c r="P204">
        <f t="shared" si="15"/>
        <v>-2</v>
      </c>
      <c r="Q204">
        <f>VLOOKUP(B204,TeamAttrs!$A$2:$D$20,3,FALSE)</f>
        <v>8</v>
      </c>
      <c r="R204">
        <f>VLOOKUP(G204,TeamAttrs!$A$2:$D$20,3,FALSE)</f>
        <v>6</v>
      </c>
      <c r="S204">
        <f>RADIANS(VLOOKUP(Table1[[#This Row],[HomeTeam]],TeamAttrs!$A$2:$H$20,7, FALSE))</f>
        <v>0.65217194560496516</v>
      </c>
      <c r="T204">
        <f>RADIANS(VLOOKUP(Table1[[#This Row],[HomeTeam]],TeamAttrs!$A$2:$H$20, 8, FALSE))</f>
        <v>-2.1281323168342459</v>
      </c>
      <c r="U204">
        <f>RADIANS(VLOOKUP(Table1[[#This Row],[VisitorTeam]],TeamAttrs!$A$2:$H$20,7,FALSE))</f>
        <v>0.72925615734854665</v>
      </c>
      <c r="V204">
        <f>RADIANS(VLOOKUP(Table1[[#This Row],[VisitorTeam]], TeamAttrs!$A$2:$H$20,8,FALSE))</f>
        <v>-1.5315264186250241</v>
      </c>
      <c r="W204" s="5">
        <f>60*DEGREES(ACOS(SIN(Table1[[#This Row],[HomeLat]])*SIN(Table1[[#This Row],[VisitorLat]]) +COS(Table1[[#This Row],[HomeLat]])*COS(Table1[[#This Row],[VisitorLat]])*COS(ABS(Table1[[#This Row],[HomeLong]] -Table1[[#This Row],[VisitorLong]]))))</f>
        <v>1592.1795842778768</v>
      </c>
      <c r="X204" s="6">
        <f>VLOOKUP(Table1[[#This Row],[HomeTeam]],TeamAttrs!$A$2:$K$20,5,FALSE)</f>
        <v>3210000</v>
      </c>
      <c r="Y204" s="6">
        <f>VLOOKUP(Table1[[#This Row],[HomeTeam]],TeamAttrs!$A$2:$K$20,9,FALSE)</f>
        <v>13293</v>
      </c>
      <c r="Z204" s="6">
        <f>VLOOKUP(Table1[[#This Row],[HomeTeam]],TeamAttrs!$A$2:$K$20,10,FALSE)</f>
        <v>10525</v>
      </c>
      <c r="AA204" s="6">
        <f>VLOOKUP(Table1[[#This Row],[HomeTeam]],TeamAttrs!$A$2:$K$20,11,FALSE)</f>
        <v>1.2629928741092638</v>
      </c>
    </row>
    <row r="205" spans="1:27" x14ac:dyDescent="0.25">
      <c r="A205" s="1">
        <v>41118</v>
      </c>
      <c r="B205" t="s">
        <v>6</v>
      </c>
      <c r="C205" t="str">
        <f>VLOOKUP(Table1[[#This Row],[HomeTeam]], TeamAttrs!$A$2:$B$20,2,FALSE)</f>
        <v>SKC</v>
      </c>
      <c r="D205">
        <v>1</v>
      </c>
      <c r="E205">
        <v>2</v>
      </c>
      <c r="F205">
        <f>Table1[[#This Row],[HomeTeamScore]]-Table1[[#This Row],[VisitorScore]]</f>
        <v>-1</v>
      </c>
      <c r="G205" t="s">
        <v>8</v>
      </c>
      <c r="H205" t="str">
        <f>VLOOKUP(Table1[[#This Row],[VisitorTeam]],TeamAttrs!$A$2:$B$20, 2, FALSE)</f>
        <v>Colum</v>
      </c>
      <c r="I205">
        <f t="shared" si="12"/>
        <v>0</v>
      </c>
      <c r="J205">
        <f t="shared" si="13"/>
        <v>0</v>
      </c>
      <c r="K205">
        <f t="shared" si="14"/>
        <v>1</v>
      </c>
      <c r="L205">
        <f>3*Table1[HomeWin] +Table1[Draw]</f>
        <v>0</v>
      </c>
      <c r="M205">
        <f>3*Table1[HomeLoss]+Table1[Draw]</f>
        <v>3</v>
      </c>
      <c r="N205">
        <f>VLOOKUP(B205,TeamAttrs!$A$2:$C$20,3,FALSE)</f>
        <v>6</v>
      </c>
      <c r="O205">
        <f>VLOOKUP(G205,TeamAttrs!$A$2:$C$20,3,FALSE)</f>
        <v>5</v>
      </c>
      <c r="P205">
        <f t="shared" si="15"/>
        <v>-1</v>
      </c>
      <c r="Q205">
        <f>VLOOKUP(B205,TeamAttrs!$A$2:$D$20,3,FALSE)</f>
        <v>6</v>
      </c>
      <c r="R205">
        <f>VLOOKUP(G205,TeamAttrs!$A$2:$D$20,3,FALSE)</f>
        <v>5</v>
      </c>
      <c r="S205">
        <f>RADIANS(VLOOKUP(Table1[[#This Row],[HomeTeam]],TeamAttrs!$A$2:$H$20,7, FALSE))</f>
        <v>0.68271520751486592</v>
      </c>
      <c r="T205">
        <f>RADIANS(VLOOKUP(Table1[[#This Row],[HomeTeam]],TeamAttrs!$A$2:$H$20, 8, FALSE))</f>
        <v>-1.65166266702755</v>
      </c>
      <c r="U205">
        <f>RADIANS(VLOOKUP(Table1[[#This Row],[VisitorTeam]],TeamAttrs!$A$2:$H$20,7,FALSE))</f>
        <v>0.69813170079773179</v>
      </c>
      <c r="V205">
        <f>RADIANS(VLOOKUP(Table1[[#This Row],[VisitorTeam]], TeamAttrs!$A$2:$H$20,8,FALSE))</f>
        <v>-1.4465864799182162</v>
      </c>
      <c r="W205" s="5">
        <f>60*DEGREES(ACOS(SIN(Table1[[#This Row],[HomeLat]])*SIN(Table1[[#This Row],[VisitorLat]]) +COS(Table1[[#This Row],[HomeLat]])*COS(Table1[[#This Row],[VisitorLat]])*COS(ABS(Table1[[#This Row],[HomeLong]] -Table1[[#This Row],[VisitorLong]]))))</f>
        <v>545.71434098790951</v>
      </c>
      <c r="X205" s="6">
        <f>VLOOKUP(Table1[[#This Row],[HomeTeam]],TeamAttrs!$A$2:$K$20,5,FALSE)</f>
        <v>3120000</v>
      </c>
      <c r="Y205" s="6">
        <f>VLOOKUP(Table1[[#This Row],[HomeTeam]],TeamAttrs!$A$2:$K$20,9,FALSE)</f>
        <v>19404</v>
      </c>
      <c r="Z205" s="6">
        <f>VLOOKUP(Table1[[#This Row],[HomeTeam]],TeamAttrs!$A$2:$K$20,10,FALSE)</f>
        <v>18467</v>
      </c>
      <c r="AA205" s="6">
        <f>VLOOKUP(Table1[[#This Row],[HomeTeam]],TeamAttrs!$A$2:$K$20,11,FALSE)</f>
        <v>1.0507391563329183</v>
      </c>
    </row>
    <row r="206" spans="1:27" x14ac:dyDescent="0.25">
      <c r="A206" s="1">
        <v>41118</v>
      </c>
      <c r="B206" t="s">
        <v>10</v>
      </c>
      <c r="C206" t="str">
        <f>VLOOKUP(Table1[[#This Row],[HomeTeam]], TeamAttrs!$A$2:$B$20,2,FALSE)</f>
        <v>Tor</v>
      </c>
      <c r="D206">
        <v>0</v>
      </c>
      <c r="E206">
        <v>2</v>
      </c>
      <c r="F206">
        <f>Table1[[#This Row],[HomeTeamScore]]-Table1[[#This Row],[VisitorScore]]</f>
        <v>-2</v>
      </c>
      <c r="G206" t="s">
        <v>13</v>
      </c>
      <c r="H206" t="str">
        <f>VLOOKUP(Table1[[#This Row],[VisitorTeam]],TeamAttrs!$A$2:$B$20, 2, FALSE)</f>
        <v>Hou</v>
      </c>
      <c r="I206">
        <f t="shared" si="12"/>
        <v>0</v>
      </c>
      <c r="J206">
        <f t="shared" si="13"/>
        <v>0</v>
      </c>
      <c r="K206">
        <f t="shared" si="14"/>
        <v>1</v>
      </c>
      <c r="L206">
        <f>3*Table1[HomeWin] +Table1[Draw]</f>
        <v>0</v>
      </c>
      <c r="M206">
        <f>3*Table1[HomeLoss]+Table1[Draw]</f>
        <v>3</v>
      </c>
      <c r="N206">
        <f>VLOOKUP(B206,TeamAttrs!$A$2:$C$20,3,FALSE)</f>
        <v>5</v>
      </c>
      <c r="O206">
        <f>VLOOKUP(G206,TeamAttrs!$A$2:$C$20,3,FALSE)</f>
        <v>6</v>
      </c>
      <c r="P206">
        <f t="shared" si="15"/>
        <v>1</v>
      </c>
      <c r="Q206">
        <f>VLOOKUP(B206,TeamAttrs!$A$2:$D$20,3,FALSE)</f>
        <v>5</v>
      </c>
      <c r="R206">
        <f>VLOOKUP(G206,TeamAttrs!$A$2:$D$20,3,FALSE)</f>
        <v>6</v>
      </c>
      <c r="S206">
        <f>RADIANS(VLOOKUP(Table1[[#This Row],[HomeTeam]],TeamAttrs!$A$2:$H$20,7, FALSE))</f>
        <v>0.76241741313643896</v>
      </c>
      <c r="T206">
        <f>RADIANS(VLOOKUP(Table1[[#This Row],[HomeTeam]],TeamAttrs!$A$2:$H$20, 8, FALSE))</f>
        <v>-1.3898632792284005</v>
      </c>
      <c r="U206">
        <f>RADIANS(VLOOKUP(Table1[[#This Row],[VisitorTeam]],TeamAttrs!$A$2:$H$20,7,FALSE))</f>
        <v>0.52301758095738471</v>
      </c>
      <c r="V206">
        <f>RADIANS(VLOOKUP(Table1[[#This Row],[VisitorTeam]], TeamAttrs!$A$2:$H$20,8,FALSE))</f>
        <v>-1.6641714417765932</v>
      </c>
      <c r="W206" s="5">
        <f>60*DEGREES(ACOS(SIN(Table1[[#This Row],[HomeLat]])*SIN(Table1[[#This Row],[VisitorLat]]) +COS(Table1[[#This Row],[HomeLat]])*COS(Table1[[#This Row],[VisitorLat]])*COS(ABS(Table1[[#This Row],[HomeLong]] -Table1[[#This Row],[VisitorLong]]))))</f>
        <v>1112.8779397852613</v>
      </c>
      <c r="X206" s="6">
        <f>VLOOKUP(Table1[[#This Row],[HomeTeam]],TeamAttrs!$A$2:$K$20,5,FALSE)</f>
        <v>8250000</v>
      </c>
      <c r="Y206" s="6">
        <f>VLOOKUP(Table1[[#This Row],[HomeTeam]],TeamAttrs!$A$2:$K$20,9,FALSE)</f>
        <v>18155</v>
      </c>
      <c r="Z206" s="6">
        <f>VLOOKUP(Table1[[#This Row],[HomeTeam]],TeamAttrs!$A$2:$K$20,10,FALSE)</f>
        <v>21140</v>
      </c>
      <c r="AA206" s="6">
        <f>VLOOKUP(Table1[[#This Row],[HomeTeam]],TeamAttrs!$A$2:$K$20,11,FALSE)</f>
        <v>0.85879848628193001</v>
      </c>
    </row>
    <row r="207" spans="1:27" x14ac:dyDescent="0.25">
      <c r="A207" s="1">
        <v>41119</v>
      </c>
      <c r="B207" t="s">
        <v>4</v>
      </c>
      <c r="C207" t="str">
        <f>VLOOKUP(Table1[[#This Row],[HomeTeam]], TeamAttrs!$A$2:$B$20,2,FALSE)</f>
        <v>Phil</v>
      </c>
      <c r="D207">
        <v>2</v>
      </c>
      <c r="E207">
        <v>1</v>
      </c>
      <c r="F207">
        <f>Table1[[#This Row],[HomeTeamScore]]-Table1[[#This Row],[VisitorScore]]</f>
        <v>1</v>
      </c>
      <c r="G207" t="s">
        <v>9</v>
      </c>
      <c r="H207" t="str">
        <f>VLOOKUP(Table1[[#This Row],[VisitorTeam]],TeamAttrs!$A$2:$B$20, 2, FALSE)</f>
        <v>NE</v>
      </c>
      <c r="I207">
        <f t="shared" si="12"/>
        <v>1</v>
      </c>
      <c r="J207">
        <f t="shared" si="13"/>
        <v>0</v>
      </c>
      <c r="K207">
        <f t="shared" si="14"/>
        <v>0</v>
      </c>
      <c r="L207">
        <f>3*Table1[HomeWin] +Table1[Draw]</f>
        <v>3</v>
      </c>
      <c r="M207">
        <f>3*Table1[HomeLoss]+Table1[Draw]</f>
        <v>0</v>
      </c>
      <c r="N207">
        <f>VLOOKUP(B207,TeamAttrs!$A$2:$C$20,3,FALSE)</f>
        <v>5</v>
      </c>
      <c r="O207">
        <f>VLOOKUP(G207,TeamAttrs!$A$2:$C$20,3,FALSE)</f>
        <v>5</v>
      </c>
      <c r="P207">
        <f t="shared" si="15"/>
        <v>0</v>
      </c>
      <c r="Q207">
        <f>VLOOKUP(B207,TeamAttrs!$A$2:$D$20,3,FALSE)</f>
        <v>5</v>
      </c>
      <c r="R207">
        <f>VLOOKUP(G207,TeamAttrs!$A$2:$D$20,3,FALSE)</f>
        <v>5</v>
      </c>
      <c r="S207">
        <f>RADIANS(VLOOKUP(Table1[[#This Row],[HomeTeam]],TeamAttrs!$A$2:$H$20,7, FALSE))</f>
        <v>0.69609490156065446</v>
      </c>
      <c r="T207">
        <f>RADIANS(VLOOKUP(Table1[[#This Row],[HomeTeam]],TeamAttrs!$A$2:$H$20, 8, FALSE))</f>
        <v>-1.313360262125733</v>
      </c>
      <c r="U207">
        <f>RADIANS(VLOOKUP(Table1[[#This Row],[VisitorTeam]],TeamAttrs!$A$2:$H$20,7,FALSE))</f>
        <v>0.73943840820468165</v>
      </c>
      <c r="V207">
        <f>RADIANS(VLOOKUP(Table1[[#This Row],[VisitorTeam]], TeamAttrs!$A$2:$H$20,8,FALSE))</f>
        <v>-1.2397649635568881</v>
      </c>
      <c r="W207" s="5">
        <f>60*DEGREES(ACOS(SIN(Table1[[#This Row],[HomeLat]])*SIN(Table1[[#This Row],[VisitorLat]]) +COS(Table1[[#This Row],[HomeLat]])*COS(Table1[[#This Row],[VisitorLat]])*COS(ABS(Table1[[#This Row],[HomeLong]] -Table1[[#This Row],[VisitorLong]]))))</f>
        <v>241.86218544449619</v>
      </c>
      <c r="X207" s="6">
        <f>VLOOKUP(Table1[[#This Row],[HomeTeam]],TeamAttrs!$A$2:$K$20,5,FALSE)</f>
        <v>3620000</v>
      </c>
      <c r="Y207" s="6">
        <f>VLOOKUP(Table1[[#This Row],[HomeTeam]],TeamAttrs!$A$2:$K$20,9,FALSE)</f>
        <v>18053</v>
      </c>
      <c r="Z207" s="6">
        <f>VLOOKUP(Table1[[#This Row],[HomeTeam]],TeamAttrs!$A$2:$K$20,10,FALSE)</f>
        <v>18500</v>
      </c>
      <c r="AA207" s="6">
        <f>VLOOKUP(Table1[[#This Row],[HomeTeam]],TeamAttrs!$A$2:$K$20,11,FALSE)</f>
        <v>0.97583783783783784</v>
      </c>
    </row>
    <row r="208" spans="1:27" x14ac:dyDescent="0.25">
      <c r="A208" s="1">
        <v>41124</v>
      </c>
      <c r="B208" t="s">
        <v>13</v>
      </c>
      <c r="C208" t="str">
        <f>VLOOKUP(Table1[[#This Row],[HomeTeam]], TeamAttrs!$A$2:$B$20,2,FALSE)</f>
        <v>Hou</v>
      </c>
      <c r="D208">
        <v>2</v>
      </c>
      <c r="E208">
        <v>0</v>
      </c>
      <c r="F208">
        <f>Table1[[#This Row],[HomeTeamScore]]-Table1[[#This Row],[VisitorScore]]</f>
        <v>2</v>
      </c>
      <c r="G208" t="s">
        <v>15</v>
      </c>
      <c r="H208" t="str">
        <f>VLOOKUP(Table1[[#This Row],[VisitorTeam]],TeamAttrs!$A$2:$B$20, 2, FALSE)</f>
        <v>NY</v>
      </c>
      <c r="I208">
        <f t="shared" si="12"/>
        <v>1</v>
      </c>
      <c r="J208">
        <f t="shared" si="13"/>
        <v>0</v>
      </c>
      <c r="K208">
        <f t="shared" si="14"/>
        <v>0</v>
      </c>
      <c r="L208">
        <f>3*Table1[HomeWin] +Table1[Draw]</f>
        <v>3</v>
      </c>
      <c r="M208">
        <f>3*Table1[HomeLoss]+Table1[Draw]</f>
        <v>0</v>
      </c>
      <c r="N208">
        <f>VLOOKUP(B208,TeamAttrs!$A$2:$C$20,3,FALSE)</f>
        <v>6</v>
      </c>
      <c r="O208">
        <f>VLOOKUP(G208,TeamAttrs!$A$2:$C$20,3,FALSE)</f>
        <v>5</v>
      </c>
      <c r="P208">
        <f t="shared" si="15"/>
        <v>-1</v>
      </c>
      <c r="Q208">
        <f>VLOOKUP(B208,TeamAttrs!$A$2:$D$20,3,FALSE)</f>
        <v>6</v>
      </c>
      <c r="R208">
        <f>VLOOKUP(G208,TeamAttrs!$A$2:$D$20,3,FALSE)</f>
        <v>5</v>
      </c>
      <c r="S208">
        <f>RADIANS(VLOOKUP(Table1[[#This Row],[HomeTeam]],TeamAttrs!$A$2:$H$20,7, FALSE))</f>
        <v>0.52301758095738471</v>
      </c>
      <c r="T208">
        <f>RADIANS(VLOOKUP(Table1[[#This Row],[HomeTeam]],TeamAttrs!$A$2:$H$20, 8, FALSE))</f>
        <v>-1.6641714417765932</v>
      </c>
      <c r="U208">
        <f>RADIANS(VLOOKUP(Table1[[#This Row],[VisitorTeam]],TeamAttrs!$A$2:$H$20,7,FALSE))</f>
        <v>0.71180286482860333</v>
      </c>
      <c r="V208">
        <f>RADIANS(VLOOKUP(Table1[[#This Row],[VisitorTeam]], TeamAttrs!$A$2:$H$20,8,FALSE))</f>
        <v>-1.2909624518348899</v>
      </c>
      <c r="W208" s="5">
        <f>60*DEGREES(ACOS(SIN(Table1[[#This Row],[HomeLat]])*SIN(Table1[[#This Row],[VisitorLat]]) +COS(Table1[[#This Row],[HomeLat]])*COS(Table1[[#This Row],[VisitorLat]])*COS(ABS(Table1[[#This Row],[HomeLong]] -Table1[[#This Row],[VisitorLong]]))))</f>
        <v>1226.0111596522461</v>
      </c>
      <c r="X208" s="6">
        <f>VLOOKUP(Table1[[#This Row],[HomeTeam]],TeamAttrs!$A$2:$K$20,5,FALSE)</f>
        <v>3000000</v>
      </c>
      <c r="Y208" s="6">
        <f>VLOOKUP(Table1[[#This Row],[HomeTeam]],TeamAttrs!$A$2:$K$20,9,FALSE)</f>
        <v>20946</v>
      </c>
      <c r="Z208" s="6">
        <f>VLOOKUP(Table1[[#This Row],[HomeTeam]],TeamAttrs!$A$2:$K$20,10,FALSE)</f>
        <v>22000</v>
      </c>
      <c r="AA208" s="6">
        <f>VLOOKUP(Table1[[#This Row],[HomeTeam]],TeamAttrs!$A$2:$K$20,11,FALSE)</f>
        <v>0.9520909090909091</v>
      </c>
    </row>
    <row r="209" spans="1:27" x14ac:dyDescent="0.25">
      <c r="A209" s="1">
        <v>41125</v>
      </c>
      <c r="B209" t="s">
        <v>17</v>
      </c>
      <c r="C209" t="str">
        <f>VLOOKUP(Table1[[#This Row],[HomeTeam]], TeamAttrs!$A$2:$B$20,2,FALSE)</f>
        <v>Chi</v>
      </c>
      <c r="D209">
        <v>2</v>
      </c>
      <c r="E209">
        <v>1</v>
      </c>
      <c r="F209">
        <f>Table1[[#This Row],[HomeTeamScore]]-Table1[[#This Row],[VisitorScore]]</f>
        <v>1</v>
      </c>
      <c r="G209" t="s">
        <v>10</v>
      </c>
      <c r="H209" t="str">
        <f>VLOOKUP(Table1[[#This Row],[VisitorTeam]],TeamAttrs!$A$2:$B$20, 2, FALSE)</f>
        <v>Tor</v>
      </c>
      <c r="I209">
        <f t="shared" si="12"/>
        <v>1</v>
      </c>
      <c r="J209">
        <f t="shared" si="13"/>
        <v>0</v>
      </c>
      <c r="K209">
        <f t="shared" si="14"/>
        <v>0</v>
      </c>
      <c r="L209">
        <f>3*Table1[HomeWin] +Table1[Draw]</f>
        <v>3</v>
      </c>
      <c r="M209">
        <f>3*Table1[HomeLoss]+Table1[Draw]</f>
        <v>0</v>
      </c>
      <c r="N209">
        <f>VLOOKUP(B209,TeamAttrs!$A$2:$C$20,3,FALSE)</f>
        <v>6</v>
      </c>
      <c r="O209">
        <f>VLOOKUP(G209,TeamAttrs!$A$2:$C$20,3,FALSE)</f>
        <v>5</v>
      </c>
      <c r="P209">
        <f t="shared" si="15"/>
        <v>-1</v>
      </c>
      <c r="Q209">
        <f>VLOOKUP(B209,TeamAttrs!$A$2:$D$20,3,FALSE)</f>
        <v>6</v>
      </c>
      <c r="R209">
        <f>VLOOKUP(G209,TeamAttrs!$A$2:$D$20,3,FALSE)</f>
        <v>5</v>
      </c>
      <c r="S209">
        <f>RADIANS(VLOOKUP(Table1[[#This Row],[HomeTeam]],TeamAttrs!$A$2:$H$20,7, FALSE))</f>
        <v>0.72925615734854665</v>
      </c>
      <c r="T209">
        <f>RADIANS(VLOOKUP(Table1[[#This Row],[HomeTeam]],TeamAttrs!$A$2:$H$20, 8, FALSE))</f>
        <v>-1.5315264186250241</v>
      </c>
      <c r="U209">
        <f>RADIANS(VLOOKUP(Table1[[#This Row],[VisitorTeam]],TeamAttrs!$A$2:$H$20,7,FALSE))</f>
        <v>0.76241741313643896</v>
      </c>
      <c r="V209">
        <f>RADIANS(VLOOKUP(Table1[[#This Row],[VisitorTeam]], TeamAttrs!$A$2:$H$20,8,FALSE))</f>
        <v>-1.3898632792284005</v>
      </c>
      <c r="W209" s="5">
        <f>60*DEGREES(ACOS(SIN(Table1[[#This Row],[HomeLat]])*SIN(Table1[[#This Row],[VisitorLat]]) +COS(Table1[[#This Row],[HomeLat]])*COS(Table1[[#This Row],[VisitorLat]])*COS(ABS(Table1[[#This Row],[HomeLong]] -Table1[[#This Row],[VisitorLong]]))))</f>
        <v>375.25208852404677</v>
      </c>
      <c r="X209" s="6">
        <f>VLOOKUP(Table1[[#This Row],[HomeTeam]],TeamAttrs!$A$2:$K$20,5,FALSE)</f>
        <v>3230000</v>
      </c>
      <c r="Y209" s="6">
        <f>VLOOKUP(Table1[[#This Row],[HomeTeam]],TeamAttrs!$A$2:$K$20,9,FALSE)</f>
        <v>16407</v>
      </c>
      <c r="Z209" s="6">
        <f>VLOOKUP(Table1[[#This Row],[HomeTeam]],TeamAttrs!$A$2:$K$20,10,FALSE)</f>
        <v>20000</v>
      </c>
      <c r="AA209" s="6">
        <f>VLOOKUP(Table1[[#This Row],[HomeTeam]],TeamAttrs!$A$2:$K$20,11,FALSE)</f>
        <v>0.82035000000000002</v>
      </c>
    </row>
    <row r="210" spans="1:27" x14ac:dyDescent="0.25">
      <c r="A210" s="1">
        <v>41125</v>
      </c>
      <c r="B210" t="s">
        <v>14</v>
      </c>
      <c r="C210" t="str">
        <f>VLOOKUP(Table1[[#This Row],[HomeTeam]], TeamAttrs!$A$2:$B$20,2,FALSE)</f>
        <v>ColRa</v>
      </c>
      <c r="D210">
        <v>1</v>
      </c>
      <c r="E210">
        <v>0</v>
      </c>
      <c r="F210">
        <f>Table1[[#This Row],[HomeTeamScore]]-Table1[[#This Row],[VisitorScore]]</f>
        <v>1</v>
      </c>
      <c r="G210" t="s">
        <v>18</v>
      </c>
      <c r="H210" t="str">
        <f>VLOOKUP(Table1[[#This Row],[VisitorTeam]],TeamAttrs!$A$2:$B$20, 2, FALSE)</f>
        <v>RSL</v>
      </c>
      <c r="I210">
        <f t="shared" si="12"/>
        <v>1</v>
      </c>
      <c r="J210">
        <f t="shared" si="13"/>
        <v>0</v>
      </c>
      <c r="K210">
        <f t="shared" si="14"/>
        <v>0</v>
      </c>
      <c r="L210">
        <f>3*Table1[HomeWin] +Table1[Draw]</f>
        <v>3</v>
      </c>
      <c r="M210">
        <f>3*Table1[HomeLoss]+Table1[Draw]</f>
        <v>0</v>
      </c>
      <c r="N210">
        <f>VLOOKUP(B210,TeamAttrs!$A$2:$C$20,3,FALSE)</f>
        <v>7</v>
      </c>
      <c r="O210">
        <f>VLOOKUP(G210,TeamAttrs!$A$2:$C$20,3,FALSE)</f>
        <v>7</v>
      </c>
      <c r="P210">
        <f t="shared" si="15"/>
        <v>0</v>
      </c>
      <c r="Q210">
        <f>VLOOKUP(B210,TeamAttrs!$A$2:$D$20,3,FALSE)</f>
        <v>7</v>
      </c>
      <c r="R210">
        <f>VLOOKUP(G210,TeamAttrs!$A$2:$D$20,3,FALSE)</f>
        <v>7</v>
      </c>
      <c r="S210">
        <f>RADIANS(VLOOKUP(Table1[[#This Row],[HomeTeam]],TeamAttrs!$A$2:$H$20,7, FALSE))</f>
        <v>0.69376837766774602</v>
      </c>
      <c r="T210">
        <f>RADIANS(VLOOKUP(Table1[[#This Row],[HomeTeam]],TeamAttrs!$A$2:$H$20, 8, FALSE))</f>
        <v>-1.8302744266888937</v>
      </c>
      <c r="U210">
        <f>RADIANS(VLOOKUP(Table1[[#This Row],[VisitorTeam]],TeamAttrs!$A$2:$H$20,7,FALSE))</f>
        <v>0.71151314017277234</v>
      </c>
      <c r="V210">
        <f>RADIANS(VLOOKUP(Table1[[#This Row],[VisitorTeam]], TeamAttrs!$A$2:$H$20,8,FALSE))</f>
        <v>-1.954192803580491</v>
      </c>
      <c r="W210" s="5">
        <f>60*DEGREES(ACOS(SIN(Table1[[#This Row],[HomeLat]])*SIN(Table1[[#This Row],[VisitorLat]]) +COS(Table1[[#This Row],[HomeLat]])*COS(Table1[[#This Row],[VisitorLat]])*COS(ABS(Table1[[#This Row],[HomeLong]] -Table1[[#This Row],[VisitorLong]]))))</f>
        <v>330.67202788672762</v>
      </c>
      <c r="X210" s="6">
        <f>VLOOKUP(Table1[[#This Row],[HomeTeam]],TeamAttrs!$A$2:$K$20,5,FALSE)</f>
        <v>3430000</v>
      </c>
      <c r="Y210" s="6">
        <f>VLOOKUP(Table1[[#This Row],[HomeTeam]],TeamAttrs!$A$2:$K$20,9,FALSE)</f>
        <v>15175</v>
      </c>
      <c r="Z210" s="6">
        <f>VLOOKUP(Table1[[#This Row],[HomeTeam]],TeamAttrs!$A$2:$K$20,10,FALSE)</f>
        <v>18086</v>
      </c>
      <c r="AA210" s="6">
        <f>VLOOKUP(Table1[[#This Row],[HomeTeam]],TeamAttrs!$A$2:$K$20,11,FALSE)</f>
        <v>0.83904677651221937</v>
      </c>
    </row>
    <row r="211" spans="1:27" x14ac:dyDescent="0.25">
      <c r="A211" s="1">
        <v>41125</v>
      </c>
      <c r="B211" t="s">
        <v>3</v>
      </c>
      <c r="C211" t="str">
        <f>VLOOKUP(Table1[[#This Row],[HomeTeam]], TeamAttrs!$A$2:$B$20,2,FALSE)</f>
        <v>DCU</v>
      </c>
      <c r="D211">
        <v>1</v>
      </c>
      <c r="E211">
        <v>0</v>
      </c>
      <c r="F211">
        <f>Table1[[#This Row],[HomeTeamScore]]-Table1[[#This Row],[VisitorScore]]</f>
        <v>1</v>
      </c>
      <c r="G211" t="s">
        <v>8</v>
      </c>
      <c r="H211" t="str">
        <f>VLOOKUP(Table1[[#This Row],[VisitorTeam]],TeamAttrs!$A$2:$B$20, 2, FALSE)</f>
        <v>Colum</v>
      </c>
      <c r="I211">
        <f t="shared" si="12"/>
        <v>1</v>
      </c>
      <c r="J211">
        <f t="shared" si="13"/>
        <v>0</v>
      </c>
      <c r="K211">
        <f t="shared" si="14"/>
        <v>0</v>
      </c>
      <c r="L211">
        <f>3*Table1[HomeWin] +Table1[Draw]</f>
        <v>3</v>
      </c>
      <c r="M211">
        <f>3*Table1[HomeLoss]+Table1[Draw]</f>
        <v>0</v>
      </c>
      <c r="N211">
        <f>VLOOKUP(B211,TeamAttrs!$A$2:$C$20,3,FALSE)</f>
        <v>5</v>
      </c>
      <c r="O211">
        <f>VLOOKUP(G211,TeamAttrs!$A$2:$C$20,3,FALSE)</f>
        <v>5</v>
      </c>
      <c r="P211">
        <f t="shared" si="15"/>
        <v>0</v>
      </c>
      <c r="Q211">
        <f>VLOOKUP(B211,TeamAttrs!$A$2:$D$20,3,FALSE)</f>
        <v>5</v>
      </c>
      <c r="R211">
        <f>VLOOKUP(G211,TeamAttrs!$A$2:$D$20,3,FALSE)</f>
        <v>5</v>
      </c>
      <c r="S211">
        <f>RADIANS(VLOOKUP(Table1[[#This Row],[HomeTeam]],TeamAttrs!$A$2:$H$20,7, FALSE))</f>
        <v>0.67806041439979703</v>
      </c>
      <c r="T211">
        <f>RADIANS(VLOOKUP(Table1[[#This Row],[HomeTeam]],TeamAttrs!$A$2:$H$20, 8, FALSE))</f>
        <v>-1.3444847186765478</v>
      </c>
      <c r="U211">
        <f>RADIANS(VLOOKUP(Table1[[#This Row],[VisitorTeam]],TeamAttrs!$A$2:$H$20,7,FALSE))</f>
        <v>0.69813170079773179</v>
      </c>
      <c r="V211">
        <f>RADIANS(VLOOKUP(Table1[[#This Row],[VisitorTeam]], TeamAttrs!$A$2:$H$20,8,FALSE))</f>
        <v>-1.4465864799182162</v>
      </c>
      <c r="W211" s="5">
        <f>60*DEGREES(ACOS(SIN(Table1[[#This Row],[HomeLat]])*SIN(Table1[[#This Row],[VisitorLat]]) +COS(Table1[[#This Row],[HomeLat]])*COS(Table1[[#This Row],[VisitorLat]])*COS(ABS(Table1[[#This Row],[HomeLong]] -Table1[[#This Row],[VisitorLong]]))))</f>
        <v>279.71495170162672</v>
      </c>
      <c r="X211" s="6">
        <f>VLOOKUP(Table1[[#This Row],[HomeTeam]],TeamAttrs!$A$2:$K$20,5,FALSE)</f>
        <v>4190000.0000000005</v>
      </c>
      <c r="Y211" s="6">
        <f>VLOOKUP(Table1[[#This Row],[HomeTeam]],TeamAttrs!$A$2:$K$20,9,FALSE)</f>
        <v>13846</v>
      </c>
      <c r="Z211" s="6">
        <f>VLOOKUP(Table1[[#This Row],[HomeTeam]],TeamAttrs!$A$2:$K$20,10,FALSE)</f>
        <v>19467</v>
      </c>
      <c r="AA211" s="6">
        <f>VLOOKUP(Table1[[#This Row],[HomeTeam]],TeamAttrs!$A$2:$K$20,11,FALSE)</f>
        <v>0.71125494426465297</v>
      </c>
    </row>
    <row r="212" spans="1:27" x14ac:dyDescent="0.25">
      <c r="A212" s="1">
        <v>41125</v>
      </c>
      <c r="B212" t="s">
        <v>1</v>
      </c>
      <c r="C212" t="str">
        <f>VLOOKUP(Table1[[#This Row],[HomeTeam]], TeamAttrs!$A$2:$B$20,2,FALSE)</f>
        <v>Mntrl</v>
      </c>
      <c r="D212">
        <v>2</v>
      </c>
      <c r="E212">
        <v>0</v>
      </c>
      <c r="F212">
        <f>Table1[[#This Row],[HomeTeamScore]]-Table1[[#This Row],[VisitorScore]]</f>
        <v>2</v>
      </c>
      <c r="G212" t="s">
        <v>4</v>
      </c>
      <c r="H212" t="str">
        <f>VLOOKUP(Table1[[#This Row],[VisitorTeam]],TeamAttrs!$A$2:$B$20, 2, FALSE)</f>
        <v>Phil</v>
      </c>
      <c r="I212">
        <f t="shared" si="12"/>
        <v>1</v>
      </c>
      <c r="J212">
        <f t="shared" si="13"/>
        <v>0</v>
      </c>
      <c r="K212">
        <f t="shared" si="14"/>
        <v>0</v>
      </c>
      <c r="L212">
        <f>3*Table1[HomeWin] +Table1[Draw]</f>
        <v>3</v>
      </c>
      <c r="M212">
        <f>3*Table1[HomeLoss]+Table1[Draw]</f>
        <v>0</v>
      </c>
      <c r="N212">
        <f>VLOOKUP(B212,TeamAttrs!$A$2:$C$20,3,FALSE)</f>
        <v>5</v>
      </c>
      <c r="O212">
        <f>VLOOKUP(G212,TeamAttrs!$A$2:$C$20,3,FALSE)</f>
        <v>5</v>
      </c>
      <c r="P212">
        <f t="shared" si="15"/>
        <v>0</v>
      </c>
      <c r="Q212">
        <f>VLOOKUP(B212,TeamAttrs!$A$2:$D$20,3,FALSE)</f>
        <v>5</v>
      </c>
      <c r="R212">
        <f>VLOOKUP(G212,TeamAttrs!$A$2:$D$20,3,FALSE)</f>
        <v>5</v>
      </c>
      <c r="S212">
        <f>RADIANS(VLOOKUP(Table1[[#This Row],[HomeTeam]],TeamAttrs!$A$2:$H$20,7, FALSE))</f>
        <v>0.79354361501650583</v>
      </c>
      <c r="T212">
        <f>RADIANS(VLOOKUP(Table1[[#This Row],[HomeTeam]],TeamAttrs!$A$2:$H$20, 8, FALSE))</f>
        <v>-1.2871803233458181</v>
      </c>
      <c r="U212">
        <f>RADIANS(VLOOKUP(Table1[[#This Row],[VisitorTeam]],TeamAttrs!$A$2:$H$20,7,FALSE))</f>
        <v>0.69609490156065446</v>
      </c>
      <c r="V212">
        <f>RADIANS(VLOOKUP(Table1[[#This Row],[VisitorTeam]], TeamAttrs!$A$2:$H$20,8,FALSE))</f>
        <v>-1.313360262125733</v>
      </c>
      <c r="W212" s="5">
        <f>60*DEGREES(ACOS(SIN(Table1[[#This Row],[HomeLat]])*SIN(Table1[[#This Row],[VisitorLat]]) +COS(Table1[[#This Row],[HomeLat]])*COS(Table1[[#This Row],[VisitorLat]])*COS(ABS(Table1[[#This Row],[HomeLong]] -Table1[[#This Row],[VisitorLong]]))))</f>
        <v>341.45802923770231</v>
      </c>
      <c r="X212" s="6">
        <f>VLOOKUP(Table1[[#This Row],[HomeTeam]],TeamAttrs!$A$2:$K$20,5,FALSE)</f>
        <v>3030000</v>
      </c>
      <c r="Y212" s="6">
        <f>VLOOKUP(Table1[[#This Row],[HomeTeam]],TeamAttrs!$A$2:$K$20,9,FALSE)</f>
        <v>22772</v>
      </c>
      <c r="Z212" s="6">
        <f>VLOOKUP(Table1[[#This Row],[HomeTeam]],TeamAttrs!$A$2:$K$20,10,FALSE)</f>
        <v>20341</v>
      </c>
      <c r="AA212" s="6">
        <f>VLOOKUP(Table1[[#This Row],[HomeTeam]],TeamAttrs!$A$2:$K$20,11,FALSE)</f>
        <v>1.1195123150287596</v>
      </c>
    </row>
    <row r="213" spans="1:27" x14ac:dyDescent="0.25">
      <c r="A213" s="1">
        <v>41125</v>
      </c>
      <c r="B213" t="s">
        <v>9</v>
      </c>
      <c r="C213" t="str">
        <f>VLOOKUP(Table1[[#This Row],[HomeTeam]], TeamAttrs!$A$2:$B$20,2,FALSE)</f>
        <v>NE</v>
      </c>
      <c r="D213">
        <v>0</v>
      </c>
      <c r="E213">
        <v>1</v>
      </c>
      <c r="F213">
        <f>Table1[[#This Row],[HomeTeamScore]]-Table1[[#This Row],[VisitorScore]]</f>
        <v>-1</v>
      </c>
      <c r="G213" t="s">
        <v>6</v>
      </c>
      <c r="H213" t="str">
        <f>VLOOKUP(Table1[[#This Row],[VisitorTeam]],TeamAttrs!$A$2:$B$20, 2, FALSE)</f>
        <v>SKC</v>
      </c>
      <c r="I213">
        <f t="shared" si="12"/>
        <v>0</v>
      </c>
      <c r="J213">
        <f t="shared" si="13"/>
        <v>0</v>
      </c>
      <c r="K213">
        <f t="shared" si="14"/>
        <v>1</v>
      </c>
      <c r="L213">
        <f>3*Table1[HomeWin] +Table1[Draw]</f>
        <v>0</v>
      </c>
      <c r="M213">
        <f>3*Table1[HomeLoss]+Table1[Draw]</f>
        <v>3</v>
      </c>
      <c r="N213">
        <f>VLOOKUP(B213,TeamAttrs!$A$2:$C$20,3,FALSE)</f>
        <v>5</v>
      </c>
      <c r="O213">
        <f>VLOOKUP(G213,TeamAttrs!$A$2:$C$20,3,FALSE)</f>
        <v>6</v>
      </c>
      <c r="P213">
        <f t="shared" si="15"/>
        <v>1</v>
      </c>
      <c r="Q213">
        <f>VLOOKUP(B213,TeamAttrs!$A$2:$D$20,3,FALSE)</f>
        <v>5</v>
      </c>
      <c r="R213">
        <f>VLOOKUP(G213,TeamAttrs!$A$2:$D$20,3,FALSE)</f>
        <v>6</v>
      </c>
      <c r="S213">
        <f>RADIANS(VLOOKUP(Table1[[#This Row],[HomeTeam]],TeamAttrs!$A$2:$H$20,7, FALSE))</f>
        <v>0.73943840820468165</v>
      </c>
      <c r="T213">
        <f>RADIANS(VLOOKUP(Table1[[#This Row],[HomeTeam]],TeamAttrs!$A$2:$H$20, 8, FALSE))</f>
        <v>-1.2397649635568881</v>
      </c>
      <c r="U213">
        <f>RADIANS(VLOOKUP(Table1[[#This Row],[VisitorTeam]],TeamAttrs!$A$2:$H$20,7,FALSE))</f>
        <v>0.68271520751486592</v>
      </c>
      <c r="V213">
        <f>RADIANS(VLOOKUP(Table1[[#This Row],[VisitorTeam]], TeamAttrs!$A$2:$H$20,8,FALSE))</f>
        <v>-1.65166266702755</v>
      </c>
      <c r="W213" s="5">
        <f>60*DEGREES(ACOS(SIN(Table1[[#This Row],[HomeLat]])*SIN(Table1[[#This Row],[VisitorLat]]) +COS(Table1[[#This Row],[HomeLat]])*COS(Table1[[#This Row],[VisitorLat]])*COS(ABS(Table1[[#This Row],[HomeLong]] -Table1[[#This Row],[VisitorLong]]))))</f>
        <v>1086.7589219617198</v>
      </c>
      <c r="X213" s="6">
        <f>VLOOKUP(Table1[[#This Row],[HomeTeam]],TeamAttrs!$A$2:$K$20,5,FALSE)</f>
        <v>3260000</v>
      </c>
      <c r="Y213" s="6">
        <f>VLOOKUP(Table1[[#This Row],[HomeTeam]],TeamAttrs!$A$2:$K$20,9,FALSE)</f>
        <v>14001</v>
      </c>
      <c r="Z213" s="6">
        <f>VLOOKUP(Table1[[#This Row],[HomeTeam]],TeamAttrs!$A$2:$K$20,10,FALSE)</f>
        <v>20000</v>
      </c>
      <c r="AA213" s="6">
        <f>VLOOKUP(Table1[[#This Row],[HomeTeam]],TeamAttrs!$A$2:$K$20,11,FALSE)</f>
        <v>0.70004999999999995</v>
      </c>
    </row>
    <row r="214" spans="1:27" x14ac:dyDescent="0.25">
      <c r="A214" s="1">
        <v>41126</v>
      </c>
      <c r="B214" t="s">
        <v>12</v>
      </c>
      <c r="C214" t="str">
        <f>VLOOKUP(Table1[[#This Row],[HomeTeam]], TeamAttrs!$A$2:$B$20,2,FALSE)</f>
        <v>Port</v>
      </c>
      <c r="D214">
        <v>1</v>
      </c>
      <c r="E214">
        <v>1</v>
      </c>
      <c r="F214">
        <f>Table1[[#This Row],[HomeTeamScore]]-Table1[[#This Row],[VisitorScore]]</f>
        <v>0</v>
      </c>
      <c r="G214" t="s">
        <v>7</v>
      </c>
      <c r="H214" t="str">
        <f>VLOOKUP(Table1[[#This Row],[VisitorTeam]],TeamAttrs!$A$2:$B$20, 2, FALSE)</f>
        <v>FCDal</v>
      </c>
      <c r="I214">
        <f t="shared" si="12"/>
        <v>0</v>
      </c>
      <c r="J214">
        <f t="shared" si="13"/>
        <v>1</v>
      </c>
      <c r="K214">
        <f t="shared" si="14"/>
        <v>0</v>
      </c>
      <c r="L214">
        <f>3*Table1[HomeWin] +Table1[Draw]</f>
        <v>1</v>
      </c>
      <c r="M214">
        <f>3*Table1[HomeLoss]+Table1[Draw]</f>
        <v>1</v>
      </c>
      <c r="N214">
        <f>VLOOKUP(B214,TeamAttrs!$A$2:$C$20,3,FALSE)</f>
        <v>8</v>
      </c>
      <c r="O214">
        <f>VLOOKUP(G214,TeamAttrs!$A$2:$C$20,3,FALSE)</f>
        <v>6</v>
      </c>
      <c r="P214">
        <f t="shared" si="15"/>
        <v>-2</v>
      </c>
      <c r="Q214">
        <f>VLOOKUP(B214,TeamAttrs!$A$2:$D$20,3,FALSE)</f>
        <v>8</v>
      </c>
      <c r="R214">
        <f>VLOOKUP(G214,TeamAttrs!$A$2:$D$20,3,FALSE)</f>
        <v>6</v>
      </c>
      <c r="S214">
        <f>RADIANS(VLOOKUP(Table1[[#This Row],[HomeTeam]],TeamAttrs!$A$2:$H$20,7, FALSE))</f>
        <v>0.79587013890941427</v>
      </c>
      <c r="T214">
        <f>RADIANS(VLOOKUP(Table1[[#This Row],[HomeTeam]],TeamAttrs!$A$2:$H$20, 8, FALSE))</f>
        <v>-2.1397736629450481</v>
      </c>
      <c r="U214">
        <f>RADIANS(VLOOKUP(Table1[[#This Row],[VisitorTeam]],TeamAttrs!$A$2:$H$20,7,FALSE))</f>
        <v>0.57334065928013733</v>
      </c>
      <c r="V214">
        <f>RADIANS(VLOOKUP(Table1[[#This Row],[VisitorTeam]], TeamAttrs!$A$2:$H$20,8,FALSE))</f>
        <v>-1.690351380556508</v>
      </c>
      <c r="W214" s="5">
        <f>60*DEGREES(ACOS(SIN(Table1[[#This Row],[HomeLat]])*SIN(Table1[[#This Row],[VisitorLat]]) +COS(Table1[[#This Row],[HomeLat]])*COS(Table1[[#This Row],[VisitorLat]])*COS(ABS(Table1[[#This Row],[HomeLong]] -Table1[[#This Row],[VisitorLong]]))))</f>
        <v>1410.7378651362624</v>
      </c>
      <c r="X214" s="6">
        <f>VLOOKUP(Table1[[#This Row],[HomeTeam]],TeamAttrs!$A$2:$K$20,5,FALSE)</f>
        <v>4160000</v>
      </c>
      <c r="Y214" s="6">
        <f>VLOOKUP(Table1[[#This Row],[HomeTeam]],TeamAttrs!$A$2:$K$20,9,FALSE)</f>
        <v>20438</v>
      </c>
      <c r="Z214" s="6">
        <f>VLOOKUP(Table1[[#This Row],[HomeTeam]],TeamAttrs!$A$2:$K$20,10,FALSE)</f>
        <v>20438</v>
      </c>
      <c r="AA214" s="6">
        <f>VLOOKUP(Table1[[#This Row],[HomeTeam]],TeamAttrs!$A$2:$K$20,11,FALSE)</f>
        <v>1</v>
      </c>
    </row>
    <row r="215" spans="1:27" x14ac:dyDescent="0.25">
      <c r="A215" s="1">
        <v>41126</v>
      </c>
      <c r="B215" t="s">
        <v>11</v>
      </c>
      <c r="C215" t="str">
        <f>VLOOKUP(Table1[[#This Row],[HomeTeam]], TeamAttrs!$A$2:$B$20,2,FALSE)</f>
        <v>SEA</v>
      </c>
      <c r="D215">
        <v>4</v>
      </c>
      <c r="E215">
        <v>0</v>
      </c>
      <c r="F215">
        <f>Table1[[#This Row],[HomeTeamScore]]-Table1[[#This Row],[VisitorScore]]</f>
        <v>4</v>
      </c>
      <c r="G215" t="s">
        <v>16</v>
      </c>
      <c r="H215" t="str">
        <f>VLOOKUP(Table1[[#This Row],[VisitorTeam]],TeamAttrs!$A$2:$B$20, 2, FALSE)</f>
        <v>LAGxy</v>
      </c>
      <c r="I215">
        <f t="shared" si="12"/>
        <v>1</v>
      </c>
      <c r="J215">
        <f t="shared" si="13"/>
        <v>0</v>
      </c>
      <c r="K215">
        <f t="shared" si="14"/>
        <v>0</v>
      </c>
      <c r="L215">
        <f>3*Table1[HomeWin] +Table1[Draw]</f>
        <v>3</v>
      </c>
      <c r="M215">
        <f>3*Table1[HomeLoss]+Table1[Draw]</f>
        <v>0</v>
      </c>
      <c r="N215">
        <f>VLOOKUP(B215,TeamAttrs!$A$2:$C$20,3,FALSE)</f>
        <v>8</v>
      </c>
      <c r="O215">
        <f>VLOOKUP(G215,TeamAttrs!$A$2:$C$20,3,FALSE)</f>
        <v>8</v>
      </c>
      <c r="P215">
        <f t="shared" si="15"/>
        <v>0</v>
      </c>
      <c r="Q215">
        <f>VLOOKUP(B215,TeamAttrs!$A$2:$D$20,3,FALSE)</f>
        <v>8</v>
      </c>
      <c r="R215">
        <f>VLOOKUP(G215,TeamAttrs!$A$2:$D$20,3,FALSE)</f>
        <v>8</v>
      </c>
      <c r="S215">
        <f>RADIANS(VLOOKUP(Table1[[#This Row],[HomeTeam]],TeamAttrs!$A$2:$H$20,7, FALSE))</f>
        <v>0.83164938857529802</v>
      </c>
      <c r="T215">
        <f>RADIANS(VLOOKUP(Table1[[#This Row],[HomeTeam]],TeamAttrs!$A$2:$H$20, 8, FALSE))</f>
        <v>-2.134537675189065</v>
      </c>
      <c r="U215">
        <f>RADIANS(VLOOKUP(Table1[[#This Row],[VisitorTeam]],TeamAttrs!$A$2:$H$20,7,FALSE))</f>
        <v>0.59224781106699187</v>
      </c>
      <c r="V215">
        <f>RADIANS(VLOOKUP(Table1[[#This Row],[VisitorTeam]], TeamAttrs!$A$2:$H$20,8,FALSE))</f>
        <v>-2.0664698343612864</v>
      </c>
      <c r="W215" s="5">
        <f>60*DEGREES(ACOS(SIN(Table1[[#This Row],[HomeLat]])*SIN(Table1[[#This Row],[VisitorLat]]) +COS(Table1[[#This Row],[HomeLat]])*COS(Table1[[#This Row],[VisitorLat]])*COS(ABS(Table1[[#This Row],[HomeLong]] -Table1[[#This Row],[VisitorLong]]))))</f>
        <v>841.56162088012809</v>
      </c>
      <c r="X215" s="6">
        <f>VLOOKUP(Table1[[#This Row],[HomeTeam]],TeamAttrs!$A$2:$K$20,5,FALSE)</f>
        <v>3980000</v>
      </c>
      <c r="Y215" s="6">
        <f>VLOOKUP(Table1[[#This Row],[HomeTeam]],TeamAttrs!$A$2:$K$20,9,FALSE)</f>
        <v>43104</v>
      </c>
      <c r="Z215" s="6">
        <f>VLOOKUP(Table1[[#This Row],[HomeTeam]],TeamAttrs!$A$2:$K$20,10,FALSE)</f>
        <v>38500</v>
      </c>
      <c r="AA215" s="6">
        <f>VLOOKUP(Table1[[#This Row],[HomeTeam]],TeamAttrs!$A$2:$K$20,11,FALSE)</f>
        <v>1.1195844155844157</v>
      </c>
    </row>
    <row r="216" spans="1:27" x14ac:dyDescent="0.25">
      <c r="A216" s="1">
        <v>41129</v>
      </c>
      <c r="B216" t="s">
        <v>6</v>
      </c>
      <c r="C216" t="str">
        <f>VLOOKUP(Table1[[#This Row],[HomeTeam]], TeamAttrs!$A$2:$B$20,2,FALSE)</f>
        <v>SKC</v>
      </c>
      <c r="D216">
        <v>1</v>
      </c>
      <c r="E216">
        <v>1</v>
      </c>
      <c r="F216">
        <f>Table1[[#This Row],[HomeTeamScore]]-Table1[[#This Row],[VisitorScore]]</f>
        <v>0</v>
      </c>
      <c r="G216" t="s">
        <v>11</v>
      </c>
      <c r="H216" t="str">
        <f>VLOOKUP(Table1[[#This Row],[VisitorTeam]],TeamAttrs!$A$2:$B$20, 2, FALSE)</f>
        <v>SEA</v>
      </c>
      <c r="I216">
        <f t="shared" si="12"/>
        <v>0</v>
      </c>
      <c r="J216">
        <f t="shared" si="13"/>
        <v>1</v>
      </c>
      <c r="K216">
        <f t="shared" si="14"/>
        <v>0</v>
      </c>
      <c r="L216">
        <f>3*Table1[HomeWin] +Table1[Draw]</f>
        <v>1</v>
      </c>
      <c r="M216">
        <f>3*Table1[HomeLoss]+Table1[Draw]</f>
        <v>1</v>
      </c>
      <c r="N216">
        <f>VLOOKUP(B216,TeamAttrs!$A$2:$C$20,3,FALSE)</f>
        <v>6</v>
      </c>
      <c r="O216">
        <f>VLOOKUP(G216,TeamAttrs!$A$2:$C$20,3,FALSE)</f>
        <v>8</v>
      </c>
      <c r="P216">
        <f t="shared" si="15"/>
        <v>2</v>
      </c>
      <c r="Q216">
        <f>VLOOKUP(B216,TeamAttrs!$A$2:$D$20,3,FALSE)</f>
        <v>6</v>
      </c>
      <c r="R216">
        <f>VLOOKUP(G216,TeamAttrs!$A$2:$D$20,3,FALSE)</f>
        <v>8</v>
      </c>
      <c r="S216">
        <f>RADIANS(VLOOKUP(Table1[[#This Row],[HomeTeam]],TeamAttrs!$A$2:$H$20,7, FALSE))</f>
        <v>0.68271520751486592</v>
      </c>
      <c r="T216">
        <f>RADIANS(VLOOKUP(Table1[[#This Row],[HomeTeam]],TeamAttrs!$A$2:$H$20, 8, FALSE))</f>
        <v>-1.65166266702755</v>
      </c>
      <c r="U216">
        <f>RADIANS(VLOOKUP(Table1[[#This Row],[VisitorTeam]],TeamAttrs!$A$2:$H$20,7,FALSE))</f>
        <v>0.83164938857529802</v>
      </c>
      <c r="V216">
        <f>RADIANS(VLOOKUP(Table1[[#This Row],[VisitorTeam]], TeamAttrs!$A$2:$H$20,8,FALSE))</f>
        <v>-2.134537675189065</v>
      </c>
      <c r="W216" s="5">
        <f>60*DEGREES(ACOS(SIN(Table1[[#This Row],[HomeLat]])*SIN(Table1[[#This Row],[VisitorLat]]) +COS(Table1[[#This Row],[HomeLat]])*COS(Table1[[#This Row],[VisitorLat]])*COS(ABS(Table1[[#This Row],[HomeLong]] -Table1[[#This Row],[VisitorLong]]))))</f>
        <v>1301.6511560982935</v>
      </c>
      <c r="X216" s="6">
        <f>VLOOKUP(Table1[[#This Row],[HomeTeam]],TeamAttrs!$A$2:$K$20,5,FALSE)</f>
        <v>3120000</v>
      </c>
      <c r="Y216" s="6">
        <f>VLOOKUP(Table1[[#This Row],[HomeTeam]],TeamAttrs!$A$2:$K$20,9,FALSE)</f>
        <v>19404</v>
      </c>
      <c r="Z216" s="6">
        <f>VLOOKUP(Table1[[#This Row],[HomeTeam]],TeamAttrs!$A$2:$K$20,10,FALSE)</f>
        <v>18467</v>
      </c>
      <c r="AA216" s="6">
        <f>VLOOKUP(Table1[[#This Row],[HomeTeam]],TeamAttrs!$A$2:$K$20,11,FALSE)</f>
        <v>1.0507391563329183</v>
      </c>
    </row>
    <row r="217" spans="1:27" x14ac:dyDescent="0.25">
      <c r="A217" s="1">
        <v>41131</v>
      </c>
      <c r="B217" t="s">
        <v>15</v>
      </c>
      <c r="C217" t="str">
        <f>VLOOKUP(Table1[[#This Row],[HomeTeam]], TeamAttrs!$A$2:$B$20,2,FALSE)</f>
        <v>NY</v>
      </c>
      <c r="D217">
        <v>2</v>
      </c>
      <c r="E217">
        <v>0</v>
      </c>
      <c r="F217">
        <f>Table1[[#This Row],[HomeTeamScore]]-Table1[[#This Row],[VisitorScore]]</f>
        <v>2</v>
      </c>
      <c r="G217" t="s">
        <v>13</v>
      </c>
      <c r="H217" t="str">
        <f>VLOOKUP(Table1[[#This Row],[VisitorTeam]],TeamAttrs!$A$2:$B$20, 2, FALSE)</f>
        <v>Hou</v>
      </c>
      <c r="I217">
        <f t="shared" si="12"/>
        <v>1</v>
      </c>
      <c r="J217">
        <f t="shared" si="13"/>
        <v>0</v>
      </c>
      <c r="K217">
        <f t="shared" si="14"/>
        <v>0</v>
      </c>
      <c r="L217">
        <f>3*Table1[HomeWin] +Table1[Draw]</f>
        <v>3</v>
      </c>
      <c r="M217">
        <f>3*Table1[HomeLoss]+Table1[Draw]</f>
        <v>0</v>
      </c>
      <c r="N217">
        <f>VLOOKUP(B217,TeamAttrs!$A$2:$C$20,3,FALSE)</f>
        <v>5</v>
      </c>
      <c r="O217">
        <f>VLOOKUP(G217,TeamAttrs!$A$2:$C$20,3,FALSE)</f>
        <v>6</v>
      </c>
      <c r="P217">
        <f t="shared" si="15"/>
        <v>1</v>
      </c>
      <c r="Q217">
        <f>VLOOKUP(B217,TeamAttrs!$A$2:$D$20,3,FALSE)</f>
        <v>5</v>
      </c>
      <c r="R217">
        <f>VLOOKUP(G217,TeamAttrs!$A$2:$D$20,3,FALSE)</f>
        <v>6</v>
      </c>
      <c r="S217">
        <f>RADIANS(VLOOKUP(Table1[[#This Row],[HomeTeam]],TeamAttrs!$A$2:$H$20,7, FALSE))</f>
        <v>0.71180286482860333</v>
      </c>
      <c r="T217">
        <f>RADIANS(VLOOKUP(Table1[[#This Row],[HomeTeam]],TeamAttrs!$A$2:$H$20, 8, FALSE))</f>
        <v>-1.2909624518348899</v>
      </c>
      <c r="U217">
        <f>RADIANS(VLOOKUP(Table1[[#This Row],[VisitorTeam]],TeamAttrs!$A$2:$H$20,7,FALSE))</f>
        <v>0.52301758095738471</v>
      </c>
      <c r="V217">
        <f>RADIANS(VLOOKUP(Table1[[#This Row],[VisitorTeam]], TeamAttrs!$A$2:$H$20,8,FALSE))</f>
        <v>-1.6641714417765932</v>
      </c>
      <c r="W217" s="5">
        <f>60*DEGREES(ACOS(SIN(Table1[[#This Row],[HomeLat]])*SIN(Table1[[#This Row],[VisitorLat]]) +COS(Table1[[#This Row],[HomeLat]])*COS(Table1[[#This Row],[VisitorLat]])*COS(ABS(Table1[[#This Row],[HomeLong]] -Table1[[#This Row],[VisitorLong]]))))</f>
        <v>1226.0111596522461</v>
      </c>
      <c r="X217" s="6">
        <f>VLOOKUP(Table1[[#This Row],[HomeTeam]],TeamAttrs!$A$2:$K$20,5,FALSE)</f>
        <v>12960000</v>
      </c>
      <c r="Y217" s="6">
        <f>VLOOKUP(Table1[[#This Row],[HomeTeam]],TeamAttrs!$A$2:$K$20,9,FALSE)</f>
        <v>18281</v>
      </c>
      <c r="Z217" s="6">
        <f>VLOOKUP(Table1[[#This Row],[HomeTeam]],TeamAttrs!$A$2:$K$20,10,FALSE)</f>
        <v>25000</v>
      </c>
      <c r="AA217" s="6">
        <f>VLOOKUP(Table1[[#This Row],[HomeTeam]],TeamAttrs!$A$2:$K$20,11,FALSE)</f>
        <v>0.73124</v>
      </c>
    </row>
    <row r="218" spans="1:27" x14ac:dyDescent="0.25">
      <c r="A218" s="1">
        <v>41132</v>
      </c>
      <c r="B218" t="s">
        <v>7</v>
      </c>
      <c r="C218" t="str">
        <f>VLOOKUP(Table1[[#This Row],[HomeTeam]], TeamAttrs!$A$2:$B$20,2,FALSE)</f>
        <v>FCDal</v>
      </c>
      <c r="D218">
        <v>3</v>
      </c>
      <c r="E218">
        <v>2</v>
      </c>
      <c r="F218">
        <f>Table1[[#This Row],[HomeTeamScore]]-Table1[[#This Row],[VisitorScore]]</f>
        <v>1</v>
      </c>
      <c r="G218" t="s">
        <v>14</v>
      </c>
      <c r="H218" t="str">
        <f>VLOOKUP(Table1[[#This Row],[VisitorTeam]],TeamAttrs!$A$2:$B$20, 2, FALSE)</f>
        <v>ColRa</v>
      </c>
      <c r="I218">
        <f t="shared" si="12"/>
        <v>1</v>
      </c>
      <c r="J218">
        <f t="shared" si="13"/>
        <v>0</v>
      </c>
      <c r="K218">
        <f t="shared" si="14"/>
        <v>0</v>
      </c>
      <c r="L218">
        <f>3*Table1[HomeWin] +Table1[Draw]</f>
        <v>3</v>
      </c>
      <c r="M218">
        <f>3*Table1[HomeLoss]+Table1[Draw]</f>
        <v>0</v>
      </c>
      <c r="N218">
        <f>VLOOKUP(B218,TeamAttrs!$A$2:$C$20,3,FALSE)</f>
        <v>6</v>
      </c>
      <c r="O218">
        <f>VLOOKUP(G218,TeamAttrs!$A$2:$C$20,3,FALSE)</f>
        <v>7</v>
      </c>
      <c r="P218">
        <f t="shared" si="15"/>
        <v>1</v>
      </c>
      <c r="Q218">
        <f>VLOOKUP(B218,TeamAttrs!$A$2:$D$20,3,FALSE)</f>
        <v>6</v>
      </c>
      <c r="R218">
        <f>VLOOKUP(G218,TeamAttrs!$A$2:$D$20,3,FALSE)</f>
        <v>7</v>
      </c>
      <c r="S218">
        <f>RADIANS(VLOOKUP(Table1[[#This Row],[HomeTeam]],TeamAttrs!$A$2:$H$20,7, FALSE))</f>
        <v>0.57334065928013733</v>
      </c>
      <c r="T218">
        <f>RADIANS(VLOOKUP(Table1[[#This Row],[HomeTeam]],TeamAttrs!$A$2:$H$20, 8, FALSE))</f>
        <v>-1.690351380556508</v>
      </c>
      <c r="U218">
        <f>RADIANS(VLOOKUP(Table1[[#This Row],[VisitorTeam]],TeamAttrs!$A$2:$H$20,7,FALSE))</f>
        <v>0.69376837766774602</v>
      </c>
      <c r="V218">
        <f>RADIANS(VLOOKUP(Table1[[#This Row],[VisitorTeam]], TeamAttrs!$A$2:$H$20,8,FALSE))</f>
        <v>-1.8302744266888937</v>
      </c>
      <c r="W218" s="5">
        <f>60*DEGREES(ACOS(SIN(Table1[[#This Row],[HomeLat]])*SIN(Table1[[#This Row],[VisitorLat]]) +COS(Table1[[#This Row],[HomeLat]])*COS(Table1[[#This Row],[VisitorLat]])*COS(ABS(Table1[[#This Row],[HomeLong]] -Table1[[#This Row],[VisitorLong]]))))</f>
        <v>566.67453377920572</v>
      </c>
      <c r="X218" s="6">
        <f>VLOOKUP(Table1[[#This Row],[HomeTeam]],TeamAttrs!$A$2:$K$20,5,FALSE)</f>
        <v>3450000</v>
      </c>
      <c r="Y218" s="6">
        <f>VLOOKUP(Table1[[#This Row],[HomeTeam]],TeamAttrs!$A$2:$K$20,9,FALSE)</f>
        <v>14199</v>
      </c>
      <c r="Z218" s="6">
        <f>VLOOKUP(Table1[[#This Row],[HomeTeam]],TeamAttrs!$A$2:$K$20,10,FALSE)</f>
        <v>20500</v>
      </c>
      <c r="AA218" s="6">
        <f>VLOOKUP(Table1[[#This Row],[HomeTeam]],TeamAttrs!$A$2:$K$20,11,FALSE)</f>
        <v>0.69263414634146336</v>
      </c>
    </row>
    <row r="219" spans="1:27" x14ac:dyDescent="0.25">
      <c r="A219" s="1">
        <v>41132</v>
      </c>
      <c r="B219" t="s">
        <v>5</v>
      </c>
      <c r="C219" t="str">
        <f>VLOOKUP(Table1[[#This Row],[HomeTeam]], TeamAttrs!$A$2:$B$20,2,FALSE)</f>
        <v>SJE</v>
      </c>
      <c r="D219">
        <v>2</v>
      </c>
      <c r="E219">
        <v>1</v>
      </c>
      <c r="F219">
        <f>Table1[[#This Row],[HomeTeamScore]]-Table1[[#This Row],[VisitorScore]]</f>
        <v>1</v>
      </c>
      <c r="G219" t="s">
        <v>11</v>
      </c>
      <c r="H219" t="str">
        <f>VLOOKUP(Table1[[#This Row],[VisitorTeam]],TeamAttrs!$A$2:$B$20, 2, FALSE)</f>
        <v>SEA</v>
      </c>
      <c r="I219">
        <f t="shared" si="12"/>
        <v>1</v>
      </c>
      <c r="J219">
        <f t="shared" si="13"/>
        <v>0</v>
      </c>
      <c r="K219">
        <f t="shared" si="14"/>
        <v>0</v>
      </c>
      <c r="L219">
        <f>3*Table1[HomeWin] +Table1[Draw]</f>
        <v>3</v>
      </c>
      <c r="M219">
        <f>3*Table1[HomeLoss]+Table1[Draw]</f>
        <v>0</v>
      </c>
      <c r="N219">
        <f>VLOOKUP(B219,TeamAttrs!$A$2:$C$20,3,FALSE)</f>
        <v>8</v>
      </c>
      <c r="O219">
        <f>VLOOKUP(G219,TeamAttrs!$A$2:$C$20,3,FALSE)</f>
        <v>8</v>
      </c>
      <c r="P219">
        <f t="shared" si="15"/>
        <v>0</v>
      </c>
      <c r="Q219">
        <f>VLOOKUP(B219,TeamAttrs!$A$2:$D$20,3,FALSE)</f>
        <v>8</v>
      </c>
      <c r="R219">
        <f>VLOOKUP(G219,TeamAttrs!$A$2:$D$20,3,FALSE)</f>
        <v>8</v>
      </c>
      <c r="S219">
        <f>RADIANS(VLOOKUP(Table1[[#This Row],[HomeTeam]],TeamAttrs!$A$2:$H$20,7, FALSE))</f>
        <v>0.65217194560496516</v>
      </c>
      <c r="T219">
        <f>RADIANS(VLOOKUP(Table1[[#This Row],[HomeTeam]],TeamAttrs!$A$2:$H$20, 8, FALSE))</f>
        <v>-2.1281323168342459</v>
      </c>
      <c r="U219">
        <f>RADIANS(VLOOKUP(Table1[[#This Row],[VisitorTeam]],TeamAttrs!$A$2:$H$20,7,FALSE))</f>
        <v>0.83164938857529802</v>
      </c>
      <c r="V219">
        <f>RADIANS(VLOOKUP(Table1[[#This Row],[VisitorTeam]], TeamAttrs!$A$2:$H$20,8,FALSE))</f>
        <v>-2.134537675189065</v>
      </c>
      <c r="W219" s="5">
        <f>60*DEGREES(ACOS(SIN(Table1[[#This Row],[HomeLat]])*SIN(Table1[[#This Row],[VisitorLat]]) +COS(Table1[[#This Row],[HomeLat]])*COS(Table1[[#This Row],[VisitorLat]])*COS(ABS(Table1[[#This Row],[HomeLong]] -Table1[[#This Row],[VisitorLong]]))))</f>
        <v>617.20947510615565</v>
      </c>
      <c r="X219" s="6">
        <f>VLOOKUP(Table1[[#This Row],[HomeTeam]],TeamAttrs!$A$2:$K$20,5,FALSE)</f>
        <v>3210000</v>
      </c>
      <c r="Y219" s="6">
        <f>VLOOKUP(Table1[[#This Row],[HomeTeam]],TeamAttrs!$A$2:$K$20,9,FALSE)</f>
        <v>13293</v>
      </c>
      <c r="Z219" s="6">
        <f>VLOOKUP(Table1[[#This Row],[HomeTeam]],TeamAttrs!$A$2:$K$20,10,FALSE)</f>
        <v>10525</v>
      </c>
      <c r="AA219" s="6">
        <f>VLOOKUP(Table1[[#This Row],[HomeTeam]],TeamAttrs!$A$2:$K$20,11,FALSE)</f>
        <v>1.2629928741092638</v>
      </c>
    </row>
    <row r="220" spans="1:27" x14ac:dyDescent="0.25">
      <c r="A220" s="1">
        <v>41132</v>
      </c>
      <c r="B220" t="s">
        <v>6</v>
      </c>
      <c r="C220" t="str">
        <f>VLOOKUP(Table1[[#This Row],[HomeTeam]], TeamAttrs!$A$2:$B$20,2,FALSE)</f>
        <v>SKC</v>
      </c>
      <c r="D220">
        <v>2</v>
      </c>
      <c r="E220">
        <v>1</v>
      </c>
      <c r="F220">
        <f>Table1[[#This Row],[HomeTeamScore]]-Table1[[#This Row],[VisitorScore]]</f>
        <v>1</v>
      </c>
      <c r="G220" t="s">
        <v>3</v>
      </c>
      <c r="H220" t="str">
        <f>VLOOKUP(Table1[[#This Row],[VisitorTeam]],TeamAttrs!$A$2:$B$20, 2, FALSE)</f>
        <v>DCU</v>
      </c>
      <c r="I220">
        <f t="shared" si="12"/>
        <v>1</v>
      </c>
      <c r="J220">
        <f t="shared" si="13"/>
        <v>0</v>
      </c>
      <c r="K220">
        <f t="shared" si="14"/>
        <v>0</v>
      </c>
      <c r="L220">
        <f>3*Table1[HomeWin] +Table1[Draw]</f>
        <v>3</v>
      </c>
      <c r="M220">
        <f>3*Table1[HomeLoss]+Table1[Draw]</f>
        <v>0</v>
      </c>
      <c r="N220">
        <f>VLOOKUP(B220,TeamAttrs!$A$2:$C$20,3,FALSE)</f>
        <v>6</v>
      </c>
      <c r="O220">
        <f>VLOOKUP(G220,TeamAttrs!$A$2:$C$20,3,FALSE)</f>
        <v>5</v>
      </c>
      <c r="P220">
        <f t="shared" si="15"/>
        <v>-1</v>
      </c>
      <c r="Q220">
        <f>VLOOKUP(B220,TeamAttrs!$A$2:$D$20,3,FALSE)</f>
        <v>6</v>
      </c>
      <c r="R220">
        <f>VLOOKUP(G220,TeamAttrs!$A$2:$D$20,3,FALSE)</f>
        <v>5</v>
      </c>
      <c r="S220">
        <f>RADIANS(VLOOKUP(Table1[[#This Row],[HomeTeam]],TeamAttrs!$A$2:$H$20,7, FALSE))</f>
        <v>0.68271520751486592</v>
      </c>
      <c r="T220">
        <f>RADIANS(VLOOKUP(Table1[[#This Row],[HomeTeam]],TeamAttrs!$A$2:$H$20, 8, FALSE))</f>
        <v>-1.65166266702755</v>
      </c>
      <c r="U220">
        <f>RADIANS(VLOOKUP(Table1[[#This Row],[VisitorTeam]],TeamAttrs!$A$2:$H$20,7,FALSE))</f>
        <v>0.67806041439979703</v>
      </c>
      <c r="V220">
        <f>RADIANS(VLOOKUP(Table1[[#This Row],[VisitorTeam]], TeamAttrs!$A$2:$H$20,8,FALSE))</f>
        <v>-1.3444847186765478</v>
      </c>
      <c r="W220" s="5">
        <f>60*DEGREES(ACOS(SIN(Table1[[#This Row],[HomeLat]])*SIN(Table1[[#This Row],[VisitorLat]]) +COS(Table1[[#This Row],[HomeLat]])*COS(Table1[[#This Row],[VisitorLat]])*COS(ABS(Table1[[#This Row],[HomeLong]] -Table1[[#This Row],[VisitorLong]]))))</f>
        <v>819.72928138913846</v>
      </c>
      <c r="X220" s="6">
        <f>VLOOKUP(Table1[[#This Row],[HomeTeam]],TeamAttrs!$A$2:$K$20,5,FALSE)</f>
        <v>3120000</v>
      </c>
      <c r="Y220" s="6">
        <f>VLOOKUP(Table1[[#This Row],[HomeTeam]],TeamAttrs!$A$2:$K$20,9,FALSE)</f>
        <v>19404</v>
      </c>
      <c r="Z220" s="6">
        <f>VLOOKUP(Table1[[#This Row],[HomeTeam]],TeamAttrs!$A$2:$K$20,10,FALSE)</f>
        <v>18467</v>
      </c>
      <c r="AA220" s="6">
        <f>VLOOKUP(Table1[[#This Row],[HomeTeam]],TeamAttrs!$A$2:$K$20,11,FALSE)</f>
        <v>1.0507391563329183</v>
      </c>
    </row>
    <row r="221" spans="1:27" x14ac:dyDescent="0.25">
      <c r="A221" s="1">
        <v>41132</v>
      </c>
      <c r="B221" t="s">
        <v>0</v>
      </c>
      <c r="C221" t="str">
        <f>VLOOKUP(Table1[[#This Row],[HomeTeam]], TeamAttrs!$A$2:$B$20,2,FALSE)</f>
        <v>Van</v>
      </c>
      <c r="D221">
        <v>2</v>
      </c>
      <c r="E221">
        <v>1</v>
      </c>
      <c r="F221">
        <f>Table1[[#This Row],[HomeTeamScore]]-Table1[[#This Row],[VisitorScore]]</f>
        <v>1</v>
      </c>
      <c r="G221" t="s">
        <v>18</v>
      </c>
      <c r="H221" t="str">
        <f>VLOOKUP(Table1[[#This Row],[VisitorTeam]],TeamAttrs!$A$2:$B$20, 2, FALSE)</f>
        <v>RSL</v>
      </c>
      <c r="I221">
        <f t="shared" si="12"/>
        <v>1</v>
      </c>
      <c r="J221">
        <f t="shared" si="13"/>
        <v>0</v>
      </c>
      <c r="K221">
        <f t="shared" si="14"/>
        <v>0</v>
      </c>
      <c r="L221">
        <f>3*Table1[HomeWin] +Table1[Draw]</f>
        <v>3</v>
      </c>
      <c r="M221">
        <f>3*Table1[HomeLoss]+Table1[Draw]</f>
        <v>0</v>
      </c>
      <c r="N221">
        <f>VLOOKUP(B221,TeamAttrs!$A$2:$C$20,3,FALSE)</f>
        <v>8</v>
      </c>
      <c r="O221">
        <f>VLOOKUP(G221,TeamAttrs!$A$2:$C$20,3,FALSE)</f>
        <v>7</v>
      </c>
      <c r="P221">
        <f t="shared" si="15"/>
        <v>-1</v>
      </c>
      <c r="Q221">
        <f>VLOOKUP(B221,TeamAttrs!$A$2:$D$20,3,FALSE)</f>
        <v>8</v>
      </c>
      <c r="R221">
        <f>VLOOKUP(G221,TeamAttrs!$A$2:$D$20,3,FALSE)</f>
        <v>7</v>
      </c>
      <c r="S221">
        <f>RADIANS(VLOOKUP(Table1[[#This Row],[HomeTeam]],TeamAttrs!$A$2:$H$20,7, FALSE))</f>
        <v>0.86015585124812133</v>
      </c>
      <c r="T221">
        <f>RADIANS(VLOOKUP(Table1[[#This Row],[HomeTeam]],TeamAttrs!$A$2:$H$20, 8, FALSE))</f>
        <v>-2.1487970151778586</v>
      </c>
      <c r="U221">
        <f>RADIANS(VLOOKUP(Table1[[#This Row],[VisitorTeam]],TeamAttrs!$A$2:$H$20,7,FALSE))</f>
        <v>0.71151314017277234</v>
      </c>
      <c r="V221">
        <f>RADIANS(VLOOKUP(Table1[[#This Row],[VisitorTeam]], TeamAttrs!$A$2:$H$20,8,FALSE))</f>
        <v>-1.954192803580491</v>
      </c>
      <c r="W221" s="5">
        <f>60*DEGREES(ACOS(SIN(Table1[[#This Row],[HomeLat]])*SIN(Table1[[#This Row],[VisitorLat]]) +COS(Table1[[#This Row],[HomeLat]])*COS(Table1[[#This Row],[VisitorLat]])*COS(ABS(Table1[[#This Row],[HomeLong]] -Table1[[#This Row],[VisitorLong]]))))</f>
        <v>694.76459230129387</v>
      </c>
      <c r="X221" s="6">
        <f>VLOOKUP(Table1[[#This Row],[HomeTeam]],TeamAttrs!$A$2:$K$20,5,FALSE)</f>
        <v>4370000</v>
      </c>
      <c r="Y221" s="6">
        <f>VLOOKUP(Table1[[#This Row],[HomeTeam]],TeamAttrs!$A$2:$K$20,9,FALSE)</f>
        <v>19475</v>
      </c>
      <c r="Z221" s="6">
        <f>VLOOKUP(Table1[[#This Row],[HomeTeam]],TeamAttrs!$A$2:$K$20,10,FALSE)</f>
        <v>21000</v>
      </c>
      <c r="AA221" s="6">
        <f>VLOOKUP(Table1[[#This Row],[HomeTeam]],TeamAttrs!$A$2:$K$20,11,FALSE)</f>
        <v>0.92738095238095242</v>
      </c>
    </row>
    <row r="222" spans="1:27" x14ac:dyDescent="0.25">
      <c r="A222" s="1">
        <v>41133</v>
      </c>
      <c r="B222" t="s">
        <v>2</v>
      </c>
      <c r="C222" t="str">
        <f>VLOOKUP(Table1[[#This Row],[HomeTeam]], TeamAttrs!$A$2:$B$20,2,FALSE)</f>
        <v>Chiv</v>
      </c>
      <c r="D222">
        <v>0</v>
      </c>
      <c r="E222">
        <v>4</v>
      </c>
      <c r="F222">
        <f>Table1[[#This Row],[HomeTeamScore]]-Table1[[#This Row],[VisitorScore]]</f>
        <v>-4</v>
      </c>
      <c r="G222" t="s">
        <v>16</v>
      </c>
      <c r="H222" t="str">
        <f>VLOOKUP(Table1[[#This Row],[VisitorTeam]],TeamAttrs!$A$2:$B$20, 2, FALSE)</f>
        <v>LAGxy</v>
      </c>
      <c r="I222">
        <f t="shared" si="12"/>
        <v>0</v>
      </c>
      <c r="J222">
        <f t="shared" si="13"/>
        <v>0</v>
      </c>
      <c r="K222">
        <f t="shared" si="14"/>
        <v>1</v>
      </c>
      <c r="L222">
        <f>3*Table1[HomeWin] +Table1[Draw]</f>
        <v>0</v>
      </c>
      <c r="M222">
        <f>3*Table1[HomeLoss]+Table1[Draw]</f>
        <v>3</v>
      </c>
      <c r="N222">
        <f>VLOOKUP(B222,TeamAttrs!$A$2:$C$20,3,FALSE)</f>
        <v>8</v>
      </c>
      <c r="O222">
        <f>VLOOKUP(G222,TeamAttrs!$A$2:$C$20,3,FALSE)</f>
        <v>8</v>
      </c>
      <c r="P222">
        <f t="shared" si="15"/>
        <v>0</v>
      </c>
      <c r="Q222">
        <f>VLOOKUP(B222,TeamAttrs!$A$2:$D$20,3,FALSE)</f>
        <v>8</v>
      </c>
      <c r="R222">
        <f>VLOOKUP(G222,TeamAttrs!$A$2:$D$20,3,FALSE)</f>
        <v>8</v>
      </c>
      <c r="S222">
        <f>RADIANS(VLOOKUP(Table1[[#This Row],[HomeTeam]],TeamAttrs!$A$2:$H$20,7, FALSE))</f>
        <v>0.59224781106699187</v>
      </c>
      <c r="T222">
        <f>RADIANS(VLOOKUP(Table1[[#This Row],[HomeTeam]],TeamAttrs!$A$2:$H$20, 8, FALSE))</f>
        <v>-2.0664698343612864</v>
      </c>
      <c r="U222">
        <f>RADIANS(VLOOKUP(Table1[[#This Row],[VisitorTeam]],TeamAttrs!$A$2:$H$20,7,FALSE))</f>
        <v>0.59224781106699187</v>
      </c>
      <c r="V222">
        <f>RADIANS(VLOOKUP(Table1[[#This Row],[VisitorTeam]], TeamAttrs!$A$2:$H$20,8,FALSE))</f>
        <v>-2.0664698343612864</v>
      </c>
      <c r="W222" s="5">
        <f>60*DEGREES(ACOS(SIN(Table1[[#This Row],[HomeLat]])*SIN(Table1[[#This Row],[VisitorLat]]) +COS(Table1[[#This Row],[HomeLat]])*COS(Table1[[#This Row],[VisitorLat]])*COS(ABS(Table1[[#This Row],[HomeLong]] -Table1[[#This Row],[VisitorLong]]))))</f>
        <v>0</v>
      </c>
      <c r="X222" s="6">
        <f>VLOOKUP(Table1[[#This Row],[HomeTeam]],TeamAttrs!$A$2:$K$20,5,FALSE)</f>
        <v>3230000</v>
      </c>
      <c r="Y222" s="6">
        <f>VLOOKUP(Table1[[#This Row],[HomeTeam]],TeamAttrs!$A$2:$K$20,9,FALSE)</f>
        <v>13056</v>
      </c>
      <c r="Z222" s="6">
        <f>VLOOKUP(Table1[[#This Row],[HomeTeam]],TeamAttrs!$A$2:$K$20,10,FALSE)</f>
        <v>18800</v>
      </c>
      <c r="AA222" s="6">
        <f>VLOOKUP(Table1[[#This Row],[HomeTeam]],TeamAttrs!$A$2:$K$20,11,FALSE)</f>
        <v>0.69446808510638303</v>
      </c>
    </row>
    <row r="223" spans="1:27" x14ac:dyDescent="0.25">
      <c r="A223" s="1">
        <v>41133</v>
      </c>
      <c r="B223" t="s">
        <v>9</v>
      </c>
      <c r="C223" t="str">
        <f>VLOOKUP(Table1[[#This Row],[HomeTeam]], TeamAttrs!$A$2:$B$20,2,FALSE)</f>
        <v>NE</v>
      </c>
      <c r="D223">
        <v>0</v>
      </c>
      <c r="E223">
        <v>1</v>
      </c>
      <c r="F223">
        <f>Table1[[#This Row],[HomeTeamScore]]-Table1[[#This Row],[VisitorScore]]</f>
        <v>-1</v>
      </c>
      <c r="G223" t="s">
        <v>1</v>
      </c>
      <c r="H223" t="str">
        <f>VLOOKUP(Table1[[#This Row],[VisitorTeam]],TeamAttrs!$A$2:$B$20, 2, FALSE)</f>
        <v>Mntrl</v>
      </c>
      <c r="I223">
        <f t="shared" si="12"/>
        <v>0</v>
      </c>
      <c r="J223">
        <f t="shared" si="13"/>
        <v>0</v>
      </c>
      <c r="K223">
        <f t="shared" si="14"/>
        <v>1</v>
      </c>
      <c r="L223">
        <f>3*Table1[HomeWin] +Table1[Draw]</f>
        <v>0</v>
      </c>
      <c r="M223">
        <f>3*Table1[HomeLoss]+Table1[Draw]</f>
        <v>3</v>
      </c>
      <c r="N223">
        <f>VLOOKUP(B223,TeamAttrs!$A$2:$C$20,3,FALSE)</f>
        <v>5</v>
      </c>
      <c r="O223">
        <f>VLOOKUP(G223,TeamAttrs!$A$2:$C$20,3,FALSE)</f>
        <v>5</v>
      </c>
      <c r="P223">
        <f t="shared" si="15"/>
        <v>0</v>
      </c>
      <c r="Q223">
        <f>VLOOKUP(B223,TeamAttrs!$A$2:$D$20,3,FALSE)</f>
        <v>5</v>
      </c>
      <c r="R223">
        <f>VLOOKUP(G223,TeamAttrs!$A$2:$D$20,3,FALSE)</f>
        <v>5</v>
      </c>
      <c r="S223">
        <f>RADIANS(VLOOKUP(Table1[[#This Row],[HomeTeam]],TeamAttrs!$A$2:$H$20,7, FALSE))</f>
        <v>0.73943840820468165</v>
      </c>
      <c r="T223">
        <f>RADIANS(VLOOKUP(Table1[[#This Row],[HomeTeam]],TeamAttrs!$A$2:$H$20, 8, FALSE))</f>
        <v>-1.2397649635568881</v>
      </c>
      <c r="U223">
        <f>RADIANS(VLOOKUP(Table1[[#This Row],[VisitorTeam]],TeamAttrs!$A$2:$H$20,7,FALSE))</f>
        <v>0.79354361501650583</v>
      </c>
      <c r="V223">
        <f>RADIANS(VLOOKUP(Table1[[#This Row],[VisitorTeam]], TeamAttrs!$A$2:$H$20,8,FALSE))</f>
        <v>-1.2871803233458181</v>
      </c>
      <c r="W223" s="5">
        <f>60*DEGREES(ACOS(SIN(Table1[[#This Row],[HomeLat]])*SIN(Table1[[#This Row],[VisitorLat]]) +COS(Table1[[#This Row],[HomeLat]])*COS(Table1[[#This Row],[VisitorLat]])*COS(ABS(Table1[[#This Row],[HomeLong]] -Table1[[#This Row],[VisitorLong]]))))</f>
        <v>219.92976036609551</v>
      </c>
      <c r="X223" s="6">
        <f>VLOOKUP(Table1[[#This Row],[HomeTeam]],TeamAttrs!$A$2:$K$20,5,FALSE)</f>
        <v>3260000</v>
      </c>
      <c r="Y223" s="6">
        <f>VLOOKUP(Table1[[#This Row],[HomeTeam]],TeamAttrs!$A$2:$K$20,9,FALSE)</f>
        <v>14001</v>
      </c>
      <c r="Z223" s="6">
        <f>VLOOKUP(Table1[[#This Row],[HomeTeam]],TeamAttrs!$A$2:$K$20,10,FALSE)</f>
        <v>20000</v>
      </c>
      <c r="AA223" s="6">
        <f>VLOOKUP(Table1[[#This Row],[HomeTeam]],TeamAttrs!$A$2:$K$20,11,FALSE)</f>
        <v>0.70004999999999995</v>
      </c>
    </row>
    <row r="224" spans="1:27" x14ac:dyDescent="0.25">
      <c r="A224" s="1">
        <v>41133</v>
      </c>
      <c r="B224" t="s">
        <v>4</v>
      </c>
      <c r="C224" t="str">
        <f>VLOOKUP(Table1[[#This Row],[HomeTeam]], TeamAttrs!$A$2:$B$20,2,FALSE)</f>
        <v>Phil</v>
      </c>
      <c r="D224">
        <v>1</v>
      </c>
      <c r="E224">
        <v>3</v>
      </c>
      <c r="F224">
        <f>Table1[[#This Row],[HomeTeamScore]]-Table1[[#This Row],[VisitorScore]]</f>
        <v>-2</v>
      </c>
      <c r="G224" t="s">
        <v>17</v>
      </c>
      <c r="H224" t="str">
        <f>VLOOKUP(Table1[[#This Row],[VisitorTeam]],TeamAttrs!$A$2:$B$20, 2, FALSE)</f>
        <v>Chi</v>
      </c>
      <c r="I224">
        <f t="shared" si="12"/>
        <v>0</v>
      </c>
      <c r="J224">
        <f t="shared" si="13"/>
        <v>0</v>
      </c>
      <c r="K224">
        <f t="shared" si="14"/>
        <v>1</v>
      </c>
      <c r="L224">
        <f>3*Table1[HomeWin] +Table1[Draw]</f>
        <v>0</v>
      </c>
      <c r="M224">
        <f>3*Table1[HomeLoss]+Table1[Draw]</f>
        <v>3</v>
      </c>
      <c r="N224">
        <f>VLOOKUP(B224,TeamAttrs!$A$2:$C$20,3,FALSE)</f>
        <v>5</v>
      </c>
      <c r="O224">
        <f>VLOOKUP(G224,TeamAttrs!$A$2:$C$20,3,FALSE)</f>
        <v>6</v>
      </c>
      <c r="P224">
        <f t="shared" si="15"/>
        <v>1</v>
      </c>
      <c r="Q224">
        <f>VLOOKUP(B224,TeamAttrs!$A$2:$D$20,3,FALSE)</f>
        <v>5</v>
      </c>
      <c r="R224">
        <f>VLOOKUP(G224,TeamAttrs!$A$2:$D$20,3,FALSE)</f>
        <v>6</v>
      </c>
      <c r="S224">
        <f>RADIANS(VLOOKUP(Table1[[#This Row],[HomeTeam]],TeamAttrs!$A$2:$H$20,7, FALSE))</f>
        <v>0.69609490156065446</v>
      </c>
      <c r="T224">
        <f>RADIANS(VLOOKUP(Table1[[#This Row],[HomeTeam]],TeamAttrs!$A$2:$H$20, 8, FALSE))</f>
        <v>-1.313360262125733</v>
      </c>
      <c r="U224">
        <f>RADIANS(VLOOKUP(Table1[[#This Row],[VisitorTeam]],TeamAttrs!$A$2:$H$20,7,FALSE))</f>
        <v>0.72925615734854665</v>
      </c>
      <c r="V224">
        <f>RADIANS(VLOOKUP(Table1[[#This Row],[VisitorTeam]], TeamAttrs!$A$2:$H$20,8,FALSE))</f>
        <v>-1.5315264186250241</v>
      </c>
      <c r="W224" s="5">
        <f>60*DEGREES(ACOS(SIN(Table1[[#This Row],[HomeLat]])*SIN(Table1[[#This Row],[VisitorLat]]) +COS(Table1[[#This Row],[HomeLat]])*COS(Table1[[#This Row],[VisitorLat]])*COS(ABS(Table1[[#This Row],[HomeLong]] -Table1[[#This Row],[VisitorLong]]))))</f>
        <v>578.24355193873748</v>
      </c>
      <c r="X224" s="6">
        <f>VLOOKUP(Table1[[#This Row],[HomeTeam]],TeamAttrs!$A$2:$K$20,5,FALSE)</f>
        <v>3620000</v>
      </c>
      <c r="Y224" s="6">
        <f>VLOOKUP(Table1[[#This Row],[HomeTeam]],TeamAttrs!$A$2:$K$20,9,FALSE)</f>
        <v>18053</v>
      </c>
      <c r="Z224" s="6">
        <f>VLOOKUP(Table1[[#This Row],[HomeTeam]],TeamAttrs!$A$2:$K$20,10,FALSE)</f>
        <v>18500</v>
      </c>
      <c r="AA224" s="6">
        <f>VLOOKUP(Table1[[#This Row],[HomeTeam]],TeamAttrs!$A$2:$K$20,11,FALSE)</f>
        <v>0.97583783783783784</v>
      </c>
    </row>
    <row r="225" spans="1:27" x14ac:dyDescent="0.25">
      <c r="A225" s="1">
        <v>41136</v>
      </c>
      <c r="B225" t="s">
        <v>8</v>
      </c>
      <c r="C225" t="str">
        <f>VLOOKUP(Table1[[#This Row],[HomeTeam]], TeamAttrs!$A$2:$B$20,2,FALSE)</f>
        <v>Colum</v>
      </c>
      <c r="D225">
        <v>1</v>
      </c>
      <c r="E225">
        <v>1</v>
      </c>
      <c r="F225">
        <f>Table1[[#This Row],[HomeTeamScore]]-Table1[[#This Row],[VisitorScore]]</f>
        <v>0</v>
      </c>
      <c r="G225" t="s">
        <v>16</v>
      </c>
      <c r="H225" t="str">
        <f>VLOOKUP(Table1[[#This Row],[VisitorTeam]],TeamAttrs!$A$2:$B$20, 2, FALSE)</f>
        <v>LAGxy</v>
      </c>
      <c r="I225">
        <f t="shared" si="12"/>
        <v>0</v>
      </c>
      <c r="J225">
        <f t="shared" si="13"/>
        <v>1</v>
      </c>
      <c r="K225">
        <f t="shared" si="14"/>
        <v>0</v>
      </c>
      <c r="L225">
        <f>3*Table1[HomeWin] +Table1[Draw]</f>
        <v>1</v>
      </c>
      <c r="M225">
        <f>3*Table1[HomeLoss]+Table1[Draw]</f>
        <v>1</v>
      </c>
      <c r="N225">
        <f>VLOOKUP(B225,TeamAttrs!$A$2:$C$20,3,FALSE)</f>
        <v>5</v>
      </c>
      <c r="O225">
        <f>VLOOKUP(G225,TeamAttrs!$A$2:$C$20,3,FALSE)</f>
        <v>8</v>
      </c>
      <c r="P225">
        <f t="shared" si="15"/>
        <v>3</v>
      </c>
      <c r="Q225">
        <f>VLOOKUP(B225,TeamAttrs!$A$2:$D$20,3,FALSE)</f>
        <v>5</v>
      </c>
      <c r="R225">
        <f>VLOOKUP(G225,TeamAttrs!$A$2:$D$20,3,FALSE)</f>
        <v>8</v>
      </c>
      <c r="S225">
        <f>RADIANS(VLOOKUP(Table1[[#This Row],[HomeTeam]],TeamAttrs!$A$2:$H$20,7, FALSE))</f>
        <v>0.69813170079773179</v>
      </c>
      <c r="T225">
        <f>RADIANS(VLOOKUP(Table1[[#This Row],[HomeTeam]],TeamAttrs!$A$2:$H$20, 8, FALSE))</f>
        <v>-1.4465864799182162</v>
      </c>
      <c r="U225">
        <f>RADIANS(VLOOKUP(Table1[[#This Row],[VisitorTeam]],TeamAttrs!$A$2:$H$20,7,FALSE))</f>
        <v>0.59224781106699187</v>
      </c>
      <c r="V225">
        <f>RADIANS(VLOOKUP(Table1[[#This Row],[VisitorTeam]], TeamAttrs!$A$2:$H$20,8,FALSE))</f>
        <v>-2.0664698343612864</v>
      </c>
      <c r="W225" s="5">
        <f>60*DEGREES(ACOS(SIN(Table1[[#This Row],[HomeLat]])*SIN(Table1[[#This Row],[VisitorLat]]) +COS(Table1[[#This Row],[HomeLat]])*COS(Table1[[#This Row],[VisitorLat]])*COS(ABS(Table1[[#This Row],[HomeLong]] -Table1[[#This Row],[VisitorLong]]))))</f>
        <v>1729.132878944027</v>
      </c>
      <c r="X225" s="6">
        <f>VLOOKUP(Table1[[#This Row],[HomeTeam]],TeamAttrs!$A$2:$K$20,5,FALSE)</f>
        <v>3330000</v>
      </c>
      <c r="Y225" s="6">
        <f>VLOOKUP(Table1[[#This Row],[HomeTeam]],TeamAttrs!$A$2:$K$20,9,FALSE)</f>
        <v>14397</v>
      </c>
      <c r="Z225" s="6">
        <f>VLOOKUP(Table1[[#This Row],[HomeTeam]],TeamAttrs!$A$2:$K$20,10,FALSE)</f>
        <v>20145</v>
      </c>
      <c r="AA225" s="6">
        <f>VLOOKUP(Table1[[#This Row],[HomeTeam]],TeamAttrs!$A$2:$K$20,11,FALSE)</f>
        <v>0.71466865227103504</v>
      </c>
    </row>
    <row r="226" spans="1:27" x14ac:dyDescent="0.25">
      <c r="A226" s="1">
        <v>41136</v>
      </c>
      <c r="B226" t="s">
        <v>10</v>
      </c>
      <c r="C226" t="str">
        <f>VLOOKUP(Table1[[#This Row],[HomeTeam]], TeamAttrs!$A$2:$B$20,2,FALSE)</f>
        <v>Tor</v>
      </c>
      <c r="D226">
        <v>2</v>
      </c>
      <c r="E226">
        <v>2</v>
      </c>
      <c r="F226">
        <f>Table1[[#This Row],[HomeTeamScore]]-Table1[[#This Row],[VisitorScore]]</f>
        <v>0</v>
      </c>
      <c r="G226" t="s">
        <v>12</v>
      </c>
      <c r="H226" t="str">
        <f>VLOOKUP(Table1[[#This Row],[VisitorTeam]],TeamAttrs!$A$2:$B$20, 2, FALSE)</f>
        <v>Port</v>
      </c>
      <c r="I226">
        <f t="shared" si="12"/>
        <v>0</v>
      </c>
      <c r="J226">
        <f t="shared" si="13"/>
        <v>1</v>
      </c>
      <c r="K226">
        <f t="shared" si="14"/>
        <v>0</v>
      </c>
      <c r="L226">
        <f>3*Table1[HomeWin] +Table1[Draw]</f>
        <v>1</v>
      </c>
      <c r="M226">
        <f>3*Table1[HomeLoss]+Table1[Draw]</f>
        <v>1</v>
      </c>
      <c r="N226">
        <f>VLOOKUP(B226,TeamAttrs!$A$2:$C$20,3,FALSE)</f>
        <v>5</v>
      </c>
      <c r="O226">
        <f>VLOOKUP(G226,TeamAttrs!$A$2:$C$20,3,FALSE)</f>
        <v>8</v>
      </c>
      <c r="P226">
        <f t="shared" si="15"/>
        <v>3</v>
      </c>
      <c r="Q226">
        <f>VLOOKUP(B226,TeamAttrs!$A$2:$D$20,3,FALSE)</f>
        <v>5</v>
      </c>
      <c r="R226">
        <f>VLOOKUP(G226,TeamAttrs!$A$2:$D$20,3,FALSE)</f>
        <v>8</v>
      </c>
      <c r="S226">
        <f>RADIANS(VLOOKUP(Table1[[#This Row],[HomeTeam]],TeamAttrs!$A$2:$H$20,7, FALSE))</f>
        <v>0.76241741313643896</v>
      </c>
      <c r="T226">
        <f>RADIANS(VLOOKUP(Table1[[#This Row],[HomeTeam]],TeamAttrs!$A$2:$H$20, 8, FALSE))</f>
        <v>-1.3898632792284005</v>
      </c>
      <c r="U226">
        <f>RADIANS(VLOOKUP(Table1[[#This Row],[VisitorTeam]],TeamAttrs!$A$2:$H$20,7,FALSE))</f>
        <v>0.79587013890941427</v>
      </c>
      <c r="V226">
        <f>RADIANS(VLOOKUP(Table1[[#This Row],[VisitorTeam]], TeamAttrs!$A$2:$H$20,8,FALSE))</f>
        <v>-2.1397736629450481</v>
      </c>
      <c r="W226" s="5">
        <f>60*DEGREES(ACOS(SIN(Table1[[#This Row],[HomeLat]])*SIN(Table1[[#This Row],[VisitorLat]]) +COS(Table1[[#This Row],[HomeLat]])*COS(Table1[[#This Row],[VisitorLat]])*COS(ABS(Table1[[#This Row],[HomeLong]] -Table1[[#This Row],[VisitorLong]]))))</f>
        <v>1815.8369499297446</v>
      </c>
      <c r="X226" s="6">
        <f>VLOOKUP(Table1[[#This Row],[HomeTeam]],TeamAttrs!$A$2:$K$20,5,FALSE)</f>
        <v>8250000</v>
      </c>
      <c r="Y226" s="6">
        <f>VLOOKUP(Table1[[#This Row],[HomeTeam]],TeamAttrs!$A$2:$K$20,9,FALSE)</f>
        <v>18155</v>
      </c>
      <c r="Z226" s="6">
        <f>VLOOKUP(Table1[[#This Row],[HomeTeam]],TeamAttrs!$A$2:$K$20,10,FALSE)</f>
        <v>21140</v>
      </c>
      <c r="AA226" s="6">
        <f>VLOOKUP(Table1[[#This Row],[HomeTeam]],TeamAttrs!$A$2:$K$20,11,FALSE)</f>
        <v>0.85879848628193001</v>
      </c>
    </row>
    <row r="227" spans="1:27" x14ac:dyDescent="0.25">
      <c r="A227" s="1">
        <v>41136</v>
      </c>
      <c r="B227" t="s">
        <v>0</v>
      </c>
      <c r="C227" t="str">
        <f>VLOOKUP(Table1[[#This Row],[HomeTeam]], TeamAttrs!$A$2:$B$20,2,FALSE)</f>
        <v>Van</v>
      </c>
      <c r="D227">
        <v>0</v>
      </c>
      <c r="E227">
        <v>2</v>
      </c>
      <c r="F227">
        <f>Table1[[#This Row],[HomeTeamScore]]-Table1[[#This Row],[VisitorScore]]</f>
        <v>-2</v>
      </c>
      <c r="G227" t="s">
        <v>7</v>
      </c>
      <c r="H227" t="str">
        <f>VLOOKUP(Table1[[#This Row],[VisitorTeam]],TeamAttrs!$A$2:$B$20, 2, FALSE)</f>
        <v>FCDal</v>
      </c>
      <c r="I227">
        <f t="shared" si="12"/>
        <v>0</v>
      </c>
      <c r="J227">
        <f t="shared" si="13"/>
        <v>0</v>
      </c>
      <c r="K227">
        <f t="shared" si="14"/>
        <v>1</v>
      </c>
      <c r="L227">
        <f>3*Table1[HomeWin] +Table1[Draw]</f>
        <v>0</v>
      </c>
      <c r="M227">
        <f>3*Table1[HomeLoss]+Table1[Draw]</f>
        <v>3</v>
      </c>
      <c r="N227">
        <f>VLOOKUP(B227,TeamAttrs!$A$2:$C$20,3,FALSE)</f>
        <v>8</v>
      </c>
      <c r="O227">
        <f>VLOOKUP(G227,TeamAttrs!$A$2:$C$20,3,FALSE)</f>
        <v>6</v>
      </c>
      <c r="P227">
        <f t="shared" si="15"/>
        <v>-2</v>
      </c>
      <c r="Q227">
        <f>VLOOKUP(B227,TeamAttrs!$A$2:$D$20,3,FALSE)</f>
        <v>8</v>
      </c>
      <c r="R227">
        <f>VLOOKUP(G227,TeamAttrs!$A$2:$D$20,3,FALSE)</f>
        <v>6</v>
      </c>
      <c r="S227">
        <f>RADIANS(VLOOKUP(Table1[[#This Row],[HomeTeam]],TeamAttrs!$A$2:$H$20,7, FALSE))</f>
        <v>0.86015585124812133</v>
      </c>
      <c r="T227">
        <f>RADIANS(VLOOKUP(Table1[[#This Row],[HomeTeam]],TeamAttrs!$A$2:$H$20, 8, FALSE))</f>
        <v>-2.1487970151778586</v>
      </c>
      <c r="U227">
        <f>RADIANS(VLOOKUP(Table1[[#This Row],[VisitorTeam]],TeamAttrs!$A$2:$H$20,7,FALSE))</f>
        <v>0.57334065928013733</v>
      </c>
      <c r="V227">
        <f>RADIANS(VLOOKUP(Table1[[#This Row],[VisitorTeam]], TeamAttrs!$A$2:$H$20,8,FALSE))</f>
        <v>-1.690351380556508</v>
      </c>
      <c r="W227" s="5">
        <f>60*DEGREES(ACOS(SIN(Table1[[#This Row],[HomeLat]])*SIN(Table1[[#This Row],[VisitorLat]]) +COS(Table1[[#This Row],[HomeLat]])*COS(Table1[[#This Row],[VisitorLat]])*COS(ABS(Table1[[#This Row],[HomeLong]] -Table1[[#This Row],[VisitorLong]]))))</f>
        <v>1530.1772523180741</v>
      </c>
      <c r="X227" s="6">
        <f>VLOOKUP(Table1[[#This Row],[HomeTeam]],TeamAttrs!$A$2:$K$20,5,FALSE)</f>
        <v>4370000</v>
      </c>
      <c r="Y227" s="6">
        <f>VLOOKUP(Table1[[#This Row],[HomeTeam]],TeamAttrs!$A$2:$K$20,9,FALSE)</f>
        <v>19475</v>
      </c>
      <c r="Z227" s="6">
        <f>VLOOKUP(Table1[[#This Row],[HomeTeam]],TeamAttrs!$A$2:$K$20,10,FALSE)</f>
        <v>21000</v>
      </c>
      <c r="AA227" s="6">
        <f>VLOOKUP(Table1[[#This Row],[HomeTeam]],TeamAttrs!$A$2:$K$20,11,FALSE)</f>
        <v>0.92738095238095242</v>
      </c>
    </row>
    <row r="228" spans="1:27" x14ac:dyDescent="0.25">
      <c r="A228" s="1">
        <v>41139</v>
      </c>
      <c r="B228" t="s">
        <v>17</v>
      </c>
      <c r="C228" t="str">
        <f>VLOOKUP(Table1[[#This Row],[HomeTeam]], TeamAttrs!$A$2:$B$20,2,FALSE)</f>
        <v>Chi</v>
      </c>
      <c r="D228">
        <v>2</v>
      </c>
      <c r="E228">
        <v>1</v>
      </c>
      <c r="F228">
        <f>Table1[[#This Row],[HomeTeamScore]]-Table1[[#This Row],[VisitorScore]]</f>
        <v>1</v>
      </c>
      <c r="G228" t="s">
        <v>9</v>
      </c>
      <c r="H228" t="str">
        <f>VLOOKUP(Table1[[#This Row],[VisitorTeam]],TeamAttrs!$A$2:$B$20, 2, FALSE)</f>
        <v>NE</v>
      </c>
      <c r="I228">
        <f t="shared" si="12"/>
        <v>1</v>
      </c>
      <c r="J228">
        <f t="shared" si="13"/>
        <v>0</v>
      </c>
      <c r="K228">
        <f t="shared" si="14"/>
        <v>0</v>
      </c>
      <c r="L228">
        <f>3*Table1[HomeWin] +Table1[Draw]</f>
        <v>3</v>
      </c>
      <c r="M228">
        <f>3*Table1[HomeLoss]+Table1[Draw]</f>
        <v>0</v>
      </c>
      <c r="N228">
        <f>VLOOKUP(B228,TeamAttrs!$A$2:$C$20,3,FALSE)</f>
        <v>6</v>
      </c>
      <c r="O228">
        <f>VLOOKUP(G228,TeamAttrs!$A$2:$C$20,3,FALSE)</f>
        <v>5</v>
      </c>
      <c r="P228">
        <f t="shared" si="15"/>
        <v>-1</v>
      </c>
      <c r="Q228">
        <f>VLOOKUP(B228,TeamAttrs!$A$2:$D$20,3,FALSE)</f>
        <v>6</v>
      </c>
      <c r="R228">
        <f>VLOOKUP(G228,TeamAttrs!$A$2:$D$20,3,FALSE)</f>
        <v>5</v>
      </c>
      <c r="S228">
        <f>RADIANS(VLOOKUP(Table1[[#This Row],[HomeTeam]],TeamAttrs!$A$2:$H$20,7, FALSE))</f>
        <v>0.72925615734854665</v>
      </c>
      <c r="T228">
        <f>RADIANS(VLOOKUP(Table1[[#This Row],[HomeTeam]],TeamAttrs!$A$2:$H$20, 8, FALSE))</f>
        <v>-1.5315264186250241</v>
      </c>
      <c r="U228">
        <f>RADIANS(VLOOKUP(Table1[[#This Row],[VisitorTeam]],TeamAttrs!$A$2:$H$20,7,FALSE))</f>
        <v>0.73943840820468165</v>
      </c>
      <c r="V228">
        <f>RADIANS(VLOOKUP(Table1[[#This Row],[VisitorTeam]], TeamAttrs!$A$2:$H$20,8,FALSE))</f>
        <v>-1.2397649635568881</v>
      </c>
      <c r="W228" s="5">
        <f>60*DEGREES(ACOS(SIN(Table1[[#This Row],[HomeLat]])*SIN(Table1[[#This Row],[VisitorLat]]) +COS(Table1[[#This Row],[HomeLat]])*COS(Table1[[#This Row],[VisitorLat]])*COS(ABS(Table1[[#This Row],[HomeLong]] -Table1[[#This Row],[VisitorLong]]))))</f>
        <v>744.11850967063151</v>
      </c>
      <c r="X228" s="6">
        <f>VLOOKUP(Table1[[#This Row],[HomeTeam]],TeamAttrs!$A$2:$K$20,5,FALSE)</f>
        <v>3230000</v>
      </c>
      <c r="Y228" s="6">
        <f>VLOOKUP(Table1[[#This Row],[HomeTeam]],TeamAttrs!$A$2:$K$20,9,FALSE)</f>
        <v>16407</v>
      </c>
      <c r="Z228" s="6">
        <f>VLOOKUP(Table1[[#This Row],[HomeTeam]],TeamAttrs!$A$2:$K$20,10,FALSE)</f>
        <v>20000</v>
      </c>
      <c r="AA228" s="6">
        <f>VLOOKUP(Table1[[#This Row],[HomeTeam]],TeamAttrs!$A$2:$K$20,11,FALSE)</f>
        <v>0.82035000000000002</v>
      </c>
    </row>
    <row r="229" spans="1:27" x14ac:dyDescent="0.25">
      <c r="A229" s="1">
        <v>41139</v>
      </c>
      <c r="B229" t="s">
        <v>14</v>
      </c>
      <c r="C229" t="str">
        <f>VLOOKUP(Table1[[#This Row],[HomeTeam]], TeamAttrs!$A$2:$B$20,2,FALSE)</f>
        <v>ColRa</v>
      </c>
      <c r="D229">
        <v>1</v>
      </c>
      <c r="E229">
        <v>1</v>
      </c>
      <c r="F229">
        <f>Table1[[#This Row],[HomeTeamScore]]-Table1[[#This Row],[VisitorScore]]</f>
        <v>0</v>
      </c>
      <c r="G229" t="s">
        <v>2</v>
      </c>
      <c r="H229" t="str">
        <f>VLOOKUP(Table1[[#This Row],[VisitorTeam]],TeamAttrs!$A$2:$B$20, 2, FALSE)</f>
        <v>Chiv</v>
      </c>
      <c r="I229">
        <f t="shared" si="12"/>
        <v>0</v>
      </c>
      <c r="J229">
        <f t="shared" si="13"/>
        <v>1</v>
      </c>
      <c r="K229">
        <f t="shared" si="14"/>
        <v>0</v>
      </c>
      <c r="L229">
        <f>3*Table1[HomeWin] +Table1[Draw]</f>
        <v>1</v>
      </c>
      <c r="M229">
        <f>3*Table1[HomeLoss]+Table1[Draw]</f>
        <v>1</v>
      </c>
      <c r="N229">
        <f>VLOOKUP(B229,TeamAttrs!$A$2:$C$20,3,FALSE)</f>
        <v>7</v>
      </c>
      <c r="O229">
        <f>VLOOKUP(G229,TeamAttrs!$A$2:$C$20,3,FALSE)</f>
        <v>8</v>
      </c>
      <c r="P229">
        <f t="shared" si="15"/>
        <v>1</v>
      </c>
      <c r="Q229">
        <f>VLOOKUP(B229,TeamAttrs!$A$2:$D$20,3,FALSE)</f>
        <v>7</v>
      </c>
      <c r="R229">
        <f>VLOOKUP(G229,TeamAttrs!$A$2:$D$20,3,FALSE)</f>
        <v>8</v>
      </c>
      <c r="S229">
        <f>RADIANS(VLOOKUP(Table1[[#This Row],[HomeTeam]],TeamAttrs!$A$2:$H$20,7, FALSE))</f>
        <v>0.69376837766774602</v>
      </c>
      <c r="T229">
        <f>RADIANS(VLOOKUP(Table1[[#This Row],[HomeTeam]],TeamAttrs!$A$2:$H$20, 8, FALSE))</f>
        <v>-1.8302744266888937</v>
      </c>
      <c r="U229">
        <f>RADIANS(VLOOKUP(Table1[[#This Row],[VisitorTeam]],TeamAttrs!$A$2:$H$20,7,FALSE))</f>
        <v>0.59224781106699187</v>
      </c>
      <c r="V229">
        <f>RADIANS(VLOOKUP(Table1[[#This Row],[VisitorTeam]], TeamAttrs!$A$2:$H$20,8,FALSE))</f>
        <v>-2.0664698343612864</v>
      </c>
      <c r="W229" s="5">
        <f>60*DEGREES(ACOS(SIN(Table1[[#This Row],[HomeLat]])*SIN(Table1[[#This Row],[VisitorLat]]) +COS(Table1[[#This Row],[HomeLat]])*COS(Table1[[#This Row],[VisitorLat]])*COS(ABS(Table1[[#This Row],[HomeLong]] -Table1[[#This Row],[VisitorLong]]))))</f>
        <v>736.47232912321954</v>
      </c>
      <c r="X229" s="6">
        <f>VLOOKUP(Table1[[#This Row],[HomeTeam]],TeamAttrs!$A$2:$K$20,5,FALSE)</f>
        <v>3430000</v>
      </c>
      <c r="Y229" s="6">
        <f>VLOOKUP(Table1[[#This Row],[HomeTeam]],TeamAttrs!$A$2:$K$20,9,FALSE)</f>
        <v>15175</v>
      </c>
      <c r="Z229" s="6">
        <f>VLOOKUP(Table1[[#This Row],[HomeTeam]],TeamAttrs!$A$2:$K$20,10,FALSE)</f>
        <v>18086</v>
      </c>
      <c r="AA229" s="6">
        <f>VLOOKUP(Table1[[#This Row],[HomeTeam]],TeamAttrs!$A$2:$K$20,11,FALSE)</f>
        <v>0.83904677651221937</v>
      </c>
    </row>
    <row r="230" spans="1:27" x14ac:dyDescent="0.25">
      <c r="A230" s="1">
        <v>41139</v>
      </c>
      <c r="B230" t="s">
        <v>1</v>
      </c>
      <c r="C230" t="str">
        <f>VLOOKUP(Table1[[#This Row],[HomeTeam]], TeamAttrs!$A$2:$B$20,2,FALSE)</f>
        <v>Mntrl</v>
      </c>
      <c r="D230">
        <v>3</v>
      </c>
      <c r="E230">
        <v>1</v>
      </c>
      <c r="F230">
        <f>Table1[[#This Row],[HomeTeamScore]]-Table1[[#This Row],[VisitorScore]]</f>
        <v>2</v>
      </c>
      <c r="G230" t="s">
        <v>5</v>
      </c>
      <c r="H230" t="str">
        <f>VLOOKUP(Table1[[#This Row],[VisitorTeam]],TeamAttrs!$A$2:$B$20, 2, FALSE)</f>
        <v>SJE</v>
      </c>
      <c r="I230">
        <f t="shared" si="12"/>
        <v>1</v>
      </c>
      <c r="J230">
        <f t="shared" si="13"/>
        <v>0</v>
      </c>
      <c r="K230">
        <f t="shared" si="14"/>
        <v>0</v>
      </c>
      <c r="L230">
        <f>3*Table1[HomeWin] +Table1[Draw]</f>
        <v>3</v>
      </c>
      <c r="M230">
        <f>3*Table1[HomeLoss]+Table1[Draw]</f>
        <v>0</v>
      </c>
      <c r="N230">
        <f>VLOOKUP(B230,TeamAttrs!$A$2:$C$20,3,FALSE)</f>
        <v>5</v>
      </c>
      <c r="O230">
        <f>VLOOKUP(G230,TeamAttrs!$A$2:$C$20,3,FALSE)</f>
        <v>8</v>
      </c>
      <c r="P230">
        <f t="shared" si="15"/>
        <v>3</v>
      </c>
      <c r="Q230">
        <f>VLOOKUP(B230,TeamAttrs!$A$2:$D$20,3,FALSE)</f>
        <v>5</v>
      </c>
      <c r="R230">
        <f>VLOOKUP(G230,TeamAttrs!$A$2:$D$20,3,FALSE)</f>
        <v>8</v>
      </c>
      <c r="S230">
        <f>RADIANS(VLOOKUP(Table1[[#This Row],[HomeTeam]],TeamAttrs!$A$2:$H$20,7, FALSE))</f>
        <v>0.79354361501650583</v>
      </c>
      <c r="T230">
        <f>RADIANS(VLOOKUP(Table1[[#This Row],[HomeTeam]],TeamAttrs!$A$2:$H$20, 8, FALSE))</f>
        <v>-1.2871803233458181</v>
      </c>
      <c r="U230">
        <f>RADIANS(VLOOKUP(Table1[[#This Row],[VisitorTeam]],TeamAttrs!$A$2:$H$20,7,FALSE))</f>
        <v>0.65217194560496516</v>
      </c>
      <c r="V230">
        <f>RADIANS(VLOOKUP(Table1[[#This Row],[VisitorTeam]], TeamAttrs!$A$2:$H$20,8,FALSE))</f>
        <v>-2.1281323168342459</v>
      </c>
      <c r="W230" s="5">
        <f>60*DEGREES(ACOS(SIN(Table1[[#This Row],[HomeLat]])*SIN(Table1[[#This Row],[VisitorLat]]) +COS(Table1[[#This Row],[HomeLat]])*COS(Table1[[#This Row],[VisitorLat]])*COS(ABS(Table1[[#This Row],[HomeLong]] -Table1[[#This Row],[VisitorLong]]))))</f>
        <v>2187.5781408846278</v>
      </c>
      <c r="X230" s="6">
        <f>VLOOKUP(Table1[[#This Row],[HomeTeam]],TeamAttrs!$A$2:$K$20,5,FALSE)</f>
        <v>3030000</v>
      </c>
      <c r="Y230" s="6">
        <f>VLOOKUP(Table1[[#This Row],[HomeTeam]],TeamAttrs!$A$2:$K$20,9,FALSE)</f>
        <v>22772</v>
      </c>
      <c r="Z230" s="6">
        <f>VLOOKUP(Table1[[#This Row],[HomeTeam]],TeamAttrs!$A$2:$K$20,10,FALSE)</f>
        <v>20341</v>
      </c>
      <c r="AA230" s="6">
        <f>VLOOKUP(Table1[[#This Row],[HomeTeam]],TeamAttrs!$A$2:$K$20,11,FALSE)</f>
        <v>1.1195123150287596</v>
      </c>
    </row>
    <row r="231" spans="1:27" x14ac:dyDescent="0.25">
      <c r="A231" s="1">
        <v>41139</v>
      </c>
      <c r="B231" t="s">
        <v>18</v>
      </c>
      <c r="C231" t="str">
        <f>VLOOKUP(Table1[[#This Row],[HomeTeam]], TeamAttrs!$A$2:$B$20,2,FALSE)</f>
        <v>RSL</v>
      </c>
      <c r="D231">
        <v>1</v>
      </c>
      <c r="E231">
        <v>2</v>
      </c>
      <c r="F231">
        <f>Table1[[#This Row],[HomeTeamScore]]-Table1[[#This Row],[VisitorScore]]</f>
        <v>-1</v>
      </c>
      <c r="G231" t="s">
        <v>7</v>
      </c>
      <c r="H231" t="str">
        <f>VLOOKUP(Table1[[#This Row],[VisitorTeam]],TeamAttrs!$A$2:$B$20, 2, FALSE)</f>
        <v>FCDal</v>
      </c>
      <c r="I231">
        <f t="shared" si="12"/>
        <v>0</v>
      </c>
      <c r="J231">
        <f t="shared" si="13"/>
        <v>0</v>
      </c>
      <c r="K231">
        <f t="shared" si="14"/>
        <v>1</v>
      </c>
      <c r="L231">
        <f>3*Table1[HomeWin] +Table1[Draw]</f>
        <v>0</v>
      </c>
      <c r="M231">
        <f>3*Table1[HomeLoss]+Table1[Draw]</f>
        <v>3</v>
      </c>
      <c r="N231">
        <f>VLOOKUP(B231,TeamAttrs!$A$2:$C$20,3,FALSE)</f>
        <v>7</v>
      </c>
      <c r="O231">
        <f>VLOOKUP(G231,TeamAttrs!$A$2:$C$20,3,FALSE)</f>
        <v>6</v>
      </c>
      <c r="P231">
        <f t="shared" si="15"/>
        <v>-1</v>
      </c>
      <c r="Q231">
        <f>VLOOKUP(B231,TeamAttrs!$A$2:$D$20,3,FALSE)</f>
        <v>7</v>
      </c>
      <c r="R231">
        <f>VLOOKUP(G231,TeamAttrs!$A$2:$D$20,3,FALSE)</f>
        <v>6</v>
      </c>
      <c r="S231">
        <f>RADIANS(VLOOKUP(Table1[[#This Row],[HomeTeam]],TeamAttrs!$A$2:$H$20,7, FALSE))</f>
        <v>0.71151314017277234</v>
      </c>
      <c r="T231">
        <f>RADIANS(VLOOKUP(Table1[[#This Row],[HomeTeam]],TeamAttrs!$A$2:$H$20, 8, FALSE))</f>
        <v>-1.954192803580491</v>
      </c>
      <c r="U231">
        <f>RADIANS(VLOOKUP(Table1[[#This Row],[VisitorTeam]],TeamAttrs!$A$2:$H$20,7,FALSE))</f>
        <v>0.57334065928013733</v>
      </c>
      <c r="V231">
        <f>RADIANS(VLOOKUP(Table1[[#This Row],[VisitorTeam]], TeamAttrs!$A$2:$H$20,8,FALSE))</f>
        <v>-1.690351380556508</v>
      </c>
      <c r="W231" s="5">
        <f>60*DEGREES(ACOS(SIN(Table1[[#This Row],[HomeLat]])*SIN(Table1[[#This Row],[VisitorLat]]) +COS(Table1[[#This Row],[HomeLat]])*COS(Table1[[#This Row],[VisitorLat]])*COS(ABS(Table1[[#This Row],[HomeLong]] -Table1[[#This Row],[VisitorLong]]))))</f>
        <v>865.81707334066846</v>
      </c>
      <c r="X231" s="6">
        <f>VLOOKUP(Table1[[#This Row],[HomeTeam]],TeamAttrs!$A$2:$K$20,5,FALSE)</f>
        <v>3520000</v>
      </c>
      <c r="Y231" s="6">
        <f>VLOOKUP(Table1[[#This Row],[HomeTeam]],TeamAttrs!$A$2:$K$20,9,FALSE)</f>
        <v>19087</v>
      </c>
      <c r="Z231" s="6">
        <f>VLOOKUP(Table1[[#This Row],[HomeTeam]],TeamAttrs!$A$2:$K$20,10,FALSE)</f>
        <v>20213</v>
      </c>
      <c r="AA231" s="6">
        <f>VLOOKUP(Table1[[#This Row],[HomeTeam]],TeamAttrs!$A$2:$K$20,11,FALSE)</f>
        <v>0.94429327660416562</v>
      </c>
    </row>
    <row r="232" spans="1:27" x14ac:dyDescent="0.25">
      <c r="A232" s="1">
        <v>41139</v>
      </c>
      <c r="B232" t="s">
        <v>11</v>
      </c>
      <c r="C232" t="str">
        <f>VLOOKUP(Table1[[#This Row],[HomeTeam]], TeamAttrs!$A$2:$B$20,2,FALSE)</f>
        <v>SEA</v>
      </c>
      <c r="D232">
        <v>2</v>
      </c>
      <c r="E232">
        <v>0</v>
      </c>
      <c r="F232">
        <f>Table1[[#This Row],[HomeTeamScore]]-Table1[[#This Row],[VisitorScore]]</f>
        <v>2</v>
      </c>
      <c r="G232" t="s">
        <v>0</v>
      </c>
      <c r="H232" t="str">
        <f>VLOOKUP(Table1[[#This Row],[VisitorTeam]],TeamAttrs!$A$2:$B$20, 2, FALSE)</f>
        <v>Van</v>
      </c>
      <c r="I232">
        <f t="shared" si="12"/>
        <v>1</v>
      </c>
      <c r="J232">
        <f t="shared" si="13"/>
        <v>0</v>
      </c>
      <c r="K232">
        <f t="shared" si="14"/>
        <v>0</v>
      </c>
      <c r="L232">
        <f>3*Table1[HomeWin] +Table1[Draw]</f>
        <v>3</v>
      </c>
      <c r="M232">
        <f>3*Table1[HomeLoss]+Table1[Draw]</f>
        <v>0</v>
      </c>
      <c r="N232">
        <f>VLOOKUP(B232,TeamAttrs!$A$2:$C$20,3,FALSE)</f>
        <v>8</v>
      </c>
      <c r="O232">
        <f>VLOOKUP(G232,TeamAttrs!$A$2:$C$20,3,FALSE)</f>
        <v>8</v>
      </c>
      <c r="P232">
        <f t="shared" si="15"/>
        <v>0</v>
      </c>
      <c r="Q232">
        <f>VLOOKUP(B232,TeamAttrs!$A$2:$D$20,3,FALSE)</f>
        <v>8</v>
      </c>
      <c r="R232">
        <f>VLOOKUP(G232,TeamAttrs!$A$2:$D$20,3,FALSE)</f>
        <v>8</v>
      </c>
      <c r="S232">
        <f>RADIANS(VLOOKUP(Table1[[#This Row],[HomeTeam]],TeamAttrs!$A$2:$H$20,7, FALSE))</f>
        <v>0.83164938857529802</v>
      </c>
      <c r="T232">
        <f>RADIANS(VLOOKUP(Table1[[#This Row],[HomeTeam]],TeamAttrs!$A$2:$H$20, 8, FALSE))</f>
        <v>-2.134537675189065</v>
      </c>
      <c r="U232">
        <f>RADIANS(VLOOKUP(Table1[[#This Row],[VisitorTeam]],TeamAttrs!$A$2:$H$20,7,FALSE))</f>
        <v>0.86015585124812133</v>
      </c>
      <c r="V232">
        <f>RADIANS(VLOOKUP(Table1[[#This Row],[VisitorTeam]], TeamAttrs!$A$2:$H$20,8,FALSE))</f>
        <v>-2.1487970151778586</v>
      </c>
      <c r="W232" s="5">
        <f>60*DEGREES(ACOS(SIN(Table1[[#This Row],[HomeLat]])*SIN(Table1[[#This Row],[VisitorLat]]) +COS(Table1[[#This Row],[HomeLat]])*COS(Table1[[#This Row],[VisitorLat]])*COS(ABS(Table1[[#This Row],[HomeLong]] -Table1[[#This Row],[VisitorLong]]))))</f>
        <v>103.24581259540123</v>
      </c>
      <c r="X232" s="6">
        <f>VLOOKUP(Table1[[#This Row],[HomeTeam]],TeamAttrs!$A$2:$K$20,5,FALSE)</f>
        <v>3980000</v>
      </c>
      <c r="Y232" s="6">
        <f>VLOOKUP(Table1[[#This Row],[HomeTeam]],TeamAttrs!$A$2:$K$20,9,FALSE)</f>
        <v>43104</v>
      </c>
      <c r="Z232" s="6">
        <f>VLOOKUP(Table1[[#This Row],[HomeTeam]],TeamAttrs!$A$2:$K$20,10,FALSE)</f>
        <v>38500</v>
      </c>
      <c r="AA232" s="6">
        <f>VLOOKUP(Table1[[#This Row],[HomeTeam]],TeamAttrs!$A$2:$K$20,11,FALSE)</f>
        <v>1.1195844155844157</v>
      </c>
    </row>
    <row r="233" spans="1:27" x14ac:dyDescent="0.25">
      <c r="A233" s="1">
        <v>41139</v>
      </c>
      <c r="B233" t="s">
        <v>10</v>
      </c>
      <c r="C233" t="str">
        <f>VLOOKUP(Table1[[#This Row],[HomeTeam]], TeamAttrs!$A$2:$B$20,2,FALSE)</f>
        <v>Tor</v>
      </c>
      <c r="D233">
        <v>0</v>
      </c>
      <c r="E233">
        <v>1</v>
      </c>
      <c r="F233">
        <f>Table1[[#This Row],[HomeTeamScore]]-Table1[[#This Row],[VisitorScore]]</f>
        <v>-1</v>
      </c>
      <c r="G233" t="s">
        <v>6</v>
      </c>
      <c r="H233" t="str">
        <f>VLOOKUP(Table1[[#This Row],[VisitorTeam]],TeamAttrs!$A$2:$B$20, 2, FALSE)</f>
        <v>SKC</v>
      </c>
      <c r="I233">
        <f t="shared" si="12"/>
        <v>0</v>
      </c>
      <c r="J233">
        <f t="shared" si="13"/>
        <v>0</v>
      </c>
      <c r="K233">
        <f t="shared" si="14"/>
        <v>1</v>
      </c>
      <c r="L233">
        <f>3*Table1[HomeWin] +Table1[Draw]</f>
        <v>0</v>
      </c>
      <c r="M233">
        <f>3*Table1[HomeLoss]+Table1[Draw]</f>
        <v>3</v>
      </c>
      <c r="N233">
        <f>VLOOKUP(B233,TeamAttrs!$A$2:$C$20,3,FALSE)</f>
        <v>5</v>
      </c>
      <c r="O233">
        <f>VLOOKUP(G233,TeamAttrs!$A$2:$C$20,3,FALSE)</f>
        <v>6</v>
      </c>
      <c r="P233">
        <f t="shared" si="15"/>
        <v>1</v>
      </c>
      <c r="Q233">
        <f>VLOOKUP(B233,TeamAttrs!$A$2:$D$20,3,FALSE)</f>
        <v>5</v>
      </c>
      <c r="R233">
        <f>VLOOKUP(G233,TeamAttrs!$A$2:$D$20,3,FALSE)</f>
        <v>6</v>
      </c>
      <c r="S233">
        <f>RADIANS(VLOOKUP(Table1[[#This Row],[HomeTeam]],TeamAttrs!$A$2:$H$20,7, FALSE))</f>
        <v>0.76241741313643896</v>
      </c>
      <c r="T233">
        <f>RADIANS(VLOOKUP(Table1[[#This Row],[HomeTeam]],TeamAttrs!$A$2:$H$20, 8, FALSE))</f>
        <v>-1.3898632792284005</v>
      </c>
      <c r="U233">
        <f>RADIANS(VLOOKUP(Table1[[#This Row],[VisitorTeam]],TeamAttrs!$A$2:$H$20,7,FALSE))</f>
        <v>0.68271520751486592</v>
      </c>
      <c r="V233">
        <f>RADIANS(VLOOKUP(Table1[[#This Row],[VisitorTeam]], TeamAttrs!$A$2:$H$20,8,FALSE))</f>
        <v>-1.65166266702755</v>
      </c>
      <c r="W233" s="5">
        <f>60*DEGREES(ACOS(SIN(Table1[[#This Row],[HomeLat]])*SIN(Table1[[#This Row],[VisitorLat]]) +COS(Table1[[#This Row],[HomeLat]])*COS(Table1[[#This Row],[VisitorLat]])*COS(ABS(Table1[[#This Row],[HomeLong]] -Table1[[#This Row],[VisitorLong]]))))</f>
        <v>727.24684906635184</v>
      </c>
      <c r="X233" s="6">
        <f>VLOOKUP(Table1[[#This Row],[HomeTeam]],TeamAttrs!$A$2:$K$20,5,FALSE)</f>
        <v>8250000</v>
      </c>
      <c r="Y233" s="6">
        <f>VLOOKUP(Table1[[#This Row],[HomeTeam]],TeamAttrs!$A$2:$K$20,9,FALSE)</f>
        <v>18155</v>
      </c>
      <c r="Z233" s="6">
        <f>VLOOKUP(Table1[[#This Row],[HomeTeam]],TeamAttrs!$A$2:$K$20,10,FALSE)</f>
        <v>21140</v>
      </c>
      <c r="AA233" s="6">
        <f>VLOOKUP(Table1[[#This Row],[HomeTeam]],TeamAttrs!$A$2:$K$20,11,FALSE)</f>
        <v>0.85879848628193001</v>
      </c>
    </row>
    <row r="234" spans="1:27" x14ac:dyDescent="0.25">
      <c r="A234" s="1">
        <v>41140</v>
      </c>
      <c r="B234" t="s">
        <v>3</v>
      </c>
      <c r="C234" t="str">
        <f>VLOOKUP(Table1[[#This Row],[HomeTeam]], TeamAttrs!$A$2:$B$20,2,FALSE)</f>
        <v>DCU</v>
      </c>
      <c r="D234">
        <v>1</v>
      </c>
      <c r="E234">
        <v>1</v>
      </c>
      <c r="F234">
        <f>Table1[[#This Row],[HomeTeamScore]]-Table1[[#This Row],[VisitorScore]]</f>
        <v>0</v>
      </c>
      <c r="G234" t="s">
        <v>4</v>
      </c>
      <c r="H234" t="str">
        <f>VLOOKUP(Table1[[#This Row],[VisitorTeam]],TeamAttrs!$A$2:$B$20, 2, FALSE)</f>
        <v>Phil</v>
      </c>
      <c r="I234">
        <f t="shared" si="12"/>
        <v>0</v>
      </c>
      <c r="J234">
        <f t="shared" si="13"/>
        <v>1</v>
      </c>
      <c r="K234">
        <f t="shared" si="14"/>
        <v>0</v>
      </c>
      <c r="L234">
        <f>3*Table1[HomeWin] +Table1[Draw]</f>
        <v>1</v>
      </c>
      <c r="M234">
        <f>3*Table1[HomeLoss]+Table1[Draw]</f>
        <v>1</v>
      </c>
      <c r="N234">
        <f>VLOOKUP(B234,TeamAttrs!$A$2:$C$20,3,FALSE)</f>
        <v>5</v>
      </c>
      <c r="O234">
        <f>VLOOKUP(G234,TeamAttrs!$A$2:$C$20,3,FALSE)</f>
        <v>5</v>
      </c>
      <c r="P234">
        <f t="shared" si="15"/>
        <v>0</v>
      </c>
      <c r="Q234">
        <f>VLOOKUP(B234,TeamAttrs!$A$2:$D$20,3,FALSE)</f>
        <v>5</v>
      </c>
      <c r="R234">
        <f>VLOOKUP(G234,TeamAttrs!$A$2:$D$20,3,FALSE)</f>
        <v>5</v>
      </c>
      <c r="S234">
        <f>RADIANS(VLOOKUP(Table1[[#This Row],[HomeTeam]],TeamAttrs!$A$2:$H$20,7, FALSE))</f>
        <v>0.67806041439979703</v>
      </c>
      <c r="T234">
        <f>RADIANS(VLOOKUP(Table1[[#This Row],[HomeTeam]],TeamAttrs!$A$2:$H$20, 8, FALSE))</f>
        <v>-1.3444847186765478</v>
      </c>
      <c r="U234">
        <f>RADIANS(VLOOKUP(Table1[[#This Row],[VisitorTeam]],TeamAttrs!$A$2:$H$20,7,FALSE))</f>
        <v>0.69609490156065446</v>
      </c>
      <c r="V234">
        <f>RADIANS(VLOOKUP(Table1[[#This Row],[VisitorTeam]], TeamAttrs!$A$2:$H$20,8,FALSE))</f>
        <v>-1.313360262125733</v>
      </c>
      <c r="W234" s="5">
        <f>60*DEGREES(ACOS(SIN(Table1[[#This Row],[HomeLat]])*SIN(Table1[[#This Row],[VisitorLat]]) +COS(Table1[[#This Row],[HomeLat]])*COS(Table1[[#This Row],[VisitorLat]])*COS(ABS(Table1[[#This Row],[HomeLong]] -Table1[[#This Row],[VisitorLong]]))))</f>
        <v>103.37139318979079</v>
      </c>
      <c r="X234" s="6">
        <f>VLOOKUP(Table1[[#This Row],[HomeTeam]],TeamAttrs!$A$2:$K$20,5,FALSE)</f>
        <v>4190000.0000000005</v>
      </c>
      <c r="Y234" s="6">
        <f>VLOOKUP(Table1[[#This Row],[HomeTeam]],TeamAttrs!$A$2:$K$20,9,FALSE)</f>
        <v>13846</v>
      </c>
      <c r="Z234" s="6">
        <f>VLOOKUP(Table1[[#This Row],[HomeTeam]],TeamAttrs!$A$2:$K$20,10,FALSE)</f>
        <v>19467</v>
      </c>
      <c r="AA234" s="6">
        <f>VLOOKUP(Table1[[#This Row],[HomeTeam]],TeamAttrs!$A$2:$K$20,11,FALSE)</f>
        <v>0.71125494426465297</v>
      </c>
    </row>
    <row r="235" spans="1:27" x14ac:dyDescent="0.25">
      <c r="A235" s="1">
        <v>41140</v>
      </c>
      <c r="B235" t="s">
        <v>13</v>
      </c>
      <c r="C235" t="str">
        <f>VLOOKUP(Table1[[#This Row],[HomeTeam]], TeamAttrs!$A$2:$B$20,2,FALSE)</f>
        <v>Hou</v>
      </c>
      <c r="D235">
        <v>2</v>
      </c>
      <c r="E235">
        <v>2</v>
      </c>
      <c r="F235">
        <f>Table1[[#This Row],[HomeTeamScore]]-Table1[[#This Row],[VisitorScore]]</f>
        <v>0</v>
      </c>
      <c r="G235" t="s">
        <v>8</v>
      </c>
      <c r="H235" t="str">
        <f>VLOOKUP(Table1[[#This Row],[VisitorTeam]],TeamAttrs!$A$2:$B$20, 2, FALSE)</f>
        <v>Colum</v>
      </c>
      <c r="I235">
        <f t="shared" si="12"/>
        <v>0</v>
      </c>
      <c r="J235">
        <f t="shared" si="13"/>
        <v>1</v>
      </c>
      <c r="K235">
        <f t="shared" si="14"/>
        <v>0</v>
      </c>
      <c r="L235">
        <f>3*Table1[HomeWin] +Table1[Draw]</f>
        <v>1</v>
      </c>
      <c r="M235">
        <f>3*Table1[HomeLoss]+Table1[Draw]</f>
        <v>1</v>
      </c>
      <c r="N235">
        <f>VLOOKUP(B235,TeamAttrs!$A$2:$C$20,3,FALSE)</f>
        <v>6</v>
      </c>
      <c r="O235">
        <f>VLOOKUP(G235,TeamAttrs!$A$2:$C$20,3,FALSE)</f>
        <v>5</v>
      </c>
      <c r="P235">
        <f t="shared" si="15"/>
        <v>-1</v>
      </c>
      <c r="Q235">
        <f>VLOOKUP(B235,TeamAttrs!$A$2:$D$20,3,FALSE)</f>
        <v>6</v>
      </c>
      <c r="R235">
        <f>VLOOKUP(G235,TeamAttrs!$A$2:$D$20,3,FALSE)</f>
        <v>5</v>
      </c>
      <c r="S235">
        <f>RADIANS(VLOOKUP(Table1[[#This Row],[HomeTeam]],TeamAttrs!$A$2:$H$20,7, FALSE))</f>
        <v>0.52301758095738471</v>
      </c>
      <c r="T235">
        <f>RADIANS(VLOOKUP(Table1[[#This Row],[HomeTeam]],TeamAttrs!$A$2:$H$20, 8, FALSE))</f>
        <v>-1.6641714417765932</v>
      </c>
      <c r="U235">
        <f>RADIANS(VLOOKUP(Table1[[#This Row],[VisitorTeam]],TeamAttrs!$A$2:$H$20,7,FALSE))</f>
        <v>0.69813170079773179</v>
      </c>
      <c r="V235">
        <f>RADIANS(VLOOKUP(Table1[[#This Row],[VisitorTeam]], TeamAttrs!$A$2:$H$20,8,FALSE))</f>
        <v>-1.4465864799182162</v>
      </c>
      <c r="W235" s="5">
        <f>60*DEGREES(ACOS(SIN(Table1[[#This Row],[HomeLat]])*SIN(Table1[[#This Row],[VisitorLat]]) +COS(Table1[[#This Row],[HomeLat]])*COS(Table1[[#This Row],[VisitorLat]])*COS(ABS(Table1[[#This Row],[HomeLong]] -Table1[[#This Row],[VisitorLong]]))))</f>
        <v>857.39477245624062</v>
      </c>
      <c r="X235" s="6">
        <f>VLOOKUP(Table1[[#This Row],[HomeTeam]],TeamAttrs!$A$2:$K$20,5,FALSE)</f>
        <v>3000000</v>
      </c>
      <c r="Y235" s="6">
        <f>VLOOKUP(Table1[[#This Row],[HomeTeam]],TeamAttrs!$A$2:$K$20,9,FALSE)</f>
        <v>20946</v>
      </c>
      <c r="Z235" s="6">
        <f>VLOOKUP(Table1[[#This Row],[HomeTeam]],TeamAttrs!$A$2:$K$20,10,FALSE)</f>
        <v>22000</v>
      </c>
      <c r="AA235" s="6">
        <f>VLOOKUP(Table1[[#This Row],[HomeTeam]],TeamAttrs!$A$2:$K$20,11,FALSE)</f>
        <v>0.9520909090909091</v>
      </c>
    </row>
    <row r="236" spans="1:27" x14ac:dyDescent="0.25">
      <c r="A236" s="1">
        <v>41140</v>
      </c>
      <c r="B236" t="s">
        <v>15</v>
      </c>
      <c r="C236" t="str">
        <f>VLOOKUP(Table1[[#This Row],[HomeTeam]], TeamAttrs!$A$2:$B$20,2,FALSE)</f>
        <v>NY</v>
      </c>
      <c r="D236">
        <v>3</v>
      </c>
      <c r="E236">
        <v>2</v>
      </c>
      <c r="F236">
        <f>Table1[[#This Row],[HomeTeamScore]]-Table1[[#This Row],[VisitorScore]]</f>
        <v>1</v>
      </c>
      <c r="G236" t="s">
        <v>12</v>
      </c>
      <c r="H236" t="str">
        <f>VLOOKUP(Table1[[#This Row],[VisitorTeam]],TeamAttrs!$A$2:$B$20, 2, FALSE)</f>
        <v>Port</v>
      </c>
      <c r="I236">
        <f t="shared" si="12"/>
        <v>1</v>
      </c>
      <c r="J236">
        <f t="shared" si="13"/>
        <v>0</v>
      </c>
      <c r="K236">
        <f t="shared" si="14"/>
        <v>0</v>
      </c>
      <c r="L236">
        <f>3*Table1[HomeWin] +Table1[Draw]</f>
        <v>3</v>
      </c>
      <c r="M236">
        <f>3*Table1[HomeLoss]+Table1[Draw]</f>
        <v>0</v>
      </c>
      <c r="N236">
        <f>VLOOKUP(B236,TeamAttrs!$A$2:$C$20,3,FALSE)</f>
        <v>5</v>
      </c>
      <c r="O236">
        <f>VLOOKUP(G236,TeamAttrs!$A$2:$C$20,3,FALSE)</f>
        <v>8</v>
      </c>
      <c r="P236">
        <f t="shared" si="15"/>
        <v>3</v>
      </c>
      <c r="Q236">
        <f>VLOOKUP(B236,TeamAttrs!$A$2:$D$20,3,FALSE)</f>
        <v>5</v>
      </c>
      <c r="R236">
        <f>VLOOKUP(G236,TeamAttrs!$A$2:$D$20,3,FALSE)</f>
        <v>8</v>
      </c>
      <c r="S236">
        <f>RADIANS(VLOOKUP(Table1[[#This Row],[HomeTeam]],TeamAttrs!$A$2:$H$20,7, FALSE))</f>
        <v>0.71180286482860333</v>
      </c>
      <c r="T236">
        <f>RADIANS(VLOOKUP(Table1[[#This Row],[HomeTeam]],TeamAttrs!$A$2:$H$20, 8, FALSE))</f>
        <v>-1.2909624518348899</v>
      </c>
      <c r="U236">
        <f>RADIANS(VLOOKUP(Table1[[#This Row],[VisitorTeam]],TeamAttrs!$A$2:$H$20,7,FALSE))</f>
        <v>0.79587013890941427</v>
      </c>
      <c r="V236">
        <f>RADIANS(VLOOKUP(Table1[[#This Row],[VisitorTeam]], TeamAttrs!$A$2:$H$20,8,FALSE))</f>
        <v>-2.1397736629450481</v>
      </c>
      <c r="W236" s="5">
        <f>60*DEGREES(ACOS(SIN(Table1[[#This Row],[HomeLat]])*SIN(Table1[[#This Row],[VisitorLat]]) +COS(Table1[[#This Row],[HomeLat]])*COS(Table1[[#This Row],[VisitorLat]])*COS(ABS(Table1[[#This Row],[HomeLong]] -Table1[[#This Row],[VisitorLong]]))))</f>
        <v>2114.0028448010685</v>
      </c>
      <c r="X236" s="6">
        <f>VLOOKUP(Table1[[#This Row],[HomeTeam]],TeamAttrs!$A$2:$K$20,5,FALSE)</f>
        <v>12960000</v>
      </c>
      <c r="Y236" s="6">
        <f>VLOOKUP(Table1[[#This Row],[HomeTeam]],TeamAttrs!$A$2:$K$20,9,FALSE)</f>
        <v>18281</v>
      </c>
      <c r="Z236" s="6">
        <f>VLOOKUP(Table1[[#This Row],[HomeTeam]],TeamAttrs!$A$2:$K$20,10,FALSE)</f>
        <v>25000</v>
      </c>
      <c r="AA236" s="6">
        <f>VLOOKUP(Table1[[#This Row],[HomeTeam]],TeamAttrs!$A$2:$K$20,11,FALSE)</f>
        <v>0.73124</v>
      </c>
    </row>
    <row r="237" spans="1:27" x14ac:dyDescent="0.25">
      <c r="A237" s="1">
        <v>41143</v>
      </c>
      <c r="B237" t="s">
        <v>8</v>
      </c>
      <c r="C237" t="str">
        <f>VLOOKUP(Table1[[#This Row],[HomeTeam]], TeamAttrs!$A$2:$B$20,2,FALSE)</f>
        <v>Colum</v>
      </c>
      <c r="D237">
        <v>2</v>
      </c>
      <c r="E237">
        <v>1</v>
      </c>
      <c r="F237">
        <f>Table1[[#This Row],[HomeTeamScore]]-Table1[[#This Row],[VisitorScore]]</f>
        <v>1</v>
      </c>
      <c r="G237" t="s">
        <v>10</v>
      </c>
      <c r="H237" t="str">
        <f>VLOOKUP(Table1[[#This Row],[VisitorTeam]],TeamAttrs!$A$2:$B$20, 2, FALSE)</f>
        <v>Tor</v>
      </c>
      <c r="I237">
        <f t="shared" si="12"/>
        <v>1</v>
      </c>
      <c r="J237">
        <f t="shared" si="13"/>
        <v>0</v>
      </c>
      <c r="K237">
        <f t="shared" si="14"/>
        <v>0</v>
      </c>
      <c r="L237">
        <f>3*Table1[HomeWin] +Table1[Draw]</f>
        <v>3</v>
      </c>
      <c r="M237">
        <f>3*Table1[HomeLoss]+Table1[Draw]</f>
        <v>0</v>
      </c>
      <c r="N237">
        <f>VLOOKUP(B237,TeamAttrs!$A$2:$C$20,3,FALSE)</f>
        <v>5</v>
      </c>
      <c r="O237">
        <f>VLOOKUP(G237,TeamAttrs!$A$2:$C$20,3,FALSE)</f>
        <v>5</v>
      </c>
      <c r="P237">
        <f t="shared" si="15"/>
        <v>0</v>
      </c>
      <c r="Q237">
        <f>VLOOKUP(B237,TeamAttrs!$A$2:$D$20,3,FALSE)</f>
        <v>5</v>
      </c>
      <c r="R237">
        <f>VLOOKUP(G237,TeamAttrs!$A$2:$D$20,3,FALSE)</f>
        <v>5</v>
      </c>
      <c r="S237">
        <f>RADIANS(VLOOKUP(Table1[[#This Row],[HomeTeam]],TeamAttrs!$A$2:$H$20,7, FALSE))</f>
        <v>0.69813170079773179</v>
      </c>
      <c r="T237">
        <f>RADIANS(VLOOKUP(Table1[[#This Row],[HomeTeam]],TeamAttrs!$A$2:$H$20, 8, FALSE))</f>
        <v>-1.4465864799182162</v>
      </c>
      <c r="U237">
        <f>RADIANS(VLOOKUP(Table1[[#This Row],[VisitorTeam]],TeamAttrs!$A$2:$H$20,7,FALSE))</f>
        <v>0.76241741313643896</v>
      </c>
      <c r="V237">
        <f>RADIANS(VLOOKUP(Table1[[#This Row],[VisitorTeam]], TeamAttrs!$A$2:$H$20,8,FALSE))</f>
        <v>-1.3898632792284005</v>
      </c>
      <c r="W237" s="5">
        <f>60*DEGREES(ACOS(SIN(Table1[[#This Row],[HomeLat]])*SIN(Table1[[#This Row],[VisitorLat]]) +COS(Table1[[#This Row],[HomeLat]])*COS(Table1[[#This Row],[VisitorLat]])*COS(ABS(Table1[[#This Row],[HomeLong]] -Table1[[#This Row],[VisitorLong]]))))</f>
        <v>264.4185564345218</v>
      </c>
      <c r="X237" s="6">
        <f>VLOOKUP(Table1[[#This Row],[HomeTeam]],TeamAttrs!$A$2:$K$20,5,FALSE)</f>
        <v>3330000</v>
      </c>
      <c r="Y237" s="6">
        <f>VLOOKUP(Table1[[#This Row],[HomeTeam]],TeamAttrs!$A$2:$K$20,9,FALSE)</f>
        <v>14397</v>
      </c>
      <c r="Z237" s="6">
        <f>VLOOKUP(Table1[[#This Row],[HomeTeam]],TeamAttrs!$A$2:$K$20,10,FALSE)</f>
        <v>20145</v>
      </c>
      <c r="AA237" s="6">
        <f>VLOOKUP(Table1[[#This Row],[HomeTeam]],TeamAttrs!$A$2:$K$20,11,FALSE)</f>
        <v>0.71466865227103504</v>
      </c>
    </row>
    <row r="238" spans="1:27" x14ac:dyDescent="0.25">
      <c r="A238" s="1">
        <v>41143</v>
      </c>
      <c r="B238" t="s">
        <v>3</v>
      </c>
      <c r="C238" t="str">
        <f>VLOOKUP(Table1[[#This Row],[HomeTeam]], TeamAttrs!$A$2:$B$20,2,FALSE)</f>
        <v>DCU</v>
      </c>
      <c r="D238">
        <v>4</v>
      </c>
      <c r="E238">
        <v>2</v>
      </c>
      <c r="F238">
        <f>Table1[[#This Row],[HomeTeamScore]]-Table1[[#This Row],[VisitorScore]]</f>
        <v>2</v>
      </c>
      <c r="G238" t="s">
        <v>17</v>
      </c>
      <c r="H238" t="str">
        <f>VLOOKUP(Table1[[#This Row],[VisitorTeam]],TeamAttrs!$A$2:$B$20, 2, FALSE)</f>
        <v>Chi</v>
      </c>
      <c r="I238">
        <f t="shared" si="12"/>
        <v>1</v>
      </c>
      <c r="J238">
        <f t="shared" si="13"/>
        <v>0</v>
      </c>
      <c r="K238">
        <f t="shared" si="14"/>
        <v>0</v>
      </c>
      <c r="L238">
        <f>3*Table1[HomeWin] +Table1[Draw]</f>
        <v>3</v>
      </c>
      <c r="M238">
        <f>3*Table1[HomeLoss]+Table1[Draw]</f>
        <v>0</v>
      </c>
      <c r="N238">
        <f>VLOOKUP(B238,TeamAttrs!$A$2:$C$20,3,FALSE)</f>
        <v>5</v>
      </c>
      <c r="O238">
        <f>VLOOKUP(G238,TeamAttrs!$A$2:$C$20,3,FALSE)</f>
        <v>6</v>
      </c>
      <c r="P238">
        <f t="shared" si="15"/>
        <v>1</v>
      </c>
      <c r="Q238">
        <f>VLOOKUP(B238,TeamAttrs!$A$2:$D$20,3,FALSE)</f>
        <v>5</v>
      </c>
      <c r="R238">
        <f>VLOOKUP(G238,TeamAttrs!$A$2:$D$20,3,FALSE)</f>
        <v>6</v>
      </c>
      <c r="S238">
        <f>RADIANS(VLOOKUP(Table1[[#This Row],[HomeTeam]],TeamAttrs!$A$2:$H$20,7, FALSE))</f>
        <v>0.67806041439979703</v>
      </c>
      <c r="T238">
        <f>RADIANS(VLOOKUP(Table1[[#This Row],[HomeTeam]],TeamAttrs!$A$2:$H$20, 8, FALSE))</f>
        <v>-1.3444847186765478</v>
      </c>
      <c r="U238">
        <f>RADIANS(VLOOKUP(Table1[[#This Row],[VisitorTeam]],TeamAttrs!$A$2:$H$20,7,FALSE))</f>
        <v>0.72925615734854665</v>
      </c>
      <c r="V238">
        <f>RADIANS(VLOOKUP(Table1[[#This Row],[VisitorTeam]], TeamAttrs!$A$2:$H$20,8,FALSE))</f>
        <v>-1.5315264186250241</v>
      </c>
      <c r="W238" s="5">
        <f>60*DEGREES(ACOS(SIN(Table1[[#This Row],[HomeLat]])*SIN(Table1[[#This Row],[VisitorLat]]) +COS(Table1[[#This Row],[HomeLat]])*COS(Table1[[#This Row],[VisitorLat]])*COS(ABS(Table1[[#This Row],[HomeLong]] -Table1[[#This Row],[VisitorLong]]))))</f>
        <v>520.46754850665639</v>
      </c>
      <c r="X238" s="6">
        <f>VLOOKUP(Table1[[#This Row],[HomeTeam]],TeamAttrs!$A$2:$K$20,5,FALSE)</f>
        <v>4190000.0000000005</v>
      </c>
      <c r="Y238" s="6">
        <f>VLOOKUP(Table1[[#This Row],[HomeTeam]],TeamAttrs!$A$2:$K$20,9,FALSE)</f>
        <v>13846</v>
      </c>
      <c r="Z238" s="6">
        <f>VLOOKUP(Table1[[#This Row],[HomeTeam]],TeamAttrs!$A$2:$K$20,10,FALSE)</f>
        <v>19467</v>
      </c>
      <c r="AA238" s="6">
        <f>VLOOKUP(Table1[[#This Row],[HomeTeam]],TeamAttrs!$A$2:$K$20,11,FALSE)</f>
        <v>0.71125494426465297</v>
      </c>
    </row>
    <row r="239" spans="1:27" x14ac:dyDescent="0.25">
      <c r="A239" s="1">
        <v>41145</v>
      </c>
      <c r="B239" t="s">
        <v>4</v>
      </c>
      <c r="C239" t="str">
        <f>VLOOKUP(Table1[[#This Row],[HomeTeam]], TeamAttrs!$A$2:$B$20,2,FALSE)</f>
        <v>Phil</v>
      </c>
      <c r="D239">
        <v>0</v>
      </c>
      <c r="E239">
        <v>0</v>
      </c>
      <c r="F239">
        <f>Table1[[#This Row],[HomeTeamScore]]-Table1[[#This Row],[VisitorScore]]</f>
        <v>0</v>
      </c>
      <c r="G239" t="s">
        <v>18</v>
      </c>
      <c r="H239" t="str">
        <f>VLOOKUP(Table1[[#This Row],[VisitorTeam]],TeamAttrs!$A$2:$B$20, 2, FALSE)</f>
        <v>RSL</v>
      </c>
      <c r="I239">
        <f t="shared" si="12"/>
        <v>0</v>
      </c>
      <c r="J239">
        <f t="shared" si="13"/>
        <v>1</v>
      </c>
      <c r="K239">
        <f t="shared" si="14"/>
        <v>0</v>
      </c>
      <c r="L239">
        <f>3*Table1[HomeWin] +Table1[Draw]</f>
        <v>1</v>
      </c>
      <c r="M239">
        <f>3*Table1[HomeLoss]+Table1[Draw]</f>
        <v>1</v>
      </c>
      <c r="N239">
        <f>VLOOKUP(B239,TeamAttrs!$A$2:$C$20,3,FALSE)</f>
        <v>5</v>
      </c>
      <c r="O239">
        <f>VLOOKUP(G239,TeamAttrs!$A$2:$C$20,3,FALSE)</f>
        <v>7</v>
      </c>
      <c r="P239">
        <f t="shared" si="15"/>
        <v>2</v>
      </c>
      <c r="Q239">
        <f>VLOOKUP(B239,TeamAttrs!$A$2:$D$20,3,FALSE)</f>
        <v>5</v>
      </c>
      <c r="R239">
        <f>VLOOKUP(G239,TeamAttrs!$A$2:$D$20,3,FALSE)</f>
        <v>7</v>
      </c>
      <c r="S239">
        <f>RADIANS(VLOOKUP(Table1[[#This Row],[HomeTeam]],TeamAttrs!$A$2:$H$20,7, FALSE))</f>
        <v>0.69609490156065446</v>
      </c>
      <c r="T239">
        <f>RADIANS(VLOOKUP(Table1[[#This Row],[HomeTeam]],TeamAttrs!$A$2:$H$20, 8, FALSE))</f>
        <v>-1.313360262125733</v>
      </c>
      <c r="U239">
        <f>RADIANS(VLOOKUP(Table1[[#This Row],[VisitorTeam]],TeamAttrs!$A$2:$H$20,7,FALSE))</f>
        <v>0.71151314017277234</v>
      </c>
      <c r="V239">
        <f>RADIANS(VLOOKUP(Table1[[#This Row],[VisitorTeam]], TeamAttrs!$A$2:$H$20,8,FALSE))</f>
        <v>-1.954192803580491</v>
      </c>
      <c r="W239" s="5">
        <f>60*DEGREES(ACOS(SIN(Table1[[#This Row],[HomeLat]])*SIN(Table1[[#This Row],[VisitorLat]]) +COS(Table1[[#This Row],[HomeLat]])*COS(Table1[[#This Row],[VisitorLat]])*COS(ABS(Table1[[#This Row],[HomeLong]] -Table1[[#This Row],[VisitorLong]]))))</f>
        <v>1668.040984740747</v>
      </c>
      <c r="X239" s="6">
        <f>VLOOKUP(Table1[[#This Row],[HomeTeam]],TeamAttrs!$A$2:$K$20,5,FALSE)</f>
        <v>3620000</v>
      </c>
      <c r="Y239" s="6">
        <f>VLOOKUP(Table1[[#This Row],[HomeTeam]],TeamAttrs!$A$2:$K$20,9,FALSE)</f>
        <v>18053</v>
      </c>
      <c r="Z239" s="6">
        <f>VLOOKUP(Table1[[#This Row],[HomeTeam]],TeamAttrs!$A$2:$K$20,10,FALSE)</f>
        <v>18500</v>
      </c>
      <c r="AA239" s="6">
        <f>VLOOKUP(Table1[[#This Row],[HomeTeam]],TeamAttrs!$A$2:$K$20,11,FALSE)</f>
        <v>0.97583783783783784</v>
      </c>
    </row>
    <row r="240" spans="1:27" x14ac:dyDescent="0.25">
      <c r="A240" s="1">
        <v>41146</v>
      </c>
      <c r="B240" t="s">
        <v>2</v>
      </c>
      <c r="C240" t="str">
        <f>VLOOKUP(Table1[[#This Row],[HomeTeam]], TeamAttrs!$A$2:$B$20,2,FALSE)</f>
        <v>Chiv</v>
      </c>
      <c r="D240">
        <v>2</v>
      </c>
      <c r="E240">
        <v>6</v>
      </c>
      <c r="F240">
        <f>Table1[[#This Row],[HomeTeamScore]]-Table1[[#This Row],[VisitorScore]]</f>
        <v>-4</v>
      </c>
      <c r="G240" t="s">
        <v>11</v>
      </c>
      <c r="H240" t="str">
        <f>VLOOKUP(Table1[[#This Row],[VisitorTeam]],TeamAttrs!$A$2:$B$20, 2, FALSE)</f>
        <v>SEA</v>
      </c>
      <c r="I240">
        <f t="shared" si="12"/>
        <v>0</v>
      </c>
      <c r="J240">
        <f t="shared" si="13"/>
        <v>0</v>
      </c>
      <c r="K240">
        <f t="shared" si="14"/>
        <v>1</v>
      </c>
      <c r="L240">
        <f>3*Table1[HomeWin] +Table1[Draw]</f>
        <v>0</v>
      </c>
      <c r="M240">
        <f>3*Table1[HomeLoss]+Table1[Draw]</f>
        <v>3</v>
      </c>
      <c r="N240">
        <f>VLOOKUP(B240,TeamAttrs!$A$2:$C$20,3,FALSE)</f>
        <v>8</v>
      </c>
      <c r="O240">
        <f>VLOOKUP(G240,TeamAttrs!$A$2:$C$20,3,FALSE)</f>
        <v>8</v>
      </c>
      <c r="P240">
        <f t="shared" si="15"/>
        <v>0</v>
      </c>
      <c r="Q240">
        <f>VLOOKUP(B240,TeamAttrs!$A$2:$D$20,3,FALSE)</f>
        <v>8</v>
      </c>
      <c r="R240">
        <f>VLOOKUP(G240,TeamAttrs!$A$2:$D$20,3,FALSE)</f>
        <v>8</v>
      </c>
      <c r="S240">
        <f>RADIANS(VLOOKUP(Table1[[#This Row],[HomeTeam]],TeamAttrs!$A$2:$H$20,7, FALSE))</f>
        <v>0.59224781106699187</v>
      </c>
      <c r="T240">
        <f>RADIANS(VLOOKUP(Table1[[#This Row],[HomeTeam]],TeamAttrs!$A$2:$H$20, 8, FALSE))</f>
        <v>-2.0664698343612864</v>
      </c>
      <c r="U240">
        <f>RADIANS(VLOOKUP(Table1[[#This Row],[VisitorTeam]],TeamAttrs!$A$2:$H$20,7,FALSE))</f>
        <v>0.83164938857529802</v>
      </c>
      <c r="V240">
        <f>RADIANS(VLOOKUP(Table1[[#This Row],[VisitorTeam]], TeamAttrs!$A$2:$H$20,8,FALSE))</f>
        <v>-2.134537675189065</v>
      </c>
      <c r="W240" s="5">
        <f>60*DEGREES(ACOS(SIN(Table1[[#This Row],[HomeLat]])*SIN(Table1[[#This Row],[VisitorLat]]) +COS(Table1[[#This Row],[HomeLat]])*COS(Table1[[#This Row],[VisitorLat]])*COS(ABS(Table1[[#This Row],[HomeLong]] -Table1[[#This Row],[VisitorLong]]))))</f>
        <v>841.56162088012809</v>
      </c>
      <c r="X240" s="6">
        <f>VLOOKUP(Table1[[#This Row],[HomeTeam]],TeamAttrs!$A$2:$K$20,5,FALSE)</f>
        <v>3230000</v>
      </c>
      <c r="Y240" s="6">
        <f>VLOOKUP(Table1[[#This Row],[HomeTeam]],TeamAttrs!$A$2:$K$20,9,FALSE)</f>
        <v>13056</v>
      </c>
      <c r="Z240" s="6">
        <f>VLOOKUP(Table1[[#This Row],[HomeTeam]],TeamAttrs!$A$2:$K$20,10,FALSE)</f>
        <v>18800</v>
      </c>
      <c r="AA240" s="6">
        <f>VLOOKUP(Table1[[#This Row],[HomeTeam]],TeamAttrs!$A$2:$K$20,11,FALSE)</f>
        <v>0.69446808510638303</v>
      </c>
    </row>
    <row r="241" spans="1:27" x14ac:dyDescent="0.25">
      <c r="A241" s="1">
        <v>41146</v>
      </c>
      <c r="B241" t="s">
        <v>8</v>
      </c>
      <c r="C241" t="str">
        <f>VLOOKUP(Table1[[#This Row],[HomeTeam]], TeamAttrs!$A$2:$B$20,2,FALSE)</f>
        <v>Colum</v>
      </c>
      <c r="D241">
        <v>4</v>
      </c>
      <c r="E241">
        <v>3</v>
      </c>
      <c r="F241">
        <f>Table1[[#This Row],[HomeTeamScore]]-Table1[[#This Row],[VisitorScore]]</f>
        <v>1</v>
      </c>
      <c r="G241" t="s">
        <v>9</v>
      </c>
      <c r="H241" t="str">
        <f>VLOOKUP(Table1[[#This Row],[VisitorTeam]],TeamAttrs!$A$2:$B$20, 2, FALSE)</f>
        <v>NE</v>
      </c>
      <c r="I241">
        <f t="shared" si="12"/>
        <v>1</v>
      </c>
      <c r="J241">
        <f t="shared" si="13"/>
        <v>0</v>
      </c>
      <c r="K241">
        <f t="shared" si="14"/>
        <v>0</v>
      </c>
      <c r="L241">
        <f>3*Table1[HomeWin] +Table1[Draw]</f>
        <v>3</v>
      </c>
      <c r="M241">
        <f>3*Table1[HomeLoss]+Table1[Draw]</f>
        <v>0</v>
      </c>
      <c r="N241">
        <f>VLOOKUP(B241,TeamAttrs!$A$2:$C$20,3,FALSE)</f>
        <v>5</v>
      </c>
      <c r="O241">
        <f>VLOOKUP(G241,TeamAttrs!$A$2:$C$20,3,FALSE)</f>
        <v>5</v>
      </c>
      <c r="P241">
        <f t="shared" si="15"/>
        <v>0</v>
      </c>
      <c r="Q241">
        <f>VLOOKUP(B241,TeamAttrs!$A$2:$D$20,3,FALSE)</f>
        <v>5</v>
      </c>
      <c r="R241">
        <f>VLOOKUP(G241,TeamAttrs!$A$2:$D$20,3,FALSE)</f>
        <v>5</v>
      </c>
      <c r="S241">
        <f>RADIANS(VLOOKUP(Table1[[#This Row],[HomeTeam]],TeamAttrs!$A$2:$H$20,7, FALSE))</f>
        <v>0.69813170079773179</v>
      </c>
      <c r="T241">
        <f>RADIANS(VLOOKUP(Table1[[#This Row],[HomeTeam]],TeamAttrs!$A$2:$H$20, 8, FALSE))</f>
        <v>-1.4465864799182162</v>
      </c>
      <c r="U241">
        <f>RADIANS(VLOOKUP(Table1[[#This Row],[VisitorTeam]],TeamAttrs!$A$2:$H$20,7,FALSE))</f>
        <v>0.73943840820468165</v>
      </c>
      <c r="V241">
        <f>RADIANS(VLOOKUP(Table1[[#This Row],[VisitorTeam]], TeamAttrs!$A$2:$H$20,8,FALSE))</f>
        <v>-1.2397649635568881</v>
      </c>
      <c r="W241" s="5">
        <f>60*DEGREES(ACOS(SIN(Table1[[#This Row],[HomeLat]])*SIN(Table1[[#This Row],[VisitorLat]]) +COS(Table1[[#This Row],[HomeLat]])*COS(Table1[[#This Row],[VisitorLat]])*COS(ABS(Table1[[#This Row],[HomeLong]] -Table1[[#This Row],[VisitorLong]]))))</f>
        <v>553.10243220455334</v>
      </c>
      <c r="X241" s="6">
        <f>VLOOKUP(Table1[[#This Row],[HomeTeam]],TeamAttrs!$A$2:$K$20,5,FALSE)</f>
        <v>3330000</v>
      </c>
      <c r="Y241" s="6">
        <f>VLOOKUP(Table1[[#This Row],[HomeTeam]],TeamAttrs!$A$2:$K$20,9,FALSE)</f>
        <v>14397</v>
      </c>
      <c r="Z241" s="6">
        <f>VLOOKUP(Table1[[#This Row],[HomeTeam]],TeamAttrs!$A$2:$K$20,10,FALSE)</f>
        <v>20145</v>
      </c>
      <c r="AA241" s="6">
        <f>VLOOKUP(Table1[[#This Row],[HomeTeam]],TeamAttrs!$A$2:$K$20,11,FALSE)</f>
        <v>0.71466865227103504</v>
      </c>
    </row>
    <row r="242" spans="1:27" x14ac:dyDescent="0.25">
      <c r="A242" s="1">
        <v>41146</v>
      </c>
      <c r="B242" t="s">
        <v>13</v>
      </c>
      <c r="C242" t="str">
        <f>VLOOKUP(Table1[[#This Row],[HomeTeam]], TeamAttrs!$A$2:$B$20,2,FALSE)</f>
        <v>Hou</v>
      </c>
      <c r="D242">
        <v>1</v>
      </c>
      <c r="E242">
        <v>1</v>
      </c>
      <c r="F242">
        <f>Table1[[#This Row],[HomeTeamScore]]-Table1[[#This Row],[VisitorScore]]</f>
        <v>0</v>
      </c>
      <c r="G242" t="s">
        <v>10</v>
      </c>
      <c r="H242" t="str">
        <f>VLOOKUP(Table1[[#This Row],[VisitorTeam]],TeamAttrs!$A$2:$B$20, 2, FALSE)</f>
        <v>Tor</v>
      </c>
      <c r="I242">
        <f t="shared" si="12"/>
        <v>0</v>
      </c>
      <c r="J242">
        <f t="shared" si="13"/>
        <v>1</v>
      </c>
      <c r="K242">
        <f t="shared" si="14"/>
        <v>0</v>
      </c>
      <c r="L242">
        <f>3*Table1[HomeWin] +Table1[Draw]</f>
        <v>1</v>
      </c>
      <c r="M242">
        <f>3*Table1[HomeLoss]+Table1[Draw]</f>
        <v>1</v>
      </c>
      <c r="N242">
        <f>VLOOKUP(B242,TeamAttrs!$A$2:$C$20,3,FALSE)</f>
        <v>6</v>
      </c>
      <c r="O242">
        <f>VLOOKUP(G242,TeamAttrs!$A$2:$C$20,3,FALSE)</f>
        <v>5</v>
      </c>
      <c r="P242">
        <f t="shared" si="15"/>
        <v>-1</v>
      </c>
      <c r="Q242">
        <f>VLOOKUP(B242,TeamAttrs!$A$2:$D$20,3,FALSE)</f>
        <v>6</v>
      </c>
      <c r="R242">
        <f>VLOOKUP(G242,TeamAttrs!$A$2:$D$20,3,FALSE)</f>
        <v>5</v>
      </c>
      <c r="S242">
        <f>RADIANS(VLOOKUP(Table1[[#This Row],[HomeTeam]],TeamAttrs!$A$2:$H$20,7, FALSE))</f>
        <v>0.52301758095738471</v>
      </c>
      <c r="T242">
        <f>RADIANS(VLOOKUP(Table1[[#This Row],[HomeTeam]],TeamAttrs!$A$2:$H$20, 8, FALSE))</f>
        <v>-1.6641714417765932</v>
      </c>
      <c r="U242">
        <f>RADIANS(VLOOKUP(Table1[[#This Row],[VisitorTeam]],TeamAttrs!$A$2:$H$20,7,FALSE))</f>
        <v>0.76241741313643896</v>
      </c>
      <c r="V242">
        <f>RADIANS(VLOOKUP(Table1[[#This Row],[VisitorTeam]], TeamAttrs!$A$2:$H$20,8,FALSE))</f>
        <v>-1.3898632792284005</v>
      </c>
      <c r="W242" s="5">
        <f>60*DEGREES(ACOS(SIN(Table1[[#This Row],[HomeLat]])*SIN(Table1[[#This Row],[VisitorLat]]) +COS(Table1[[#This Row],[HomeLat]])*COS(Table1[[#This Row],[VisitorLat]])*COS(ABS(Table1[[#This Row],[HomeLong]] -Table1[[#This Row],[VisitorLong]]))))</f>
        <v>1112.8779397852613</v>
      </c>
      <c r="X242" s="6">
        <f>VLOOKUP(Table1[[#This Row],[HomeTeam]],TeamAttrs!$A$2:$K$20,5,FALSE)</f>
        <v>3000000</v>
      </c>
      <c r="Y242" s="6">
        <f>VLOOKUP(Table1[[#This Row],[HomeTeam]],TeamAttrs!$A$2:$K$20,9,FALSE)</f>
        <v>20946</v>
      </c>
      <c r="Z242" s="6">
        <f>VLOOKUP(Table1[[#This Row],[HomeTeam]],TeamAttrs!$A$2:$K$20,10,FALSE)</f>
        <v>22000</v>
      </c>
      <c r="AA242" s="6">
        <f>VLOOKUP(Table1[[#This Row],[HomeTeam]],TeamAttrs!$A$2:$K$20,11,FALSE)</f>
        <v>0.9520909090909091</v>
      </c>
    </row>
    <row r="243" spans="1:27" x14ac:dyDescent="0.25">
      <c r="A243" s="1">
        <v>41146</v>
      </c>
      <c r="B243" t="s">
        <v>1</v>
      </c>
      <c r="C243" t="str">
        <f>VLOOKUP(Table1[[#This Row],[HomeTeam]], TeamAttrs!$A$2:$B$20,2,FALSE)</f>
        <v>Mntrl</v>
      </c>
      <c r="D243">
        <v>3</v>
      </c>
      <c r="E243">
        <v>0</v>
      </c>
      <c r="F243">
        <f>Table1[[#This Row],[HomeTeamScore]]-Table1[[#This Row],[VisitorScore]]</f>
        <v>3</v>
      </c>
      <c r="G243" t="s">
        <v>3</v>
      </c>
      <c r="H243" t="str">
        <f>VLOOKUP(Table1[[#This Row],[VisitorTeam]],TeamAttrs!$A$2:$B$20, 2, FALSE)</f>
        <v>DCU</v>
      </c>
      <c r="I243">
        <f t="shared" si="12"/>
        <v>1</v>
      </c>
      <c r="J243">
        <f t="shared" si="13"/>
        <v>0</v>
      </c>
      <c r="K243">
        <f t="shared" si="14"/>
        <v>0</v>
      </c>
      <c r="L243">
        <f>3*Table1[HomeWin] +Table1[Draw]</f>
        <v>3</v>
      </c>
      <c r="M243">
        <f>3*Table1[HomeLoss]+Table1[Draw]</f>
        <v>0</v>
      </c>
      <c r="N243">
        <f>VLOOKUP(B243,TeamAttrs!$A$2:$C$20,3,FALSE)</f>
        <v>5</v>
      </c>
      <c r="O243">
        <f>VLOOKUP(G243,TeamAttrs!$A$2:$C$20,3,FALSE)</f>
        <v>5</v>
      </c>
      <c r="P243">
        <f t="shared" si="15"/>
        <v>0</v>
      </c>
      <c r="Q243">
        <f>VLOOKUP(B243,TeamAttrs!$A$2:$D$20,3,FALSE)</f>
        <v>5</v>
      </c>
      <c r="R243">
        <f>VLOOKUP(G243,TeamAttrs!$A$2:$D$20,3,FALSE)</f>
        <v>5</v>
      </c>
      <c r="S243">
        <f>RADIANS(VLOOKUP(Table1[[#This Row],[HomeTeam]],TeamAttrs!$A$2:$H$20,7, FALSE))</f>
        <v>0.79354361501650583</v>
      </c>
      <c r="T243">
        <f>RADIANS(VLOOKUP(Table1[[#This Row],[HomeTeam]],TeamAttrs!$A$2:$H$20, 8, FALSE))</f>
        <v>-1.2871803233458181</v>
      </c>
      <c r="U243">
        <f>RADIANS(VLOOKUP(Table1[[#This Row],[VisitorTeam]],TeamAttrs!$A$2:$H$20,7,FALSE))</f>
        <v>0.67806041439979703</v>
      </c>
      <c r="V243">
        <f>RADIANS(VLOOKUP(Table1[[#This Row],[VisitorTeam]], TeamAttrs!$A$2:$H$20,8,FALSE))</f>
        <v>-1.3444847186765478</v>
      </c>
      <c r="W243" s="5">
        <f>60*DEGREES(ACOS(SIN(Table1[[#This Row],[HomeLat]])*SIN(Table1[[#This Row],[VisitorLat]]) +COS(Table1[[#This Row],[HomeLat]])*COS(Table1[[#This Row],[VisitorLat]])*COS(ABS(Table1[[#This Row],[HomeLong]] -Table1[[#This Row],[VisitorLong]]))))</f>
        <v>422.90848824135901</v>
      </c>
      <c r="X243" s="6">
        <f>VLOOKUP(Table1[[#This Row],[HomeTeam]],TeamAttrs!$A$2:$K$20,5,FALSE)</f>
        <v>3030000</v>
      </c>
      <c r="Y243" s="6">
        <f>VLOOKUP(Table1[[#This Row],[HomeTeam]],TeamAttrs!$A$2:$K$20,9,FALSE)</f>
        <v>22772</v>
      </c>
      <c r="Z243" s="6">
        <f>VLOOKUP(Table1[[#This Row],[HomeTeam]],TeamAttrs!$A$2:$K$20,10,FALSE)</f>
        <v>20341</v>
      </c>
      <c r="AA243" s="6">
        <f>VLOOKUP(Table1[[#This Row],[HomeTeam]],TeamAttrs!$A$2:$K$20,11,FALSE)</f>
        <v>1.1195123150287596</v>
      </c>
    </row>
    <row r="244" spans="1:27" x14ac:dyDescent="0.25">
      <c r="A244" s="1">
        <v>41146</v>
      </c>
      <c r="B244" t="s">
        <v>12</v>
      </c>
      <c r="C244" t="str">
        <f>VLOOKUP(Table1[[#This Row],[HomeTeam]], TeamAttrs!$A$2:$B$20,2,FALSE)</f>
        <v>Port</v>
      </c>
      <c r="D244">
        <v>2</v>
      </c>
      <c r="E244">
        <v>1</v>
      </c>
      <c r="F244">
        <f>Table1[[#This Row],[HomeTeamScore]]-Table1[[#This Row],[VisitorScore]]</f>
        <v>1</v>
      </c>
      <c r="G244" t="s">
        <v>0</v>
      </c>
      <c r="H244" t="str">
        <f>VLOOKUP(Table1[[#This Row],[VisitorTeam]],TeamAttrs!$A$2:$B$20, 2, FALSE)</f>
        <v>Van</v>
      </c>
      <c r="I244">
        <f t="shared" si="12"/>
        <v>1</v>
      </c>
      <c r="J244">
        <f t="shared" si="13"/>
        <v>0</v>
      </c>
      <c r="K244">
        <f t="shared" si="14"/>
        <v>0</v>
      </c>
      <c r="L244">
        <f>3*Table1[HomeWin] +Table1[Draw]</f>
        <v>3</v>
      </c>
      <c r="M244">
        <f>3*Table1[HomeLoss]+Table1[Draw]</f>
        <v>0</v>
      </c>
      <c r="N244">
        <f>VLOOKUP(B244,TeamAttrs!$A$2:$C$20,3,FALSE)</f>
        <v>8</v>
      </c>
      <c r="O244">
        <f>VLOOKUP(G244,TeamAttrs!$A$2:$C$20,3,FALSE)</f>
        <v>8</v>
      </c>
      <c r="P244">
        <f t="shared" si="15"/>
        <v>0</v>
      </c>
      <c r="Q244">
        <f>VLOOKUP(B244,TeamAttrs!$A$2:$D$20,3,FALSE)</f>
        <v>8</v>
      </c>
      <c r="R244">
        <f>VLOOKUP(G244,TeamAttrs!$A$2:$D$20,3,FALSE)</f>
        <v>8</v>
      </c>
      <c r="S244">
        <f>RADIANS(VLOOKUP(Table1[[#This Row],[HomeTeam]],TeamAttrs!$A$2:$H$20,7, FALSE))</f>
        <v>0.79587013890941427</v>
      </c>
      <c r="T244">
        <f>RADIANS(VLOOKUP(Table1[[#This Row],[HomeTeam]],TeamAttrs!$A$2:$H$20, 8, FALSE))</f>
        <v>-2.1397736629450481</v>
      </c>
      <c r="U244">
        <f>RADIANS(VLOOKUP(Table1[[#This Row],[VisitorTeam]],TeamAttrs!$A$2:$H$20,7,FALSE))</f>
        <v>0.86015585124812133</v>
      </c>
      <c r="V244">
        <f>RADIANS(VLOOKUP(Table1[[#This Row],[VisitorTeam]], TeamAttrs!$A$2:$H$20,8,FALSE))</f>
        <v>-2.1487970151778586</v>
      </c>
      <c r="W244" s="5">
        <f>60*DEGREES(ACOS(SIN(Table1[[#This Row],[HomeLat]])*SIN(Table1[[#This Row],[VisitorLat]]) +COS(Table1[[#This Row],[HomeLat]])*COS(Table1[[#This Row],[VisitorLat]])*COS(ABS(Table1[[#This Row],[HomeLong]] -Table1[[#This Row],[VisitorLong]]))))</f>
        <v>221.99006132070124</v>
      </c>
      <c r="X244" s="6">
        <f>VLOOKUP(Table1[[#This Row],[HomeTeam]],TeamAttrs!$A$2:$K$20,5,FALSE)</f>
        <v>4160000</v>
      </c>
      <c r="Y244" s="6">
        <f>VLOOKUP(Table1[[#This Row],[HomeTeam]],TeamAttrs!$A$2:$K$20,9,FALSE)</f>
        <v>20438</v>
      </c>
      <c r="Z244" s="6">
        <f>VLOOKUP(Table1[[#This Row],[HomeTeam]],TeamAttrs!$A$2:$K$20,10,FALSE)</f>
        <v>20438</v>
      </c>
      <c r="AA244" s="6">
        <f>VLOOKUP(Table1[[#This Row],[HomeTeam]],TeamAttrs!$A$2:$K$20,11,FALSE)</f>
        <v>1</v>
      </c>
    </row>
    <row r="245" spans="1:27" x14ac:dyDescent="0.25">
      <c r="A245" s="1">
        <v>41146</v>
      </c>
      <c r="B245" t="s">
        <v>5</v>
      </c>
      <c r="C245" t="str">
        <f>VLOOKUP(Table1[[#This Row],[HomeTeam]], TeamAttrs!$A$2:$B$20,2,FALSE)</f>
        <v>SJE</v>
      </c>
      <c r="D245">
        <v>4</v>
      </c>
      <c r="E245">
        <v>1</v>
      </c>
      <c r="F245">
        <f>Table1[[#This Row],[HomeTeamScore]]-Table1[[#This Row],[VisitorScore]]</f>
        <v>3</v>
      </c>
      <c r="G245" t="s">
        <v>14</v>
      </c>
      <c r="H245" t="str">
        <f>VLOOKUP(Table1[[#This Row],[VisitorTeam]],TeamAttrs!$A$2:$B$20, 2, FALSE)</f>
        <v>ColRa</v>
      </c>
      <c r="I245">
        <f t="shared" si="12"/>
        <v>1</v>
      </c>
      <c r="J245">
        <f t="shared" si="13"/>
        <v>0</v>
      </c>
      <c r="K245">
        <f t="shared" si="14"/>
        <v>0</v>
      </c>
      <c r="L245">
        <f>3*Table1[HomeWin] +Table1[Draw]</f>
        <v>3</v>
      </c>
      <c r="M245">
        <f>3*Table1[HomeLoss]+Table1[Draw]</f>
        <v>0</v>
      </c>
      <c r="N245">
        <f>VLOOKUP(B245,TeamAttrs!$A$2:$C$20,3,FALSE)</f>
        <v>8</v>
      </c>
      <c r="O245">
        <f>VLOOKUP(G245,TeamAttrs!$A$2:$C$20,3,FALSE)</f>
        <v>7</v>
      </c>
      <c r="P245">
        <f t="shared" si="15"/>
        <v>-1</v>
      </c>
      <c r="Q245">
        <f>VLOOKUP(B245,TeamAttrs!$A$2:$D$20,3,FALSE)</f>
        <v>8</v>
      </c>
      <c r="R245">
        <f>VLOOKUP(G245,TeamAttrs!$A$2:$D$20,3,FALSE)</f>
        <v>7</v>
      </c>
      <c r="S245">
        <f>RADIANS(VLOOKUP(Table1[[#This Row],[HomeTeam]],TeamAttrs!$A$2:$H$20,7, FALSE))</f>
        <v>0.65217194560496516</v>
      </c>
      <c r="T245">
        <f>RADIANS(VLOOKUP(Table1[[#This Row],[HomeTeam]],TeamAttrs!$A$2:$H$20, 8, FALSE))</f>
        <v>-2.1281323168342459</v>
      </c>
      <c r="U245">
        <f>RADIANS(VLOOKUP(Table1[[#This Row],[VisitorTeam]],TeamAttrs!$A$2:$H$20,7,FALSE))</f>
        <v>0.69376837766774602</v>
      </c>
      <c r="V245">
        <f>RADIANS(VLOOKUP(Table1[[#This Row],[VisitorTeam]], TeamAttrs!$A$2:$H$20,8,FALSE))</f>
        <v>-1.8302744266888937</v>
      </c>
      <c r="W245" s="5">
        <f>60*DEGREES(ACOS(SIN(Table1[[#This Row],[HomeLat]])*SIN(Table1[[#This Row],[VisitorLat]]) +COS(Table1[[#This Row],[HomeLat]])*COS(Table1[[#This Row],[VisitorLat]])*COS(ABS(Table1[[#This Row],[HomeLong]] -Table1[[#This Row],[VisitorLong]]))))</f>
        <v>812.07539182449955</v>
      </c>
      <c r="X245" s="6">
        <f>VLOOKUP(Table1[[#This Row],[HomeTeam]],TeamAttrs!$A$2:$K$20,5,FALSE)</f>
        <v>3210000</v>
      </c>
      <c r="Y245" s="6">
        <f>VLOOKUP(Table1[[#This Row],[HomeTeam]],TeamAttrs!$A$2:$K$20,9,FALSE)</f>
        <v>13293</v>
      </c>
      <c r="Z245" s="6">
        <f>VLOOKUP(Table1[[#This Row],[HomeTeam]],TeamAttrs!$A$2:$K$20,10,FALSE)</f>
        <v>10525</v>
      </c>
      <c r="AA245" s="6">
        <f>VLOOKUP(Table1[[#This Row],[HomeTeam]],TeamAttrs!$A$2:$K$20,11,FALSE)</f>
        <v>1.2629928741092638</v>
      </c>
    </row>
    <row r="246" spans="1:27" x14ac:dyDescent="0.25">
      <c r="A246" s="1">
        <v>41147</v>
      </c>
      <c r="B246" t="s">
        <v>16</v>
      </c>
      <c r="C246" t="str">
        <f>VLOOKUP(Table1[[#This Row],[HomeTeam]], TeamAttrs!$A$2:$B$20,2,FALSE)</f>
        <v>LAGxy</v>
      </c>
      <c r="D246">
        <v>2</v>
      </c>
      <c r="E246">
        <v>0</v>
      </c>
      <c r="F246">
        <f>Table1[[#This Row],[HomeTeamScore]]-Table1[[#This Row],[VisitorScore]]</f>
        <v>2</v>
      </c>
      <c r="G246" t="s">
        <v>7</v>
      </c>
      <c r="H246" t="str">
        <f>VLOOKUP(Table1[[#This Row],[VisitorTeam]],TeamAttrs!$A$2:$B$20, 2, FALSE)</f>
        <v>FCDal</v>
      </c>
      <c r="I246">
        <f t="shared" si="12"/>
        <v>1</v>
      </c>
      <c r="J246">
        <f t="shared" si="13"/>
        <v>0</v>
      </c>
      <c r="K246">
        <f t="shared" si="14"/>
        <v>0</v>
      </c>
      <c r="L246">
        <f>3*Table1[HomeWin] +Table1[Draw]</f>
        <v>3</v>
      </c>
      <c r="M246">
        <f>3*Table1[HomeLoss]+Table1[Draw]</f>
        <v>0</v>
      </c>
      <c r="N246">
        <f>VLOOKUP(B246,TeamAttrs!$A$2:$C$20,3,FALSE)</f>
        <v>8</v>
      </c>
      <c r="O246">
        <f>VLOOKUP(G246,TeamAttrs!$A$2:$C$20,3,FALSE)</f>
        <v>6</v>
      </c>
      <c r="P246">
        <f t="shared" si="15"/>
        <v>-2</v>
      </c>
      <c r="Q246">
        <f>VLOOKUP(B246,TeamAttrs!$A$2:$D$20,3,FALSE)</f>
        <v>8</v>
      </c>
      <c r="R246">
        <f>VLOOKUP(G246,TeamAttrs!$A$2:$D$20,3,FALSE)</f>
        <v>6</v>
      </c>
      <c r="S246">
        <f>RADIANS(VLOOKUP(Table1[[#This Row],[HomeTeam]],TeamAttrs!$A$2:$H$20,7, FALSE))</f>
        <v>0.59224781106699187</v>
      </c>
      <c r="T246">
        <f>RADIANS(VLOOKUP(Table1[[#This Row],[HomeTeam]],TeamAttrs!$A$2:$H$20, 8, FALSE))</f>
        <v>-2.0664698343612864</v>
      </c>
      <c r="U246">
        <f>RADIANS(VLOOKUP(Table1[[#This Row],[VisitorTeam]],TeamAttrs!$A$2:$H$20,7,FALSE))</f>
        <v>0.57334065928013733</v>
      </c>
      <c r="V246">
        <f>RADIANS(VLOOKUP(Table1[[#This Row],[VisitorTeam]], TeamAttrs!$A$2:$H$20,8,FALSE))</f>
        <v>-1.690351380556508</v>
      </c>
      <c r="W246" s="5">
        <f>60*DEGREES(ACOS(SIN(Table1[[#This Row],[HomeLat]])*SIN(Table1[[#This Row],[VisitorLat]]) +COS(Table1[[#This Row],[HomeLat]])*COS(Table1[[#This Row],[VisitorLat]])*COS(ABS(Table1[[#This Row],[HomeLong]] -Table1[[#This Row],[VisitorLong]]))))</f>
        <v>1079.5378040042574</v>
      </c>
      <c r="X246" s="6">
        <f>VLOOKUP(Table1[[#This Row],[HomeTeam]],TeamAttrs!$A$2:$K$20,5,FALSE)</f>
        <v>12630000</v>
      </c>
      <c r="Y246" s="6">
        <f>VLOOKUP(Table1[[#This Row],[HomeTeam]],TeamAttrs!$A$2:$K$20,9,FALSE)</f>
        <v>23136</v>
      </c>
      <c r="Z246" s="6">
        <f>VLOOKUP(Table1[[#This Row],[HomeTeam]],TeamAttrs!$A$2:$K$20,10,FALSE)</f>
        <v>27000</v>
      </c>
      <c r="AA246" s="6">
        <f>VLOOKUP(Table1[[#This Row],[HomeTeam]],TeamAttrs!$A$2:$K$20,11,FALSE)</f>
        <v>0.85688888888888892</v>
      </c>
    </row>
    <row r="247" spans="1:27" x14ac:dyDescent="0.25">
      <c r="A247" s="1">
        <v>41147</v>
      </c>
      <c r="B247" t="s">
        <v>6</v>
      </c>
      <c r="C247" t="str">
        <f>VLOOKUP(Table1[[#This Row],[HomeTeam]], TeamAttrs!$A$2:$B$20,2,FALSE)</f>
        <v>SKC</v>
      </c>
      <c r="D247">
        <v>1</v>
      </c>
      <c r="E247">
        <v>1</v>
      </c>
      <c r="F247">
        <f>Table1[[#This Row],[HomeTeamScore]]-Table1[[#This Row],[VisitorScore]]</f>
        <v>0</v>
      </c>
      <c r="G247" t="s">
        <v>15</v>
      </c>
      <c r="H247" t="str">
        <f>VLOOKUP(Table1[[#This Row],[VisitorTeam]],TeamAttrs!$A$2:$B$20, 2, FALSE)</f>
        <v>NY</v>
      </c>
      <c r="I247">
        <f t="shared" si="12"/>
        <v>0</v>
      </c>
      <c r="J247">
        <f t="shared" si="13"/>
        <v>1</v>
      </c>
      <c r="K247">
        <f t="shared" si="14"/>
        <v>0</v>
      </c>
      <c r="L247">
        <f>3*Table1[HomeWin] +Table1[Draw]</f>
        <v>1</v>
      </c>
      <c r="M247">
        <f>3*Table1[HomeLoss]+Table1[Draw]</f>
        <v>1</v>
      </c>
      <c r="N247">
        <f>VLOOKUP(B247,TeamAttrs!$A$2:$C$20,3,FALSE)</f>
        <v>6</v>
      </c>
      <c r="O247">
        <f>VLOOKUP(G247,TeamAttrs!$A$2:$C$20,3,FALSE)</f>
        <v>5</v>
      </c>
      <c r="P247">
        <f t="shared" si="15"/>
        <v>-1</v>
      </c>
      <c r="Q247">
        <f>VLOOKUP(B247,TeamAttrs!$A$2:$D$20,3,FALSE)</f>
        <v>6</v>
      </c>
      <c r="R247">
        <f>VLOOKUP(G247,TeamAttrs!$A$2:$D$20,3,FALSE)</f>
        <v>5</v>
      </c>
      <c r="S247">
        <f>RADIANS(VLOOKUP(Table1[[#This Row],[HomeTeam]],TeamAttrs!$A$2:$H$20,7, FALSE))</f>
        <v>0.68271520751486592</v>
      </c>
      <c r="T247">
        <f>RADIANS(VLOOKUP(Table1[[#This Row],[HomeTeam]],TeamAttrs!$A$2:$H$20, 8, FALSE))</f>
        <v>-1.65166266702755</v>
      </c>
      <c r="U247">
        <f>RADIANS(VLOOKUP(Table1[[#This Row],[VisitorTeam]],TeamAttrs!$A$2:$H$20,7,FALSE))</f>
        <v>0.71180286482860333</v>
      </c>
      <c r="V247">
        <f>RADIANS(VLOOKUP(Table1[[#This Row],[VisitorTeam]], TeamAttrs!$A$2:$H$20,8,FALSE))</f>
        <v>-1.2909624518348899</v>
      </c>
      <c r="W247" s="5">
        <f>60*DEGREES(ACOS(SIN(Table1[[#This Row],[HomeLat]])*SIN(Table1[[#This Row],[VisitorLat]]) +COS(Table1[[#This Row],[HomeLat]])*COS(Table1[[#This Row],[VisitorLat]])*COS(ABS(Table1[[#This Row],[HomeLong]] -Table1[[#This Row],[VisitorLong]]))))</f>
        <v>953.60066247058421</v>
      </c>
      <c r="X247" s="6">
        <f>VLOOKUP(Table1[[#This Row],[HomeTeam]],TeamAttrs!$A$2:$K$20,5,FALSE)</f>
        <v>3120000</v>
      </c>
      <c r="Y247" s="6">
        <f>VLOOKUP(Table1[[#This Row],[HomeTeam]],TeamAttrs!$A$2:$K$20,9,FALSE)</f>
        <v>19404</v>
      </c>
      <c r="Z247" s="6">
        <f>VLOOKUP(Table1[[#This Row],[HomeTeam]],TeamAttrs!$A$2:$K$20,10,FALSE)</f>
        <v>18467</v>
      </c>
      <c r="AA247" s="6">
        <f>VLOOKUP(Table1[[#This Row],[HomeTeam]],TeamAttrs!$A$2:$K$20,11,FALSE)</f>
        <v>1.0507391563329183</v>
      </c>
    </row>
    <row r="248" spans="1:27" x14ac:dyDescent="0.25">
      <c r="A248" s="1">
        <v>41150</v>
      </c>
      <c r="B248" t="s">
        <v>3</v>
      </c>
      <c r="C248" t="str">
        <f>VLOOKUP(Table1[[#This Row],[HomeTeam]], TeamAttrs!$A$2:$B$20,2,FALSE)</f>
        <v>DCU</v>
      </c>
      <c r="D248">
        <v>2</v>
      </c>
      <c r="E248">
        <v>2</v>
      </c>
      <c r="F248">
        <f>Table1[[#This Row],[HomeTeamScore]]-Table1[[#This Row],[VisitorScore]]</f>
        <v>0</v>
      </c>
      <c r="G248" t="s">
        <v>15</v>
      </c>
      <c r="H248" t="str">
        <f>VLOOKUP(Table1[[#This Row],[VisitorTeam]],TeamAttrs!$A$2:$B$20, 2, FALSE)</f>
        <v>NY</v>
      </c>
      <c r="I248">
        <f t="shared" si="12"/>
        <v>0</v>
      </c>
      <c r="J248">
        <f t="shared" si="13"/>
        <v>1</v>
      </c>
      <c r="K248">
        <f t="shared" si="14"/>
        <v>0</v>
      </c>
      <c r="L248">
        <f>3*Table1[HomeWin] +Table1[Draw]</f>
        <v>1</v>
      </c>
      <c r="M248">
        <f>3*Table1[HomeLoss]+Table1[Draw]</f>
        <v>1</v>
      </c>
      <c r="N248">
        <f>VLOOKUP(B248,TeamAttrs!$A$2:$C$20,3,FALSE)</f>
        <v>5</v>
      </c>
      <c r="O248">
        <f>VLOOKUP(G248,TeamAttrs!$A$2:$C$20,3,FALSE)</f>
        <v>5</v>
      </c>
      <c r="P248">
        <f t="shared" si="15"/>
        <v>0</v>
      </c>
      <c r="Q248">
        <f>VLOOKUP(B248,TeamAttrs!$A$2:$D$20,3,FALSE)</f>
        <v>5</v>
      </c>
      <c r="R248">
        <f>VLOOKUP(G248,TeamAttrs!$A$2:$D$20,3,FALSE)</f>
        <v>5</v>
      </c>
      <c r="S248">
        <f>RADIANS(VLOOKUP(Table1[[#This Row],[HomeTeam]],TeamAttrs!$A$2:$H$20,7, FALSE))</f>
        <v>0.67806041439979703</v>
      </c>
      <c r="T248">
        <f>RADIANS(VLOOKUP(Table1[[#This Row],[HomeTeam]],TeamAttrs!$A$2:$H$20, 8, FALSE))</f>
        <v>-1.3444847186765478</v>
      </c>
      <c r="U248">
        <f>RADIANS(VLOOKUP(Table1[[#This Row],[VisitorTeam]],TeamAttrs!$A$2:$H$20,7,FALSE))</f>
        <v>0.71180286482860333</v>
      </c>
      <c r="V248">
        <f>RADIANS(VLOOKUP(Table1[[#This Row],[VisitorTeam]], TeamAttrs!$A$2:$H$20,8,FALSE))</f>
        <v>-1.2909624518348899</v>
      </c>
      <c r="W248" s="5">
        <f>60*DEGREES(ACOS(SIN(Table1[[#This Row],[HomeLat]])*SIN(Table1[[#This Row],[VisitorLat]]) +COS(Table1[[#This Row],[HomeLat]])*COS(Table1[[#This Row],[VisitorLat]])*COS(ABS(Table1[[#This Row],[HomeLong]] -Table1[[#This Row],[VisitorLong]]))))</f>
        <v>182.81415814322813</v>
      </c>
      <c r="X248" s="6">
        <f>VLOOKUP(Table1[[#This Row],[HomeTeam]],TeamAttrs!$A$2:$K$20,5,FALSE)</f>
        <v>4190000.0000000005</v>
      </c>
      <c r="Y248" s="6">
        <f>VLOOKUP(Table1[[#This Row],[HomeTeam]],TeamAttrs!$A$2:$K$20,9,FALSE)</f>
        <v>13846</v>
      </c>
      <c r="Z248" s="6">
        <f>VLOOKUP(Table1[[#This Row],[HomeTeam]],TeamAttrs!$A$2:$K$20,10,FALSE)</f>
        <v>19467</v>
      </c>
      <c r="AA248" s="6">
        <f>VLOOKUP(Table1[[#This Row],[HomeTeam]],TeamAttrs!$A$2:$K$20,11,FALSE)</f>
        <v>0.71125494426465297</v>
      </c>
    </row>
    <row r="249" spans="1:27" x14ac:dyDescent="0.25">
      <c r="A249" s="1">
        <v>41150</v>
      </c>
      <c r="B249" t="s">
        <v>9</v>
      </c>
      <c r="C249" t="str">
        <f>VLOOKUP(Table1[[#This Row],[HomeTeam]], TeamAttrs!$A$2:$B$20,2,FALSE)</f>
        <v>NE</v>
      </c>
      <c r="D249">
        <v>3</v>
      </c>
      <c r="E249">
        <v>3</v>
      </c>
      <c r="F249">
        <f>Table1[[#This Row],[HomeTeamScore]]-Table1[[#This Row],[VisitorScore]]</f>
        <v>0</v>
      </c>
      <c r="G249" t="s">
        <v>2</v>
      </c>
      <c r="H249" t="str">
        <f>VLOOKUP(Table1[[#This Row],[VisitorTeam]],TeamAttrs!$A$2:$B$20, 2, FALSE)</f>
        <v>Chiv</v>
      </c>
      <c r="I249">
        <f t="shared" si="12"/>
        <v>0</v>
      </c>
      <c r="J249">
        <f t="shared" si="13"/>
        <v>1</v>
      </c>
      <c r="K249">
        <f t="shared" si="14"/>
        <v>0</v>
      </c>
      <c r="L249">
        <f>3*Table1[HomeWin] +Table1[Draw]</f>
        <v>1</v>
      </c>
      <c r="M249">
        <f>3*Table1[HomeLoss]+Table1[Draw]</f>
        <v>1</v>
      </c>
      <c r="N249">
        <f>VLOOKUP(B249,TeamAttrs!$A$2:$C$20,3,FALSE)</f>
        <v>5</v>
      </c>
      <c r="O249">
        <f>VLOOKUP(G249,TeamAttrs!$A$2:$C$20,3,FALSE)</f>
        <v>8</v>
      </c>
      <c r="P249">
        <f t="shared" si="15"/>
        <v>3</v>
      </c>
      <c r="Q249">
        <f>VLOOKUP(B249,TeamAttrs!$A$2:$D$20,3,FALSE)</f>
        <v>5</v>
      </c>
      <c r="R249">
        <f>VLOOKUP(G249,TeamAttrs!$A$2:$D$20,3,FALSE)</f>
        <v>8</v>
      </c>
      <c r="S249">
        <f>RADIANS(VLOOKUP(Table1[[#This Row],[HomeTeam]],TeamAttrs!$A$2:$H$20,7, FALSE))</f>
        <v>0.73943840820468165</v>
      </c>
      <c r="T249">
        <f>RADIANS(VLOOKUP(Table1[[#This Row],[HomeTeam]],TeamAttrs!$A$2:$H$20, 8, FALSE))</f>
        <v>-1.2397649635568881</v>
      </c>
      <c r="U249">
        <f>RADIANS(VLOOKUP(Table1[[#This Row],[VisitorTeam]],TeamAttrs!$A$2:$H$20,7,FALSE))</f>
        <v>0.59224781106699187</v>
      </c>
      <c r="V249">
        <f>RADIANS(VLOOKUP(Table1[[#This Row],[VisitorTeam]], TeamAttrs!$A$2:$H$20,8,FALSE))</f>
        <v>-2.0664698343612864</v>
      </c>
      <c r="W249" s="5">
        <f>60*DEGREES(ACOS(SIN(Table1[[#This Row],[HomeLat]])*SIN(Table1[[#This Row],[VisitorLat]]) +COS(Table1[[#This Row],[HomeLat]])*COS(Table1[[#This Row],[VisitorLat]])*COS(ABS(Table1[[#This Row],[HomeLong]] -Table1[[#This Row],[VisitorLong]]))))</f>
        <v>2261.1759390749476</v>
      </c>
      <c r="X249" s="6">
        <f>VLOOKUP(Table1[[#This Row],[HomeTeam]],TeamAttrs!$A$2:$K$20,5,FALSE)</f>
        <v>3260000</v>
      </c>
      <c r="Y249" s="6">
        <f>VLOOKUP(Table1[[#This Row],[HomeTeam]],TeamAttrs!$A$2:$K$20,9,FALSE)</f>
        <v>14001</v>
      </c>
      <c r="Z249" s="6">
        <f>VLOOKUP(Table1[[#This Row],[HomeTeam]],TeamAttrs!$A$2:$K$20,10,FALSE)</f>
        <v>20000</v>
      </c>
      <c r="AA249" s="6">
        <f>VLOOKUP(Table1[[#This Row],[HomeTeam]],TeamAttrs!$A$2:$K$20,11,FALSE)</f>
        <v>0.70004999999999995</v>
      </c>
    </row>
    <row r="250" spans="1:27" x14ac:dyDescent="0.25">
      <c r="A250" s="1">
        <v>41150</v>
      </c>
      <c r="B250" t="s">
        <v>4</v>
      </c>
      <c r="C250" t="str">
        <f>VLOOKUP(Table1[[#This Row],[HomeTeam]], TeamAttrs!$A$2:$B$20,2,FALSE)</f>
        <v>Phil</v>
      </c>
      <c r="D250">
        <v>1</v>
      </c>
      <c r="E250">
        <v>2</v>
      </c>
      <c r="F250">
        <f>Table1[[#This Row],[HomeTeamScore]]-Table1[[#This Row],[VisitorScore]]</f>
        <v>-1</v>
      </c>
      <c r="G250" t="s">
        <v>8</v>
      </c>
      <c r="H250" t="str">
        <f>VLOOKUP(Table1[[#This Row],[VisitorTeam]],TeamAttrs!$A$2:$B$20, 2, FALSE)</f>
        <v>Colum</v>
      </c>
      <c r="I250">
        <f t="shared" si="12"/>
        <v>0</v>
      </c>
      <c r="J250">
        <f t="shared" si="13"/>
        <v>0</v>
      </c>
      <c r="K250">
        <f t="shared" si="14"/>
        <v>1</v>
      </c>
      <c r="L250">
        <f>3*Table1[HomeWin] +Table1[Draw]</f>
        <v>0</v>
      </c>
      <c r="M250">
        <f>3*Table1[HomeLoss]+Table1[Draw]</f>
        <v>3</v>
      </c>
      <c r="N250">
        <f>VLOOKUP(B250,TeamAttrs!$A$2:$C$20,3,FALSE)</f>
        <v>5</v>
      </c>
      <c r="O250">
        <f>VLOOKUP(G250,TeamAttrs!$A$2:$C$20,3,FALSE)</f>
        <v>5</v>
      </c>
      <c r="P250">
        <f t="shared" si="15"/>
        <v>0</v>
      </c>
      <c r="Q250">
        <f>VLOOKUP(B250,TeamAttrs!$A$2:$D$20,3,FALSE)</f>
        <v>5</v>
      </c>
      <c r="R250">
        <f>VLOOKUP(G250,TeamAttrs!$A$2:$D$20,3,FALSE)</f>
        <v>5</v>
      </c>
      <c r="S250">
        <f>RADIANS(VLOOKUP(Table1[[#This Row],[HomeTeam]],TeamAttrs!$A$2:$H$20,7, FALSE))</f>
        <v>0.69609490156065446</v>
      </c>
      <c r="T250">
        <f>RADIANS(VLOOKUP(Table1[[#This Row],[HomeTeam]],TeamAttrs!$A$2:$H$20, 8, FALSE))</f>
        <v>-1.313360262125733</v>
      </c>
      <c r="U250">
        <f>RADIANS(VLOOKUP(Table1[[#This Row],[VisitorTeam]],TeamAttrs!$A$2:$H$20,7,FALSE))</f>
        <v>0.69813170079773179</v>
      </c>
      <c r="V250">
        <f>RADIANS(VLOOKUP(Table1[[#This Row],[VisitorTeam]], TeamAttrs!$A$2:$H$20,8,FALSE))</f>
        <v>-1.4465864799182162</v>
      </c>
      <c r="W250" s="5">
        <f>60*DEGREES(ACOS(SIN(Table1[[#This Row],[HomeLat]])*SIN(Table1[[#This Row],[VisitorLat]]) +COS(Table1[[#This Row],[HomeLat]])*COS(Table1[[#This Row],[VisitorLat]])*COS(ABS(Table1[[#This Row],[HomeLong]] -Table1[[#This Row],[VisitorLong]]))))</f>
        <v>351.10895086075277</v>
      </c>
      <c r="X250" s="6">
        <f>VLOOKUP(Table1[[#This Row],[HomeTeam]],TeamAttrs!$A$2:$K$20,5,FALSE)</f>
        <v>3620000</v>
      </c>
      <c r="Y250" s="6">
        <f>VLOOKUP(Table1[[#This Row],[HomeTeam]],TeamAttrs!$A$2:$K$20,9,FALSE)</f>
        <v>18053</v>
      </c>
      <c r="Z250" s="6">
        <f>VLOOKUP(Table1[[#This Row],[HomeTeam]],TeamAttrs!$A$2:$K$20,10,FALSE)</f>
        <v>18500</v>
      </c>
      <c r="AA250" s="6">
        <f>VLOOKUP(Table1[[#This Row],[HomeTeam]],TeamAttrs!$A$2:$K$20,11,FALSE)</f>
        <v>0.97583783783783784</v>
      </c>
    </row>
    <row r="251" spans="1:27" x14ac:dyDescent="0.25">
      <c r="A251" s="1">
        <v>41152</v>
      </c>
      <c r="B251" t="s">
        <v>12</v>
      </c>
      <c r="C251" t="str">
        <f>VLOOKUP(Table1[[#This Row],[HomeTeam]], TeamAttrs!$A$2:$B$20,2,FALSE)</f>
        <v>Port</v>
      </c>
      <c r="D251">
        <v>1</v>
      </c>
      <c r="E251">
        <v>0</v>
      </c>
      <c r="F251">
        <f>Table1[[#This Row],[HomeTeamScore]]-Table1[[#This Row],[VisitorScore]]</f>
        <v>1</v>
      </c>
      <c r="G251" t="s">
        <v>14</v>
      </c>
      <c r="H251" t="str">
        <f>VLOOKUP(Table1[[#This Row],[VisitorTeam]],TeamAttrs!$A$2:$B$20, 2, FALSE)</f>
        <v>ColRa</v>
      </c>
      <c r="I251">
        <f t="shared" si="12"/>
        <v>1</v>
      </c>
      <c r="J251">
        <f t="shared" si="13"/>
        <v>0</v>
      </c>
      <c r="K251">
        <f t="shared" si="14"/>
        <v>0</v>
      </c>
      <c r="L251">
        <f>3*Table1[HomeWin] +Table1[Draw]</f>
        <v>3</v>
      </c>
      <c r="M251">
        <f>3*Table1[HomeLoss]+Table1[Draw]</f>
        <v>0</v>
      </c>
      <c r="N251">
        <f>VLOOKUP(B251,TeamAttrs!$A$2:$C$20,3,FALSE)</f>
        <v>8</v>
      </c>
      <c r="O251">
        <f>VLOOKUP(G251,TeamAttrs!$A$2:$C$20,3,FALSE)</f>
        <v>7</v>
      </c>
      <c r="P251">
        <f t="shared" si="15"/>
        <v>-1</v>
      </c>
      <c r="Q251">
        <f>VLOOKUP(B251,TeamAttrs!$A$2:$D$20,3,FALSE)</f>
        <v>8</v>
      </c>
      <c r="R251">
        <f>VLOOKUP(G251,TeamAttrs!$A$2:$D$20,3,FALSE)</f>
        <v>7</v>
      </c>
      <c r="S251">
        <f>RADIANS(VLOOKUP(Table1[[#This Row],[HomeTeam]],TeamAttrs!$A$2:$H$20,7, FALSE))</f>
        <v>0.79587013890941427</v>
      </c>
      <c r="T251">
        <f>RADIANS(VLOOKUP(Table1[[#This Row],[HomeTeam]],TeamAttrs!$A$2:$H$20, 8, FALSE))</f>
        <v>-2.1397736629450481</v>
      </c>
      <c r="U251">
        <f>RADIANS(VLOOKUP(Table1[[#This Row],[VisitorTeam]],TeamAttrs!$A$2:$H$20,7,FALSE))</f>
        <v>0.69376837766774602</v>
      </c>
      <c r="V251">
        <f>RADIANS(VLOOKUP(Table1[[#This Row],[VisitorTeam]], TeamAttrs!$A$2:$H$20,8,FALSE))</f>
        <v>-1.8302744266888937</v>
      </c>
      <c r="W251" s="5">
        <f>60*DEGREES(ACOS(SIN(Table1[[#This Row],[HomeLat]])*SIN(Table1[[#This Row],[VisitorLat]]) +COS(Table1[[#This Row],[HomeLat]])*COS(Table1[[#This Row],[VisitorLat]])*COS(ABS(Table1[[#This Row],[HomeLong]] -Table1[[#This Row],[VisitorLong]]))))</f>
        <v>854.9704006018444</v>
      </c>
      <c r="X251" s="6">
        <f>VLOOKUP(Table1[[#This Row],[HomeTeam]],TeamAttrs!$A$2:$K$20,5,FALSE)</f>
        <v>4160000</v>
      </c>
      <c r="Y251" s="6">
        <f>VLOOKUP(Table1[[#This Row],[HomeTeam]],TeamAttrs!$A$2:$K$20,9,FALSE)</f>
        <v>20438</v>
      </c>
      <c r="Z251" s="6">
        <f>VLOOKUP(Table1[[#This Row],[HomeTeam]],TeamAttrs!$A$2:$K$20,10,FALSE)</f>
        <v>20438</v>
      </c>
      <c r="AA251" s="6">
        <f>VLOOKUP(Table1[[#This Row],[HomeTeam]],TeamAttrs!$A$2:$K$20,11,FALSE)</f>
        <v>1</v>
      </c>
    </row>
    <row r="252" spans="1:27" x14ac:dyDescent="0.25">
      <c r="A252" s="1">
        <v>41153</v>
      </c>
      <c r="B252" t="s">
        <v>8</v>
      </c>
      <c r="C252" t="str">
        <f>VLOOKUP(Table1[[#This Row],[HomeTeam]], TeamAttrs!$A$2:$B$20,2,FALSE)</f>
        <v>Colum</v>
      </c>
      <c r="D252">
        <v>2</v>
      </c>
      <c r="E252">
        <v>1</v>
      </c>
      <c r="F252">
        <f>Table1[[#This Row],[HomeTeamScore]]-Table1[[#This Row],[VisitorScore]]</f>
        <v>1</v>
      </c>
      <c r="G252" t="s">
        <v>1</v>
      </c>
      <c r="H252" t="str">
        <f>VLOOKUP(Table1[[#This Row],[VisitorTeam]],TeamAttrs!$A$2:$B$20, 2, FALSE)</f>
        <v>Mntrl</v>
      </c>
      <c r="I252">
        <f t="shared" si="12"/>
        <v>1</v>
      </c>
      <c r="J252">
        <f t="shared" si="13"/>
        <v>0</v>
      </c>
      <c r="K252">
        <f t="shared" si="14"/>
        <v>0</v>
      </c>
      <c r="L252">
        <f>3*Table1[HomeWin] +Table1[Draw]</f>
        <v>3</v>
      </c>
      <c r="M252">
        <f>3*Table1[HomeLoss]+Table1[Draw]</f>
        <v>0</v>
      </c>
      <c r="N252">
        <f>VLOOKUP(B252,TeamAttrs!$A$2:$C$20,3,FALSE)</f>
        <v>5</v>
      </c>
      <c r="O252">
        <f>VLOOKUP(G252,TeamAttrs!$A$2:$C$20,3,FALSE)</f>
        <v>5</v>
      </c>
      <c r="P252">
        <f t="shared" si="15"/>
        <v>0</v>
      </c>
      <c r="Q252">
        <f>VLOOKUP(B252,TeamAttrs!$A$2:$D$20,3,FALSE)</f>
        <v>5</v>
      </c>
      <c r="R252">
        <f>VLOOKUP(G252,TeamAttrs!$A$2:$D$20,3,FALSE)</f>
        <v>5</v>
      </c>
      <c r="S252">
        <f>RADIANS(VLOOKUP(Table1[[#This Row],[HomeTeam]],TeamAttrs!$A$2:$H$20,7, FALSE))</f>
        <v>0.69813170079773179</v>
      </c>
      <c r="T252">
        <f>RADIANS(VLOOKUP(Table1[[#This Row],[HomeTeam]],TeamAttrs!$A$2:$H$20, 8, FALSE))</f>
        <v>-1.4465864799182162</v>
      </c>
      <c r="U252">
        <f>RADIANS(VLOOKUP(Table1[[#This Row],[VisitorTeam]],TeamAttrs!$A$2:$H$20,7,FALSE))</f>
        <v>0.79354361501650583</v>
      </c>
      <c r="V252">
        <f>RADIANS(VLOOKUP(Table1[[#This Row],[VisitorTeam]], TeamAttrs!$A$2:$H$20,8,FALSE))</f>
        <v>-1.2871803233458181</v>
      </c>
      <c r="W252" s="5">
        <f>60*DEGREES(ACOS(SIN(Table1[[#This Row],[HomeLat]])*SIN(Table1[[#This Row],[VisitorLat]]) +COS(Table1[[#This Row],[HomeLat]])*COS(Table1[[#This Row],[VisitorLat]])*COS(ABS(Table1[[#This Row],[HomeLong]] -Table1[[#This Row],[VisitorLong]]))))</f>
        <v>518.65975299794491</v>
      </c>
      <c r="X252" s="6">
        <f>VLOOKUP(Table1[[#This Row],[HomeTeam]],TeamAttrs!$A$2:$K$20,5,FALSE)</f>
        <v>3330000</v>
      </c>
      <c r="Y252" s="6">
        <f>VLOOKUP(Table1[[#This Row],[HomeTeam]],TeamAttrs!$A$2:$K$20,9,FALSE)</f>
        <v>14397</v>
      </c>
      <c r="Z252" s="6">
        <f>VLOOKUP(Table1[[#This Row],[HomeTeam]],TeamAttrs!$A$2:$K$20,10,FALSE)</f>
        <v>20145</v>
      </c>
      <c r="AA252" s="6">
        <f>VLOOKUP(Table1[[#This Row],[HomeTeam]],TeamAttrs!$A$2:$K$20,11,FALSE)</f>
        <v>0.71466865227103504</v>
      </c>
    </row>
    <row r="253" spans="1:27" x14ac:dyDescent="0.25">
      <c r="A253" s="1">
        <v>41153</v>
      </c>
      <c r="B253" t="s">
        <v>16</v>
      </c>
      <c r="C253" t="str">
        <f>VLOOKUP(Table1[[#This Row],[HomeTeam]], TeamAttrs!$A$2:$B$20,2,FALSE)</f>
        <v>LAGxy</v>
      </c>
      <c r="D253">
        <v>2</v>
      </c>
      <c r="E253">
        <v>0</v>
      </c>
      <c r="F253">
        <f>Table1[[#This Row],[HomeTeamScore]]-Table1[[#This Row],[VisitorScore]]</f>
        <v>2</v>
      </c>
      <c r="G253" t="s">
        <v>0</v>
      </c>
      <c r="H253" t="str">
        <f>VLOOKUP(Table1[[#This Row],[VisitorTeam]],TeamAttrs!$A$2:$B$20, 2, FALSE)</f>
        <v>Van</v>
      </c>
      <c r="I253">
        <f t="shared" si="12"/>
        <v>1</v>
      </c>
      <c r="J253">
        <f t="shared" si="13"/>
        <v>0</v>
      </c>
      <c r="K253">
        <f t="shared" si="14"/>
        <v>0</v>
      </c>
      <c r="L253">
        <f>3*Table1[HomeWin] +Table1[Draw]</f>
        <v>3</v>
      </c>
      <c r="M253">
        <f>3*Table1[HomeLoss]+Table1[Draw]</f>
        <v>0</v>
      </c>
      <c r="N253">
        <f>VLOOKUP(B253,TeamAttrs!$A$2:$C$20,3,FALSE)</f>
        <v>8</v>
      </c>
      <c r="O253">
        <f>VLOOKUP(G253,TeamAttrs!$A$2:$C$20,3,FALSE)</f>
        <v>8</v>
      </c>
      <c r="P253">
        <f t="shared" si="15"/>
        <v>0</v>
      </c>
      <c r="Q253">
        <f>VLOOKUP(B253,TeamAttrs!$A$2:$D$20,3,FALSE)</f>
        <v>8</v>
      </c>
      <c r="R253">
        <f>VLOOKUP(G253,TeamAttrs!$A$2:$D$20,3,FALSE)</f>
        <v>8</v>
      </c>
      <c r="S253">
        <f>RADIANS(VLOOKUP(Table1[[#This Row],[HomeTeam]],TeamAttrs!$A$2:$H$20,7, FALSE))</f>
        <v>0.59224781106699187</v>
      </c>
      <c r="T253">
        <f>RADIANS(VLOOKUP(Table1[[#This Row],[HomeTeam]],TeamAttrs!$A$2:$H$20, 8, FALSE))</f>
        <v>-2.0664698343612864</v>
      </c>
      <c r="U253">
        <f>RADIANS(VLOOKUP(Table1[[#This Row],[VisitorTeam]],TeamAttrs!$A$2:$H$20,7,FALSE))</f>
        <v>0.86015585124812133</v>
      </c>
      <c r="V253">
        <f>RADIANS(VLOOKUP(Table1[[#This Row],[VisitorTeam]], TeamAttrs!$A$2:$H$20,8,FALSE))</f>
        <v>-2.1487970151778586</v>
      </c>
      <c r="W253" s="5">
        <f>60*DEGREES(ACOS(SIN(Table1[[#This Row],[HomeLat]])*SIN(Table1[[#This Row],[VisitorLat]]) +COS(Table1[[#This Row],[HomeLat]])*COS(Table1[[#This Row],[VisitorLat]])*COS(ABS(Table1[[#This Row],[HomeLong]] -Table1[[#This Row],[VisitorLong]]))))</f>
        <v>944.51302004211243</v>
      </c>
      <c r="X253" s="6">
        <f>VLOOKUP(Table1[[#This Row],[HomeTeam]],TeamAttrs!$A$2:$K$20,5,FALSE)</f>
        <v>12630000</v>
      </c>
      <c r="Y253" s="6">
        <f>VLOOKUP(Table1[[#This Row],[HomeTeam]],TeamAttrs!$A$2:$K$20,9,FALSE)</f>
        <v>23136</v>
      </c>
      <c r="Z253" s="6">
        <f>VLOOKUP(Table1[[#This Row],[HomeTeam]],TeamAttrs!$A$2:$K$20,10,FALSE)</f>
        <v>27000</v>
      </c>
      <c r="AA253" s="6">
        <f>VLOOKUP(Table1[[#This Row],[HomeTeam]],TeamAttrs!$A$2:$K$20,11,FALSE)</f>
        <v>0.85688888888888892</v>
      </c>
    </row>
    <row r="254" spans="1:27" x14ac:dyDescent="0.25">
      <c r="A254" s="1">
        <v>41153</v>
      </c>
      <c r="B254" t="s">
        <v>9</v>
      </c>
      <c r="C254" t="str">
        <f>VLOOKUP(Table1[[#This Row],[HomeTeam]], TeamAttrs!$A$2:$B$20,2,FALSE)</f>
        <v>NE</v>
      </c>
      <c r="D254">
        <v>0</v>
      </c>
      <c r="E254">
        <v>0</v>
      </c>
      <c r="F254">
        <f>Table1[[#This Row],[HomeTeamScore]]-Table1[[#This Row],[VisitorScore]]</f>
        <v>0</v>
      </c>
      <c r="G254" t="s">
        <v>4</v>
      </c>
      <c r="H254" t="str">
        <f>VLOOKUP(Table1[[#This Row],[VisitorTeam]],TeamAttrs!$A$2:$B$20, 2, FALSE)</f>
        <v>Phil</v>
      </c>
      <c r="I254">
        <f t="shared" si="12"/>
        <v>0</v>
      </c>
      <c r="J254">
        <f t="shared" si="13"/>
        <v>1</v>
      </c>
      <c r="K254">
        <f t="shared" si="14"/>
        <v>0</v>
      </c>
      <c r="L254">
        <f>3*Table1[HomeWin] +Table1[Draw]</f>
        <v>1</v>
      </c>
      <c r="M254">
        <f>3*Table1[HomeLoss]+Table1[Draw]</f>
        <v>1</v>
      </c>
      <c r="N254">
        <f>VLOOKUP(B254,TeamAttrs!$A$2:$C$20,3,FALSE)</f>
        <v>5</v>
      </c>
      <c r="O254">
        <f>VLOOKUP(G254,TeamAttrs!$A$2:$C$20,3,FALSE)</f>
        <v>5</v>
      </c>
      <c r="P254">
        <f t="shared" si="15"/>
        <v>0</v>
      </c>
      <c r="Q254">
        <f>VLOOKUP(B254,TeamAttrs!$A$2:$D$20,3,FALSE)</f>
        <v>5</v>
      </c>
      <c r="R254">
        <f>VLOOKUP(G254,TeamAttrs!$A$2:$D$20,3,FALSE)</f>
        <v>5</v>
      </c>
      <c r="S254">
        <f>RADIANS(VLOOKUP(Table1[[#This Row],[HomeTeam]],TeamAttrs!$A$2:$H$20,7, FALSE))</f>
        <v>0.73943840820468165</v>
      </c>
      <c r="T254">
        <f>RADIANS(VLOOKUP(Table1[[#This Row],[HomeTeam]],TeamAttrs!$A$2:$H$20, 8, FALSE))</f>
        <v>-1.2397649635568881</v>
      </c>
      <c r="U254">
        <f>RADIANS(VLOOKUP(Table1[[#This Row],[VisitorTeam]],TeamAttrs!$A$2:$H$20,7,FALSE))</f>
        <v>0.69609490156065446</v>
      </c>
      <c r="V254">
        <f>RADIANS(VLOOKUP(Table1[[#This Row],[VisitorTeam]], TeamAttrs!$A$2:$H$20,8,FALSE))</f>
        <v>-1.313360262125733</v>
      </c>
      <c r="W254" s="5">
        <f>60*DEGREES(ACOS(SIN(Table1[[#This Row],[HomeLat]])*SIN(Table1[[#This Row],[VisitorLat]]) +COS(Table1[[#This Row],[HomeLat]])*COS(Table1[[#This Row],[VisitorLat]])*COS(ABS(Table1[[#This Row],[HomeLong]] -Table1[[#This Row],[VisitorLong]]))))</f>
        <v>241.86218544449619</v>
      </c>
      <c r="X254" s="6">
        <f>VLOOKUP(Table1[[#This Row],[HomeTeam]],TeamAttrs!$A$2:$K$20,5,FALSE)</f>
        <v>3260000</v>
      </c>
      <c r="Y254" s="6">
        <f>VLOOKUP(Table1[[#This Row],[HomeTeam]],TeamAttrs!$A$2:$K$20,9,FALSE)</f>
        <v>14001</v>
      </c>
      <c r="Z254" s="6">
        <f>VLOOKUP(Table1[[#This Row],[HomeTeam]],TeamAttrs!$A$2:$K$20,10,FALSE)</f>
        <v>20000</v>
      </c>
      <c r="AA254" s="6">
        <f>VLOOKUP(Table1[[#This Row],[HomeTeam]],TeamAttrs!$A$2:$K$20,11,FALSE)</f>
        <v>0.70004999999999995</v>
      </c>
    </row>
    <row r="255" spans="1:27" x14ac:dyDescent="0.25">
      <c r="A255" s="1">
        <v>41153</v>
      </c>
      <c r="B255" t="s">
        <v>18</v>
      </c>
      <c r="C255" t="str">
        <f>VLOOKUP(Table1[[#This Row],[HomeTeam]], TeamAttrs!$A$2:$B$20,2,FALSE)</f>
        <v>RSL</v>
      </c>
      <c r="D255">
        <v>1</v>
      </c>
      <c r="E255">
        <v>0</v>
      </c>
      <c r="F255">
        <f>Table1[[#This Row],[HomeTeamScore]]-Table1[[#This Row],[VisitorScore]]</f>
        <v>1</v>
      </c>
      <c r="G255" t="s">
        <v>3</v>
      </c>
      <c r="H255" t="str">
        <f>VLOOKUP(Table1[[#This Row],[VisitorTeam]],TeamAttrs!$A$2:$B$20, 2, FALSE)</f>
        <v>DCU</v>
      </c>
      <c r="I255">
        <f t="shared" si="12"/>
        <v>1</v>
      </c>
      <c r="J255">
        <f t="shared" si="13"/>
        <v>0</v>
      </c>
      <c r="K255">
        <f t="shared" si="14"/>
        <v>0</v>
      </c>
      <c r="L255">
        <f>3*Table1[HomeWin] +Table1[Draw]</f>
        <v>3</v>
      </c>
      <c r="M255">
        <f>3*Table1[HomeLoss]+Table1[Draw]</f>
        <v>0</v>
      </c>
      <c r="N255">
        <f>VLOOKUP(B255,TeamAttrs!$A$2:$C$20,3,FALSE)</f>
        <v>7</v>
      </c>
      <c r="O255">
        <f>VLOOKUP(G255,TeamAttrs!$A$2:$C$20,3,FALSE)</f>
        <v>5</v>
      </c>
      <c r="P255">
        <f t="shared" si="15"/>
        <v>-2</v>
      </c>
      <c r="Q255">
        <f>VLOOKUP(B255,TeamAttrs!$A$2:$D$20,3,FALSE)</f>
        <v>7</v>
      </c>
      <c r="R255">
        <f>VLOOKUP(G255,TeamAttrs!$A$2:$D$20,3,FALSE)</f>
        <v>5</v>
      </c>
      <c r="S255">
        <f>RADIANS(VLOOKUP(Table1[[#This Row],[HomeTeam]],TeamAttrs!$A$2:$H$20,7, FALSE))</f>
        <v>0.71151314017277234</v>
      </c>
      <c r="T255">
        <f>RADIANS(VLOOKUP(Table1[[#This Row],[HomeTeam]],TeamAttrs!$A$2:$H$20, 8, FALSE))</f>
        <v>-1.954192803580491</v>
      </c>
      <c r="U255">
        <f>RADIANS(VLOOKUP(Table1[[#This Row],[VisitorTeam]],TeamAttrs!$A$2:$H$20,7,FALSE))</f>
        <v>0.67806041439979703</v>
      </c>
      <c r="V255">
        <f>RADIANS(VLOOKUP(Table1[[#This Row],[VisitorTeam]], TeamAttrs!$A$2:$H$20,8,FALSE))</f>
        <v>-1.3444847186765478</v>
      </c>
      <c r="W255" s="5">
        <f>60*DEGREES(ACOS(SIN(Table1[[#This Row],[HomeLat]])*SIN(Table1[[#This Row],[VisitorLat]]) +COS(Table1[[#This Row],[HomeLat]])*COS(Table1[[#This Row],[VisitorLat]])*COS(ABS(Table1[[#This Row],[HomeLong]] -Table1[[#This Row],[VisitorLong]]))))</f>
        <v>1603.6093343059242</v>
      </c>
      <c r="X255" s="6">
        <f>VLOOKUP(Table1[[#This Row],[HomeTeam]],TeamAttrs!$A$2:$K$20,5,FALSE)</f>
        <v>3520000</v>
      </c>
      <c r="Y255" s="6">
        <f>VLOOKUP(Table1[[#This Row],[HomeTeam]],TeamAttrs!$A$2:$K$20,9,FALSE)</f>
        <v>19087</v>
      </c>
      <c r="Z255" s="6">
        <f>VLOOKUP(Table1[[#This Row],[HomeTeam]],TeamAttrs!$A$2:$K$20,10,FALSE)</f>
        <v>20213</v>
      </c>
      <c r="AA255" s="6">
        <f>VLOOKUP(Table1[[#This Row],[HomeTeam]],TeamAttrs!$A$2:$K$20,11,FALSE)</f>
        <v>0.94429327660416562</v>
      </c>
    </row>
    <row r="256" spans="1:27" x14ac:dyDescent="0.25">
      <c r="A256" s="1">
        <v>41153</v>
      </c>
      <c r="B256" t="s">
        <v>6</v>
      </c>
      <c r="C256" t="str">
        <f>VLOOKUP(Table1[[#This Row],[HomeTeam]], TeamAttrs!$A$2:$B$20,2,FALSE)</f>
        <v>SKC</v>
      </c>
      <c r="D256">
        <v>2</v>
      </c>
      <c r="E256">
        <v>1</v>
      </c>
      <c r="F256">
        <f>Table1[[#This Row],[HomeTeamScore]]-Table1[[#This Row],[VisitorScore]]</f>
        <v>1</v>
      </c>
      <c r="G256" t="s">
        <v>10</v>
      </c>
      <c r="H256" t="str">
        <f>VLOOKUP(Table1[[#This Row],[VisitorTeam]],TeamAttrs!$A$2:$B$20, 2, FALSE)</f>
        <v>Tor</v>
      </c>
      <c r="I256">
        <f t="shared" si="12"/>
        <v>1</v>
      </c>
      <c r="J256">
        <f t="shared" si="13"/>
        <v>0</v>
      </c>
      <c r="K256">
        <f t="shared" si="14"/>
        <v>0</v>
      </c>
      <c r="L256">
        <f>3*Table1[HomeWin] +Table1[Draw]</f>
        <v>3</v>
      </c>
      <c r="M256">
        <f>3*Table1[HomeLoss]+Table1[Draw]</f>
        <v>0</v>
      </c>
      <c r="N256">
        <f>VLOOKUP(B256,TeamAttrs!$A$2:$C$20,3,FALSE)</f>
        <v>6</v>
      </c>
      <c r="O256">
        <f>VLOOKUP(G256,TeamAttrs!$A$2:$C$20,3,FALSE)</f>
        <v>5</v>
      </c>
      <c r="P256">
        <f t="shared" si="15"/>
        <v>-1</v>
      </c>
      <c r="Q256">
        <f>VLOOKUP(B256,TeamAttrs!$A$2:$D$20,3,FALSE)</f>
        <v>6</v>
      </c>
      <c r="R256">
        <f>VLOOKUP(G256,TeamAttrs!$A$2:$D$20,3,FALSE)</f>
        <v>5</v>
      </c>
      <c r="S256">
        <f>RADIANS(VLOOKUP(Table1[[#This Row],[HomeTeam]],TeamAttrs!$A$2:$H$20,7, FALSE))</f>
        <v>0.68271520751486592</v>
      </c>
      <c r="T256">
        <f>RADIANS(VLOOKUP(Table1[[#This Row],[HomeTeam]],TeamAttrs!$A$2:$H$20, 8, FALSE))</f>
        <v>-1.65166266702755</v>
      </c>
      <c r="U256">
        <f>RADIANS(VLOOKUP(Table1[[#This Row],[VisitorTeam]],TeamAttrs!$A$2:$H$20,7,FALSE))</f>
        <v>0.76241741313643896</v>
      </c>
      <c r="V256">
        <f>RADIANS(VLOOKUP(Table1[[#This Row],[VisitorTeam]], TeamAttrs!$A$2:$H$20,8,FALSE))</f>
        <v>-1.3898632792284005</v>
      </c>
      <c r="W256" s="5">
        <f>60*DEGREES(ACOS(SIN(Table1[[#This Row],[HomeLat]])*SIN(Table1[[#This Row],[VisitorLat]]) +COS(Table1[[#This Row],[HomeLat]])*COS(Table1[[#This Row],[VisitorLat]])*COS(ABS(Table1[[#This Row],[HomeLong]] -Table1[[#This Row],[VisitorLong]]))))</f>
        <v>727.24684906635184</v>
      </c>
      <c r="X256" s="6">
        <f>VLOOKUP(Table1[[#This Row],[HomeTeam]],TeamAttrs!$A$2:$K$20,5,FALSE)</f>
        <v>3120000</v>
      </c>
      <c r="Y256" s="6">
        <f>VLOOKUP(Table1[[#This Row],[HomeTeam]],TeamAttrs!$A$2:$K$20,9,FALSE)</f>
        <v>19404</v>
      </c>
      <c r="Z256" s="6">
        <f>VLOOKUP(Table1[[#This Row],[HomeTeam]],TeamAttrs!$A$2:$K$20,10,FALSE)</f>
        <v>18467</v>
      </c>
      <c r="AA256" s="6">
        <f>VLOOKUP(Table1[[#This Row],[HomeTeam]],TeamAttrs!$A$2:$K$20,11,FALSE)</f>
        <v>1.0507391563329183</v>
      </c>
    </row>
    <row r="257" spans="1:27" x14ac:dyDescent="0.25">
      <c r="A257" s="1">
        <v>41154</v>
      </c>
      <c r="B257" t="s">
        <v>17</v>
      </c>
      <c r="C257" t="str">
        <f>VLOOKUP(Table1[[#This Row],[HomeTeam]], TeamAttrs!$A$2:$B$20,2,FALSE)</f>
        <v>Chi</v>
      </c>
      <c r="D257">
        <v>3</v>
      </c>
      <c r="E257">
        <v>1</v>
      </c>
      <c r="F257">
        <f>Table1[[#This Row],[HomeTeamScore]]-Table1[[#This Row],[VisitorScore]]</f>
        <v>2</v>
      </c>
      <c r="G257" t="s">
        <v>13</v>
      </c>
      <c r="H257" t="str">
        <f>VLOOKUP(Table1[[#This Row],[VisitorTeam]],TeamAttrs!$A$2:$B$20, 2, FALSE)</f>
        <v>Hou</v>
      </c>
      <c r="I257">
        <f t="shared" si="12"/>
        <v>1</v>
      </c>
      <c r="J257">
        <f t="shared" si="13"/>
        <v>0</v>
      </c>
      <c r="K257">
        <f t="shared" si="14"/>
        <v>0</v>
      </c>
      <c r="L257">
        <f>3*Table1[HomeWin] +Table1[Draw]</f>
        <v>3</v>
      </c>
      <c r="M257">
        <f>3*Table1[HomeLoss]+Table1[Draw]</f>
        <v>0</v>
      </c>
      <c r="N257">
        <f>VLOOKUP(B257,TeamAttrs!$A$2:$C$20,3,FALSE)</f>
        <v>6</v>
      </c>
      <c r="O257">
        <f>VLOOKUP(G257,TeamAttrs!$A$2:$C$20,3,FALSE)</f>
        <v>6</v>
      </c>
      <c r="P257">
        <f t="shared" si="15"/>
        <v>0</v>
      </c>
      <c r="Q257">
        <f>VLOOKUP(B257,TeamAttrs!$A$2:$D$20,3,FALSE)</f>
        <v>6</v>
      </c>
      <c r="R257">
        <f>VLOOKUP(G257,TeamAttrs!$A$2:$D$20,3,FALSE)</f>
        <v>6</v>
      </c>
      <c r="S257">
        <f>RADIANS(VLOOKUP(Table1[[#This Row],[HomeTeam]],TeamAttrs!$A$2:$H$20,7, FALSE))</f>
        <v>0.72925615734854665</v>
      </c>
      <c r="T257">
        <f>RADIANS(VLOOKUP(Table1[[#This Row],[HomeTeam]],TeamAttrs!$A$2:$H$20, 8, FALSE))</f>
        <v>-1.5315264186250241</v>
      </c>
      <c r="U257">
        <f>RADIANS(VLOOKUP(Table1[[#This Row],[VisitorTeam]],TeamAttrs!$A$2:$H$20,7,FALSE))</f>
        <v>0.52301758095738471</v>
      </c>
      <c r="V257">
        <f>RADIANS(VLOOKUP(Table1[[#This Row],[VisitorTeam]], TeamAttrs!$A$2:$H$20,8,FALSE))</f>
        <v>-1.6641714417765932</v>
      </c>
      <c r="W257" s="5">
        <f>60*DEGREES(ACOS(SIN(Table1[[#This Row],[HomeLat]])*SIN(Table1[[#This Row],[VisitorLat]]) +COS(Table1[[#This Row],[HomeLat]])*COS(Table1[[#This Row],[VisitorLat]])*COS(ABS(Table1[[#This Row],[HomeLong]] -Table1[[#This Row],[VisitorLong]]))))</f>
        <v>798.67830471317484</v>
      </c>
      <c r="X257" s="6">
        <f>VLOOKUP(Table1[[#This Row],[HomeTeam]],TeamAttrs!$A$2:$K$20,5,FALSE)</f>
        <v>3230000</v>
      </c>
      <c r="Y257" s="6">
        <f>VLOOKUP(Table1[[#This Row],[HomeTeam]],TeamAttrs!$A$2:$K$20,9,FALSE)</f>
        <v>16407</v>
      </c>
      <c r="Z257" s="6">
        <f>VLOOKUP(Table1[[#This Row],[HomeTeam]],TeamAttrs!$A$2:$K$20,10,FALSE)</f>
        <v>20000</v>
      </c>
      <c r="AA257" s="6">
        <f>VLOOKUP(Table1[[#This Row],[HomeTeam]],TeamAttrs!$A$2:$K$20,11,FALSE)</f>
        <v>0.82035000000000002</v>
      </c>
    </row>
    <row r="258" spans="1:27" x14ac:dyDescent="0.25">
      <c r="A258" s="1">
        <v>41154</v>
      </c>
      <c r="B258" t="s">
        <v>7</v>
      </c>
      <c r="C258" t="str">
        <f>VLOOKUP(Table1[[#This Row],[HomeTeam]], TeamAttrs!$A$2:$B$20,2,FALSE)</f>
        <v>FCDal</v>
      </c>
      <c r="D258">
        <v>1</v>
      </c>
      <c r="E258">
        <v>1</v>
      </c>
      <c r="F258">
        <f>Table1[[#This Row],[HomeTeamScore]]-Table1[[#This Row],[VisitorScore]]</f>
        <v>0</v>
      </c>
      <c r="G258" t="s">
        <v>11</v>
      </c>
      <c r="H258" t="str">
        <f>VLOOKUP(Table1[[#This Row],[VisitorTeam]],TeamAttrs!$A$2:$B$20, 2, FALSE)</f>
        <v>SEA</v>
      </c>
      <c r="I258">
        <f t="shared" ref="I258:I321" si="16">IF(D258&gt;E258, 1,0)</f>
        <v>0</v>
      </c>
      <c r="J258">
        <f t="shared" ref="J258:J321" si="17">IF(D258=E258, 1, 0)</f>
        <v>1</v>
      </c>
      <c r="K258">
        <f t="shared" ref="K258:K321" si="18">IF(E258&gt;D258, 1,0)</f>
        <v>0</v>
      </c>
      <c r="L258">
        <f>3*Table1[HomeWin] +Table1[Draw]</f>
        <v>1</v>
      </c>
      <c r="M258">
        <f>3*Table1[HomeLoss]+Table1[Draw]</f>
        <v>1</v>
      </c>
      <c r="N258">
        <f>VLOOKUP(B258,TeamAttrs!$A$2:$C$20,3,FALSE)</f>
        <v>6</v>
      </c>
      <c r="O258">
        <f>VLOOKUP(G258,TeamAttrs!$A$2:$C$20,3,FALSE)</f>
        <v>8</v>
      </c>
      <c r="P258">
        <f t="shared" ref="P258:P321" si="19">O258-N258</f>
        <v>2</v>
      </c>
      <c r="Q258">
        <f>VLOOKUP(B258,TeamAttrs!$A$2:$D$20,3,FALSE)</f>
        <v>6</v>
      </c>
      <c r="R258">
        <f>VLOOKUP(G258,TeamAttrs!$A$2:$D$20,3,FALSE)</f>
        <v>8</v>
      </c>
      <c r="S258">
        <f>RADIANS(VLOOKUP(Table1[[#This Row],[HomeTeam]],TeamAttrs!$A$2:$H$20,7, FALSE))</f>
        <v>0.57334065928013733</v>
      </c>
      <c r="T258">
        <f>RADIANS(VLOOKUP(Table1[[#This Row],[HomeTeam]],TeamAttrs!$A$2:$H$20, 8, FALSE))</f>
        <v>-1.690351380556508</v>
      </c>
      <c r="U258">
        <f>RADIANS(VLOOKUP(Table1[[#This Row],[VisitorTeam]],TeamAttrs!$A$2:$H$20,7,FALSE))</f>
        <v>0.83164938857529802</v>
      </c>
      <c r="V258">
        <f>RADIANS(VLOOKUP(Table1[[#This Row],[VisitorTeam]], TeamAttrs!$A$2:$H$20,8,FALSE))</f>
        <v>-2.134537675189065</v>
      </c>
      <c r="W258" s="5">
        <f>60*DEGREES(ACOS(SIN(Table1[[#This Row],[HomeLat]])*SIN(Table1[[#This Row],[VisitorLat]]) +COS(Table1[[#This Row],[HomeLat]])*COS(Table1[[#This Row],[VisitorLat]])*COS(ABS(Table1[[#This Row],[HomeLong]] -Table1[[#This Row],[VisitorLong]]))))</f>
        <v>1453.7999169487216</v>
      </c>
      <c r="X258" s="6">
        <f>VLOOKUP(Table1[[#This Row],[HomeTeam]],TeamAttrs!$A$2:$K$20,5,FALSE)</f>
        <v>3450000</v>
      </c>
      <c r="Y258" s="6">
        <f>VLOOKUP(Table1[[#This Row],[HomeTeam]],TeamAttrs!$A$2:$K$20,9,FALSE)</f>
        <v>14199</v>
      </c>
      <c r="Z258" s="6">
        <f>VLOOKUP(Table1[[#This Row],[HomeTeam]],TeamAttrs!$A$2:$K$20,10,FALSE)</f>
        <v>20500</v>
      </c>
      <c r="AA258" s="6">
        <f>VLOOKUP(Table1[[#This Row],[HomeTeam]],TeamAttrs!$A$2:$K$20,11,FALSE)</f>
        <v>0.69263414634146336</v>
      </c>
    </row>
    <row r="259" spans="1:27" x14ac:dyDescent="0.25">
      <c r="A259" s="1">
        <v>41154</v>
      </c>
      <c r="B259" t="s">
        <v>5</v>
      </c>
      <c r="C259" t="str">
        <f>VLOOKUP(Table1[[#This Row],[HomeTeam]], TeamAttrs!$A$2:$B$20,2,FALSE)</f>
        <v>SJE</v>
      </c>
      <c r="D259">
        <v>4</v>
      </c>
      <c r="E259">
        <v>0</v>
      </c>
      <c r="F259">
        <f>Table1[[#This Row],[HomeTeamScore]]-Table1[[#This Row],[VisitorScore]]</f>
        <v>4</v>
      </c>
      <c r="G259" t="s">
        <v>2</v>
      </c>
      <c r="H259" t="str">
        <f>VLOOKUP(Table1[[#This Row],[VisitorTeam]],TeamAttrs!$A$2:$B$20, 2, FALSE)</f>
        <v>Chiv</v>
      </c>
      <c r="I259">
        <f t="shared" si="16"/>
        <v>1</v>
      </c>
      <c r="J259">
        <f t="shared" si="17"/>
        <v>0</v>
      </c>
      <c r="K259">
        <f t="shared" si="18"/>
        <v>0</v>
      </c>
      <c r="L259">
        <f>3*Table1[HomeWin] +Table1[Draw]</f>
        <v>3</v>
      </c>
      <c r="M259">
        <f>3*Table1[HomeLoss]+Table1[Draw]</f>
        <v>0</v>
      </c>
      <c r="N259">
        <f>VLOOKUP(B259,TeamAttrs!$A$2:$C$20,3,FALSE)</f>
        <v>8</v>
      </c>
      <c r="O259">
        <f>VLOOKUP(G259,TeamAttrs!$A$2:$C$20,3,FALSE)</f>
        <v>8</v>
      </c>
      <c r="P259">
        <f t="shared" si="19"/>
        <v>0</v>
      </c>
      <c r="Q259">
        <f>VLOOKUP(B259,TeamAttrs!$A$2:$D$20,3,FALSE)</f>
        <v>8</v>
      </c>
      <c r="R259">
        <f>VLOOKUP(G259,TeamAttrs!$A$2:$D$20,3,FALSE)</f>
        <v>8</v>
      </c>
      <c r="S259">
        <f>RADIANS(VLOOKUP(Table1[[#This Row],[HomeTeam]],TeamAttrs!$A$2:$H$20,7, FALSE))</f>
        <v>0.65217194560496516</v>
      </c>
      <c r="T259">
        <f>RADIANS(VLOOKUP(Table1[[#This Row],[HomeTeam]],TeamAttrs!$A$2:$H$20, 8, FALSE))</f>
        <v>-2.1281323168342459</v>
      </c>
      <c r="U259">
        <f>RADIANS(VLOOKUP(Table1[[#This Row],[VisitorTeam]],TeamAttrs!$A$2:$H$20,7,FALSE))</f>
        <v>0.59224781106699187</v>
      </c>
      <c r="V259">
        <f>RADIANS(VLOOKUP(Table1[[#This Row],[VisitorTeam]], TeamAttrs!$A$2:$H$20,8,FALSE))</f>
        <v>-2.0664698343612864</v>
      </c>
      <c r="W259" s="5">
        <f>60*DEGREES(ACOS(SIN(Table1[[#This Row],[HomeLat]])*SIN(Table1[[#This Row],[VisitorLat]]) +COS(Table1[[#This Row],[HomeLat]])*COS(Table1[[#This Row],[VisitorLat]])*COS(ABS(Table1[[#This Row],[HomeLong]] -Table1[[#This Row],[VisitorLong]]))))</f>
        <v>268.48292730997031</v>
      </c>
      <c r="X259" s="6">
        <f>VLOOKUP(Table1[[#This Row],[HomeTeam]],TeamAttrs!$A$2:$K$20,5,FALSE)</f>
        <v>3210000</v>
      </c>
      <c r="Y259" s="6">
        <f>VLOOKUP(Table1[[#This Row],[HomeTeam]],TeamAttrs!$A$2:$K$20,9,FALSE)</f>
        <v>13293</v>
      </c>
      <c r="Z259" s="6">
        <f>VLOOKUP(Table1[[#This Row],[HomeTeam]],TeamAttrs!$A$2:$K$20,10,FALSE)</f>
        <v>10525</v>
      </c>
      <c r="AA259" s="6">
        <f>VLOOKUP(Table1[[#This Row],[HomeTeam]],TeamAttrs!$A$2:$K$20,11,FALSE)</f>
        <v>1.2629928741092638</v>
      </c>
    </row>
    <row r="260" spans="1:27" x14ac:dyDescent="0.25">
      <c r="A260" s="1">
        <v>41157</v>
      </c>
      <c r="B260" t="s">
        <v>14</v>
      </c>
      <c r="C260" t="str">
        <f>VLOOKUP(Table1[[#This Row],[HomeTeam]], TeamAttrs!$A$2:$B$20,2,FALSE)</f>
        <v>ColRa</v>
      </c>
      <c r="D260">
        <v>3</v>
      </c>
      <c r="E260">
        <v>0</v>
      </c>
      <c r="F260">
        <f>Table1[[#This Row],[HomeTeamScore]]-Table1[[#This Row],[VisitorScore]]</f>
        <v>3</v>
      </c>
      <c r="G260" t="s">
        <v>12</v>
      </c>
      <c r="H260" t="str">
        <f>VLOOKUP(Table1[[#This Row],[VisitorTeam]],TeamAttrs!$A$2:$B$20, 2, FALSE)</f>
        <v>Port</v>
      </c>
      <c r="I260">
        <f t="shared" si="16"/>
        <v>1</v>
      </c>
      <c r="J260">
        <f t="shared" si="17"/>
        <v>0</v>
      </c>
      <c r="K260">
        <f t="shared" si="18"/>
        <v>0</v>
      </c>
      <c r="L260">
        <f>3*Table1[HomeWin] +Table1[Draw]</f>
        <v>3</v>
      </c>
      <c r="M260">
        <f>3*Table1[HomeLoss]+Table1[Draw]</f>
        <v>0</v>
      </c>
      <c r="N260">
        <f>VLOOKUP(B260,TeamAttrs!$A$2:$C$20,3,FALSE)</f>
        <v>7</v>
      </c>
      <c r="O260">
        <f>VLOOKUP(G260,TeamAttrs!$A$2:$C$20,3,FALSE)</f>
        <v>8</v>
      </c>
      <c r="P260">
        <f t="shared" si="19"/>
        <v>1</v>
      </c>
      <c r="Q260">
        <f>VLOOKUP(B260,TeamAttrs!$A$2:$D$20,3,FALSE)</f>
        <v>7</v>
      </c>
      <c r="R260">
        <f>VLOOKUP(G260,TeamAttrs!$A$2:$D$20,3,FALSE)</f>
        <v>8</v>
      </c>
      <c r="S260">
        <f>RADIANS(VLOOKUP(Table1[[#This Row],[HomeTeam]],TeamAttrs!$A$2:$H$20,7, FALSE))</f>
        <v>0.69376837766774602</v>
      </c>
      <c r="T260">
        <f>RADIANS(VLOOKUP(Table1[[#This Row],[HomeTeam]],TeamAttrs!$A$2:$H$20, 8, FALSE))</f>
        <v>-1.8302744266888937</v>
      </c>
      <c r="U260">
        <f>RADIANS(VLOOKUP(Table1[[#This Row],[VisitorTeam]],TeamAttrs!$A$2:$H$20,7,FALSE))</f>
        <v>0.79587013890941427</v>
      </c>
      <c r="V260">
        <f>RADIANS(VLOOKUP(Table1[[#This Row],[VisitorTeam]], TeamAttrs!$A$2:$H$20,8,FALSE))</f>
        <v>-2.1397736629450481</v>
      </c>
      <c r="W260" s="5">
        <f>60*DEGREES(ACOS(SIN(Table1[[#This Row],[HomeLat]])*SIN(Table1[[#This Row],[VisitorLat]]) +COS(Table1[[#This Row],[HomeLat]])*COS(Table1[[#This Row],[VisitorLat]])*COS(ABS(Table1[[#This Row],[HomeLong]] -Table1[[#This Row],[VisitorLong]]))))</f>
        <v>854.9704006018444</v>
      </c>
      <c r="X260" s="6">
        <f>VLOOKUP(Table1[[#This Row],[HomeTeam]],TeamAttrs!$A$2:$K$20,5,FALSE)</f>
        <v>3430000</v>
      </c>
      <c r="Y260" s="6">
        <f>VLOOKUP(Table1[[#This Row],[HomeTeam]],TeamAttrs!$A$2:$K$20,9,FALSE)</f>
        <v>15175</v>
      </c>
      <c r="Z260" s="6">
        <f>VLOOKUP(Table1[[#This Row],[HomeTeam]],TeamAttrs!$A$2:$K$20,10,FALSE)</f>
        <v>18086</v>
      </c>
      <c r="AA260" s="6">
        <f>VLOOKUP(Table1[[#This Row],[HomeTeam]],TeamAttrs!$A$2:$K$20,11,FALSE)</f>
        <v>0.83904677651221937</v>
      </c>
    </row>
    <row r="261" spans="1:27" x14ac:dyDescent="0.25">
      <c r="A261" s="1">
        <v>41157</v>
      </c>
      <c r="B261" t="s">
        <v>9</v>
      </c>
      <c r="C261" t="str">
        <f>VLOOKUP(Table1[[#This Row],[HomeTeam]], TeamAttrs!$A$2:$B$20,2,FALSE)</f>
        <v>NE</v>
      </c>
      <c r="D261">
        <v>2</v>
      </c>
      <c r="E261">
        <v>0</v>
      </c>
      <c r="F261">
        <f>Table1[[#This Row],[HomeTeamScore]]-Table1[[#This Row],[VisitorScore]]</f>
        <v>2</v>
      </c>
      <c r="G261" t="s">
        <v>8</v>
      </c>
      <c r="H261" t="str">
        <f>VLOOKUP(Table1[[#This Row],[VisitorTeam]],TeamAttrs!$A$2:$B$20, 2, FALSE)</f>
        <v>Colum</v>
      </c>
      <c r="I261">
        <f t="shared" si="16"/>
        <v>1</v>
      </c>
      <c r="J261">
        <f t="shared" si="17"/>
        <v>0</v>
      </c>
      <c r="K261">
        <f t="shared" si="18"/>
        <v>0</v>
      </c>
      <c r="L261">
        <f>3*Table1[HomeWin] +Table1[Draw]</f>
        <v>3</v>
      </c>
      <c r="M261">
        <f>3*Table1[HomeLoss]+Table1[Draw]</f>
        <v>0</v>
      </c>
      <c r="N261">
        <f>VLOOKUP(B261,TeamAttrs!$A$2:$C$20,3,FALSE)</f>
        <v>5</v>
      </c>
      <c r="O261">
        <f>VLOOKUP(G261,TeamAttrs!$A$2:$C$20,3,FALSE)</f>
        <v>5</v>
      </c>
      <c r="P261">
        <f t="shared" si="19"/>
        <v>0</v>
      </c>
      <c r="Q261">
        <f>VLOOKUP(B261,TeamAttrs!$A$2:$D$20,3,FALSE)</f>
        <v>5</v>
      </c>
      <c r="R261">
        <f>VLOOKUP(G261,TeamAttrs!$A$2:$D$20,3,FALSE)</f>
        <v>5</v>
      </c>
      <c r="S261">
        <f>RADIANS(VLOOKUP(Table1[[#This Row],[HomeTeam]],TeamAttrs!$A$2:$H$20,7, FALSE))</f>
        <v>0.73943840820468165</v>
      </c>
      <c r="T261">
        <f>RADIANS(VLOOKUP(Table1[[#This Row],[HomeTeam]],TeamAttrs!$A$2:$H$20, 8, FALSE))</f>
        <v>-1.2397649635568881</v>
      </c>
      <c r="U261">
        <f>RADIANS(VLOOKUP(Table1[[#This Row],[VisitorTeam]],TeamAttrs!$A$2:$H$20,7,FALSE))</f>
        <v>0.69813170079773179</v>
      </c>
      <c r="V261">
        <f>RADIANS(VLOOKUP(Table1[[#This Row],[VisitorTeam]], TeamAttrs!$A$2:$H$20,8,FALSE))</f>
        <v>-1.4465864799182162</v>
      </c>
      <c r="W261" s="5">
        <f>60*DEGREES(ACOS(SIN(Table1[[#This Row],[HomeLat]])*SIN(Table1[[#This Row],[VisitorLat]]) +COS(Table1[[#This Row],[HomeLat]])*COS(Table1[[#This Row],[VisitorLat]])*COS(ABS(Table1[[#This Row],[HomeLong]] -Table1[[#This Row],[VisitorLong]]))))</f>
        <v>553.10243220455334</v>
      </c>
      <c r="X261" s="6">
        <f>VLOOKUP(Table1[[#This Row],[HomeTeam]],TeamAttrs!$A$2:$K$20,5,FALSE)</f>
        <v>3260000</v>
      </c>
      <c r="Y261" s="6">
        <f>VLOOKUP(Table1[[#This Row],[HomeTeam]],TeamAttrs!$A$2:$K$20,9,FALSE)</f>
        <v>14001</v>
      </c>
      <c r="Z261" s="6">
        <f>VLOOKUP(Table1[[#This Row],[HomeTeam]],TeamAttrs!$A$2:$K$20,10,FALSE)</f>
        <v>20000</v>
      </c>
      <c r="AA261" s="6">
        <f>VLOOKUP(Table1[[#This Row],[HomeTeam]],TeamAttrs!$A$2:$K$20,11,FALSE)</f>
        <v>0.70004999999999995</v>
      </c>
    </row>
    <row r="262" spans="1:27" x14ac:dyDescent="0.25">
      <c r="A262" s="1">
        <v>41158</v>
      </c>
      <c r="B262" t="s">
        <v>13</v>
      </c>
      <c r="C262" t="str">
        <f>VLOOKUP(Table1[[#This Row],[HomeTeam]], TeamAttrs!$A$2:$B$20,2,FALSE)</f>
        <v>Hou</v>
      </c>
      <c r="D262">
        <v>1</v>
      </c>
      <c r="E262">
        <v>0</v>
      </c>
      <c r="F262">
        <f>Table1[[#This Row],[HomeTeamScore]]-Table1[[#This Row],[VisitorScore]]</f>
        <v>1</v>
      </c>
      <c r="G262" t="s">
        <v>18</v>
      </c>
      <c r="H262" t="str">
        <f>VLOOKUP(Table1[[#This Row],[VisitorTeam]],TeamAttrs!$A$2:$B$20, 2, FALSE)</f>
        <v>RSL</v>
      </c>
      <c r="I262">
        <f t="shared" si="16"/>
        <v>1</v>
      </c>
      <c r="J262">
        <f t="shared" si="17"/>
        <v>0</v>
      </c>
      <c r="K262">
        <f t="shared" si="18"/>
        <v>0</v>
      </c>
      <c r="L262">
        <f>3*Table1[HomeWin] +Table1[Draw]</f>
        <v>3</v>
      </c>
      <c r="M262">
        <f>3*Table1[HomeLoss]+Table1[Draw]</f>
        <v>0</v>
      </c>
      <c r="N262">
        <f>VLOOKUP(B262,TeamAttrs!$A$2:$C$20,3,FALSE)</f>
        <v>6</v>
      </c>
      <c r="O262">
        <f>VLOOKUP(G262,TeamAttrs!$A$2:$C$20,3,FALSE)</f>
        <v>7</v>
      </c>
      <c r="P262">
        <f t="shared" si="19"/>
        <v>1</v>
      </c>
      <c r="Q262">
        <f>VLOOKUP(B262,TeamAttrs!$A$2:$D$20,3,FALSE)</f>
        <v>6</v>
      </c>
      <c r="R262">
        <f>VLOOKUP(G262,TeamAttrs!$A$2:$D$20,3,FALSE)</f>
        <v>7</v>
      </c>
      <c r="S262">
        <f>RADIANS(VLOOKUP(Table1[[#This Row],[HomeTeam]],TeamAttrs!$A$2:$H$20,7, FALSE))</f>
        <v>0.52301758095738471</v>
      </c>
      <c r="T262">
        <f>RADIANS(VLOOKUP(Table1[[#This Row],[HomeTeam]],TeamAttrs!$A$2:$H$20, 8, FALSE))</f>
        <v>-1.6641714417765932</v>
      </c>
      <c r="U262">
        <f>RADIANS(VLOOKUP(Table1[[#This Row],[VisitorTeam]],TeamAttrs!$A$2:$H$20,7,FALSE))</f>
        <v>0.71151314017277234</v>
      </c>
      <c r="V262">
        <f>RADIANS(VLOOKUP(Table1[[#This Row],[VisitorTeam]], TeamAttrs!$A$2:$H$20,8,FALSE))</f>
        <v>-1.954192803580491</v>
      </c>
      <c r="W262" s="5">
        <f>60*DEGREES(ACOS(SIN(Table1[[#This Row],[HomeLat]])*SIN(Table1[[#This Row],[VisitorLat]]) +COS(Table1[[#This Row],[HomeLat]])*COS(Table1[[#This Row],[VisitorLat]])*COS(ABS(Table1[[#This Row],[HomeLong]] -Table1[[#This Row],[VisitorLong]]))))</f>
        <v>1036.5519401383353</v>
      </c>
      <c r="X262" s="6">
        <f>VLOOKUP(Table1[[#This Row],[HomeTeam]],TeamAttrs!$A$2:$K$20,5,FALSE)</f>
        <v>3000000</v>
      </c>
      <c r="Y262" s="6">
        <f>VLOOKUP(Table1[[#This Row],[HomeTeam]],TeamAttrs!$A$2:$K$20,9,FALSE)</f>
        <v>20946</v>
      </c>
      <c r="Z262" s="6">
        <f>VLOOKUP(Table1[[#This Row],[HomeTeam]],TeamAttrs!$A$2:$K$20,10,FALSE)</f>
        <v>22000</v>
      </c>
      <c r="AA262" s="6">
        <f>VLOOKUP(Table1[[#This Row],[HomeTeam]],TeamAttrs!$A$2:$K$20,11,FALSE)</f>
        <v>0.9520909090909091</v>
      </c>
    </row>
    <row r="263" spans="1:27" x14ac:dyDescent="0.25">
      <c r="A263" s="1">
        <v>41160</v>
      </c>
      <c r="B263" t="s">
        <v>11</v>
      </c>
      <c r="C263" t="str">
        <f>VLOOKUP(Table1[[#This Row],[HomeTeam]], TeamAttrs!$A$2:$B$20,2,FALSE)</f>
        <v>SEA</v>
      </c>
      <c r="D263">
        <v>2</v>
      </c>
      <c r="E263">
        <v>1</v>
      </c>
      <c r="F263">
        <f>Table1[[#This Row],[HomeTeamScore]]-Table1[[#This Row],[VisitorScore]]</f>
        <v>1</v>
      </c>
      <c r="G263" t="s">
        <v>2</v>
      </c>
      <c r="H263" t="str">
        <f>VLOOKUP(Table1[[#This Row],[VisitorTeam]],TeamAttrs!$A$2:$B$20, 2, FALSE)</f>
        <v>Chiv</v>
      </c>
      <c r="I263">
        <f t="shared" si="16"/>
        <v>1</v>
      </c>
      <c r="J263">
        <f t="shared" si="17"/>
        <v>0</v>
      </c>
      <c r="K263">
        <f t="shared" si="18"/>
        <v>0</v>
      </c>
      <c r="L263">
        <f>3*Table1[HomeWin] +Table1[Draw]</f>
        <v>3</v>
      </c>
      <c r="M263">
        <f>3*Table1[HomeLoss]+Table1[Draw]</f>
        <v>0</v>
      </c>
      <c r="N263">
        <f>VLOOKUP(B263,TeamAttrs!$A$2:$C$20,3,FALSE)</f>
        <v>8</v>
      </c>
      <c r="O263">
        <f>VLOOKUP(G263,TeamAttrs!$A$2:$C$20,3,FALSE)</f>
        <v>8</v>
      </c>
      <c r="P263">
        <f t="shared" si="19"/>
        <v>0</v>
      </c>
      <c r="Q263">
        <f>VLOOKUP(B263,TeamAttrs!$A$2:$D$20,3,FALSE)</f>
        <v>8</v>
      </c>
      <c r="R263">
        <f>VLOOKUP(G263,TeamAttrs!$A$2:$D$20,3,FALSE)</f>
        <v>8</v>
      </c>
      <c r="S263">
        <f>RADIANS(VLOOKUP(Table1[[#This Row],[HomeTeam]],TeamAttrs!$A$2:$H$20,7, FALSE))</f>
        <v>0.83164938857529802</v>
      </c>
      <c r="T263">
        <f>RADIANS(VLOOKUP(Table1[[#This Row],[HomeTeam]],TeamAttrs!$A$2:$H$20, 8, FALSE))</f>
        <v>-2.134537675189065</v>
      </c>
      <c r="U263">
        <f>RADIANS(VLOOKUP(Table1[[#This Row],[VisitorTeam]],TeamAttrs!$A$2:$H$20,7,FALSE))</f>
        <v>0.59224781106699187</v>
      </c>
      <c r="V263">
        <f>RADIANS(VLOOKUP(Table1[[#This Row],[VisitorTeam]], TeamAttrs!$A$2:$H$20,8,FALSE))</f>
        <v>-2.0664698343612864</v>
      </c>
      <c r="W263" s="5">
        <f>60*DEGREES(ACOS(SIN(Table1[[#This Row],[HomeLat]])*SIN(Table1[[#This Row],[VisitorLat]]) +COS(Table1[[#This Row],[HomeLat]])*COS(Table1[[#This Row],[VisitorLat]])*COS(ABS(Table1[[#This Row],[HomeLong]] -Table1[[#This Row],[VisitorLong]]))))</f>
        <v>841.56162088012809</v>
      </c>
      <c r="X263" s="6">
        <f>VLOOKUP(Table1[[#This Row],[HomeTeam]],TeamAttrs!$A$2:$K$20,5,FALSE)</f>
        <v>3980000</v>
      </c>
      <c r="Y263" s="6">
        <f>VLOOKUP(Table1[[#This Row],[HomeTeam]],TeamAttrs!$A$2:$K$20,9,FALSE)</f>
        <v>43104</v>
      </c>
      <c r="Z263" s="6">
        <f>VLOOKUP(Table1[[#This Row],[HomeTeam]],TeamAttrs!$A$2:$K$20,10,FALSE)</f>
        <v>38500</v>
      </c>
      <c r="AA263" s="6">
        <f>VLOOKUP(Table1[[#This Row],[HomeTeam]],TeamAttrs!$A$2:$K$20,11,FALSE)</f>
        <v>1.1195844155844157</v>
      </c>
    </row>
    <row r="264" spans="1:27" x14ac:dyDescent="0.25">
      <c r="A264" s="1">
        <v>41164</v>
      </c>
      <c r="B264" t="s">
        <v>10</v>
      </c>
      <c r="C264" t="str">
        <f>VLOOKUP(Table1[[#This Row],[HomeTeam]], TeamAttrs!$A$2:$B$20,2,FALSE)</f>
        <v>Tor</v>
      </c>
      <c r="D264">
        <v>1</v>
      </c>
      <c r="E264">
        <v>2</v>
      </c>
      <c r="F264">
        <f>Table1[[#This Row],[HomeTeamScore]]-Table1[[#This Row],[VisitorScore]]</f>
        <v>-1</v>
      </c>
      <c r="G264" t="s">
        <v>17</v>
      </c>
      <c r="H264" t="str">
        <f>VLOOKUP(Table1[[#This Row],[VisitorTeam]],TeamAttrs!$A$2:$B$20, 2, FALSE)</f>
        <v>Chi</v>
      </c>
      <c r="I264">
        <f t="shared" si="16"/>
        <v>0</v>
      </c>
      <c r="J264">
        <f t="shared" si="17"/>
        <v>0</v>
      </c>
      <c r="K264">
        <f t="shared" si="18"/>
        <v>1</v>
      </c>
      <c r="L264">
        <f>3*Table1[HomeWin] +Table1[Draw]</f>
        <v>0</v>
      </c>
      <c r="M264">
        <f>3*Table1[HomeLoss]+Table1[Draw]</f>
        <v>3</v>
      </c>
      <c r="N264">
        <f>VLOOKUP(B264,TeamAttrs!$A$2:$C$20,3,FALSE)</f>
        <v>5</v>
      </c>
      <c r="O264">
        <f>VLOOKUP(G264,TeamAttrs!$A$2:$C$20,3,FALSE)</f>
        <v>6</v>
      </c>
      <c r="P264">
        <f t="shared" si="19"/>
        <v>1</v>
      </c>
      <c r="Q264">
        <f>VLOOKUP(B264,TeamAttrs!$A$2:$D$20,3,FALSE)</f>
        <v>5</v>
      </c>
      <c r="R264">
        <f>VLOOKUP(G264,TeamAttrs!$A$2:$D$20,3,FALSE)</f>
        <v>6</v>
      </c>
      <c r="S264">
        <f>RADIANS(VLOOKUP(Table1[[#This Row],[HomeTeam]],TeamAttrs!$A$2:$H$20,7, FALSE))</f>
        <v>0.76241741313643896</v>
      </c>
      <c r="T264">
        <f>RADIANS(VLOOKUP(Table1[[#This Row],[HomeTeam]],TeamAttrs!$A$2:$H$20, 8, FALSE))</f>
        <v>-1.3898632792284005</v>
      </c>
      <c r="U264">
        <f>RADIANS(VLOOKUP(Table1[[#This Row],[VisitorTeam]],TeamAttrs!$A$2:$H$20,7,FALSE))</f>
        <v>0.72925615734854665</v>
      </c>
      <c r="V264">
        <f>RADIANS(VLOOKUP(Table1[[#This Row],[VisitorTeam]], TeamAttrs!$A$2:$H$20,8,FALSE))</f>
        <v>-1.5315264186250241</v>
      </c>
      <c r="W264" s="5">
        <f>60*DEGREES(ACOS(SIN(Table1[[#This Row],[HomeLat]])*SIN(Table1[[#This Row],[VisitorLat]]) +COS(Table1[[#This Row],[HomeLat]])*COS(Table1[[#This Row],[VisitorLat]])*COS(ABS(Table1[[#This Row],[HomeLong]] -Table1[[#This Row],[VisitorLong]]))))</f>
        <v>375.25208852404677</v>
      </c>
      <c r="X264" s="6">
        <f>VLOOKUP(Table1[[#This Row],[HomeTeam]],TeamAttrs!$A$2:$K$20,5,FALSE)</f>
        <v>8250000</v>
      </c>
      <c r="Y264" s="6">
        <f>VLOOKUP(Table1[[#This Row],[HomeTeam]],TeamAttrs!$A$2:$K$20,9,FALSE)</f>
        <v>18155</v>
      </c>
      <c r="Z264" s="6">
        <f>VLOOKUP(Table1[[#This Row],[HomeTeam]],TeamAttrs!$A$2:$K$20,10,FALSE)</f>
        <v>21140</v>
      </c>
      <c r="AA264" s="6">
        <f>VLOOKUP(Table1[[#This Row],[HomeTeam]],TeamAttrs!$A$2:$K$20,11,FALSE)</f>
        <v>0.85879848628193001</v>
      </c>
    </row>
    <row r="265" spans="1:27" x14ac:dyDescent="0.25">
      <c r="A265" s="1">
        <v>41166</v>
      </c>
      <c r="B265" t="s">
        <v>16</v>
      </c>
      <c r="C265" t="str">
        <f>VLOOKUP(Table1[[#This Row],[HomeTeam]], TeamAttrs!$A$2:$B$20,2,FALSE)</f>
        <v>LAGxy</v>
      </c>
      <c r="D265">
        <v>2</v>
      </c>
      <c r="E265">
        <v>0</v>
      </c>
      <c r="F265">
        <f>Table1[[#This Row],[HomeTeamScore]]-Table1[[#This Row],[VisitorScore]]</f>
        <v>2</v>
      </c>
      <c r="G265" t="s">
        <v>14</v>
      </c>
      <c r="H265" t="str">
        <f>VLOOKUP(Table1[[#This Row],[VisitorTeam]],TeamAttrs!$A$2:$B$20, 2, FALSE)</f>
        <v>ColRa</v>
      </c>
      <c r="I265">
        <f t="shared" si="16"/>
        <v>1</v>
      </c>
      <c r="J265">
        <f t="shared" si="17"/>
        <v>0</v>
      </c>
      <c r="K265">
        <f t="shared" si="18"/>
        <v>0</v>
      </c>
      <c r="L265">
        <f>3*Table1[HomeWin] +Table1[Draw]</f>
        <v>3</v>
      </c>
      <c r="M265">
        <f>3*Table1[HomeLoss]+Table1[Draw]</f>
        <v>0</v>
      </c>
      <c r="N265">
        <f>VLOOKUP(B265,TeamAttrs!$A$2:$C$20,3,FALSE)</f>
        <v>8</v>
      </c>
      <c r="O265">
        <f>VLOOKUP(G265,TeamAttrs!$A$2:$C$20,3,FALSE)</f>
        <v>7</v>
      </c>
      <c r="P265">
        <f t="shared" si="19"/>
        <v>-1</v>
      </c>
      <c r="Q265">
        <f>VLOOKUP(B265,TeamAttrs!$A$2:$D$20,3,FALSE)</f>
        <v>8</v>
      </c>
      <c r="R265">
        <f>VLOOKUP(G265,TeamAttrs!$A$2:$D$20,3,FALSE)</f>
        <v>7</v>
      </c>
      <c r="S265">
        <f>RADIANS(VLOOKUP(Table1[[#This Row],[HomeTeam]],TeamAttrs!$A$2:$H$20,7, FALSE))</f>
        <v>0.59224781106699187</v>
      </c>
      <c r="T265">
        <f>RADIANS(VLOOKUP(Table1[[#This Row],[HomeTeam]],TeamAttrs!$A$2:$H$20, 8, FALSE))</f>
        <v>-2.0664698343612864</v>
      </c>
      <c r="U265">
        <f>RADIANS(VLOOKUP(Table1[[#This Row],[VisitorTeam]],TeamAttrs!$A$2:$H$20,7,FALSE))</f>
        <v>0.69376837766774602</v>
      </c>
      <c r="V265">
        <f>RADIANS(VLOOKUP(Table1[[#This Row],[VisitorTeam]], TeamAttrs!$A$2:$H$20,8,FALSE))</f>
        <v>-1.8302744266888937</v>
      </c>
      <c r="W265" s="5">
        <f>60*DEGREES(ACOS(SIN(Table1[[#This Row],[HomeLat]])*SIN(Table1[[#This Row],[VisitorLat]]) +COS(Table1[[#This Row],[HomeLat]])*COS(Table1[[#This Row],[VisitorLat]])*COS(ABS(Table1[[#This Row],[HomeLong]] -Table1[[#This Row],[VisitorLong]]))))</f>
        <v>736.47232912321954</v>
      </c>
      <c r="X265" s="6">
        <f>VLOOKUP(Table1[[#This Row],[HomeTeam]],TeamAttrs!$A$2:$K$20,5,FALSE)</f>
        <v>12630000</v>
      </c>
      <c r="Y265" s="6">
        <f>VLOOKUP(Table1[[#This Row],[HomeTeam]],TeamAttrs!$A$2:$K$20,9,FALSE)</f>
        <v>23136</v>
      </c>
      <c r="Z265" s="6">
        <f>VLOOKUP(Table1[[#This Row],[HomeTeam]],TeamAttrs!$A$2:$K$20,10,FALSE)</f>
        <v>27000</v>
      </c>
      <c r="AA265" s="6">
        <f>VLOOKUP(Table1[[#This Row],[HomeTeam]],TeamAttrs!$A$2:$K$20,11,FALSE)</f>
        <v>0.85688888888888892</v>
      </c>
    </row>
    <row r="266" spans="1:27" x14ac:dyDescent="0.25">
      <c r="A266" s="1">
        <v>41166</v>
      </c>
      <c r="B266" t="s">
        <v>6</v>
      </c>
      <c r="C266" t="str">
        <f>VLOOKUP(Table1[[#This Row],[HomeTeam]], TeamAttrs!$A$2:$B$20,2,FALSE)</f>
        <v>SKC</v>
      </c>
      <c r="D266">
        <v>1</v>
      </c>
      <c r="E266">
        <v>1</v>
      </c>
      <c r="F266">
        <f>Table1[[#This Row],[HomeTeamScore]]-Table1[[#This Row],[VisitorScore]]</f>
        <v>0</v>
      </c>
      <c r="G266" t="s">
        <v>13</v>
      </c>
      <c r="H266" t="str">
        <f>VLOOKUP(Table1[[#This Row],[VisitorTeam]],TeamAttrs!$A$2:$B$20, 2, FALSE)</f>
        <v>Hou</v>
      </c>
      <c r="I266">
        <f t="shared" si="16"/>
        <v>0</v>
      </c>
      <c r="J266">
        <f t="shared" si="17"/>
        <v>1</v>
      </c>
      <c r="K266">
        <f t="shared" si="18"/>
        <v>0</v>
      </c>
      <c r="L266">
        <f>3*Table1[HomeWin] +Table1[Draw]</f>
        <v>1</v>
      </c>
      <c r="M266">
        <f>3*Table1[HomeLoss]+Table1[Draw]</f>
        <v>1</v>
      </c>
      <c r="N266">
        <f>VLOOKUP(B266,TeamAttrs!$A$2:$C$20,3,FALSE)</f>
        <v>6</v>
      </c>
      <c r="O266">
        <f>VLOOKUP(G266,TeamAttrs!$A$2:$C$20,3,FALSE)</f>
        <v>6</v>
      </c>
      <c r="P266">
        <f t="shared" si="19"/>
        <v>0</v>
      </c>
      <c r="Q266">
        <f>VLOOKUP(B266,TeamAttrs!$A$2:$D$20,3,FALSE)</f>
        <v>6</v>
      </c>
      <c r="R266">
        <f>VLOOKUP(G266,TeamAttrs!$A$2:$D$20,3,FALSE)</f>
        <v>6</v>
      </c>
      <c r="S266">
        <f>RADIANS(VLOOKUP(Table1[[#This Row],[HomeTeam]],TeamAttrs!$A$2:$H$20,7, FALSE))</f>
        <v>0.68271520751486592</v>
      </c>
      <c r="T266">
        <f>RADIANS(VLOOKUP(Table1[[#This Row],[HomeTeam]],TeamAttrs!$A$2:$H$20, 8, FALSE))</f>
        <v>-1.65166266702755</v>
      </c>
      <c r="U266">
        <f>RADIANS(VLOOKUP(Table1[[#This Row],[VisitorTeam]],TeamAttrs!$A$2:$H$20,7,FALSE))</f>
        <v>0.52301758095738471</v>
      </c>
      <c r="V266">
        <f>RADIANS(VLOOKUP(Table1[[#This Row],[VisitorTeam]], TeamAttrs!$A$2:$H$20,8,FALSE))</f>
        <v>-1.6641714417765932</v>
      </c>
      <c r="W266" s="5">
        <f>60*DEGREES(ACOS(SIN(Table1[[#This Row],[HomeLat]])*SIN(Table1[[#This Row],[VisitorLat]]) +COS(Table1[[#This Row],[HomeLat]])*COS(Table1[[#This Row],[VisitorLat]])*COS(ABS(Table1[[#This Row],[HomeLong]] -Table1[[#This Row],[VisitorLong]]))))</f>
        <v>550.13561942068407</v>
      </c>
      <c r="X266" s="6">
        <f>VLOOKUP(Table1[[#This Row],[HomeTeam]],TeamAttrs!$A$2:$K$20,5,FALSE)</f>
        <v>3120000</v>
      </c>
      <c r="Y266" s="6">
        <f>VLOOKUP(Table1[[#This Row],[HomeTeam]],TeamAttrs!$A$2:$K$20,9,FALSE)</f>
        <v>19404</v>
      </c>
      <c r="Z266" s="6">
        <f>VLOOKUP(Table1[[#This Row],[HomeTeam]],TeamAttrs!$A$2:$K$20,10,FALSE)</f>
        <v>18467</v>
      </c>
      <c r="AA266" s="6">
        <f>VLOOKUP(Table1[[#This Row],[HomeTeam]],TeamAttrs!$A$2:$K$20,11,FALSE)</f>
        <v>1.0507391563329183</v>
      </c>
    </row>
    <row r="267" spans="1:27" x14ac:dyDescent="0.25">
      <c r="A267" s="1">
        <v>41167</v>
      </c>
      <c r="B267" t="s">
        <v>17</v>
      </c>
      <c r="C267" t="str">
        <f>VLOOKUP(Table1[[#This Row],[HomeTeam]], TeamAttrs!$A$2:$B$20,2,FALSE)</f>
        <v>Chi</v>
      </c>
      <c r="D267">
        <v>3</v>
      </c>
      <c r="E267">
        <v>1</v>
      </c>
      <c r="F267">
        <f>Table1[[#This Row],[HomeTeamScore]]-Table1[[#This Row],[VisitorScore]]</f>
        <v>2</v>
      </c>
      <c r="G267" t="s">
        <v>1</v>
      </c>
      <c r="H267" t="str">
        <f>VLOOKUP(Table1[[#This Row],[VisitorTeam]],TeamAttrs!$A$2:$B$20, 2, FALSE)</f>
        <v>Mntrl</v>
      </c>
      <c r="I267">
        <f t="shared" si="16"/>
        <v>1</v>
      </c>
      <c r="J267">
        <f t="shared" si="17"/>
        <v>0</v>
      </c>
      <c r="K267">
        <f t="shared" si="18"/>
        <v>0</v>
      </c>
      <c r="L267">
        <f>3*Table1[HomeWin] +Table1[Draw]</f>
        <v>3</v>
      </c>
      <c r="M267">
        <f>3*Table1[HomeLoss]+Table1[Draw]</f>
        <v>0</v>
      </c>
      <c r="N267">
        <f>VLOOKUP(B267,TeamAttrs!$A$2:$C$20,3,FALSE)</f>
        <v>6</v>
      </c>
      <c r="O267">
        <f>VLOOKUP(G267,TeamAttrs!$A$2:$C$20,3,FALSE)</f>
        <v>5</v>
      </c>
      <c r="P267">
        <f t="shared" si="19"/>
        <v>-1</v>
      </c>
      <c r="Q267">
        <f>VLOOKUP(B267,TeamAttrs!$A$2:$D$20,3,FALSE)</f>
        <v>6</v>
      </c>
      <c r="R267">
        <f>VLOOKUP(G267,TeamAttrs!$A$2:$D$20,3,FALSE)</f>
        <v>5</v>
      </c>
      <c r="S267">
        <f>RADIANS(VLOOKUP(Table1[[#This Row],[HomeTeam]],TeamAttrs!$A$2:$H$20,7, FALSE))</f>
        <v>0.72925615734854665</v>
      </c>
      <c r="T267">
        <f>RADIANS(VLOOKUP(Table1[[#This Row],[HomeTeam]],TeamAttrs!$A$2:$H$20, 8, FALSE))</f>
        <v>-1.5315264186250241</v>
      </c>
      <c r="U267">
        <f>RADIANS(VLOOKUP(Table1[[#This Row],[VisitorTeam]],TeamAttrs!$A$2:$H$20,7,FALSE))</f>
        <v>0.79354361501650583</v>
      </c>
      <c r="V267">
        <f>RADIANS(VLOOKUP(Table1[[#This Row],[VisitorTeam]], TeamAttrs!$A$2:$H$20,8,FALSE))</f>
        <v>-1.2871803233458181</v>
      </c>
      <c r="W267" s="5">
        <f>60*DEGREES(ACOS(SIN(Table1[[#This Row],[HomeLat]])*SIN(Table1[[#This Row],[VisitorLat]]) +COS(Table1[[#This Row],[HomeLat]])*COS(Table1[[#This Row],[VisitorLat]])*COS(ABS(Table1[[#This Row],[HomeLong]] -Table1[[#This Row],[VisitorLong]]))))</f>
        <v>645.92380343110551</v>
      </c>
      <c r="X267" s="6">
        <f>VLOOKUP(Table1[[#This Row],[HomeTeam]],TeamAttrs!$A$2:$K$20,5,FALSE)</f>
        <v>3230000</v>
      </c>
      <c r="Y267" s="6">
        <f>VLOOKUP(Table1[[#This Row],[HomeTeam]],TeamAttrs!$A$2:$K$20,9,FALSE)</f>
        <v>16407</v>
      </c>
      <c r="Z267" s="6">
        <f>VLOOKUP(Table1[[#This Row],[HomeTeam]],TeamAttrs!$A$2:$K$20,10,FALSE)</f>
        <v>20000</v>
      </c>
      <c r="AA267" s="6">
        <f>VLOOKUP(Table1[[#This Row],[HomeTeam]],TeamAttrs!$A$2:$K$20,11,FALSE)</f>
        <v>0.82035000000000002</v>
      </c>
    </row>
    <row r="268" spans="1:27" x14ac:dyDescent="0.25">
      <c r="A268" s="1">
        <v>41167</v>
      </c>
      <c r="B268" t="s">
        <v>2</v>
      </c>
      <c r="C268" t="str">
        <f>VLOOKUP(Table1[[#This Row],[HomeTeam]], TeamAttrs!$A$2:$B$20,2,FALSE)</f>
        <v>Chiv</v>
      </c>
      <c r="D268">
        <v>0</v>
      </c>
      <c r="E268">
        <v>2</v>
      </c>
      <c r="F268">
        <f>Table1[[#This Row],[HomeTeamScore]]-Table1[[#This Row],[VisitorScore]]</f>
        <v>-2</v>
      </c>
      <c r="G268" t="s">
        <v>5</v>
      </c>
      <c r="H268" t="str">
        <f>VLOOKUP(Table1[[#This Row],[VisitorTeam]],TeamAttrs!$A$2:$B$20, 2, FALSE)</f>
        <v>SJE</v>
      </c>
      <c r="I268">
        <f t="shared" si="16"/>
        <v>0</v>
      </c>
      <c r="J268">
        <f t="shared" si="17"/>
        <v>0</v>
      </c>
      <c r="K268">
        <f t="shared" si="18"/>
        <v>1</v>
      </c>
      <c r="L268">
        <f>3*Table1[HomeWin] +Table1[Draw]</f>
        <v>0</v>
      </c>
      <c r="M268">
        <f>3*Table1[HomeLoss]+Table1[Draw]</f>
        <v>3</v>
      </c>
      <c r="N268">
        <f>VLOOKUP(B268,TeamAttrs!$A$2:$C$20,3,FALSE)</f>
        <v>8</v>
      </c>
      <c r="O268">
        <f>VLOOKUP(G268,TeamAttrs!$A$2:$C$20,3,FALSE)</f>
        <v>8</v>
      </c>
      <c r="P268">
        <f t="shared" si="19"/>
        <v>0</v>
      </c>
      <c r="Q268">
        <f>VLOOKUP(B268,TeamAttrs!$A$2:$D$20,3,FALSE)</f>
        <v>8</v>
      </c>
      <c r="R268">
        <f>VLOOKUP(G268,TeamAttrs!$A$2:$D$20,3,FALSE)</f>
        <v>8</v>
      </c>
      <c r="S268">
        <f>RADIANS(VLOOKUP(Table1[[#This Row],[HomeTeam]],TeamAttrs!$A$2:$H$20,7, FALSE))</f>
        <v>0.59224781106699187</v>
      </c>
      <c r="T268">
        <f>RADIANS(VLOOKUP(Table1[[#This Row],[HomeTeam]],TeamAttrs!$A$2:$H$20, 8, FALSE))</f>
        <v>-2.0664698343612864</v>
      </c>
      <c r="U268">
        <f>RADIANS(VLOOKUP(Table1[[#This Row],[VisitorTeam]],TeamAttrs!$A$2:$H$20,7,FALSE))</f>
        <v>0.65217194560496516</v>
      </c>
      <c r="V268">
        <f>RADIANS(VLOOKUP(Table1[[#This Row],[VisitorTeam]], TeamAttrs!$A$2:$H$20,8,FALSE))</f>
        <v>-2.1281323168342459</v>
      </c>
      <c r="W268" s="5">
        <f>60*DEGREES(ACOS(SIN(Table1[[#This Row],[HomeLat]])*SIN(Table1[[#This Row],[VisitorLat]]) +COS(Table1[[#This Row],[HomeLat]])*COS(Table1[[#This Row],[VisitorLat]])*COS(ABS(Table1[[#This Row],[HomeLong]] -Table1[[#This Row],[VisitorLong]]))))</f>
        <v>268.48292730997031</v>
      </c>
      <c r="X268" s="6">
        <f>VLOOKUP(Table1[[#This Row],[HomeTeam]],TeamAttrs!$A$2:$K$20,5,FALSE)</f>
        <v>3230000</v>
      </c>
      <c r="Y268" s="6">
        <f>VLOOKUP(Table1[[#This Row],[HomeTeam]],TeamAttrs!$A$2:$K$20,9,FALSE)</f>
        <v>13056</v>
      </c>
      <c r="Z268" s="6">
        <f>VLOOKUP(Table1[[#This Row],[HomeTeam]],TeamAttrs!$A$2:$K$20,10,FALSE)</f>
        <v>18800</v>
      </c>
      <c r="AA268" s="6">
        <f>VLOOKUP(Table1[[#This Row],[HomeTeam]],TeamAttrs!$A$2:$K$20,11,FALSE)</f>
        <v>0.69446808510638303</v>
      </c>
    </row>
    <row r="269" spans="1:27" x14ac:dyDescent="0.25">
      <c r="A269" s="1">
        <v>41167</v>
      </c>
      <c r="B269" t="s">
        <v>3</v>
      </c>
      <c r="C269" t="str">
        <f>VLOOKUP(Table1[[#This Row],[HomeTeam]], TeamAttrs!$A$2:$B$20,2,FALSE)</f>
        <v>DCU</v>
      </c>
      <c r="D269">
        <v>2</v>
      </c>
      <c r="E269">
        <v>1</v>
      </c>
      <c r="F269">
        <f>Table1[[#This Row],[HomeTeamScore]]-Table1[[#This Row],[VisitorScore]]</f>
        <v>1</v>
      </c>
      <c r="G269" t="s">
        <v>9</v>
      </c>
      <c r="H269" t="str">
        <f>VLOOKUP(Table1[[#This Row],[VisitorTeam]],TeamAttrs!$A$2:$B$20, 2, FALSE)</f>
        <v>NE</v>
      </c>
      <c r="I269">
        <f t="shared" si="16"/>
        <v>1</v>
      </c>
      <c r="J269">
        <f t="shared" si="17"/>
        <v>0</v>
      </c>
      <c r="K269">
        <f t="shared" si="18"/>
        <v>0</v>
      </c>
      <c r="L269">
        <f>3*Table1[HomeWin] +Table1[Draw]</f>
        <v>3</v>
      </c>
      <c r="M269">
        <f>3*Table1[HomeLoss]+Table1[Draw]</f>
        <v>0</v>
      </c>
      <c r="N269">
        <f>VLOOKUP(B269,TeamAttrs!$A$2:$C$20,3,FALSE)</f>
        <v>5</v>
      </c>
      <c r="O269">
        <f>VLOOKUP(G269,TeamAttrs!$A$2:$C$20,3,FALSE)</f>
        <v>5</v>
      </c>
      <c r="P269">
        <f t="shared" si="19"/>
        <v>0</v>
      </c>
      <c r="Q269">
        <f>VLOOKUP(B269,TeamAttrs!$A$2:$D$20,3,FALSE)</f>
        <v>5</v>
      </c>
      <c r="R269">
        <f>VLOOKUP(G269,TeamAttrs!$A$2:$D$20,3,FALSE)</f>
        <v>5</v>
      </c>
      <c r="S269">
        <f>RADIANS(VLOOKUP(Table1[[#This Row],[HomeTeam]],TeamAttrs!$A$2:$H$20,7, FALSE))</f>
        <v>0.67806041439979703</v>
      </c>
      <c r="T269">
        <f>RADIANS(VLOOKUP(Table1[[#This Row],[HomeTeam]],TeamAttrs!$A$2:$H$20, 8, FALSE))</f>
        <v>-1.3444847186765478</v>
      </c>
      <c r="U269">
        <f>RADIANS(VLOOKUP(Table1[[#This Row],[VisitorTeam]],TeamAttrs!$A$2:$H$20,7,FALSE))</f>
        <v>0.73943840820468165</v>
      </c>
      <c r="V269">
        <f>RADIANS(VLOOKUP(Table1[[#This Row],[VisitorTeam]], TeamAttrs!$A$2:$H$20,8,FALSE))</f>
        <v>-1.2397649635568881</v>
      </c>
      <c r="W269" s="5">
        <f>60*DEGREES(ACOS(SIN(Table1[[#This Row],[HomeLat]])*SIN(Table1[[#This Row],[VisitorLat]]) +COS(Table1[[#This Row],[HomeLat]])*COS(Table1[[#This Row],[VisitorLat]])*COS(ABS(Table1[[#This Row],[HomeLong]] -Table1[[#This Row],[VisitorLong]]))))</f>
        <v>345.12686114153212</v>
      </c>
      <c r="X269" s="6">
        <f>VLOOKUP(Table1[[#This Row],[HomeTeam]],TeamAttrs!$A$2:$K$20,5,FALSE)</f>
        <v>4190000.0000000005</v>
      </c>
      <c r="Y269" s="6">
        <f>VLOOKUP(Table1[[#This Row],[HomeTeam]],TeamAttrs!$A$2:$K$20,9,FALSE)</f>
        <v>13846</v>
      </c>
      <c r="Z269" s="6">
        <f>VLOOKUP(Table1[[#This Row],[HomeTeam]],TeamAttrs!$A$2:$K$20,10,FALSE)</f>
        <v>19467</v>
      </c>
      <c r="AA269" s="6">
        <f>VLOOKUP(Table1[[#This Row],[HomeTeam]],TeamAttrs!$A$2:$K$20,11,FALSE)</f>
        <v>0.71125494426465297</v>
      </c>
    </row>
    <row r="270" spans="1:27" x14ac:dyDescent="0.25">
      <c r="A270" s="1">
        <v>41167</v>
      </c>
      <c r="B270" t="s">
        <v>7</v>
      </c>
      <c r="C270" t="str">
        <f>VLOOKUP(Table1[[#This Row],[HomeTeam]], TeamAttrs!$A$2:$B$20,2,FALSE)</f>
        <v>FCDal</v>
      </c>
      <c r="D270">
        <v>1</v>
      </c>
      <c r="E270">
        <v>0</v>
      </c>
      <c r="F270">
        <f>Table1[[#This Row],[HomeTeamScore]]-Table1[[#This Row],[VisitorScore]]</f>
        <v>1</v>
      </c>
      <c r="G270" t="s">
        <v>0</v>
      </c>
      <c r="H270" t="str">
        <f>VLOOKUP(Table1[[#This Row],[VisitorTeam]],TeamAttrs!$A$2:$B$20, 2, FALSE)</f>
        <v>Van</v>
      </c>
      <c r="I270">
        <f t="shared" si="16"/>
        <v>1</v>
      </c>
      <c r="J270">
        <f t="shared" si="17"/>
        <v>0</v>
      </c>
      <c r="K270">
        <f t="shared" si="18"/>
        <v>0</v>
      </c>
      <c r="L270">
        <f>3*Table1[HomeWin] +Table1[Draw]</f>
        <v>3</v>
      </c>
      <c r="M270">
        <f>3*Table1[HomeLoss]+Table1[Draw]</f>
        <v>0</v>
      </c>
      <c r="N270">
        <f>VLOOKUP(B270,TeamAttrs!$A$2:$C$20,3,FALSE)</f>
        <v>6</v>
      </c>
      <c r="O270">
        <f>VLOOKUP(G270,TeamAttrs!$A$2:$C$20,3,FALSE)</f>
        <v>8</v>
      </c>
      <c r="P270">
        <f t="shared" si="19"/>
        <v>2</v>
      </c>
      <c r="Q270">
        <f>VLOOKUP(B270,TeamAttrs!$A$2:$D$20,3,FALSE)</f>
        <v>6</v>
      </c>
      <c r="R270">
        <f>VLOOKUP(G270,TeamAttrs!$A$2:$D$20,3,FALSE)</f>
        <v>8</v>
      </c>
      <c r="S270">
        <f>RADIANS(VLOOKUP(Table1[[#This Row],[HomeTeam]],TeamAttrs!$A$2:$H$20,7, FALSE))</f>
        <v>0.57334065928013733</v>
      </c>
      <c r="T270">
        <f>RADIANS(VLOOKUP(Table1[[#This Row],[HomeTeam]],TeamAttrs!$A$2:$H$20, 8, FALSE))</f>
        <v>-1.690351380556508</v>
      </c>
      <c r="U270">
        <f>RADIANS(VLOOKUP(Table1[[#This Row],[VisitorTeam]],TeamAttrs!$A$2:$H$20,7,FALSE))</f>
        <v>0.86015585124812133</v>
      </c>
      <c r="V270">
        <f>RADIANS(VLOOKUP(Table1[[#This Row],[VisitorTeam]], TeamAttrs!$A$2:$H$20,8,FALSE))</f>
        <v>-2.1487970151778586</v>
      </c>
      <c r="W270" s="5">
        <f>60*DEGREES(ACOS(SIN(Table1[[#This Row],[HomeLat]])*SIN(Table1[[#This Row],[VisitorLat]]) +COS(Table1[[#This Row],[HomeLat]])*COS(Table1[[#This Row],[VisitorLat]])*COS(ABS(Table1[[#This Row],[HomeLong]] -Table1[[#This Row],[VisitorLong]]))))</f>
        <v>1530.1772523180741</v>
      </c>
      <c r="X270" s="6">
        <f>VLOOKUP(Table1[[#This Row],[HomeTeam]],TeamAttrs!$A$2:$K$20,5,FALSE)</f>
        <v>3450000</v>
      </c>
      <c r="Y270" s="6">
        <f>VLOOKUP(Table1[[#This Row],[HomeTeam]],TeamAttrs!$A$2:$K$20,9,FALSE)</f>
        <v>14199</v>
      </c>
      <c r="Z270" s="6">
        <f>VLOOKUP(Table1[[#This Row],[HomeTeam]],TeamAttrs!$A$2:$K$20,10,FALSE)</f>
        <v>20500</v>
      </c>
      <c r="AA270" s="6">
        <f>VLOOKUP(Table1[[#This Row],[HomeTeam]],TeamAttrs!$A$2:$K$20,11,FALSE)</f>
        <v>0.69263414634146336</v>
      </c>
    </row>
    <row r="271" spans="1:27" x14ac:dyDescent="0.25">
      <c r="A271" s="1">
        <v>41167</v>
      </c>
      <c r="B271" t="s">
        <v>15</v>
      </c>
      <c r="C271" t="str">
        <f>VLOOKUP(Table1[[#This Row],[HomeTeam]], TeamAttrs!$A$2:$B$20,2,FALSE)</f>
        <v>NY</v>
      </c>
      <c r="D271">
        <v>3</v>
      </c>
      <c r="E271">
        <v>1</v>
      </c>
      <c r="F271">
        <f>Table1[[#This Row],[HomeTeamScore]]-Table1[[#This Row],[VisitorScore]]</f>
        <v>2</v>
      </c>
      <c r="G271" t="s">
        <v>8</v>
      </c>
      <c r="H271" t="str">
        <f>VLOOKUP(Table1[[#This Row],[VisitorTeam]],TeamAttrs!$A$2:$B$20, 2, FALSE)</f>
        <v>Colum</v>
      </c>
      <c r="I271">
        <f t="shared" si="16"/>
        <v>1</v>
      </c>
      <c r="J271">
        <f t="shared" si="17"/>
        <v>0</v>
      </c>
      <c r="K271">
        <f t="shared" si="18"/>
        <v>0</v>
      </c>
      <c r="L271">
        <f>3*Table1[HomeWin] +Table1[Draw]</f>
        <v>3</v>
      </c>
      <c r="M271">
        <f>3*Table1[HomeLoss]+Table1[Draw]</f>
        <v>0</v>
      </c>
      <c r="N271">
        <f>VLOOKUP(B271,TeamAttrs!$A$2:$C$20,3,FALSE)</f>
        <v>5</v>
      </c>
      <c r="O271">
        <f>VLOOKUP(G271,TeamAttrs!$A$2:$C$20,3,FALSE)</f>
        <v>5</v>
      </c>
      <c r="P271">
        <f t="shared" si="19"/>
        <v>0</v>
      </c>
      <c r="Q271">
        <f>VLOOKUP(B271,TeamAttrs!$A$2:$D$20,3,FALSE)</f>
        <v>5</v>
      </c>
      <c r="R271">
        <f>VLOOKUP(G271,TeamAttrs!$A$2:$D$20,3,FALSE)</f>
        <v>5</v>
      </c>
      <c r="S271">
        <f>RADIANS(VLOOKUP(Table1[[#This Row],[HomeTeam]],TeamAttrs!$A$2:$H$20,7, FALSE))</f>
        <v>0.71180286482860333</v>
      </c>
      <c r="T271">
        <f>RADIANS(VLOOKUP(Table1[[#This Row],[HomeTeam]],TeamAttrs!$A$2:$H$20, 8, FALSE))</f>
        <v>-1.2909624518348899</v>
      </c>
      <c r="U271">
        <f>RADIANS(VLOOKUP(Table1[[#This Row],[VisitorTeam]],TeamAttrs!$A$2:$H$20,7,FALSE))</f>
        <v>0.69813170079773179</v>
      </c>
      <c r="V271">
        <f>RADIANS(VLOOKUP(Table1[[#This Row],[VisitorTeam]], TeamAttrs!$A$2:$H$20,8,FALSE))</f>
        <v>-1.4465864799182162</v>
      </c>
      <c r="W271" s="5">
        <f>60*DEGREES(ACOS(SIN(Table1[[#This Row],[HomeLat]])*SIN(Table1[[#This Row],[VisitorLat]]) +COS(Table1[[#This Row],[HomeLat]])*COS(Table1[[#This Row],[VisitorLat]])*COS(ABS(Table1[[#This Row],[HomeLong]] -Table1[[#This Row],[VisitorLong]]))))</f>
        <v>409.99016886467456</v>
      </c>
      <c r="X271" s="6">
        <f>VLOOKUP(Table1[[#This Row],[HomeTeam]],TeamAttrs!$A$2:$K$20,5,FALSE)</f>
        <v>12960000</v>
      </c>
      <c r="Y271" s="6">
        <f>VLOOKUP(Table1[[#This Row],[HomeTeam]],TeamAttrs!$A$2:$K$20,9,FALSE)</f>
        <v>18281</v>
      </c>
      <c r="Z271" s="6">
        <f>VLOOKUP(Table1[[#This Row],[HomeTeam]],TeamAttrs!$A$2:$K$20,10,FALSE)</f>
        <v>25000</v>
      </c>
      <c r="AA271" s="6">
        <f>VLOOKUP(Table1[[#This Row],[HomeTeam]],TeamAttrs!$A$2:$K$20,11,FALSE)</f>
        <v>0.73124</v>
      </c>
    </row>
    <row r="272" spans="1:27" x14ac:dyDescent="0.25">
      <c r="A272" s="1">
        <v>41167</v>
      </c>
      <c r="B272" t="s">
        <v>12</v>
      </c>
      <c r="C272" t="str">
        <f>VLOOKUP(Table1[[#This Row],[HomeTeam]], TeamAttrs!$A$2:$B$20,2,FALSE)</f>
        <v>Port</v>
      </c>
      <c r="D272">
        <v>1</v>
      </c>
      <c r="E272">
        <v>1</v>
      </c>
      <c r="F272">
        <f>Table1[[#This Row],[HomeTeamScore]]-Table1[[#This Row],[VisitorScore]]</f>
        <v>0</v>
      </c>
      <c r="G272" t="s">
        <v>11</v>
      </c>
      <c r="H272" t="str">
        <f>VLOOKUP(Table1[[#This Row],[VisitorTeam]],TeamAttrs!$A$2:$B$20, 2, FALSE)</f>
        <v>SEA</v>
      </c>
      <c r="I272">
        <f t="shared" si="16"/>
        <v>0</v>
      </c>
      <c r="J272">
        <f t="shared" si="17"/>
        <v>1</v>
      </c>
      <c r="K272">
        <f t="shared" si="18"/>
        <v>0</v>
      </c>
      <c r="L272">
        <f>3*Table1[HomeWin] +Table1[Draw]</f>
        <v>1</v>
      </c>
      <c r="M272">
        <f>3*Table1[HomeLoss]+Table1[Draw]</f>
        <v>1</v>
      </c>
      <c r="N272">
        <f>VLOOKUP(B272,TeamAttrs!$A$2:$C$20,3,FALSE)</f>
        <v>8</v>
      </c>
      <c r="O272">
        <f>VLOOKUP(G272,TeamAttrs!$A$2:$C$20,3,FALSE)</f>
        <v>8</v>
      </c>
      <c r="P272">
        <f t="shared" si="19"/>
        <v>0</v>
      </c>
      <c r="Q272">
        <f>VLOOKUP(B272,TeamAttrs!$A$2:$D$20,3,FALSE)</f>
        <v>8</v>
      </c>
      <c r="R272">
        <f>VLOOKUP(G272,TeamAttrs!$A$2:$D$20,3,FALSE)</f>
        <v>8</v>
      </c>
      <c r="S272">
        <f>RADIANS(VLOOKUP(Table1[[#This Row],[HomeTeam]],TeamAttrs!$A$2:$H$20,7, FALSE))</f>
        <v>0.79587013890941427</v>
      </c>
      <c r="T272">
        <f>RADIANS(VLOOKUP(Table1[[#This Row],[HomeTeam]],TeamAttrs!$A$2:$H$20, 8, FALSE))</f>
        <v>-2.1397736629450481</v>
      </c>
      <c r="U272">
        <f>RADIANS(VLOOKUP(Table1[[#This Row],[VisitorTeam]],TeamAttrs!$A$2:$H$20,7,FALSE))</f>
        <v>0.83164938857529802</v>
      </c>
      <c r="V272">
        <f>RADIANS(VLOOKUP(Table1[[#This Row],[VisitorTeam]], TeamAttrs!$A$2:$H$20,8,FALSE))</f>
        <v>-2.134537675189065</v>
      </c>
      <c r="W272" s="5">
        <f>60*DEGREES(ACOS(SIN(Table1[[#This Row],[HomeLat]])*SIN(Table1[[#This Row],[VisitorLat]]) +COS(Table1[[#This Row],[HomeLat]])*COS(Table1[[#This Row],[VisitorLat]])*COS(ABS(Table1[[#This Row],[HomeLong]] -Table1[[#This Row],[VisitorLong]]))))</f>
        <v>123.61935321741947</v>
      </c>
      <c r="X272" s="6">
        <f>VLOOKUP(Table1[[#This Row],[HomeTeam]],TeamAttrs!$A$2:$K$20,5,FALSE)</f>
        <v>4160000</v>
      </c>
      <c r="Y272" s="6">
        <f>VLOOKUP(Table1[[#This Row],[HomeTeam]],TeamAttrs!$A$2:$K$20,9,FALSE)</f>
        <v>20438</v>
      </c>
      <c r="Z272" s="6">
        <f>VLOOKUP(Table1[[#This Row],[HomeTeam]],TeamAttrs!$A$2:$K$20,10,FALSE)</f>
        <v>20438</v>
      </c>
      <c r="AA272" s="6">
        <f>VLOOKUP(Table1[[#This Row],[HomeTeam]],TeamAttrs!$A$2:$K$20,11,FALSE)</f>
        <v>1</v>
      </c>
    </row>
    <row r="273" spans="1:27" x14ac:dyDescent="0.25">
      <c r="A273" s="1">
        <v>41167</v>
      </c>
      <c r="B273" t="s">
        <v>10</v>
      </c>
      <c r="C273" t="str">
        <f>VLOOKUP(Table1[[#This Row],[HomeTeam]], TeamAttrs!$A$2:$B$20,2,FALSE)</f>
        <v>Tor</v>
      </c>
      <c r="D273">
        <v>1</v>
      </c>
      <c r="E273">
        <v>1</v>
      </c>
      <c r="F273">
        <f>Table1[[#This Row],[HomeTeamScore]]-Table1[[#This Row],[VisitorScore]]</f>
        <v>0</v>
      </c>
      <c r="G273" t="s">
        <v>4</v>
      </c>
      <c r="H273" t="str">
        <f>VLOOKUP(Table1[[#This Row],[VisitorTeam]],TeamAttrs!$A$2:$B$20, 2, FALSE)</f>
        <v>Phil</v>
      </c>
      <c r="I273">
        <f t="shared" si="16"/>
        <v>0</v>
      </c>
      <c r="J273">
        <f t="shared" si="17"/>
        <v>1</v>
      </c>
      <c r="K273">
        <f t="shared" si="18"/>
        <v>0</v>
      </c>
      <c r="L273">
        <f>3*Table1[HomeWin] +Table1[Draw]</f>
        <v>1</v>
      </c>
      <c r="M273">
        <f>3*Table1[HomeLoss]+Table1[Draw]</f>
        <v>1</v>
      </c>
      <c r="N273">
        <f>VLOOKUP(B273,TeamAttrs!$A$2:$C$20,3,FALSE)</f>
        <v>5</v>
      </c>
      <c r="O273">
        <f>VLOOKUP(G273,TeamAttrs!$A$2:$C$20,3,FALSE)</f>
        <v>5</v>
      </c>
      <c r="P273">
        <f t="shared" si="19"/>
        <v>0</v>
      </c>
      <c r="Q273">
        <f>VLOOKUP(B273,TeamAttrs!$A$2:$D$20,3,FALSE)</f>
        <v>5</v>
      </c>
      <c r="R273">
        <f>VLOOKUP(G273,TeamAttrs!$A$2:$D$20,3,FALSE)</f>
        <v>5</v>
      </c>
      <c r="S273">
        <f>RADIANS(VLOOKUP(Table1[[#This Row],[HomeTeam]],TeamAttrs!$A$2:$H$20,7, FALSE))</f>
        <v>0.76241741313643896</v>
      </c>
      <c r="T273">
        <f>RADIANS(VLOOKUP(Table1[[#This Row],[HomeTeam]],TeamAttrs!$A$2:$H$20, 8, FALSE))</f>
        <v>-1.3898632792284005</v>
      </c>
      <c r="U273">
        <f>RADIANS(VLOOKUP(Table1[[#This Row],[VisitorTeam]],TeamAttrs!$A$2:$H$20,7,FALSE))</f>
        <v>0.69609490156065446</v>
      </c>
      <c r="V273">
        <f>RADIANS(VLOOKUP(Table1[[#This Row],[VisitorTeam]], TeamAttrs!$A$2:$H$20,8,FALSE))</f>
        <v>-1.313360262125733</v>
      </c>
      <c r="W273" s="5">
        <f>60*DEGREES(ACOS(SIN(Table1[[#This Row],[HomeLat]])*SIN(Table1[[#This Row],[VisitorLat]]) +COS(Table1[[#This Row],[HomeLat]])*COS(Table1[[#This Row],[VisitorLat]])*COS(ABS(Table1[[#This Row],[HomeLong]] -Table1[[#This Row],[VisitorLong]]))))</f>
        <v>300.6440368474797</v>
      </c>
      <c r="X273" s="6">
        <f>VLOOKUP(Table1[[#This Row],[HomeTeam]],TeamAttrs!$A$2:$K$20,5,FALSE)</f>
        <v>8250000</v>
      </c>
      <c r="Y273" s="6">
        <f>VLOOKUP(Table1[[#This Row],[HomeTeam]],TeamAttrs!$A$2:$K$20,9,FALSE)</f>
        <v>18155</v>
      </c>
      <c r="Z273" s="6">
        <f>VLOOKUP(Table1[[#This Row],[HomeTeam]],TeamAttrs!$A$2:$K$20,10,FALSE)</f>
        <v>21140</v>
      </c>
      <c r="AA273" s="6">
        <f>VLOOKUP(Table1[[#This Row],[HomeTeam]],TeamAttrs!$A$2:$K$20,11,FALSE)</f>
        <v>0.85879848628193001</v>
      </c>
    </row>
    <row r="274" spans="1:27" x14ac:dyDescent="0.25">
      <c r="A274" s="1">
        <v>41171</v>
      </c>
      <c r="B274" t="s">
        <v>8</v>
      </c>
      <c r="C274" t="str">
        <f>VLOOKUP(Table1[[#This Row],[HomeTeam]], TeamAttrs!$A$2:$B$20,2,FALSE)</f>
        <v>Colum</v>
      </c>
      <c r="D274">
        <v>1</v>
      </c>
      <c r="E274">
        <v>0</v>
      </c>
      <c r="F274">
        <f>Table1[[#This Row],[HomeTeamScore]]-Table1[[#This Row],[VisitorScore]]</f>
        <v>1</v>
      </c>
      <c r="G274" t="s">
        <v>2</v>
      </c>
      <c r="H274" t="str">
        <f>VLOOKUP(Table1[[#This Row],[VisitorTeam]],TeamAttrs!$A$2:$B$20, 2, FALSE)</f>
        <v>Chiv</v>
      </c>
      <c r="I274">
        <f t="shared" si="16"/>
        <v>1</v>
      </c>
      <c r="J274">
        <f t="shared" si="17"/>
        <v>0</v>
      </c>
      <c r="K274">
        <f t="shared" si="18"/>
        <v>0</v>
      </c>
      <c r="L274">
        <f>3*Table1[HomeWin] +Table1[Draw]</f>
        <v>3</v>
      </c>
      <c r="M274">
        <f>3*Table1[HomeLoss]+Table1[Draw]</f>
        <v>0</v>
      </c>
      <c r="N274">
        <f>VLOOKUP(B274,TeamAttrs!$A$2:$C$20,3,FALSE)</f>
        <v>5</v>
      </c>
      <c r="O274">
        <f>VLOOKUP(G274,TeamAttrs!$A$2:$C$20,3,FALSE)</f>
        <v>8</v>
      </c>
      <c r="P274">
        <f t="shared" si="19"/>
        <v>3</v>
      </c>
      <c r="Q274">
        <f>VLOOKUP(B274,TeamAttrs!$A$2:$D$20,3,FALSE)</f>
        <v>5</v>
      </c>
      <c r="R274">
        <f>VLOOKUP(G274,TeamAttrs!$A$2:$D$20,3,FALSE)</f>
        <v>8</v>
      </c>
      <c r="S274">
        <f>RADIANS(VLOOKUP(Table1[[#This Row],[HomeTeam]],TeamAttrs!$A$2:$H$20,7, FALSE))</f>
        <v>0.69813170079773179</v>
      </c>
      <c r="T274">
        <f>RADIANS(VLOOKUP(Table1[[#This Row],[HomeTeam]],TeamAttrs!$A$2:$H$20, 8, FALSE))</f>
        <v>-1.4465864799182162</v>
      </c>
      <c r="U274">
        <f>RADIANS(VLOOKUP(Table1[[#This Row],[VisitorTeam]],TeamAttrs!$A$2:$H$20,7,FALSE))</f>
        <v>0.59224781106699187</v>
      </c>
      <c r="V274">
        <f>RADIANS(VLOOKUP(Table1[[#This Row],[VisitorTeam]], TeamAttrs!$A$2:$H$20,8,FALSE))</f>
        <v>-2.0664698343612864</v>
      </c>
      <c r="W274" s="5">
        <f>60*DEGREES(ACOS(SIN(Table1[[#This Row],[HomeLat]])*SIN(Table1[[#This Row],[VisitorLat]]) +COS(Table1[[#This Row],[HomeLat]])*COS(Table1[[#This Row],[VisitorLat]])*COS(ABS(Table1[[#This Row],[HomeLong]] -Table1[[#This Row],[VisitorLong]]))))</f>
        <v>1729.132878944027</v>
      </c>
      <c r="X274" s="6">
        <f>VLOOKUP(Table1[[#This Row],[HomeTeam]],TeamAttrs!$A$2:$K$20,5,FALSE)</f>
        <v>3330000</v>
      </c>
      <c r="Y274" s="6">
        <f>VLOOKUP(Table1[[#This Row],[HomeTeam]],TeamAttrs!$A$2:$K$20,9,FALSE)</f>
        <v>14397</v>
      </c>
      <c r="Z274" s="6">
        <f>VLOOKUP(Table1[[#This Row],[HomeTeam]],TeamAttrs!$A$2:$K$20,10,FALSE)</f>
        <v>20145</v>
      </c>
      <c r="AA274" s="6">
        <f>VLOOKUP(Table1[[#This Row],[HomeTeam]],TeamAttrs!$A$2:$K$20,11,FALSE)</f>
        <v>0.71466865227103504</v>
      </c>
    </row>
    <row r="275" spans="1:27" x14ac:dyDescent="0.25">
      <c r="A275" s="1">
        <v>41171</v>
      </c>
      <c r="B275" t="s">
        <v>15</v>
      </c>
      <c r="C275" t="str">
        <f>VLOOKUP(Table1[[#This Row],[HomeTeam]], TeamAttrs!$A$2:$B$20,2,FALSE)</f>
        <v>NY</v>
      </c>
      <c r="D275">
        <v>0</v>
      </c>
      <c r="E275">
        <v>2</v>
      </c>
      <c r="F275">
        <f>Table1[[#This Row],[HomeTeamScore]]-Table1[[#This Row],[VisitorScore]]</f>
        <v>-2</v>
      </c>
      <c r="G275" t="s">
        <v>6</v>
      </c>
      <c r="H275" t="str">
        <f>VLOOKUP(Table1[[#This Row],[VisitorTeam]],TeamAttrs!$A$2:$B$20, 2, FALSE)</f>
        <v>SKC</v>
      </c>
      <c r="I275">
        <f t="shared" si="16"/>
        <v>0</v>
      </c>
      <c r="J275">
        <f t="shared" si="17"/>
        <v>0</v>
      </c>
      <c r="K275">
        <f t="shared" si="18"/>
        <v>1</v>
      </c>
      <c r="L275">
        <f>3*Table1[HomeWin] +Table1[Draw]</f>
        <v>0</v>
      </c>
      <c r="M275">
        <f>3*Table1[HomeLoss]+Table1[Draw]</f>
        <v>3</v>
      </c>
      <c r="N275">
        <f>VLOOKUP(B275,TeamAttrs!$A$2:$C$20,3,FALSE)</f>
        <v>5</v>
      </c>
      <c r="O275">
        <f>VLOOKUP(G275,TeamAttrs!$A$2:$C$20,3,FALSE)</f>
        <v>6</v>
      </c>
      <c r="P275">
        <f t="shared" si="19"/>
        <v>1</v>
      </c>
      <c r="Q275">
        <f>VLOOKUP(B275,TeamAttrs!$A$2:$D$20,3,FALSE)</f>
        <v>5</v>
      </c>
      <c r="R275">
        <f>VLOOKUP(G275,TeamAttrs!$A$2:$D$20,3,FALSE)</f>
        <v>6</v>
      </c>
      <c r="S275">
        <f>RADIANS(VLOOKUP(Table1[[#This Row],[HomeTeam]],TeamAttrs!$A$2:$H$20,7, FALSE))</f>
        <v>0.71180286482860333</v>
      </c>
      <c r="T275">
        <f>RADIANS(VLOOKUP(Table1[[#This Row],[HomeTeam]],TeamAttrs!$A$2:$H$20, 8, FALSE))</f>
        <v>-1.2909624518348899</v>
      </c>
      <c r="U275">
        <f>RADIANS(VLOOKUP(Table1[[#This Row],[VisitorTeam]],TeamAttrs!$A$2:$H$20,7,FALSE))</f>
        <v>0.68271520751486592</v>
      </c>
      <c r="V275">
        <f>RADIANS(VLOOKUP(Table1[[#This Row],[VisitorTeam]], TeamAttrs!$A$2:$H$20,8,FALSE))</f>
        <v>-1.65166266702755</v>
      </c>
      <c r="W275" s="5">
        <f>60*DEGREES(ACOS(SIN(Table1[[#This Row],[HomeLat]])*SIN(Table1[[#This Row],[VisitorLat]]) +COS(Table1[[#This Row],[HomeLat]])*COS(Table1[[#This Row],[VisitorLat]])*COS(ABS(Table1[[#This Row],[HomeLong]] -Table1[[#This Row],[VisitorLong]]))))</f>
        <v>953.60066247058421</v>
      </c>
      <c r="X275" s="6">
        <f>VLOOKUP(Table1[[#This Row],[HomeTeam]],TeamAttrs!$A$2:$K$20,5,FALSE)</f>
        <v>12960000</v>
      </c>
      <c r="Y275" s="6">
        <f>VLOOKUP(Table1[[#This Row],[HomeTeam]],TeamAttrs!$A$2:$K$20,9,FALSE)</f>
        <v>18281</v>
      </c>
      <c r="Z275" s="6">
        <f>VLOOKUP(Table1[[#This Row],[HomeTeam]],TeamAttrs!$A$2:$K$20,10,FALSE)</f>
        <v>25000</v>
      </c>
      <c r="AA275" s="6">
        <f>VLOOKUP(Table1[[#This Row],[HomeTeam]],TeamAttrs!$A$2:$K$20,11,FALSE)</f>
        <v>0.73124</v>
      </c>
    </row>
    <row r="276" spans="1:27" x14ac:dyDescent="0.25">
      <c r="A276" s="1">
        <v>41171</v>
      </c>
      <c r="B276" t="s">
        <v>5</v>
      </c>
      <c r="C276" t="str">
        <f>VLOOKUP(Table1[[#This Row],[HomeTeam]], TeamAttrs!$A$2:$B$20,2,FALSE)</f>
        <v>SJE</v>
      </c>
      <c r="D276">
        <v>2</v>
      </c>
      <c r="E276">
        <v>2</v>
      </c>
      <c r="F276">
        <f>Table1[[#This Row],[HomeTeamScore]]-Table1[[#This Row],[VisitorScore]]</f>
        <v>0</v>
      </c>
      <c r="G276" t="s">
        <v>12</v>
      </c>
      <c r="H276" t="str">
        <f>VLOOKUP(Table1[[#This Row],[VisitorTeam]],TeamAttrs!$A$2:$B$20, 2, FALSE)</f>
        <v>Port</v>
      </c>
      <c r="I276">
        <f t="shared" si="16"/>
        <v>0</v>
      </c>
      <c r="J276">
        <f t="shared" si="17"/>
        <v>1</v>
      </c>
      <c r="K276">
        <f t="shared" si="18"/>
        <v>0</v>
      </c>
      <c r="L276">
        <f>3*Table1[HomeWin] +Table1[Draw]</f>
        <v>1</v>
      </c>
      <c r="M276">
        <f>3*Table1[HomeLoss]+Table1[Draw]</f>
        <v>1</v>
      </c>
      <c r="N276">
        <f>VLOOKUP(B276,TeamAttrs!$A$2:$C$20,3,FALSE)</f>
        <v>8</v>
      </c>
      <c r="O276">
        <f>VLOOKUP(G276,TeamAttrs!$A$2:$C$20,3,FALSE)</f>
        <v>8</v>
      </c>
      <c r="P276">
        <f t="shared" si="19"/>
        <v>0</v>
      </c>
      <c r="Q276">
        <f>VLOOKUP(B276,TeamAttrs!$A$2:$D$20,3,FALSE)</f>
        <v>8</v>
      </c>
      <c r="R276">
        <f>VLOOKUP(G276,TeamAttrs!$A$2:$D$20,3,FALSE)</f>
        <v>8</v>
      </c>
      <c r="S276">
        <f>RADIANS(VLOOKUP(Table1[[#This Row],[HomeTeam]],TeamAttrs!$A$2:$H$20,7, FALSE))</f>
        <v>0.65217194560496516</v>
      </c>
      <c r="T276">
        <f>RADIANS(VLOOKUP(Table1[[#This Row],[HomeTeam]],TeamAttrs!$A$2:$H$20, 8, FALSE))</f>
        <v>-2.1281323168342459</v>
      </c>
      <c r="U276">
        <f>RADIANS(VLOOKUP(Table1[[#This Row],[VisitorTeam]],TeamAttrs!$A$2:$H$20,7,FALSE))</f>
        <v>0.79587013890941427</v>
      </c>
      <c r="V276">
        <f>RADIANS(VLOOKUP(Table1[[#This Row],[VisitorTeam]], TeamAttrs!$A$2:$H$20,8,FALSE))</f>
        <v>-2.1397736629450481</v>
      </c>
      <c r="W276" s="5">
        <f>60*DEGREES(ACOS(SIN(Table1[[#This Row],[HomeLat]])*SIN(Table1[[#This Row],[VisitorLat]]) +COS(Table1[[#This Row],[HomeLat]])*COS(Table1[[#This Row],[VisitorLat]])*COS(ABS(Table1[[#This Row],[HomeLong]] -Table1[[#This Row],[VisitorLong]]))))</f>
        <v>494.90170074246748</v>
      </c>
      <c r="X276" s="6">
        <f>VLOOKUP(Table1[[#This Row],[HomeTeam]],TeamAttrs!$A$2:$K$20,5,FALSE)</f>
        <v>3210000</v>
      </c>
      <c r="Y276" s="6">
        <f>VLOOKUP(Table1[[#This Row],[HomeTeam]],TeamAttrs!$A$2:$K$20,9,FALSE)</f>
        <v>13293</v>
      </c>
      <c r="Z276" s="6">
        <f>VLOOKUP(Table1[[#This Row],[HomeTeam]],TeamAttrs!$A$2:$K$20,10,FALSE)</f>
        <v>10525</v>
      </c>
      <c r="AA276" s="6">
        <f>VLOOKUP(Table1[[#This Row],[HomeTeam]],TeamAttrs!$A$2:$K$20,11,FALSE)</f>
        <v>1.2629928741092638</v>
      </c>
    </row>
    <row r="277" spans="1:27" x14ac:dyDescent="0.25">
      <c r="A277" s="1">
        <v>41172</v>
      </c>
      <c r="B277" t="s">
        <v>4</v>
      </c>
      <c r="C277" t="str">
        <f>VLOOKUP(Table1[[#This Row],[HomeTeam]], TeamAttrs!$A$2:$B$20,2,FALSE)</f>
        <v>Phil</v>
      </c>
      <c r="D277">
        <v>0</v>
      </c>
      <c r="E277">
        <v>1</v>
      </c>
      <c r="F277">
        <f>Table1[[#This Row],[HomeTeamScore]]-Table1[[#This Row],[VisitorScore]]</f>
        <v>-1</v>
      </c>
      <c r="G277" t="s">
        <v>3</v>
      </c>
      <c r="H277" t="str">
        <f>VLOOKUP(Table1[[#This Row],[VisitorTeam]],TeamAttrs!$A$2:$B$20, 2, FALSE)</f>
        <v>DCU</v>
      </c>
      <c r="I277">
        <f t="shared" si="16"/>
        <v>0</v>
      </c>
      <c r="J277">
        <f t="shared" si="17"/>
        <v>0</v>
      </c>
      <c r="K277">
        <f t="shared" si="18"/>
        <v>1</v>
      </c>
      <c r="L277">
        <f>3*Table1[HomeWin] +Table1[Draw]</f>
        <v>0</v>
      </c>
      <c r="M277">
        <f>3*Table1[HomeLoss]+Table1[Draw]</f>
        <v>3</v>
      </c>
      <c r="N277">
        <f>VLOOKUP(B277,TeamAttrs!$A$2:$C$20,3,FALSE)</f>
        <v>5</v>
      </c>
      <c r="O277">
        <f>VLOOKUP(G277,TeamAttrs!$A$2:$C$20,3,FALSE)</f>
        <v>5</v>
      </c>
      <c r="P277">
        <f t="shared" si="19"/>
        <v>0</v>
      </c>
      <c r="Q277">
        <f>VLOOKUP(B277,TeamAttrs!$A$2:$D$20,3,FALSE)</f>
        <v>5</v>
      </c>
      <c r="R277">
        <f>VLOOKUP(G277,TeamAttrs!$A$2:$D$20,3,FALSE)</f>
        <v>5</v>
      </c>
      <c r="S277">
        <f>RADIANS(VLOOKUP(Table1[[#This Row],[HomeTeam]],TeamAttrs!$A$2:$H$20,7, FALSE))</f>
        <v>0.69609490156065446</v>
      </c>
      <c r="T277">
        <f>RADIANS(VLOOKUP(Table1[[#This Row],[HomeTeam]],TeamAttrs!$A$2:$H$20, 8, FALSE))</f>
        <v>-1.313360262125733</v>
      </c>
      <c r="U277">
        <f>RADIANS(VLOOKUP(Table1[[#This Row],[VisitorTeam]],TeamAttrs!$A$2:$H$20,7,FALSE))</f>
        <v>0.67806041439979703</v>
      </c>
      <c r="V277">
        <f>RADIANS(VLOOKUP(Table1[[#This Row],[VisitorTeam]], TeamAttrs!$A$2:$H$20,8,FALSE))</f>
        <v>-1.3444847186765478</v>
      </c>
      <c r="W277" s="5">
        <f>60*DEGREES(ACOS(SIN(Table1[[#This Row],[HomeLat]])*SIN(Table1[[#This Row],[VisitorLat]]) +COS(Table1[[#This Row],[HomeLat]])*COS(Table1[[#This Row],[VisitorLat]])*COS(ABS(Table1[[#This Row],[HomeLong]] -Table1[[#This Row],[VisitorLong]]))))</f>
        <v>103.37139318979079</v>
      </c>
      <c r="X277" s="6">
        <f>VLOOKUP(Table1[[#This Row],[HomeTeam]],TeamAttrs!$A$2:$K$20,5,FALSE)</f>
        <v>3620000</v>
      </c>
      <c r="Y277" s="6">
        <f>VLOOKUP(Table1[[#This Row],[HomeTeam]],TeamAttrs!$A$2:$K$20,9,FALSE)</f>
        <v>18053</v>
      </c>
      <c r="Z277" s="6">
        <f>VLOOKUP(Table1[[#This Row],[HomeTeam]],TeamAttrs!$A$2:$K$20,10,FALSE)</f>
        <v>18500</v>
      </c>
      <c r="AA277" s="6">
        <f>VLOOKUP(Table1[[#This Row],[HomeTeam]],TeamAttrs!$A$2:$K$20,11,FALSE)</f>
        <v>0.97583783783783784</v>
      </c>
    </row>
    <row r="278" spans="1:27" x14ac:dyDescent="0.25">
      <c r="A278" s="1">
        <v>41174</v>
      </c>
      <c r="B278" t="s">
        <v>17</v>
      </c>
      <c r="C278" t="str">
        <f>VLOOKUP(Table1[[#This Row],[HomeTeam]], TeamAttrs!$A$2:$B$20,2,FALSE)</f>
        <v>Chi</v>
      </c>
      <c r="D278">
        <v>2</v>
      </c>
      <c r="E278">
        <v>1</v>
      </c>
      <c r="F278">
        <f>Table1[[#This Row],[HomeTeamScore]]-Table1[[#This Row],[VisitorScore]]</f>
        <v>1</v>
      </c>
      <c r="G278" t="s">
        <v>8</v>
      </c>
      <c r="H278" t="str">
        <f>VLOOKUP(Table1[[#This Row],[VisitorTeam]],TeamAttrs!$A$2:$B$20, 2, FALSE)</f>
        <v>Colum</v>
      </c>
      <c r="I278">
        <f t="shared" si="16"/>
        <v>1</v>
      </c>
      <c r="J278">
        <f t="shared" si="17"/>
        <v>0</v>
      </c>
      <c r="K278">
        <f t="shared" si="18"/>
        <v>0</v>
      </c>
      <c r="L278">
        <f>3*Table1[HomeWin] +Table1[Draw]</f>
        <v>3</v>
      </c>
      <c r="M278">
        <f>3*Table1[HomeLoss]+Table1[Draw]</f>
        <v>0</v>
      </c>
      <c r="N278">
        <f>VLOOKUP(B278,TeamAttrs!$A$2:$C$20,3,FALSE)</f>
        <v>6</v>
      </c>
      <c r="O278">
        <f>VLOOKUP(G278,TeamAttrs!$A$2:$C$20,3,FALSE)</f>
        <v>5</v>
      </c>
      <c r="P278">
        <f t="shared" si="19"/>
        <v>-1</v>
      </c>
      <c r="Q278">
        <f>VLOOKUP(B278,TeamAttrs!$A$2:$D$20,3,FALSE)</f>
        <v>6</v>
      </c>
      <c r="R278">
        <f>VLOOKUP(G278,TeamAttrs!$A$2:$D$20,3,FALSE)</f>
        <v>5</v>
      </c>
      <c r="S278">
        <f>RADIANS(VLOOKUP(Table1[[#This Row],[HomeTeam]],TeamAttrs!$A$2:$H$20,7, FALSE))</f>
        <v>0.72925615734854665</v>
      </c>
      <c r="T278">
        <f>RADIANS(VLOOKUP(Table1[[#This Row],[HomeTeam]],TeamAttrs!$A$2:$H$20, 8, FALSE))</f>
        <v>-1.5315264186250241</v>
      </c>
      <c r="U278">
        <f>RADIANS(VLOOKUP(Table1[[#This Row],[VisitorTeam]],TeamAttrs!$A$2:$H$20,7,FALSE))</f>
        <v>0.69813170079773179</v>
      </c>
      <c r="V278">
        <f>RADIANS(VLOOKUP(Table1[[#This Row],[VisitorTeam]], TeamAttrs!$A$2:$H$20,8,FALSE))</f>
        <v>-1.4465864799182162</v>
      </c>
      <c r="W278" s="5">
        <f>60*DEGREES(ACOS(SIN(Table1[[#This Row],[HomeLat]])*SIN(Table1[[#This Row],[VisitorLat]]) +COS(Table1[[#This Row],[HomeLat]])*COS(Table1[[#This Row],[VisitorLat]])*COS(ABS(Table1[[#This Row],[HomeLong]] -Table1[[#This Row],[VisitorLong]]))))</f>
        <v>245.25242728582373</v>
      </c>
      <c r="X278" s="6">
        <f>VLOOKUP(Table1[[#This Row],[HomeTeam]],TeamAttrs!$A$2:$K$20,5,FALSE)</f>
        <v>3230000</v>
      </c>
      <c r="Y278" s="6">
        <f>VLOOKUP(Table1[[#This Row],[HomeTeam]],TeamAttrs!$A$2:$K$20,9,FALSE)</f>
        <v>16407</v>
      </c>
      <c r="Z278" s="6">
        <f>VLOOKUP(Table1[[#This Row],[HomeTeam]],TeamAttrs!$A$2:$K$20,10,FALSE)</f>
        <v>20000</v>
      </c>
      <c r="AA278" s="6">
        <f>VLOOKUP(Table1[[#This Row],[HomeTeam]],TeamAttrs!$A$2:$K$20,11,FALSE)</f>
        <v>0.82035000000000002</v>
      </c>
    </row>
    <row r="279" spans="1:27" x14ac:dyDescent="0.25">
      <c r="A279" s="1">
        <v>41174</v>
      </c>
      <c r="B279" t="s">
        <v>16</v>
      </c>
      <c r="C279" t="str">
        <f>VLOOKUP(Table1[[#This Row],[HomeTeam]], TeamAttrs!$A$2:$B$20,2,FALSE)</f>
        <v>LAGxy</v>
      </c>
      <c r="D279">
        <v>4</v>
      </c>
      <c r="E279">
        <v>2</v>
      </c>
      <c r="F279">
        <f>Table1[[#This Row],[HomeTeamScore]]-Table1[[#This Row],[VisitorScore]]</f>
        <v>2</v>
      </c>
      <c r="G279" t="s">
        <v>10</v>
      </c>
      <c r="H279" t="str">
        <f>VLOOKUP(Table1[[#This Row],[VisitorTeam]],TeamAttrs!$A$2:$B$20, 2, FALSE)</f>
        <v>Tor</v>
      </c>
      <c r="I279">
        <f t="shared" si="16"/>
        <v>1</v>
      </c>
      <c r="J279">
        <f t="shared" si="17"/>
        <v>0</v>
      </c>
      <c r="K279">
        <f t="shared" si="18"/>
        <v>0</v>
      </c>
      <c r="L279">
        <f>3*Table1[HomeWin] +Table1[Draw]</f>
        <v>3</v>
      </c>
      <c r="M279">
        <f>3*Table1[HomeLoss]+Table1[Draw]</f>
        <v>0</v>
      </c>
      <c r="N279">
        <f>VLOOKUP(B279,TeamAttrs!$A$2:$C$20,3,FALSE)</f>
        <v>8</v>
      </c>
      <c r="O279">
        <f>VLOOKUP(G279,TeamAttrs!$A$2:$C$20,3,FALSE)</f>
        <v>5</v>
      </c>
      <c r="P279">
        <f t="shared" si="19"/>
        <v>-3</v>
      </c>
      <c r="Q279">
        <f>VLOOKUP(B279,TeamAttrs!$A$2:$D$20,3,FALSE)</f>
        <v>8</v>
      </c>
      <c r="R279">
        <f>VLOOKUP(G279,TeamAttrs!$A$2:$D$20,3,FALSE)</f>
        <v>5</v>
      </c>
      <c r="S279">
        <f>RADIANS(VLOOKUP(Table1[[#This Row],[HomeTeam]],TeamAttrs!$A$2:$H$20,7, FALSE))</f>
        <v>0.59224781106699187</v>
      </c>
      <c r="T279">
        <f>RADIANS(VLOOKUP(Table1[[#This Row],[HomeTeam]],TeamAttrs!$A$2:$H$20, 8, FALSE))</f>
        <v>-2.0664698343612864</v>
      </c>
      <c r="U279">
        <f>RADIANS(VLOOKUP(Table1[[#This Row],[VisitorTeam]],TeamAttrs!$A$2:$H$20,7,FALSE))</f>
        <v>0.76241741313643896</v>
      </c>
      <c r="V279">
        <f>RADIANS(VLOOKUP(Table1[[#This Row],[VisitorTeam]], TeamAttrs!$A$2:$H$20,8,FALSE))</f>
        <v>-1.3898632792284005</v>
      </c>
      <c r="W279" s="5">
        <f>60*DEGREES(ACOS(SIN(Table1[[#This Row],[HomeLat]])*SIN(Table1[[#This Row],[VisitorLat]]) +COS(Table1[[#This Row],[HomeLat]])*COS(Table1[[#This Row],[VisitorLat]])*COS(ABS(Table1[[#This Row],[HomeLong]] -Table1[[#This Row],[VisitorLong]]))))</f>
        <v>1885.1507967297873</v>
      </c>
      <c r="X279" s="6">
        <f>VLOOKUP(Table1[[#This Row],[HomeTeam]],TeamAttrs!$A$2:$K$20,5,FALSE)</f>
        <v>12630000</v>
      </c>
      <c r="Y279" s="6">
        <f>VLOOKUP(Table1[[#This Row],[HomeTeam]],TeamAttrs!$A$2:$K$20,9,FALSE)</f>
        <v>23136</v>
      </c>
      <c r="Z279" s="6">
        <f>VLOOKUP(Table1[[#This Row],[HomeTeam]],TeamAttrs!$A$2:$K$20,10,FALSE)</f>
        <v>27000</v>
      </c>
      <c r="AA279" s="6">
        <f>VLOOKUP(Table1[[#This Row],[HomeTeam]],TeamAttrs!$A$2:$K$20,11,FALSE)</f>
        <v>0.85688888888888892</v>
      </c>
    </row>
    <row r="280" spans="1:27" x14ac:dyDescent="0.25">
      <c r="A280" s="1">
        <v>41174</v>
      </c>
      <c r="B280" t="s">
        <v>1</v>
      </c>
      <c r="C280" t="str">
        <f>VLOOKUP(Table1[[#This Row],[HomeTeam]], TeamAttrs!$A$2:$B$20,2,FALSE)</f>
        <v>Mntrl</v>
      </c>
      <c r="D280">
        <v>0</v>
      </c>
      <c r="E280">
        <v>0</v>
      </c>
      <c r="F280">
        <f>Table1[[#This Row],[HomeTeamScore]]-Table1[[#This Row],[VisitorScore]]</f>
        <v>0</v>
      </c>
      <c r="G280" t="s">
        <v>6</v>
      </c>
      <c r="H280" t="str">
        <f>VLOOKUP(Table1[[#This Row],[VisitorTeam]],TeamAttrs!$A$2:$B$20, 2, FALSE)</f>
        <v>SKC</v>
      </c>
      <c r="I280">
        <f t="shared" si="16"/>
        <v>0</v>
      </c>
      <c r="J280">
        <f t="shared" si="17"/>
        <v>1</v>
      </c>
      <c r="K280">
        <f t="shared" si="18"/>
        <v>0</v>
      </c>
      <c r="L280">
        <f>3*Table1[HomeWin] +Table1[Draw]</f>
        <v>1</v>
      </c>
      <c r="M280">
        <f>3*Table1[HomeLoss]+Table1[Draw]</f>
        <v>1</v>
      </c>
      <c r="N280">
        <f>VLOOKUP(B280,TeamAttrs!$A$2:$C$20,3,FALSE)</f>
        <v>5</v>
      </c>
      <c r="O280">
        <f>VLOOKUP(G280,TeamAttrs!$A$2:$C$20,3,FALSE)</f>
        <v>6</v>
      </c>
      <c r="P280">
        <f t="shared" si="19"/>
        <v>1</v>
      </c>
      <c r="Q280">
        <f>VLOOKUP(B280,TeamAttrs!$A$2:$D$20,3,FALSE)</f>
        <v>5</v>
      </c>
      <c r="R280">
        <f>VLOOKUP(G280,TeamAttrs!$A$2:$D$20,3,FALSE)</f>
        <v>6</v>
      </c>
      <c r="S280">
        <f>RADIANS(VLOOKUP(Table1[[#This Row],[HomeTeam]],TeamAttrs!$A$2:$H$20,7, FALSE))</f>
        <v>0.79354361501650583</v>
      </c>
      <c r="T280">
        <f>RADIANS(VLOOKUP(Table1[[#This Row],[HomeTeam]],TeamAttrs!$A$2:$H$20, 8, FALSE))</f>
        <v>-1.2871803233458181</v>
      </c>
      <c r="U280">
        <f>RADIANS(VLOOKUP(Table1[[#This Row],[VisitorTeam]],TeamAttrs!$A$2:$H$20,7,FALSE))</f>
        <v>0.68271520751486592</v>
      </c>
      <c r="V280">
        <f>RADIANS(VLOOKUP(Table1[[#This Row],[VisitorTeam]], TeamAttrs!$A$2:$H$20,8,FALSE))</f>
        <v>-1.65166266702755</v>
      </c>
      <c r="W280" s="5">
        <f>60*DEGREES(ACOS(SIN(Table1[[#This Row],[HomeLat]])*SIN(Table1[[#This Row],[VisitorLat]]) +COS(Table1[[#This Row],[HomeLat]])*COS(Table1[[#This Row],[VisitorLat]])*COS(ABS(Table1[[#This Row],[HomeLong]] -Table1[[#This Row],[VisitorLong]]))))</f>
        <v>998.43471415559191</v>
      </c>
      <c r="X280" s="6">
        <f>VLOOKUP(Table1[[#This Row],[HomeTeam]],TeamAttrs!$A$2:$K$20,5,FALSE)</f>
        <v>3030000</v>
      </c>
      <c r="Y280" s="6">
        <f>VLOOKUP(Table1[[#This Row],[HomeTeam]],TeamAttrs!$A$2:$K$20,9,FALSE)</f>
        <v>22772</v>
      </c>
      <c r="Z280" s="6">
        <f>VLOOKUP(Table1[[#This Row],[HomeTeam]],TeamAttrs!$A$2:$K$20,10,FALSE)</f>
        <v>20341</v>
      </c>
      <c r="AA280" s="6">
        <f>VLOOKUP(Table1[[#This Row],[HomeTeam]],TeamAttrs!$A$2:$K$20,11,FALSE)</f>
        <v>1.1195123150287596</v>
      </c>
    </row>
    <row r="281" spans="1:27" x14ac:dyDescent="0.25">
      <c r="A281" s="1">
        <v>41174</v>
      </c>
      <c r="B281" t="s">
        <v>9</v>
      </c>
      <c r="C281" t="str">
        <f>VLOOKUP(Table1[[#This Row],[HomeTeam]], TeamAttrs!$A$2:$B$20,2,FALSE)</f>
        <v>NE</v>
      </c>
      <c r="D281">
        <v>1</v>
      </c>
      <c r="E281">
        <v>1</v>
      </c>
      <c r="F281">
        <f>Table1[[#This Row],[HomeTeamScore]]-Table1[[#This Row],[VisitorScore]]</f>
        <v>0</v>
      </c>
      <c r="G281" t="s">
        <v>15</v>
      </c>
      <c r="H281" t="str">
        <f>VLOOKUP(Table1[[#This Row],[VisitorTeam]],TeamAttrs!$A$2:$B$20, 2, FALSE)</f>
        <v>NY</v>
      </c>
      <c r="I281">
        <f t="shared" si="16"/>
        <v>0</v>
      </c>
      <c r="J281">
        <f t="shared" si="17"/>
        <v>1</v>
      </c>
      <c r="K281">
        <f t="shared" si="18"/>
        <v>0</v>
      </c>
      <c r="L281">
        <f>3*Table1[HomeWin] +Table1[Draw]</f>
        <v>1</v>
      </c>
      <c r="M281">
        <f>3*Table1[HomeLoss]+Table1[Draw]</f>
        <v>1</v>
      </c>
      <c r="N281">
        <f>VLOOKUP(B281,TeamAttrs!$A$2:$C$20,3,FALSE)</f>
        <v>5</v>
      </c>
      <c r="O281">
        <f>VLOOKUP(G281,TeamAttrs!$A$2:$C$20,3,FALSE)</f>
        <v>5</v>
      </c>
      <c r="P281">
        <f t="shared" si="19"/>
        <v>0</v>
      </c>
      <c r="Q281">
        <f>VLOOKUP(B281,TeamAttrs!$A$2:$D$20,3,FALSE)</f>
        <v>5</v>
      </c>
      <c r="R281">
        <f>VLOOKUP(G281,TeamAttrs!$A$2:$D$20,3,FALSE)</f>
        <v>5</v>
      </c>
      <c r="S281">
        <f>RADIANS(VLOOKUP(Table1[[#This Row],[HomeTeam]],TeamAttrs!$A$2:$H$20,7, FALSE))</f>
        <v>0.73943840820468165</v>
      </c>
      <c r="T281">
        <f>RADIANS(VLOOKUP(Table1[[#This Row],[HomeTeam]],TeamAttrs!$A$2:$H$20, 8, FALSE))</f>
        <v>-1.2397649635568881</v>
      </c>
      <c r="U281">
        <f>RADIANS(VLOOKUP(Table1[[#This Row],[VisitorTeam]],TeamAttrs!$A$2:$H$20,7,FALSE))</f>
        <v>0.71180286482860333</v>
      </c>
      <c r="V281">
        <f>RADIANS(VLOOKUP(Table1[[#This Row],[VisitorTeam]], TeamAttrs!$A$2:$H$20,8,FALSE))</f>
        <v>-1.2909624518348899</v>
      </c>
      <c r="W281" s="5">
        <f>60*DEGREES(ACOS(SIN(Table1[[#This Row],[HomeLat]])*SIN(Table1[[#This Row],[VisitorLat]]) +COS(Table1[[#This Row],[HomeLat]])*COS(Table1[[#This Row],[VisitorLat]])*COS(ABS(Table1[[#This Row],[HomeLong]] -Table1[[#This Row],[VisitorLong]]))))</f>
        <v>162.34664432106447</v>
      </c>
      <c r="X281" s="6">
        <f>VLOOKUP(Table1[[#This Row],[HomeTeam]],TeamAttrs!$A$2:$K$20,5,FALSE)</f>
        <v>3260000</v>
      </c>
      <c r="Y281" s="6">
        <f>VLOOKUP(Table1[[#This Row],[HomeTeam]],TeamAttrs!$A$2:$K$20,9,FALSE)</f>
        <v>14001</v>
      </c>
      <c r="Z281" s="6">
        <f>VLOOKUP(Table1[[#This Row],[HomeTeam]],TeamAttrs!$A$2:$K$20,10,FALSE)</f>
        <v>20000</v>
      </c>
      <c r="AA281" s="6">
        <f>VLOOKUP(Table1[[#This Row],[HomeTeam]],TeamAttrs!$A$2:$K$20,11,FALSE)</f>
        <v>0.70004999999999995</v>
      </c>
    </row>
    <row r="282" spans="1:27" x14ac:dyDescent="0.25">
      <c r="A282" s="1">
        <v>41174</v>
      </c>
      <c r="B282" t="s">
        <v>18</v>
      </c>
      <c r="C282" t="str">
        <f>VLOOKUP(Table1[[#This Row],[HomeTeam]], TeamAttrs!$A$2:$B$20,2,FALSE)</f>
        <v>RSL</v>
      </c>
      <c r="D282">
        <v>2</v>
      </c>
      <c r="E282">
        <v>1</v>
      </c>
      <c r="F282">
        <f>Table1[[#This Row],[HomeTeamScore]]-Table1[[#This Row],[VisitorScore]]</f>
        <v>1</v>
      </c>
      <c r="G282" t="s">
        <v>12</v>
      </c>
      <c r="H282" t="str">
        <f>VLOOKUP(Table1[[#This Row],[VisitorTeam]],TeamAttrs!$A$2:$B$20, 2, FALSE)</f>
        <v>Port</v>
      </c>
      <c r="I282">
        <f t="shared" si="16"/>
        <v>1</v>
      </c>
      <c r="J282">
        <f t="shared" si="17"/>
        <v>0</v>
      </c>
      <c r="K282">
        <f t="shared" si="18"/>
        <v>0</v>
      </c>
      <c r="L282">
        <f>3*Table1[HomeWin] +Table1[Draw]</f>
        <v>3</v>
      </c>
      <c r="M282">
        <f>3*Table1[HomeLoss]+Table1[Draw]</f>
        <v>0</v>
      </c>
      <c r="N282">
        <f>VLOOKUP(B282,TeamAttrs!$A$2:$C$20,3,FALSE)</f>
        <v>7</v>
      </c>
      <c r="O282">
        <f>VLOOKUP(G282,TeamAttrs!$A$2:$C$20,3,FALSE)</f>
        <v>8</v>
      </c>
      <c r="P282">
        <f t="shared" si="19"/>
        <v>1</v>
      </c>
      <c r="Q282">
        <f>VLOOKUP(B282,TeamAttrs!$A$2:$D$20,3,FALSE)</f>
        <v>7</v>
      </c>
      <c r="R282">
        <f>VLOOKUP(G282,TeamAttrs!$A$2:$D$20,3,FALSE)</f>
        <v>8</v>
      </c>
      <c r="S282">
        <f>RADIANS(VLOOKUP(Table1[[#This Row],[HomeTeam]],TeamAttrs!$A$2:$H$20,7, FALSE))</f>
        <v>0.71151314017277234</v>
      </c>
      <c r="T282">
        <f>RADIANS(VLOOKUP(Table1[[#This Row],[HomeTeam]],TeamAttrs!$A$2:$H$20, 8, FALSE))</f>
        <v>-1.954192803580491</v>
      </c>
      <c r="U282">
        <f>RADIANS(VLOOKUP(Table1[[#This Row],[VisitorTeam]],TeamAttrs!$A$2:$H$20,7,FALSE))</f>
        <v>0.79587013890941427</v>
      </c>
      <c r="V282">
        <f>RADIANS(VLOOKUP(Table1[[#This Row],[VisitorTeam]], TeamAttrs!$A$2:$H$20,8,FALSE))</f>
        <v>-2.1397736629450481</v>
      </c>
      <c r="W282" s="5">
        <f>60*DEGREES(ACOS(SIN(Table1[[#This Row],[HomeLat]])*SIN(Table1[[#This Row],[VisitorLat]]) +COS(Table1[[#This Row],[HomeLat]])*COS(Table1[[#This Row],[VisitorLat]])*COS(ABS(Table1[[#This Row],[HomeLong]] -Table1[[#This Row],[VisitorLong]]))))</f>
        <v>547.49041503778903</v>
      </c>
      <c r="X282" s="6">
        <f>VLOOKUP(Table1[[#This Row],[HomeTeam]],TeamAttrs!$A$2:$K$20,5,FALSE)</f>
        <v>3520000</v>
      </c>
      <c r="Y282" s="6">
        <f>VLOOKUP(Table1[[#This Row],[HomeTeam]],TeamAttrs!$A$2:$K$20,9,FALSE)</f>
        <v>19087</v>
      </c>
      <c r="Z282" s="6">
        <f>VLOOKUP(Table1[[#This Row],[HomeTeam]],TeamAttrs!$A$2:$K$20,10,FALSE)</f>
        <v>20213</v>
      </c>
      <c r="AA282" s="6">
        <f>VLOOKUP(Table1[[#This Row],[HomeTeam]],TeamAttrs!$A$2:$K$20,11,FALSE)</f>
        <v>0.94429327660416562</v>
      </c>
    </row>
    <row r="283" spans="1:27" x14ac:dyDescent="0.25">
      <c r="A283" s="1">
        <v>41174</v>
      </c>
      <c r="B283" t="s">
        <v>11</v>
      </c>
      <c r="C283" t="str">
        <f>VLOOKUP(Table1[[#This Row],[HomeTeam]], TeamAttrs!$A$2:$B$20,2,FALSE)</f>
        <v>SEA</v>
      </c>
      <c r="D283">
        <v>1</v>
      </c>
      <c r="E283">
        <v>2</v>
      </c>
      <c r="F283">
        <f>Table1[[#This Row],[HomeTeamScore]]-Table1[[#This Row],[VisitorScore]]</f>
        <v>-1</v>
      </c>
      <c r="G283" t="s">
        <v>5</v>
      </c>
      <c r="H283" t="str">
        <f>VLOOKUP(Table1[[#This Row],[VisitorTeam]],TeamAttrs!$A$2:$B$20, 2, FALSE)</f>
        <v>SJE</v>
      </c>
      <c r="I283">
        <f t="shared" si="16"/>
        <v>0</v>
      </c>
      <c r="J283">
        <f t="shared" si="17"/>
        <v>0</v>
      </c>
      <c r="K283">
        <f t="shared" si="18"/>
        <v>1</v>
      </c>
      <c r="L283">
        <f>3*Table1[HomeWin] +Table1[Draw]</f>
        <v>0</v>
      </c>
      <c r="M283">
        <f>3*Table1[HomeLoss]+Table1[Draw]</f>
        <v>3</v>
      </c>
      <c r="N283">
        <f>VLOOKUP(B283,TeamAttrs!$A$2:$C$20,3,FALSE)</f>
        <v>8</v>
      </c>
      <c r="O283">
        <f>VLOOKUP(G283,TeamAttrs!$A$2:$C$20,3,FALSE)</f>
        <v>8</v>
      </c>
      <c r="P283">
        <f t="shared" si="19"/>
        <v>0</v>
      </c>
      <c r="Q283">
        <f>VLOOKUP(B283,TeamAttrs!$A$2:$D$20,3,FALSE)</f>
        <v>8</v>
      </c>
      <c r="R283">
        <f>VLOOKUP(G283,TeamAttrs!$A$2:$D$20,3,FALSE)</f>
        <v>8</v>
      </c>
      <c r="S283">
        <f>RADIANS(VLOOKUP(Table1[[#This Row],[HomeTeam]],TeamAttrs!$A$2:$H$20,7, FALSE))</f>
        <v>0.83164938857529802</v>
      </c>
      <c r="T283">
        <f>RADIANS(VLOOKUP(Table1[[#This Row],[HomeTeam]],TeamAttrs!$A$2:$H$20, 8, FALSE))</f>
        <v>-2.134537675189065</v>
      </c>
      <c r="U283">
        <f>RADIANS(VLOOKUP(Table1[[#This Row],[VisitorTeam]],TeamAttrs!$A$2:$H$20,7,FALSE))</f>
        <v>0.65217194560496516</v>
      </c>
      <c r="V283">
        <f>RADIANS(VLOOKUP(Table1[[#This Row],[VisitorTeam]], TeamAttrs!$A$2:$H$20,8,FALSE))</f>
        <v>-2.1281323168342459</v>
      </c>
      <c r="W283" s="5">
        <f>60*DEGREES(ACOS(SIN(Table1[[#This Row],[HomeLat]])*SIN(Table1[[#This Row],[VisitorLat]]) +COS(Table1[[#This Row],[HomeLat]])*COS(Table1[[#This Row],[VisitorLat]])*COS(ABS(Table1[[#This Row],[HomeLong]] -Table1[[#This Row],[VisitorLong]]))))</f>
        <v>617.20947510615565</v>
      </c>
      <c r="X283" s="6">
        <f>VLOOKUP(Table1[[#This Row],[HomeTeam]],TeamAttrs!$A$2:$K$20,5,FALSE)</f>
        <v>3980000</v>
      </c>
      <c r="Y283" s="6">
        <f>VLOOKUP(Table1[[#This Row],[HomeTeam]],TeamAttrs!$A$2:$K$20,9,FALSE)</f>
        <v>43104</v>
      </c>
      <c r="Z283" s="6">
        <f>VLOOKUP(Table1[[#This Row],[HomeTeam]],TeamAttrs!$A$2:$K$20,10,FALSE)</f>
        <v>38500</v>
      </c>
      <c r="AA283" s="6">
        <f>VLOOKUP(Table1[[#This Row],[HomeTeam]],TeamAttrs!$A$2:$K$20,11,FALSE)</f>
        <v>1.1195844155844157</v>
      </c>
    </row>
    <row r="284" spans="1:27" x14ac:dyDescent="0.25">
      <c r="A284" s="1">
        <v>41175</v>
      </c>
      <c r="B284" t="s">
        <v>3</v>
      </c>
      <c r="C284" t="str">
        <f>VLOOKUP(Table1[[#This Row],[HomeTeam]], TeamAttrs!$A$2:$B$20,2,FALSE)</f>
        <v>DCU</v>
      </c>
      <c r="D284">
        <v>1</v>
      </c>
      <c r="E284">
        <v>0</v>
      </c>
      <c r="F284">
        <f>Table1[[#This Row],[HomeTeamScore]]-Table1[[#This Row],[VisitorScore]]</f>
        <v>1</v>
      </c>
      <c r="G284" t="s">
        <v>2</v>
      </c>
      <c r="H284" t="str">
        <f>VLOOKUP(Table1[[#This Row],[VisitorTeam]],TeamAttrs!$A$2:$B$20, 2, FALSE)</f>
        <v>Chiv</v>
      </c>
      <c r="I284">
        <f t="shared" si="16"/>
        <v>1</v>
      </c>
      <c r="J284">
        <f t="shared" si="17"/>
        <v>0</v>
      </c>
      <c r="K284">
        <f t="shared" si="18"/>
        <v>0</v>
      </c>
      <c r="L284">
        <f>3*Table1[HomeWin] +Table1[Draw]</f>
        <v>3</v>
      </c>
      <c r="M284">
        <f>3*Table1[HomeLoss]+Table1[Draw]</f>
        <v>0</v>
      </c>
      <c r="N284">
        <f>VLOOKUP(B284,TeamAttrs!$A$2:$C$20,3,FALSE)</f>
        <v>5</v>
      </c>
      <c r="O284">
        <f>VLOOKUP(G284,TeamAttrs!$A$2:$C$20,3,FALSE)</f>
        <v>8</v>
      </c>
      <c r="P284">
        <f t="shared" si="19"/>
        <v>3</v>
      </c>
      <c r="Q284">
        <f>VLOOKUP(B284,TeamAttrs!$A$2:$D$20,3,FALSE)</f>
        <v>5</v>
      </c>
      <c r="R284">
        <f>VLOOKUP(G284,TeamAttrs!$A$2:$D$20,3,FALSE)</f>
        <v>8</v>
      </c>
      <c r="S284">
        <f>RADIANS(VLOOKUP(Table1[[#This Row],[HomeTeam]],TeamAttrs!$A$2:$H$20,7, FALSE))</f>
        <v>0.67806041439979703</v>
      </c>
      <c r="T284">
        <f>RADIANS(VLOOKUP(Table1[[#This Row],[HomeTeam]],TeamAttrs!$A$2:$H$20, 8, FALSE))</f>
        <v>-1.3444847186765478</v>
      </c>
      <c r="U284">
        <f>RADIANS(VLOOKUP(Table1[[#This Row],[VisitorTeam]],TeamAttrs!$A$2:$H$20,7,FALSE))</f>
        <v>0.59224781106699187</v>
      </c>
      <c r="V284">
        <f>RADIANS(VLOOKUP(Table1[[#This Row],[VisitorTeam]], TeamAttrs!$A$2:$H$20,8,FALSE))</f>
        <v>-2.0664698343612864</v>
      </c>
      <c r="W284" s="5">
        <f>60*DEGREES(ACOS(SIN(Table1[[#This Row],[HomeLat]])*SIN(Table1[[#This Row],[VisitorLat]]) +COS(Table1[[#This Row],[HomeLat]])*COS(Table1[[#This Row],[VisitorLat]])*COS(ABS(Table1[[#This Row],[HomeLong]] -Table1[[#This Row],[VisitorLong]]))))</f>
        <v>2002.4121158938278</v>
      </c>
      <c r="X284" s="6">
        <f>VLOOKUP(Table1[[#This Row],[HomeTeam]],TeamAttrs!$A$2:$K$20,5,FALSE)</f>
        <v>4190000.0000000005</v>
      </c>
      <c r="Y284" s="6">
        <f>VLOOKUP(Table1[[#This Row],[HomeTeam]],TeamAttrs!$A$2:$K$20,9,FALSE)</f>
        <v>13846</v>
      </c>
      <c r="Z284" s="6">
        <f>VLOOKUP(Table1[[#This Row],[HomeTeam]],TeamAttrs!$A$2:$K$20,10,FALSE)</f>
        <v>19467</v>
      </c>
      <c r="AA284" s="6">
        <f>VLOOKUP(Table1[[#This Row],[HomeTeam]],TeamAttrs!$A$2:$K$20,11,FALSE)</f>
        <v>0.71125494426465297</v>
      </c>
    </row>
    <row r="285" spans="1:27" x14ac:dyDescent="0.25">
      <c r="A285" s="1">
        <v>41175</v>
      </c>
      <c r="B285" t="s">
        <v>4</v>
      </c>
      <c r="C285" t="str">
        <f>VLOOKUP(Table1[[#This Row],[HomeTeam]], TeamAttrs!$A$2:$B$20,2,FALSE)</f>
        <v>Phil</v>
      </c>
      <c r="D285">
        <v>3</v>
      </c>
      <c r="E285">
        <v>1</v>
      </c>
      <c r="F285">
        <f>Table1[[#This Row],[HomeTeamScore]]-Table1[[#This Row],[VisitorScore]]</f>
        <v>2</v>
      </c>
      <c r="G285" t="s">
        <v>13</v>
      </c>
      <c r="H285" t="str">
        <f>VLOOKUP(Table1[[#This Row],[VisitorTeam]],TeamAttrs!$A$2:$B$20, 2, FALSE)</f>
        <v>Hou</v>
      </c>
      <c r="I285">
        <f t="shared" si="16"/>
        <v>1</v>
      </c>
      <c r="J285">
        <f t="shared" si="17"/>
        <v>0</v>
      </c>
      <c r="K285">
        <f t="shared" si="18"/>
        <v>0</v>
      </c>
      <c r="L285">
        <f>3*Table1[HomeWin] +Table1[Draw]</f>
        <v>3</v>
      </c>
      <c r="M285">
        <f>3*Table1[HomeLoss]+Table1[Draw]</f>
        <v>0</v>
      </c>
      <c r="N285">
        <f>VLOOKUP(B285,TeamAttrs!$A$2:$C$20,3,FALSE)</f>
        <v>5</v>
      </c>
      <c r="O285">
        <f>VLOOKUP(G285,TeamAttrs!$A$2:$C$20,3,FALSE)</f>
        <v>6</v>
      </c>
      <c r="P285">
        <f t="shared" si="19"/>
        <v>1</v>
      </c>
      <c r="Q285">
        <f>VLOOKUP(B285,TeamAttrs!$A$2:$D$20,3,FALSE)</f>
        <v>5</v>
      </c>
      <c r="R285">
        <f>VLOOKUP(G285,TeamAttrs!$A$2:$D$20,3,FALSE)</f>
        <v>6</v>
      </c>
      <c r="S285">
        <f>RADIANS(VLOOKUP(Table1[[#This Row],[HomeTeam]],TeamAttrs!$A$2:$H$20,7, FALSE))</f>
        <v>0.69609490156065446</v>
      </c>
      <c r="T285">
        <f>RADIANS(VLOOKUP(Table1[[#This Row],[HomeTeam]],TeamAttrs!$A$2:$H$20, 8, FALSE))</f>
        <v>-1.313360262125733</v>
      </c>
      <c r="U285">
        <f>RADIANS(VLOOKUP(Table1[[#This Row],[VisitorTeam]],TeamAttrs!$A$2:$H$20,7,FALSE))</f>
        <v>0.52301758095738471</v>
      </c>
      <c r="V285">
        <f>RADIANS(VLOOKUP(Table1[[#This Row],[VisitorTeam]], TeamAttrs!$A$2:$H$20,8,FALSE))</f>
        <v>-1.6641714417765932</v>
      </c>
      <c r="W285" s="5">
        <f>60*DEGREES(ACOS(SIN(Table1[[#This Row],[HomeLat]])*SIN(Table1[[#This Row],[VisitorLat]]) +COS(Table1[[#This Row],[HomeLat]])*COS(Table1[[#This Row],[VisitorLat]])*COS(ABS(Table1[[#This Row],[HomeLong]] -Table1[[#This Row],[VisitorLong]]))))</f>
        <v>1149.9616181637095</v>
      </c>
      <c r="X285" s="6">
        <f>VLOOKUP(Table1[[#This Row],[HomeTeam]],TeamAttrs!$A$2:$K$20,5,FALSE)</f>
        <v>3620000</v>
      </c>
      <c r="Y285" s="6">
        <f>VLOOKUP(Table1[[#This Row],[HomeTeam]],TeamAttrs!$A$2:$K$20,9,FALSE)</f>
        <v>18053</v>
      </c>
      <c r="Z285" s="6">
        <f>VLOOKUP(Table1[[#This Row],[HomeTeam]],TeamAttrs!$A$2:$K$20,10,FALSE)</f>
        <v>18500</v>
      </c>
      <c r="AA285" s="6">
        <f>VLOOKUP(Table1[[#This Row],[HomeTeam]],TeamAttrs!$A$2:$K$20,11,FALSE)</f>
        <v>0.97583783783783784</v>
      </c>
    </row>
    <row r="286" spans="1:27" x14ac:dyDescent="0.25">
      <c r="A286" s="1">
        <v>41175</v>
      </c>
      <c r="B286" t="s">
        <v>0</v>
      </c>
      <c r="C286" t="str">
        <f>VLOOKUP(Table1[[#This Row],[HomeTeam]], TeamAttrs!$A$2:$B$20,2,FALSE)</f>
        <v>Van</v>
      </c>
      <c r="D286">
        <v>2</v>
      </c>
      <c r="E286">
        <v>2</v>
      </c>
      <c r="F286">
        <f>Table1[[#This Row],[HomeTeamScore]]-Table1[[#This Row],[VisitorScore]]</f>
        <v>0</v>
      </c>
      <c r="G286" t="s">
        <v>14</v>
      </c>
      <c r="H286" t="str">
        <f>VLOOKUP(Table1[[#This Row],[VisitorTeam]],TeamAttrs!$A$2:$B$20, 2, FALSE)</f>
        <v>ColRa</v>
      </c>
      <c r="I286">
        <f t="shared" si="16"/>
        <v>0</v>
      </c>
      <c r="J286">
        <f t="shared" si="17"/>
        <v>1</v>
      </c>
      <c r="K286">
        <f t="shared" si="18"/>
        <v>0</v>
      </c>
      <c r="L286">
        <f>3*Table1[HomeWin] +Table1[Draw]</f>
        <v>1</v>
      </c>
      <c r="M286">
        <f>3*Table1[HomeLoss]+Table1[Draw]</f>
        <v>1</v>
      </c>
      <c r="N286">
        <f>VLOOKUP(B286,TeamAttrs!$A$2:$C$20,3,FALSE)</f>
        <v>8</v>
      </c>
      <c r="O286">
        <f>VLOOKUP(G286,TeamAttrs!$A$2:$C$20,3,FALSE)</f>
        <v>7</v>
      </c>
      <c r="P286">
        <f t="shared" si="19"/>
        <v>-1</v>
      </c>
      <c r="Q286">
        <f>VLOOKUP(B286,TeamAttrs!$A$2:$D$20,3,FALSE)</f>
        <v>8</v>
      </c>
      <c r="R286">
        <f>VLOOKUP(G286,TeamAttrs!$A$2:$D$20,3,FALSE)</f>
        <v>7</v>
      </c>
      <c r="S286">
        <f>RADIANS(VLOOKUP(Table1[[#This Row],[HomeTeam]],TeamAttrs!$A$2:$H$20,7, FALSE))</f>
        <v>0.86015585124812133</v>
      </c>
      <c r="T286">
        <f>RADIANS(VLOOKUP(Table1[[#This Row],[HomeTeam]],TeamAttrs!$A$2:$H$20, 8, FALSE))</f>
        <v>-2.1487970151778586</v>
      </c>
      <c r="U286">
        <f>RADIANS(VLOOKUP(Table1[[#This Row],[VisitorTeam]],TeamAttrs!$A$2:$H$20,7,FALSE))</f>
        <v>0.69376837766774602</v>
      </c>
      <c r="V286">
        <f>RADIANS(VLOOKUP(Table1[[#This Row],[VisitorTeam]], TeamAttrs!$A$2:$H$20,8,FALSE))</f>
        <v>-1.8302744266888937</v>
      </c>
      <c r="W286" s="5">
        <f>60*DEGREES(ACOS(SIN(Table1[[#This Row],[HomeLat]])*SIN(Table1[[#This Row],[VisitorLat]]) +COS(Table1[[#This Row],[HomeLat]])*COS(Table1[[#This Row],[VisitorLat]])*COS(ABS(Table1[[#This Row],[HomeLong]] -Table1[[#This Row],[VisitorLong]]))))</f>
        <v>963.72959518333187</v>
      </c>
      <c r="X286" s="6">
        <f>VLOOKUP(Table1[[#This Row],[HomeTeam]],TeamAttrs!$A$2:$K$20,5,FALSE)</f>
        <v>4370000</v>
      </c>
      <c r="Y286" s="6">
        <f>VLOOKUP(Table1[[#This Row],[HomeTeam]],TeamAttrs!$A$2:$K$20,9,FALSE)</f>
        <v>19475</v>
      </c>
      <c r="Z286" s="6">
        <f>VLOOKUP(Table1[[#This Row],[HomeTeam]],TeamAttrs!$A$2:$K$20,10,FALSE)</f>
        <v>21000</v>
      </c>
      <c r="AA286" s="6">
        <f>VLOOKUP(Table1[[#This Row],[HomeTeam]],TeamAttrs!$A$2:$K$20,11,FALSE)</f>
        <v>0.92738095238095242</v>
      </c>
    </row>
    <row r="287" spans="1:27" x14ac:dyDescent="0.25">
      <c r="A287" s="1">
        <v>41180</v>
      </c>
      <c r="B287" t="s">
        <v>6</v>
      </c>
      <c r="C287" t="str">
        <f>VLOOKUP(Table1[[#This Row],[HomeTeam]], TeamAttrs!$A$2:$B$20,2,FALSE)</f>
        <v>SKC</v>
      </c>
      <c r="D287">
        <v>2</v>
      </c>
      <c r="E287">
        <v>0</v>
      </c>
      <c r="F287">
        <f>Table1[[#This Row],[HomeTeamScore]]-Table1[[#This Row],[VisitorScore]]</f>
        <v>2</v>
      </c>
      <c r="G287" t="s">
        <v>17</v>
      </c>
      <c r="H287" t="str">
        <f>VLOOKUP(Table1[[#This Row],[VisitorTeam]],TeamAttrs!$A$2:$B$20, 2, FALSE)</f>
        <v>Chi</v>
      </c>
      <c r="I287">
        <f t="shared" si="16"/>
        <v>1</v>
      </c>
      <c r="J287">
        <f t="shared" si="17"/>
        <v>0</v>
      </c>
      <c r="K287">
        <f t="shared" si="18"/>
        <v>0</v>
      </c>
      <c r="L287">
        <f>3*Table1[HomeWin] +Table1[Draw]</f>
        <v>3</v>
      </c>
      <c r="M287">
        <f>3*Table1[HomeLoss]+Table1[Draw]</f>
        <v>0</v>
      </c>
      <c r="N287">
        <f>VLOOKUP(B287,TeamAttrs!$A$2:$C$20,3,FALSE)</f>
        <v>6</v>
      </c>
      <c r="O287">
        <f>VLOOKUP(G287,TeamAttrs!$A$2:$C$20,3,FALSE)</f>
        <v>6</v>
      </c>
      <c r="P287">
        <f t="shared" si="19"/>
        <v>0</v>
      </c>
      <c r="Q287">
        <f>VLOOKUP(B287,TeamAttrs!$A$2:$D$20,3,FALSE)</f>
        <v>6</v>
      </c>
      <c r="R287">
        <f>VLOOKUP(G287,TeamAttrs!$A$2:$D$20,3,FALSE)</f>
        <v>6</v>
      </c>
      <c r="S287">
        <f>RADIANS(VLOOKUP(Table1[[#This Row],[HomeTeam]],TeamAttrs!$A$2:$H$20,7, FALSE))</f>
        <v>0.68271520751486592</v>
      </c>
      <c r="T287">
        <f>RADIANS(VLOOKUP(Table1[[#This Row],[HomeTeam]],TeamAttrs!$A$2:$H$20, 8, FALSE))</f>
        <v>-1.65166266702755</v>
      </c>
      <c r="U287">
        <f>RADIANS(VLOOKUP(Table1[[#This Row],[VisitorTeam]],TeamAttrs!$A$2:$H$20,7,FALSE))</f>
        <v>0.72925615734854665</v>
      </c>
      <c r="V287">
        <f>RADIANS(VLOOKUP(Table1[[#This Row],[VisitorTeam]], TeamAttrs!$A$2:$H$20,8,FALSE))</f>
        <v>-1.5315264186250241</v>
      </c>
      <c r="W287" s="5">
        <f>60*DEGREES(ACOS(SIN(Table1[[#This Row],[HomeLat]])*SIN(Table1[[#This Row],[VisitorLat]]) +COS(Table1[[#This Row],[HomeLat]])*COS(Table1[[#This Row],[VisitorLat]])*COS(ABS(Table1[[#This Row],[HomeLong]] -Table1[[#This Row],[VisitorLong]]))))</f>
        <v>352.51091361253208</v>
      </c>
      <c r="X287" s="6">
        <f>VLOOKUP(Table1[[#This Row],[HomeTeam]],TeamAttrs!$A$2:$K$20,5,FALSE)</f>
        <v>3120000</v>
      </c>
      <c r="Y287" s="6">
        <f>VLOOKUP(Table1[[#This Row],[HomeTeam]],TeamAttrs!$A$2:$K$20,9,FALSE)</f>
        <v>19404</v>
      </c>
      <c r="Z287" s="6">
        <f>VLOOKUP(Table1[[#This Row],[HomeTeam]],TeamAttrs!$A$2:$K$20,10,FALSE)</f>
        <v>18467</v>
      </c>
      <c r="AA287" s="6">
        <f>VLOOKUP(Table1[[#This Row],[HomeTeam]],TeamAttrs!$A$2:$K$20,11,FALSE)</f>
        <v>1.0507391563329183</v>
      </c>
    </row>
    <row r="288" spans="1:27" x14ac:dyDescent="0.25">
      <c r="A288" s="1">
        <v>41181</v>
      </c>
      <c r="B288" t="s">
        <v>2</v>
      </c>
      <c r="C288" t="str">
        <f>VLOOKUP(Table1[[#This Row],[HomeTeam]], TeamAttrs!$A$2:$B$20,2,FALSE)</f>
        <v>Chiv</v>
      </c>
      <c r="D288">
        <v>0</v>
      </c>
      <c r="E288">
        <v>4</v>
      </c>
      <c r="F288">
        <f>Table1[[#This Row],[HomeTeamScore]]-Table1[[#This Row],[VisitorScore]]</f>
        <v>-4</v>
      </c>
      <c r="G288" t="s">
        <v>18</v>
      </c>
      <c r="H288" t="str">
        <f>VLOOKUP(Table1[[#This Row],[VisitorTeam]],TeamAttrs!$A$2:$B$20, 2, FALSE)</f>
        <v>RSL</v>
      </c>
      <c r="I288">
        <f t="shared" si="16"/>
        <v>0</v>
      </c>
      <c r="J288">
        <f t="shared" si="17"/>
        <v>0</v>
      </c>
      <c r="K288">
        <f t="shared" si="18"/>
        <v>1</v>
      </c>
      <c r="L288">
        <f>3*Table1[HomeWin] +Table1[Draw]</f>
        <v>0</v>
      </c>
      <c r="M288">
        <f>3*Table1[HomeLoss]+Table1[Draw]</f>
        <v>3</v>
      </c>
      <c r="N288">
        <f>VLOOKUP(B288,TeamAttrs!$A$2:$C$20,3,FALSE)</f>
        <v>8</v>
      </c>
      <c r="O288">
        <f>VLOOKUP(G288,TeamAttrs!$A$2:$C$20,3,FALSE)</f>
        <v>7</v>
      </c>
      <c r="P288">
        <f t="shared" si="19"/>
        <v>-1</v>
      </c>
      <c r="Q288">
        <f>VLOOKUP(B288,TeamAttrs!$A$2:$D$20,3,FALSE)</f>
        <v>8</v>
      </c>
      <c r="R288">
        <f>VLOOKUP(G288,TeamAttrs!$A$2:$D$20,3,FALSE)</f>
        <v>7</v>
      </c>
      <c r="S288">
        <f>RADIANS(VLOOKUP(Table1[[#This Row],[HomeTeam]],TeamAttrs!$A$2:$H$20,7, FALSE))</f>
        <v>0.59224781106699187</v>
      </c>
      <c r="T288">
        <f>RADIANS(VLOOKUP(Table1[[#This Row],[HomeTeam]],TeamAttrs!$A$2:$H$20, 8, FALSE))</f>
        <v>-2.0664698343612864</v>
      </c>
      <c r="U288">
        <f>RADIANS(VLOOKUP(Table1[[#This Row],[VisitorTeam]],TeamAttrs!$A$2:$H$20,7,FALSE))</f>
        <v>0.71151314017277234</v>
      </c>
      <c r="V288">
        <f>RADIANS(VLOOKUP(Table1[[#This Row],[VisitorTeam]], TeamAttrs!$A$2:$H$20,8,FALSE))</f>
        <v>-1.954192803580491</v>
      </c>
      <c r="W288" s="5">
        <f>60*DEGREES(ACOS(SIN(Table1[[#This Row],[HomeLat]])*SIN(Table1[[#This Row],[VisitorLat]]) +COS(Table1[[#This Row],[HomeLat]])*COS(Table1[[#This Row],[VisitorLat]])*COS(ABS(Table1[[#This Row],[HomeLong]] -Table1[[#This Row],[VisitorLong]]))))</f>
        <v>511.76775855631945</v>
      </c>
      <c r="X288" s="6">
        <f>VLOOKUP(Table1[[#This Row],[HomeTeam]],TeamAttrs!$A$2:$K$20,5,FALSE)</f>
        <v>3230000</v>
      </c>
      <c r="Y288" s="6">
        <f>VLOOKUP(Table1[[#This Row],[HomeTeam]],TeamAttrs!$A$2:$K$20,9,FALSE)</f>
        <v>13056</v>
      </c>
      <c r="Z288" s="6">
        <f>VLOOKUP(Table1[[#This Row],[HomeTeam]],TeamAttrs!$A$2:$K$20,10,FALSE)</f>
        <v>18800</v>
      </c>
      <c r="AA288" s="6">
        <f>VLOOKUP(Table1[[#This Row],[HomeTeam]],TeamAttrs!$A$2:$K$20,11,FALSE)</f>
        <v>0.69446808510638303</v>
      </c>
    </row>
    <row r="289" spans="1:27" x14ac:dyDescent="0.25">
      <c r="A289" s="1">
        <v>41181</v>
      </c>
      <c r="B289" t="s">
        <v>8</v>
      </c>
      <c r="C289" t="str">
        <f>VLOOKUP(Table1[[#This Row],[HomeTeam]], TeamAttrs!$A$2:$B$20,2,FALSE)</f>
        <v>Colum</v>
      </c>
      <c r="D289">
        <v>3</v>
      </c>
      <c r="E289">
        <v>2</v>
      </c>
      <c r="F289">
        <f>Table1[[#This Row],[HomeTeamScore]]-Table1[[#This Row],[VisitorScore]]</f>
        <v>1</v>
      </c>
      <c r="G289" t="s">
        <v>4</v>
      </c>
      <c r="H289" t="str">
        <f>VLOOKUP(Table1[[#This Row],[VisitorTeam]],TeamAttrs!$A$2:$B$20, 2, FALSE)</f>
        <v>Phil</v>
      </c>
      <c r="I289">
        <f t="shared" si="16"/>
        <v>1</v>
      </c>
      <c r="J289">
        <f t="shared" si="17"/>
        <v>0</v>
      </c>
      <c r="K289">
        <f t="shared" si="18"/>
        <v>0</v>
      </c>
      <c r="L289">
        <f>3*Table1[HomeWin] +Table1[Draw]</f>
        <v>3</v>
      </c>
      <c r="M289">
        <f>3*Table1[HomeLoss]+Table1[Draw]</f>
        <v>0</v>
      </c>
      <c r="N289">
        <f>VLOOKUP(B289,TeamAttrs!$A$2:$C$20,3,FALSE)</f>
        <v>5</v>
      </c>
      <c r="O289">
        <f>VLOOKUP(G289,TeamAttrs!$A$2:$C$20,3,FALSE)</f>
        <v>5</v>
      </c>
      <c r="P289">
        <f t="shared" si="19"/>
        <v>0</v>
      </c>
      <c r="Q289">
        <f>VLOOKUP(B289,TeamAttrs!$A$2:$D$20,3,FALSE)</f>
        <v>5</v>
      </c>
      <c r="R289">
        <f>VLOOKUP(G289,TeamAttrs!$A$2:$D$20,3,FALSE)</f>
        <v>5</v>
      </c>
      <c r="S289">
        <f>RADIANS(VLOOKUP(Table1[[#This Row],[HomeTeam]],TeamAttrs!$A$2:$H$20,7, FALSE))</f>
        <v>0.69813170079773179</v>
      </c>
      <c r="T289">
        <f>RADIANS(VLOOKUP(Table1[[#This Row],[HomeTeam]],TeamAttrs!$A$2:$H$20, 8, FALSE))</f>
        <v>-1.4465864799182162</v>
      </c>
      <c r="U289">
        <f>RADIANS(VLOOKUP(Table1[[#This Row],[VisitorTeam]],TeamAttrs!$A$2:$H$20,7,FALSE))</f>
        <v>0.69609490156065446</v>
      </c>
      <c r="V289">
        <f>RADIANS(VLOOKUP(Table1[[#This Row],[VisitorTeam]], TeamAttrs!$A$2:$H$20,8,FALSE))</f>
        <v>-1.313360262125733</v>
      </c>
      <c r="W289" s="5">
        <f>60*DEGREES(ACOS(SIN(Table1[[#This Row],[HomeLat]])*SIN(Table1[[#This Row],[VisitorLat]]) +COS(Table1[[#This Row],[HomeLat]])*COS(Table1[[#This Row],[VisitorLat]])*COS(ABS(Table1[[#This Row],[HomeLong]] -Table1[[#This Row],[VisitorLong]]))))</f>
        <v>351.10895086075277</v>
      </c>
      <c r="X289" s="6">
        <f>VLOOKUP(Table1[[#This Row],[HomeTeam]],TeamAttrs!$A$2:$K$20,5,FALSE)</f>
        <v>3330000</v>
      </c>
      <c r="Y289" s="6">
        <f>VLOOKUP(Table1[[#This Row],[HomeTeam]],TeamAttrs!$A$2:$K$20,9,FALSE)</f>
        <v>14397</v>
      </c>
      <c r="Z289" s="6">
        <f>VLOOKUP(Table1[[#This Row],[HomeTeam]],TeamAttrs!$A$2:$K$20,10,FALSE)</f>
        <v>20145</v>
      </c>
      <c r="AA289" s="6">
        <f>VLOOKUP(Table1[[#This Row],[HomeTeam]],TeamAttrs!$A$2:$K$20,11,FALSE)</f>
        <v>0.71466865227103504</v>
      </c>
    </row>
    <row r="290" spans="1:27" x14ac:dyDescent="0.25">
      <c r="A290" s="1">
        <v>41181</v>
      </c>
      <c r="B290" t="s">
        <v>13</v>
      </c>
      <c r="C290" t="str">
        <f>VLOOKUP(Table1[[#This Row],[HomeTeam]], TeamAttrs!$A$2:$B$20,2,FALSE)</f>
        <v>Hou</v>
      </c>
      <c r="D290">
        <v>2</v>
      </c>
      <c r="E290">
        <v>0</v>
      </c>
      <c r="F290">
        <f>Table1[[#This Row],[HomeTeamScore]]-Table1[[#This Row],[VisitorScore]]</f>
        <v>2</v>
      </c>
      <c r="G290" t="s">
        <v>9</v>
      </c>
      <c r="H290" t="str">
        <f>VLOOKUP(Table1[[#This Row],[VisitorTeam]],TeamAttrs!$A$2:$B$20, 2, FALSE)</f>
        <v>NE</v>
      </c>
      <c r="I290">
        <f t="shared" si="16"/>
        <v>1</v>
      </c>
      <c r="J290">
        <f t="shared" si="17"/>
        <v>0</v>
      </c>
      <c r="K290">
        <f t="shared" si="18"/>
        <v>0</v>
      </c>
      <c r="L290">
        <f>3*Table1[HomeWin] +Table1[Draw]</f>
        <v>3</v>
      </c>
      <c r="M290">
        <f>3*Table1[HomeLoss]+Table1[Draw]</f>
        <v>0</v>
      </c>
      <c r="N290">
        <f>VLOOKUP(B290,TeamAttrs!$A$2:$C$20,3,FALSE)</f>
        <v>6</v>
      </c>
      <c r="O290">
        <f>VLOOKUP(G290,TeamAttrs!$A$2:$C$20,3,FALSE)</f>
        <v>5</v>
      </c>
      <c r="P290">
        <f t="shared" si="19"/>
        <v>-1</v>
      </c>
      <c r="Q290">
        <f>VLOOKUP(B290,TeamAttrs!$A$2:$D$20,3,FALSE)</f>
        <v>6</v>
      </c>
      <c r="R290">
        <f>VLOOKUP(G290,TeamAttrs!$A$2:$D$20,3,FALSE)</f>
        <v>5</v>
      </c>
      <c r="S290">
        <f>RADIANS(VLOOKUP(Table1[[#This Row],[HomeTeam]],TeamAttrs!$A$2:$H$20,7, FALSE))</f>
        <v>0.52301758095738471</v>
      </c>
      <c r="T290">
        <f>RADIANS(VLOOKUP(Table1[[#This Row],[HomeTeam]],TeamAttrs!$A$2:$H$20, 8, FALSE))</f>
        <v>-1.6641714417765932</v>
      </c>
      <c r="U290">
        <f>RADIANS(VLOOKUP(Table1[[#This Row],[VisitorTeam]],TeamAttrs!$A$2:$H$20,7,FALSE))</f>
        <v>0.73943840820468165</v>
      </c>
      <c r="V290">
        <f>RADIANS(VLOOKUP(Table1[[#This Row],[VisitorTeam]], TeamAttrs!$A$2:$H$20,8,FALSE))</f>
        <v>-1.2397649635568881</v>
      </c>
      <c r="W290" s="5">
        <f>60*DEGREES(ACOS(SIN(Table1[[#This Row],[HomeLat]])*SIN(Table1[[#This Row],[VisitorLat]]) +COS(Table1[[#This Row],[HomeLat]])*COS(Table1[[#This Row],[VisitorLat]])*COS(ABS(Table1[[#This Row],[HomeLong]] -Table1[[#This Row],[VisitorLong]]))))</f>
        <v>1385.4265066826183</v>
      </c>
      <c r="X290" s="6">
        <f>VLOOKUP(Table1[[#This Row],[HomeTeam]],TeamAttrs!$A$2:$K$20,5,FALSE)</f>
        <v>3000000</v>
      </c>
      <c r="Y290" s="6">
        <f>VLOOKUP(Table1[[#This Row],[HomeTeam]],TeamAttrs!$A$2:$K$20,9,FALSE)</f>
        <v>20946</v>
      </c>
      <c r="Z290" s="6">
        <f>VLOOKUP(Table1[[#This Row],[HomeTeam]],TeamAttrs!$A$2:$K$20,10,FALSE)</f>
        <v>22000</v>
      </c>
      <c r="AA290" s="6">
        <f>VLOOKUP(Table1[[#This Row],[HomeTeam]],TeamAttrs!$A$2:$K$20,11,FALSE)</f>
        <v>0.9520909090909091</v>
      </c>
    </row>
    <row r="291" spans="1:27" x14ac:dyDescent="0.25">
      <c r="A291" s="1">
        <v>41181</v>
      </c>
      <c r="B291" t="s">
        <v>15</v>
      </c>
      <c r="C291" t="str">
        <f>VLOOKUP(Table1[[#This Row],[HomeTeam]], TeamAttrs!$A$2:$B$20,2,FALSE)</f>
        <v>NY</v>
      </c>
      <c r="D291">
        <v>4</v>
      </c>
      <c r="E291">
        <v>1</v>
      </c>
      <c r="F291">
        <f>Table1[[#This Row],[HomeTeamScore]]-Table1[[#This Row],[VisitorScore]]</f>
        <v>3</v>
      </c>
      <c r="G291" t="s">
        <v>10</v>
      </c>
      <c r="H291" t="str">
        <f>VLOOKUP(Table1[[#This Row],[VisitorTeam]],TeamAttrs!$A$2:$B$20, 2, FALSE)</f>
        <v>Tor</v>
      </c>
      <c r="I291">
        <f t="shared" si="16"/>
        <v>1</v>
      </c>
      <c r="J291">
        <f t="shared" si="17"/>
        <v>0</v>
      </c>
      <c r="K291">
        <f t="shared" si="18"/>
        <v>0</v>
      </c>
      <c r="L291">
        <f>3*Table1[HomeWin] +Table1[Draw]</f>
        <v>3</v>
      </c>
      <c r="M291">
        <f>3*Table1[HomeLoss]+Table1[Draw]</f>
        <v>0</v>
      </c>
      <c r="N291">
        <f>VLOOKUP(B291,TeamAttrs!$A$2:$C$20,3,FALSE)</f>
        <v>5</v>
      </c>
      <c r="O291">
        <f>VLOOKUP(G291,TeamAttrs!$A$2:$C$20,3,FALSE)</f>
        <v>5</v>
      </c>
      <c r="P291">
        <f t="shared" si="19"/>
        <v>0</v>
      </c>
      <c r="Q291">
        <f>VLOOKUP(B291,TeamAttrs!$A$2:$D$20,3,FALSE)</f>
        <v>5</v>
      </c>
      <c r="R291">
        <f>VLOOKUP(G291,TeamAttrs!$A$2:$D$20,3,FALSE)</f>
        <v>5</v>
      </c>
      <c r="S291">
        <f>RADIANS(VLOOKUP(Table1[[#This Row],[HomeTeam]],TeamAttrs!$A$2:$H$20,7, FALSE))</f>
        <v>0.71180286482860333</v>
      </c>
      <c r="T291">
        <f>RADIANS(VLOOKUP(Table1[[#This Row],[HomeTeam]],TeamAttrs!$A$2:$H$20, 8, FALSE))</f>
        <v>-1.2909624518348899</v>
      </c>
      <c r="U291">
        <f>RADIANS(VLOOKUP(Table1[[#This Row],[VisitorTeam]],TeamAttrs!$A$2:$H$20,7,FALSE))</f>
        <v>0.76241741313643896</v>
      </c>
      <c r="V291">
        <f>RADIANS(VLOOKUP(Table1[[#This Row],[VisitorTeam]], TeamAttrs!$A$2:$H$20,8,FALSE))</f>
        <v>-1.3898632792284005</v>
      </c>
      <c r="W291" s="5">
        <f>60*DEGREES(ACOS(SIN(Table1[[#This Row],[HomeLat]])*SIN(Table1[[#This Row],[VisitorLat]]) +COS(Table1[[#This Row],[HomeLat]])*COS(Table1[[#This Row],[VisitorLat]])*COS(ABS(Table1[[#This Row],[HomeLong]] -Table1[[#This Row],[VisitorLong]]))))</f>
        <v>305.90456223714011</v>
      </c>
      <c r="X291" s="6">
        <f>VLOOKUP(Table1[[#This Row],[HomeTeam]],TeamAttrs!$A$2:$K$20,5,FALSE)</f>
        <v>12960000</v>
      </c>
      <c r="Y291" s="6">
        <f>VLOOKUP(Table1[[#This Row],[HomeTeam]],TeamAttrs!$A$2:$K$20,9,FALSE)</f>
        <v>18281</v>
      </c>
      <c r="Z291" s="6">
        <f>VLOOKUP(Table1[[#This Row],[HomeTeam]],TeamAttrs!$A$2:$K$20,10,FALSE)</f>
        <v>25000</v>
      </c>
      <c r="AA291" s="6">
        <f>VLOOKUP(Table1[[#This Row],[HomeTeam]],TeamAttrs!$A$2:$K$20,11,FALSE)</f>
        <v>0.73124</v>
      </c>
    </row>
    <row r="292" spans="1:27" x14ac:dyDescent="0.25">
      <c r="A292" s="1">
        <v>41181</v>
      </c>
      <c r="B292" t="s">
        <v>12</v>
      </c>
      <c r="C292" t="str">
        <f>VLOOKUP(Table1[[#This Row],[HomeTeam]], TeamAttrs!$A$2:$B$20,2,FALSE)</f>
        <v>Port</v>
      </c>
      <c r="D292">
        <v>1</v>
      </c>
      <c r="E292">
        <v>1</v>
      </c>
      <c r="F292">
        <f>Table1[[#This Row],[HomeTeamScore]]-Table1[[#This Row],[VisitorScore]]</f>
        <v>0</v>
      </c>
      <c r="G292" t="s">
        <v>3</v>
      </c>
      <c r="H292" t="str">
        <f>VLOOKUP(Table1[[#This Row],[VisitorTeam]],TeamAttrs!$A$2:$B$20, 2, FALSE)</f>
        <v>DCU</v>
      </c>
      <c r="I292">
        <f t="shared" si="16"/>
        <v>0</v>
      </c>
      <c r="J292">
        <f t="shared" si="17"/>
        <v>1</v>
      </c>
      <c r="K292">
        <f t="shared" si="18"/>
        <v>0</v>
      </c>
      <c r="L292">
        <f>3*Table1[HomeWin] +Table1[Draw]</f>
        <v>1</v>
      </c>
      <c r="M292">
        <f>3*Table1[HomeLoss]+Table1[Draw]</f>
        <v>1</v>
      </c>
      <c r="N292">
        <f>VLOOKUP(B292,TeamAttrs!$A$2:$C$20,3,FALSE)</f>
        <v>8</v>
      </c>
      <c r="O292">
        <f>VLOOKUP(G292,TeamAttrs!$A$2:$C$20,3,FALSE)</f>
        <v>5</v>
      </c>
      <c r="P292">
        <f t="shared" si="19"/>
        <v>-3</v>
      </c>
      <c r="Q292">
        <f>VLOOKUP(B292,TeamAttrs!$A$2:$D$20,3,FALSE)</f>
        <v>8</v>
      </c>
      <c r="R292">
        <f>VLOOKUP(G292,TeamAttrs!$A$2:$D$20,3,FALSE)</f>
        <v>5</v>
      </c>
      <c r="S292">
        <f>RADIANS(VLOOKUP(Table1[[#This Row],[HomeTeam]],TeamAttrs!$A$2:$H$20,7, FALSE))</f>
        <v>0.79587013890941427</v>
      </c>
      <c r="T292">
        <f>RADIANS(VLOOKUP(Table1[[#This Row],[HomeTeam]],TeamAttrs!$A$2:$H$20, 8, FALSE))</f>
        <v>-2.1397736629450481</v>
      </c>
      <c r="U292">
        <f>RADIANS(VLOOKUP(Table1[[#This Row],[VisitorTeam]],TeamAttrs!$A$2:$H$20,7,FALSE))</f>
        <v>0.67806041439979703</v>
      </c>
      <c r="V292">
        <f>RADIANS(VLOOKUP(Table1[[#This Row],[VisitorTeam]], TeamAttrs!$A$2:$H$20,8,FALSE))</f>
        <v>-1.3444847186765478</v>
      </c>
      <c r="W292" s="5">
        <f>60*DEGREES(ACOS(SIN(Table1[[#This Row],[HomeLat]])*SIN(Table1[[#This Row],[VisitorLat]]) +COS(Table1[[#This Row],[HomeLat]])*COS(Table1[[#This Row],[VisitorLat]])*COS(ABS(Table1[[#This Row],[HomeLong]] -Table1[[#This Row],[VisitorLong]]))))</f>
        <v>2036.2701503636681</v>
      </c>
      <c r="X292" s="6">
        <f>VLOOKUP(Table1[[#This Row],[HomeTeam]],TeamAttrs!$A$2:$K$20,5,FALSE)</f>
        <v>4160000</v>
      </c>
      <c r="Y292" s="6">
        <f>VLOOKUP(Table1[[#This Row],[HomeTeam]],TeamAttrs!$A$2:$K$20,9,FALSE)</f>
        <v>20438</v>
      </c>
      <c r="Z292" s="6">
        <f>VLOOKUP(Table1[[#This Row],[HomeTeam]],TeamAttrs!$A$2:$K$20,10,FALSE)</f>
        <v>20438</v>
      </c>
      <c r="AA292" s="6">
        <f>VLOOKUP(Table1[[#This Row],[HomeTeam]],TeamAttrs!$A$2:$K$20,11,FALSE)</f>
        <v>1</v>
      </c>
    </row>
    <row r="293" spans="1:27" x14ac:dyDescent="0.25">
      <c r="A293" s="1">
        <v>41181</v>
      </c>
      <c r="B293" t="s">
        <v>5</v>
      </c>
      <c r="C293" t="str">
        <f>VLOOKUP(Table1[[#This Row],[HomeTeam]], TeamAttrs!$A$2:$B$20,2,FALSE)</f>
        <v>SJE</v>
      </c>
      <c r="D293">
        <v>3</v>
      </c>
      <c r="E293">
        <v>3</v>
      </c>
      <c r="F293">
        <f>Table1[[#This Row],[HomeTeamScore]]-Table1[[#This Row],[VisitorScore]]</f>
        <v>0</v>
      </c>
      <c r="G293" t="s">
        <v>7</v>
      </c>
      <c r="H293" t="str">
        <f>VLOOKUP(Table1[[#This Row],[VisitorTeam]],TeamAttrs!$A$2:$B$20, 2, FALSE)</f>
        <v>FCDal</v>
      </c>
      <c r="I293">
        <f t="shared" si="16"/>
        <v>0</v>
      </c>
      <c r="J293">
        <f t="shared" si="17"/>
        <v>1</v>
      </c>
      <c r="K293">
        <f t="shared" si="18"/>
        <v>0</v>
      </c>
      <c r="L293">
        <f>3*Table1[HomeWin] +Table1[Draw]</f>
        <v>1</v>
      </c>
      <c r="M293">
        <f>3*Table1[HomeLoss]+Table1[Draw]</f>
        <v>1</v>
      </c>
      <c r="N293">
        <f>VLOOKUP(B293,TeamAttrs!$A$2:$C$20,3,FALSE)</f>
        <v>8</v>
      </c>
      <c r="O293">
        <f>VLOOKUP(G293,TeamAttrs!$A$2:$C$20,3,FALSE)</f>
        <v>6</v>
      </c>
      <c r="P293">
        <f t="shared" si="19"/>
        <v>-2</v>
      </c>
      <c r="Q293">
        <f>VLOOKUP(B293,TeamAttrs!$A$2:$D$20,3,FALSE)</f>
        <v>8</v>
      </c>
      <c r="R293">
        <f>VLOOKUP(G293,TeamAttrs!$A$2:$D$20,3,FALSE)</f>
        <v>6</v>
      </c>
      <c r="S293">
        <f>RADIANS(VLOOKUP(Table1[[#This Row],[HomeTeam]],TeamAttrs!$A$2:$H$20,7, FALSE))</f>
        <v>0.65217194560496516</v>
      </c>
      <c r="T293">
        <f>RADIANS(VLOOKUP(Table1[[#This Row],[HomeTeam]],TeamAttrs!$A$2:$H$20, 8, FALSE))</f>
        <v>-2.1281323168342459</v>
      </c>
      <c r="U293">
        <f>RADIANS(VLOOKUP(Table1[[#This Row],[VisitorTeam]],TeamAttrs!$A$2:$H$20,7,FALSE))</f>
        <v>0.57334065928013733</v>
      </c>
      <c r="V293">
        <f>RADIANS(VLOOKUP(Table1[[#This Row],[VisitorTeam]], TeamAttrs!$A$2:$H$20,8,FALSE))</f>
        <v>-1.690351380556508</v>
      </c>
      <c r="W293" s="5">
        <f>60*DEGREES(ACOS(SIN(Table1[[#This Row],[HomeLat]])*SIN(Table1[[#This Row],[VisitorLat]]) +COS(Table1[[#This Row],[HomeLat]])*COS(Table1[[#This Row],[VisitorLat]])*COS(ABS(Table1[[#This Row],[HomeLong]] -Table1[[#This Row],[VisitorLong]]))))</f>
        <v>1256.6548664398847</v>
      </c>
      <c r="X293" s="6">
        <f>VLOOKUP(Table1[[#This Row],[HomeTeam]],TeamAttrs!$A$2:$K$20,5,FALSE)</f>
        <v>3210000</v>
      </c>
      <c r="Y293" s="6">
        <f>VLOOKUP(Table1[[#This Row],[HomeTeam]],TeamAttrs!$A$2:$K$20,9,FALSE)</f>
        <v>13293</v>
      </c>
      <c r="Z293" s="6">
        <f>VLOOKUP(Table1[[#This Row],[HomeTeam]],TeamAttrs!$A$2:$K$20,10,FALSE)</f>
        <v>10525</v>
      </c>
      <c r="AA293" s="6">
        <f>VLOOKUP(Table1[[#This Row],[HomeTeam]],TeamAttrs!$A$2:$K$20,11,FALSE)</f>
        <v>1.2629928741092638</v>
      </c>
    </row>
    <row r="294" spans="1:27" x14ac:dyDescent="0.25">
      <c r="A294" s="1">
        <v>41181</v>
      </c>
      <c r="B294" t="s">
        <v>0</v>
      </c>
      <c r="C294" t="str">
        <f>VLOOKUP(Table1[[#This Row],[HomeTeam]], TeamAttrs!$A$2:$B$20,2,FALSE)</f>
        <v>Van</v>
      </c>
      <c r="D294">
        <v>0</v>
      </c>
      <c r="E294">
        <v>0</v>
      </c>
      <c r="F294">
        <f>Table1[[#This Row],[HomeTeamScore]]-Table1[[#This Row],[VisitorScore]]</f>
        <v>0</v>
      </c>
      <c r="G294" t="s">
        <v>11</v>
      </c>
      <c r="H294" t="str">
        <f>VLOOKUP(Table1[[#This Row],[VisitorTeam]],TeamAttrs!$A$2:$B$20, 2, FALSE)</f>
        <v>SEA</v>
      </c>
      <c r="I294">
        <f t="shared" si="16"/>
        <v>0</v>
      </c>
      <c r="J294">
        <f t="shared" si="17"/>
        <v>1</v>
      </c>
      <c r="K294">
        <f t="shared" si="18"/>
        <v>0</v>
      </c>
      <c r="L294">
        <f>3*Table1[HomeWin] +Table1[Draw]</f>
        <v>1</v>
      </c>
      <c r="M294">
        <f>3*Table1[HomeLoss]+Table1[Draw]</f>
        <v>1</v>
      </c>
      <c r="N294">
        <f>VLOOKUP(B294,TeamAttrs!$A$2:$C$20,3,FALSE)</f>
        <v>8</v>
      </c>
      <c r="O294">
        <f>VLOOKUP(G294,TeamAttrs!$A$2:$C$20,3,FALSE)</f>
        <v>8</v>
      </c>
      <c r="P294">
        <f t="shared" si="19"/>
        <v>0</v>
      </c>
      <c r="Q294">
        <f>VLOOKUP(B294,TeamAttrs!$A$2:$D$20,3,FALSE)</f>
        <v>8</v>
      </c>
      <c r="R294">
        <f>VLOOKUP(G294,TeamAttrs!$A$2:$D$20,3,FALSE)</f>
        <v>8</v>
      </c>
      <c r="S294">
        <f>RADIANS(VLOOKUP(Table1[[#This Row],[HomeTeam]],TeamAttrs!$A$2:$H$20,7, FALSE))</f>
        <v>0.86015585124812133</v>
      </c>
      <c r="T294">
        <f>RADIANS(VLOOKUP(Table1[[#This Row],[HomeTeam]],TeamAttrs!$A$2:$H$20, 8, FALSE))</f>
        <v>-2.1487970151778586</v>
      </c>
      <c r="U294">
        <f>RADIANS(VLOOKUP(Table1[[#This Row],[VisitorTeam]],TeamAttrs!$A$2:$H$20,7,FALSE))</f>
        <v>0.83164938857529802</v>
      </c>
      <c r="V294">
        <f>RADIANS(VLOOKUP(Table1[[#This Row],[VisitorTeam]], TeamAttrs!$A$2:$H$20,8,FALSE))</f>
        <v>-2.134537675189065</v>
      </c>
      <c r="W294" s="5">
        <f>60*DEGREES(ACOS(SIN(Table1[[#This Row],[HomeLat]])*SIN(Table1[[#This Row],[VisitorLat]]) +COS(Table1[[#This Row],[HomeLat]])*COS(Table1[[#This Row],[VisitorLat]])*COS(ABS(Table1[[#This Row],[HomeLong]] -Table1[[#This Row],[VisitorLong]]))))</f>
        <v>103.24581259540123</v>
      </c>
      <c r="X294" s="6">
        <f>VLOOKUP(Table1[[#This Row],[HomeTeam]],TeamAttrs!$A$2:$K$20,5,FALSE)</f>
        <v>4370000</v>
      </c>
      <c r="Y294" s="6">
        <f>VLOOKUP(Table1[[#This Row],[HomeTeam]],TeamAttrs!$A$2:$K$20,9,FALSE)</f>
        <v>19475</v>
      </c>
      <c r="Z294" s="6">
        <f>VLOOKUP(Table1[[#This Row],[HomeTeam]],TeamAttrs!$A$2:$K$20,10,FALSE)</f>
        <v>21000</v>
      </c>
      <c r="AA294" s="6">
        <f>VLOOKUP(Table1[[#This Row],[HomeTeam]],TeamAttrs!$A$2:$K$20,11,FALSE)</f>
        <v>0.92738095238095242</v>
      </c>
    </row>
    <row r="295" spans="1:27" x14ac:dyDescent="0.25">
      <c r="A295" s="1">
        <v>41182</v>
      </c>
      <c r="B295" t="s">
        <v>14</v>
      </c>
      <c r="C295" t="str">
        <f>VLOOKUP(Table1[[#This Row],[HomeTeam]], TeamAttrs!$A$2:$B$20,2,FALSE)</f>
        <v>ColRa</v>
      </c>
      <c r="D295">
        <v>1</v>
      </c>
      <c r="E295">
        <v>1</v>
      </c>
      <c r="F295">
        <f>Table1[[#This Row],[HomeTeamScore]]-Table1[[#This Row],[VisitorScore]]</f>
        <v>0</v>
      </c>
      <c r="G295" t="s">
        <v>16</v>
      </c>
      <c r="H295" t="str">
        <f>VLOOKUP(Table1[[#This Row],[VisitorTeam]],TeamAttrs!$A$2:$B$20, 2, FALSE)</f>
        <v>LAGxy</v>
      </c>
      <c r="I295">
        <f t="shared" si="16"/>
        <v>0</v>
      </c>
      <c r="J295">
        <f t="shared" si="17"/>
        <v>1</v>
      </c>
      <c r="K295">
        <f t="shared" si="18"/>
        <v>0</v>
      </c>
      <c r="L295">
        <f>3*Table1[HomeWin] +Table1[Draw]</f>
        <v>1</v>
      </c>
      <c r="M295">
        <f>3*Table1[HomeLoss]+Table1[Draw]</f>
        <v>1</v>
      </c>
      <c r="N295">
        <f>VLOOKUP(B295,TeamAttrs!$A$2:$C$20,3,FALSE)</f>
        <v>7</v>
      </c>
      <c r="O295">
        <f>VLOOKUP(G295,TeamAttrs!$A$2:$C$20,3,FALSE)</f>
        <v>8</v>
      </c>
      <c r="P295">
        <f t="shared" si="19"/>
        <v>1</v>
      </c>
      <c r="Q295">
        <f>VLOOKUP(B295,TeamAttrs!$A$2:$D$20,3,FALSE)</f>
        <v>7</v>
      </c>
      <c r="R295">
        <f>VLOOKUP(G295,TeamAttrs!$A$2:$D$20,3,FALSE)</f>
        <v>8</v>
      </c>
      <c r="S295">
        <f>RADIANS(VLOOKUP(Table1[[#This Row],[HomeTeam]],TeamAttrs!$A$2:$H$20,7, FALSE))</f>
        <v>0.69376837766774602</v>
      </c>
      <c r="T295">
        <f>RADIANS(VLOOKUP(Table1[[#This Row],[HomeTeam]],TeamAttrs!$A$2:$H$20, 8, FALSE))</f>
        <v>-1.8302744266888937</v>
      </c>
      <c r="U295">
        <f>RADIANS(VLOOKUP(Table1[[#This Row],[VisitorTeam]],TeamAttrs!$A$2:$H$20,7,FALSE))</f>
        <v>0.59224781106699187</v>
      </c>
      <c r="V295">
        <f>RADIANS(VLOOKUP(Table1[[#This Row],[VisitorTeam]], TeamAttrs!$A$2:$H$20,8,FALSE))</f>
        <v>-2.0664698343612864</v>
      </c>
      <c r="W295" s="5">
        <f>60*DEGREES(ACOS(SIN(Table1[[#This Row],[HomeLat]])*SIN(Table1[[#This Row],[VisitorLat]]) +COS(Table1[[#This Row],[HomeLat]])*COS(Table1[[#This Row],[VisitorLat]])*COS(ABS(Table1[[#This Row],[HomeLong]] -Table1[[#This Row],[VisitorLong]]))))</f>
        <v>736.47232912321954</v>
      </c>
      <c r="X295" s="6">
        <f>VLOOKUP(Table1[[#This Row],[HomeTeam]],TeamAttrs!$A$2:$K$20,5,FALSE)</f>
        <v>3430000</v>
      </c>
      <c r="Y295" s="6">
        <f>VLOOKUP(Table1[[#This Row],[HomeTeam]],TeamAttrs!$A$2:$K$20,9,FALSE)</f>
        <v>15175</v>
      </c>
      <c r="Z295" s="6">
        <f>VLOOKUP(Table1[[#This Row],[HomeTeam]],TeamAttrs!$A$2:$K$20,10,FALSE)</f>
        <v>18086</v>
      </c>
      <c r="AA295" s="6">
        <f>VLOOKUP(Table1[[#This Row],[HomeTeam]],TeamAttrs!$A$2:$K$20,11,FALSE)</f>
        <v>0.83904677651221937</v>
      </c>
    </row>
    <row r="296" spans="1:27" x14ac:dyDescent="0.25">
      <c r="A296" s="1">
        <v>41185</v>
      </c>
      <c r="B296" t="s">
        <v>17</v>
      </c>
      <c r="C296" t="str">
        <f>VLOOKUP(Table1[[#This Row],[HomeTeam]], TeamAttrs!$A$2:$B$20,2,FALSE)</f>
        <v>Chi</v>
      </c>
      <c r="D296">
        <v>1</v>
      </c>
      <c r="E296">
        <v>3</v>
      </c>
      <c r="F296">
        <f>Table1[[#This Row],[HomeTeamScore]]-Table1[[#This Row],[VisitorScore]]</f>
        <v>-2</v>
      </c>
      <c r="G296" t="s">
        <v>4</v>
      </c>
      <c r="H296" t="str">
        <f>VLOOKUP(Table1[[#This Row],[VisitorTeam]],TeamAttrs!$A$2:$B$20, 2, FALSE)</f>
        <v>Phil</v>
      </c>
      <c r="I296">
        <f t="shared" si="16"/>
        <v>0</v>
      </c>
      <c r="J296">
        <f t="shared" si="17"/>
        <v>0</v>
      </c>
      <c r="K296">
        <f t="shared" si="18"/>
        <v>1</v>
      </c>
      <c r="L296">
        <f>3*Table1[HomeWin] +Table1[Draw]</f>
        <v>0</v>
      </c>
      <c r="M296">
        <f>3*Table1[HomeLoss]+Table1[Draw]</f>
        <v>3</v>
      </c>
      <c r="N296">
        <f>VLOOKUP(B296,TeamAttrs!$A$2:$C$20,3,FALSE)</f>
        <v>6</v>
      </c>
      <c r="O296">
        <f>VLOOKUP(G296,TeamAttrs!$A$2:$C$20,3,FALSE)</f>
        <v>5</v>
      </c>
      <c r="P296">
        <f t="shared" si="19"/>
        <v>-1</v>
      </c>
      <c r="Q296">
        <f>VLOOKUP(B296,TeamAttrs!$A$2:$D$20,3,FALSE)</f>
        <v>6</v>
      </c>
      <c r="R296">
        <f>VLOOKUP(G296,TeamAttrs!$A$2:$D$20,3,FALSE)</f>
        <v>5</v>
      </c>
      <c r="S296">
        <f>RADIANS(VLOOKUP(Table1[[#This Row],[HomeTeam]],TeamAttrs!$A$2:$H$20,7, FALSE))</f>
        <v>0.72925615734854665</v>
      </c>
      <c r="T296">
        <f>RADIANS(VLOOKUP(Table1[[#This Row],[HomeTeam]],TeamAttrs!$A$2:$H$20, 8, FALSE))</f>
        <v>-1.5315264186250241</v>
      </c>
      <c r="U296">
        <f>RADIANS(VLOOKUP(Table1[[#This Row],[VisitorTeam]],TeamAttrs!$A$2:$H$20,7,FALSE))</f>
        <v>0.69609490156065446</v>
      </c>
      <c r="V296">
        <f>RADIANS(VLOOKUP(Table1[[#This Row],[VisitorTeam]], TeamAttrs!$A$2:$H$20,8,FALSE))</f>
        <v>-1.313360262125733</v>
      </c>
      <c r="W296" s="5">
        <f>60*DEGREES(ACOS(SIN(Table1[[#This Row],[HomeLat]])*SIN(Table1[[#This Row],[VisitorLat]]) +COS(Table1[[#This Row],[HomeLat]])*COS(Table1[[#This Row],[VisitorLat]])*COS(ABS(Table1[[#This Row],[HomeLong]] -Table1[[#This Row],[VisitorLong]]))))</f>
        <v>578.24355193873748</v>
      </c>
      <c r="X296" s="6">
        <f>VLOOKUP(Table1[[#This Row],[HomeTeam]],TeamAttrs!$A$2:$K$20,5,FALSE)</f>
        <v>3230000</v>
      </c>
      <c r="Y296" s="6">
        <f>VLOOKUP(Table1[[#This Row],[HomeTeam]],TeamAttrs!$A$2:$K$20,9,FALSE)</f>
        <v>16407</v>
      </c>
      <c r="Z296" s="6">
        <f>VLOOKUP(Table1[[#This Row],[HomeTeam]],TeamAttrs!$A$2:$K$20,10,FALSE)</f>
        <v>20000</v>
      </c>
      <c r="AA296" s="6">
        <f>VLOOKUP(Table1[[#This Row],[HomeTeam]],TeamAttrs!$A$2:$K$20,11,FALSE)</f>
        <v>0.82035000000000002</v>
      </c>
    </row>
    <row r="297" spans="1:27" x14ac:dyDescent="0.25">
      <c r="A297" s="1">
        <v>41185</v>
      </c>
      <c r="B297" t="s">
        <v>0</v>
      </c>
      <c r="C297" t="str">
        <f>VLOOKUP(Table1[[#This Row],[HomeTeam]], TeamAttrs!$A$2:$B$20,2,FALSE)</f>
        <v>Van</v>
      </c>
      <c r="D297">
        <v>4</v>
      </c>
      <c r="E297">
        <v>0</v>
      </c>
      <c r="F297">
        <f>Table1[[#This Row],[HomeTeamScore]]-Table1[[#This Row],[VisitorScore]]</f>
        <v>4</v>
      </c>
      <c r="G297" t="s">
        <v>2</v>
      </c>
      <c r="H297" t="str">
        <f>VLOOKUP(Table1[[#This Row],[VisitorTeam]],TeamAttrs!$A$2:$B$20, 2, FALSE)</f>
        <v>Chiv</v>
      </c>
      <c r="I297">
        <f t="shared" si="16"/>
        <v>1</v>
      </c>
      <c r="J297">
        <f t="shared" si="17"/>
        <v>0</v>
      </c>
      <c r="K297">
        <f t="shared" si="18"/>
        <v>0</v>
      </c>
      <c r="L297">
        <f>3*Table1[HomeWin] +Table1[Draw]</f>
        <v>3</v>
      </c>
      <c r="M297">
        <f>3*Table1[HomeLoss]+Table1[Draw]</f>
        <v>0</v>
      </c>
      <c r="N297">
        <f>VLOOKUP(B297,TeamAttrs!$A$2:$C$20,3,FALSE)</f>
        <v>8</v>
      </c>
      <c r="O297">
        <f>VLOOKUP(G297,TeamAttrs!$A$2:$C$20,3,FALSE)</f>
        <v>8</v>
      </c>
      <c r="P297">
        <f t="shared" si="19"/>
        <v>0</v>
      </c>
      <c r="Q297">
        <f>VLOOKUP(B297,TeamAttrs!$A$2:$D$20,3,FALSE)</f>
        <v>8</v>
      </c>
      <c r="R297">
        <f>VLOOKUP(G297,TeamAttrs!$A$2:$D$20,3,FALSE)</f>
        <v>8</v>
      </c>
      <c r="S297">
        <f>RADIANS(VLOOKUP(Table1[[#This Row],[HomeTeam]],TeamAttrs!$A$2:$H$20,7, FALSE))</f>
        <v>0.86015585124812133</v>
      </c>
      <c r="T297">
        <f>RADIANS(VLOOKUP(Table1[[#This Row],[HomeTeam]],TeamAttrs!$A$2:$H$20, 8, FALSE))</f>
        <v>-2.1487970151778586</v>
      </c>
      <c r="U297">
        <f>RADIANS(VLOOKUP(Table1[[#This Row],[VisitorTeam]],TeamAttrs!$A$2:$H$20,7,FALSE))</f>
        <v>0.59224781106699187</v>
      </c>
      <c r="V297">
        <f>RADIANS(VLOOKUP(Table1[[#This Row],[VisitorTeam]], TeamAttrs!$A$2:$H$20,8,FALSE))</f>
        <v>-2.0664698343612864</v>
      </c>
      <c r="W297" s="5">
        <f>60*DEGREES(ACOS(SIN(Table1[[#This Row],[HomeLat]])*SIN(Table1[[#This Row],[VisitorLat]]) +COS(Table1[[#This Row],[HomeLat]])*COS(Table1[[#This Row],[VisitorLat]])*COS(ABS(Table1[[#This Row],[HomeLong]] -Table1[[#This Row],[VisitorLong]]))))</f>
        <v>944.51302004211243</v>
      </c>
      <c r="X297" s="6">
        <f>VLOOKUP(Table1[[#This Row],[HomeTeam]],TeamAttrs!$A$2:$K$20,5,FALSE)</f>
        <v>4370000</v>
      </c>
      <c r="Y297" s="6">
        <f>VLOOKUP(Table1[[#This Row],[HomeTeam]],TeamAttrs!$A$2:$K$20,9,FALSE)</f>
        <v>19475</v>
      </c>
      <c r="Z297" s="6">
        <f>VLOOKUP(Table1[[#This Row],[HomeTeam]],TeamAttrs!$A$2:$K$20,10,FALSE)</f>
        <v>21000</v>
      </c>
      <c r="AA297" s="6">
        <f>VLOOKUP(Table1[[#This Row],[HomeTeam]],TeamAttrs!$A$2:$K$20,11,FALSE)</f>
        <v>0.92738095238095242</v>
      </c>
    </row>
    <row r="298" spans="1:27" x14ac:dyDescent="0.25">
      <c r="A298" s="1">
        <v>41188</v>
      </c>
      <c r="B298" t="s">
        <v>14</v>
      </c>
      <c r="C298" t="str">
        <f>VLOOKUP(Table1[[#This Row],[HomeTeam]], TeamAttrs!$A$2:$B$20,2,FALSE)</f>
        <v>ColRa</v>
      </c>
      <c r="D298">
        <v>1</v>
      </c>
      <c r="E298">
        <v>4</v>
      </c>
      <c r="F298">
        <f>Table1[[#This Row],[HomeTeamScore]]-Table1[[#This Row],[VisitorScore]]</f>
        <v>-3</v>
      </c>
      <c r="G298" t="s">
        <v>5</v>
      </c>
      <c r="H298" t="str">
        <f>VLOOKUP(Table1[[#This Row],[VisitorTeam]],TeamAttrs!$A$2:$B$20, 2, FALSE)</f>
        <v>SJE</v>
      </c>
      <c r="I298">
        <f t="shared" si="16"/>
        <v>0</v>
      </c>
      <c r="J298">
        <f t="shared" si="17"/>
        <v>0</v>
      </c>
      <c r="K298">
        <f t="shared" si="18"/>
        <v>1</v>
      </c>
      <c r="L298">
        <f>3*Table1[HomeWin] +Table1[Draw]</f>
        <v>0</v>
      </c>
      <c r="M298">
        <f>3*Table1[HomeLoss]+Table1[Draw]</f>
        <v>3</v>
      </c>
      <c r="N298">
        <f>VLOOKUP(B298,TeamAttrs!$A$2:$C$20,3,FALSE)</f>
        <v>7</v>
      </c>
      <c r="O298">
        <f>VLOOKUP(G298,TeamAttrs!$A$2:$C$20,3,FALSE)</f>
        <v>8</v>
      </c>
      <c r="P298">
        <f t="shared" si="19"/>
        <v>1</v>
      </c>
      <c r="Q298">
        <f>VLOOKUP(B298,TeamAttrs!$A$2:$D$20,3,FALSE)</f>
        <v>7</v>
      </c>
      <c r="R298">
        <f>VLOOKUP(G298,TeamAttrs!$A$2:$D$20,3,FALSE)</f>
        <v>8</v>
      </c>
      <c r="S298">
        <f>RADIANS(VLOOKUP(Table1[[#This Row],[HomeTeam]],TeamAttrs!$A$2:$H$20,7, FALSE))</f>
        <v>0.69376837766774602</v>
      </c>
      <c r="T298">
        <f>RADIANS(VLOOKUP(Table1[[#This Row],[HomeTeam]],TeamAttrs!$A$2:$H$20, 8, FALSE))</f>
        <v>-1.8302744266888937</v>
      </c>
      <c r="U298">
        <f>RADIANS(VLOOKUP(Table1[[#This Row],[VisitorTeam]],TeamAttrs!$A$2:$H$20,7,FALSE))</f>
        <v>0.65217194560496516</v>
      </c>
      <c r="V298">
        <f>RADIANS(VLOOKUP(Table1[[#This Row],[VisitorTeam]], TeamAttrs!$A$2:$H$20,8,FALSE))</f>
        <v>-2.1281323168342459</v>
      </c>
      <c r="W298" s="5">
        <f>60*DEGREES(ACOS(SIN(Table1[[#This Row],[HomeLat]])*SIN(Table1[[#This Row],[VisitorLat]]) +COS(Table1[[#This Row],[HomeLat]])*COS(Table1[[#This Row],[VisitorLat]])*COS(ABS(Table1[[#This Row],[HomeLong]] -Table1[[#This Row],[VisitorLong]]))))</f>
        <v>812.07539182449955</v>
      </c>
      <c r="X298" s="6">
        <f>VLOOKUP(Table1[[#This Row],[HomeTeam]],TeamAttrs!$A$2:$K$20,5,FALSE)</f>
        <v>3430000</v>
      </c>
      <c r="Y298" s="6">
        <f>VLOOKUP(Table1[[#This Row],[HomeTeam]],TeamAttrs!$A$2:$K$20,9,FALSE)</f>
        <v>15175</v>
      </c>
      <c r="Z298" s="6">
        <f>VLOOKUP(Table1[[#This Row],[HomeTeam]],TeamAttrs!$A$2:$K$20,10,FALSE)</f>
        <v>18086</v>
      </c>
      <c r="AA298" s="6">
        <f>VLOOKUP(Table1[[#This Row],[HomeTeam]],TeamAttrs!$A$2:$K$20,11,FALSE)</f>
        <v>0.83904677651221937</v>
      </c>
    </row>
    <row r="299" spans="1:27" x14ac:dyDescent="0.25">
      <c r="A299" s="1">
        <v>41188</v>
      </c>
      <c r="B299" t="s">
        <v>13</v>
      </c>
      <c r="C299" t="str">
        <f>VLOOKUP(Table1[[#This Row],[HomeTeam]], TeamAttrs!$A$2:$B$20,2,FALSE)</f>
        <v>Hou</v>
      </c>
      <c r="D299">
        <v>1</v>
      </c>
      <c r="E299">
        <v>1</v>
      </c>
      <c r="F299">
        <f>Table1[[#This Row],[HomeTeamScore]]-Table1[[#This Row],[VisitorScore]]</f>
        <v>0</v>
      </c>
      <c r="G299" t="s">
        <v>1</v>
      </c>
      <c r="H299" t="str">
        <f>VLOOKUP(Table1[[#This Row],[VisitorTeam]],TeamAttrs!$A$2:$B$20, 2, FALSE)</f>
        <v>Mntrl</v>
      </c>
      <c r="I299">
        <f t="shared" si="16"/>
        <v>0</v>
      </c>
      <c r="J299">
        <f t="shared" si="17"/>
        <v>1</v>
      </c>
      <c r="K299">
        <f t="shared" si="18"/>
        <v>0</v>
      </c>
      <c r="L299">
        <f>3*Table1[HomeWin] +Table1[Draw]</f>
        <v>1</v>
      </c>
      <c r="M299">
        <f>3*Table1[HomeLoss]+Table1[Draw]</f>
        <v>1</v>
      </c>
      <c r="N299">
        <f>VLOOKUP(B299,TeamAttrs!$A$2:$C$20,3,FALSE)</f>
        <v>6</v>
      </c>
      <c r="O299">
        <f>VLOOKUP(G299,TeamAttrs!$A$2:$C$20,3,FALSE)</f>
        <v>5</v>
      </c>
      <c r="P299">
        <f t="shared" si="19"/>
        <v>-1</v>
      </c>
      <c r="Q299">
        <f>VLOOKUP(B299,TeamAttrs!$A$2:$D$20,3,FALSE)</f>
        <v>6</v>
      </c>
      <c r="R299">
        <f>VLOOKUP(G299,TeamAttrs!$A$2:$D$20,3,FALSE)</f>
        <v>5</v>
      </c>
      <c r="S299">
        <f>RADIANS(VLOOKUP(Table1[[#This Row],[HomeTeam]],TeamAttrs!$A$2:$H$20,7, FALSE))</f>
        <v>0.52301758095738471</v>
      </c>
      <c r="T299">
        <f>RADIANS(VLOOKUP(Table1[[#This Row],[HomeTeam]],TeamAttrs!$A$2:$H$20, 8, FALSE))</f>
        <v>-1.6641714417765932</v>
      </c>
      <c r="U299">
        <f>RADIANS(VLOOKUP(Table1[[#This Row],[VisitorTeam]],TeamAttrs!$A$2:$H$20,7,FALSE))</f>
        <v>0.79354361501650583</v>
      </c>
      <c r="V299">
        <f>RADIANS(VLOOKUP(Table1[[#This Row],[VisitorTeam]], TeamAttrs!$A$2:$H$20,8,FALSE))</f>
        <v>-1.2871803233458181</v>
      </c>
      <c r="W299" s="5">
        <f>60*DEGREES(ACOS(SIN(Table1[[#This Row],[HomeLat]])*SIN(Table1[[#This Row],[VisitorLat]]) +COS(Table1[[#This Row],[HomeLat]])*COS(Table1[[#This Row],[VisitorLat]])*COS(ABS(Table1[[#This Row],[HomeLong]] -Table1[[#This Row],[VisitorLong]]))))</f>
        <v>1375.9467217025399</v>
      </c>
      <c r="X299" s="6">
        <f>VLOOKUP(Table1[[#This Row],[HomeTeam]],TeamAttrs!$A$2:$K$20,5,FALSE)</f>
        <v>3000000</v>
      </c>
      <c r="Y299" s="6">
        <f>VLOOKUP(Table1[[#This Row],[HomeTeam]],TeamAttrs!$A$2:$K$20,9,FALSE)</f>
        <v>20946</v>
      </c>
      <c r="Z299" s="6">
        <f>VLOOKUP(Table1[[#This Row],[HomeTeam]],TeamAttrs!$A$2:$K$20,10,FALSE)</f>
        <v>22000</v>
      </c>
      <c r="AA299" s="6">
        <f>VLOOKUP(Table1[[#This Row],[HomeTeam]],TeamAttrs!$A$2:$K$20,11,FALSE)</f>
        <v>0.9520909090909091</v>
      </c>
    </row>
    <row r="300" spans="1:27" x14ac:dyDescent="0.25">
      <c r="A300" s="1">
        <v>41188</v>
      </c>
      <c r="B300" t="s">
        <v>16</v>
      </c>
      <c r="C300" t="str">
        <f>VLOOKUP(Table1[[#This Row],[HomeTeam]], TeamAttrs!$A$2:$B$20,2,FALSE)</f>
        <v>LAGxy</v>
      </c>
      <c r="D300">
        <v>1</v>
      </c>
      <c r="E300">
        <v>2</v>
      </c>
      <c r="F300">
        <f>Table1[[#This Row],[HomeTeamScore]]-Table1[[#This Row],[VisitorScore]]</f>
        <v>-1</v>
      </c>
      <c r="G300" t="s">
        <v>18</v>
      </c>
      <c r="H300" t="str">
        <f>VLOOKUP(Table1[[#This Row],[VisitorTeam]],TeamAttrs!$A$2:$B$20, 2, FALSE)</f>
        <v>RSL</v>
      </c>
      <c r="I300">
        <f t="shared" si="16"/>
        <v>0</v>
      </c>
      <c r="J300">
        <f t="shared" si="17"/>
        <v>0</v>
      </c>
      <c r="K300">
        <f t="shared" si="18"/>
        <v>1</v>
      </c>
      <c r="L300">
        <f>3*Table1[HomeWin] +Table1[Draw]</f>
        <v>0</v>
      </c>
      <c r="M300">
        <f>3*Table1[HomeLoss]+Table1[Draw]</f>
        <v>3</v>
      </c>
      <c r="N300">
        <f>VLOOKUP(B300,TeamAttrs!$A$2:$C$20,3,FALSE)</f>
        <v>8</v>
      </c>
      <c r="O300">
        <f>VLOOKUP(G300,TeamAttrs!$A$2:$C$20,3,FALSE)</f>
        <v>7</v>
      </c>
      <c r="P300">
        <f t="shared" si="19"/>
        <v>-1</v>
      </c>
      <c r="Q300">
        <f>VLOOKUP(B300,TeamAttrs!$A$2:$D$20,3,FALSE)</f>
        <v>8</v>
      </c>
      <c r="R300">
        <f>VLOOKUP(G300,TeamAttrs!$A$2:$D$20,3,FALSE)</f>
        <v>7</v>
      </c>
      <c r="S300">
        <f>RADIANS(VLOOKUP(Table1[[#This Row],[HomeTeam]],TeamAttrs!$A$2:$H$20,7, FALSE))</f>
        <v>0.59224781106699187</v>
      </c>
      <c r="T300">
        <f>RADIANS(VLOOKUP(Table1[[#This Row],[HomeTeam]],TeamAttrs!$A$2:$H$20, 8, FALSE))</f>
        <v>-2.0664698343612864</v>
      </c>
      <c r="U300">
        <f>RADIANS(VLOOKUP(Table1[[#This Row],[VisitorTeam]],TeamAttrs!$A$2:$H$20,7,FALSE))</f>
        <v>0.71151314017277234</v>
      </c>
      <c r="V300">
        <f>RADIANS(VLOOKUP(Table1[[#This Row],[VisitorTeam]], TeamAttrs!$A$2:$H$20,8,FALSE))</f>
        <v>-1.954192803580491</v>
      </c>
      <c r="W300" s="5">
        <f>60*DEGREES(ACOS(SIN(Table1[[#This Row],[HomeLat]])*SIN(Table1[[#This Row],[VisitorLat]]) +COS(Table1[[#This Row],[HomeLat]])*COS(Table1[[#This Row],[VisitorLat]])*COS(ABS(Table1[[#This Row],[HomeLong]] -Table1[[#This Row],[VisitorLong]]))))</f>
        <v>511.76775855631945</v>
      </c>
      <c r="X300" s="6">
        <f>VLOOKUP(Table1[[#This Row],[HomeTeam]],TeamAttrs!$A$2:$K$20,5,FALSE)</f>
        <v>12630000</v>
      </c>
      <c r="Y300" s="6">
        <f>VLOOKUP(Table1[[#This Row],[HomeTeam]],TeamAttrs!$A$2:$K$20,9,FALSE)</f>
        <v>23136</v>
      </c>
      <c r="Z300" s="6">
        <f>VLOOKUP(Table1[[#This Row],[HomeTeam]],TeamAttrs!$A$2:$K$20,10,FALSE)</f>
        <v>27000</v>
      </c>
      <c r="AA300" s="6">
        <f>VLOOKUP(Table1[[#This Row],[HomeTeam]],TeamAttrs!$A$2:$K$20,11,FALSE)</f>
        <v>0.85688888888888892</v>
      </c>
    </row>
    <row r="301" spans="1:27" x14ac:dyDescent="0.25">
      <c r="A301" s="1">
        <v>41188</v>
      </c>
      <c r="B301" t="s">
        <v>15</v>
      </c>
      <c r="C301" t="str">
        <f>VLOOKUP(Table1[[#This Row],[HomeTeam]], TeamAttrs!$A$2:$B$20,2,FALSE)</f>
        <v>NY</v>
      </c>
      <c r="D301">
        <v>0</v>
      </c>
      <c r="E301">
        <v>2</v>
      </c>
      <c r="F301">
        <f>Table1[[#This Row],[HomeTeamScore]]-Table1[[#This Row],[VisitorScore]]</f>
        <v>-2</v>
      </c>
      <c r="G301" t="s">
        <v>17</v>
      </c>
      <c r="H301" t="str">
        <f>VLOOKUP(Table1[[#This Row],[VisitorTeam]],TeamAttrs!$A$2:$B$20, 2, FALSE)</f>
        <v>Chi</v>
      </c>
      <c r="I301">
        <f t="shared" si="16"/>
        <v>0</v>
      </c>
      <c r="J301">
        <f t="shared" si="17"/>
        <v>0</v>
      </c>
      <c r="K301">
        <f t="shared" si="18"/>
        <v>1</v>
      </c>
      <c r="L301">
        <f>3*Table1[HomeWin] +Table1[Draw]</f>
        <v>0</v>
      </c>
      <c r="M301">
        <f>3*Table1[HomeLoss]+Table1[Draw]</f>
        <v>3</v>
      </c>
      <c r="N301">
        <f>VLOOKUP(B301,TeamAttrs!$A$2:$C$20,3,FALSE)</f>
        <v>5</v>
      </c>
      <c r="O301">
        <f>VLOOKUP(G301,TeamAttrs!$A$2:$C$20,3,FALSE)</f>
        <v>6</v>
      </c>
      <c r="P301">
        <f t="shared" si="19"/>
        <v>1</v>
      </c>
      <c r="Q301">
        <f>VLOOKUP(B301,TeamAttrs!$A$2:$D$20,3,FALSE)</f>
        <v>5</v>
      </c>
      <c r="R301">
        <f>VLOOKUP(G301,TeamAttrs!$A$2:$D$20,3,FALSE)</f>
        <v>6</v>
      </c>
      <c r="S301">
        <f>RADIANS(VLOOKUP(Table1[[#This Row],[HomeTeam]],TeamAttrs!$A$2:$H$20,7, FALSE))</f>
        <v>0.71180286482860333</v>
      </c>
      <c r="T301">
        <f>RADIANS(VLOOKUP(Table1[[#This Row],[HomeTeam]],TeamAttrs!$A$2:$H$20, 8, FALSE))</f>
        <v>-1.2909624518348899</v>
      </c>
      <c r="U301">
        <f>RADIANS(VLOOKUP(Table1[[#This Row],[VisitorTeam]],TeamAttrs!$A$2:$H$20,7,FALSE))</f>
        <v>0.72925615734854665</v>
      </c>
      <c r="V301">
        <f>RADIANS(VLOOKUP(Table1[[#This Row],[VisitorTeam]], TeamAttrs!$A$2:$H$20,8,FALSE))</f>
        <v>-1.5315264186250241</v>
      </c>
      <c r="W301" s="5">
        <f>60*DEGREES(ACOS(SIN(Table1[[#This Row],[HomeLat]])*SIN(Table1[[#This Row],[VisitorLat]]) +COS(Table1[[#This Row],[HomeLat]])*COS(Table1[[#This Row],[VisitorLat]])*COS(ABS(Table1[[#This Row],[HomeLong]] -Table1[[#This Row],[VisitorLong]]))))</f>
        <v>623.66546579347437</v>
      </c>
      <c r="X301" s="6">
        <f>VLOOKUP(Table1[[#This Row],[HomeTeam]],TeamAttrs!$A$2:$K$20,5,FALSE)</f>
        <v>12960000</v>
      </c>
      <c r="Y301" s="6">
        <f>VLOOKUP(Table1[[#This Row],[HomeTeam]],TeamAttrs!$A$2:$K$20,9,FALSE)</f>
        <v>18281</v>
      </c>
      <c r="Z301" s="6">
        <f>VLOOKUP(Table1[[#This Row],[HomeTeam]],TeamAttrs!$A$2:$K$20,10,FALSE)</f>
        <v>25000</v>
      </c>
      <c r="AA301" s="6">
        <f>VLOOKUP(Table1[[#This Row],[HomeTeam]],TeamAttrs!$A$2:$K$20,11,FALSE)</f>
        <v>0.73124</v>
      </c>
    </row>
    <row r="302" spans="1:27" x14ac:dyDescent="0.25">
      <c r="A302" s="1">
        <v>41188</v>
      </c>
      <c r="B302" t="s">
        <v>4</v>
      </c>
      <c r="C302" t="str">
        <f>VLOOKUP(Table1[[#This Row],[HomeTeam]], TeamAttrs!$A$2:$B$20,2,FALSE)</f>
        <v>Phil</v>
      </c>
      <c r="D302">
        <v>1</v>
      </c>
      <c r="E302">
        <v>0</v>
      </c>
      <c r="F302">
        <f>Table1[[#This Row],[HomeTeamScore]]-Table1[[#This Row],[VisitorScore]]</f>
        <v>1</v>
      </c>
      <c r="G302" t="s">
        <v>9</v>
      </c>
      <c r="H302" t="str">
        <f>VLOOKUP(Table1[[#This Row],[VisitorTeam]],TeamAttrs!$A$2:$B$20, 2, FALSE)</f>
        <v>NE</v>
      </c>
      <c r="I302">
        <f t="shared" si="16"/>
        <v>1</v>
      </c>
      <c r="J302">
        <f t="shared" si="17"/>
        <v>0</v>
      </c>
      <c r="K302">
        <f t="shared" si="18"/>
        <v>0</v>
      </c>
      <c r="L302">
        <f>3*Table1[HomeWin] +Table1[Draw]</f>
        <v>3</v>
      </c>
      <c r="M302">
        <f>3*Table1[HomeLoss]+Table1[Draw]</f>
        <v>0</v>
      </c>
      <c r="N302">
        <f>VLOOKUP(B302,TeamAttrs!$A$2:$C$20,3,FALSE)</f>
        <v>5</v>
      </c>
      <c r="O302">
        <f>VLOOKUP(G302,TeamAttrs!$A$2:$C$20,3,FALSE)</f>
        <v>5</v>
      </c>
      <c r="P302">
        <f t="shared" si="19"/>
        <v>0</v>
      </c>
      <c r="Q302">
        <f>VLOOKUP(B302,TeamAttrs!$A$2:$D$20,3,FALSE)</f>
        <v>5</v>
      </c>
      <c r="R302">
        <f>VLOOKUP(G302,TeamAttrs!$A$2:$D$20,3,FALSE)</f>
        <v>5</v>
      </c>
      <c r="S302">
        <f>RADIANS(VLOOKUP(Table1[[#This Row],[HomeTeam]],TeamAttrs!$A$2:$H$20,7, FALSE))</f>
        <v>0.69609490156065446</v>
      </c>
      <c r="T302">
        <f>RADIANS(VLOOKUP(Table1[[#This Row],[HomeTeam]],TeamAttrs!$A$2:$H$20, 8, FALSE))</f>
        <v>-1.313360262125733</v>
      </c>
      <c r="U302">
        <f>RADIANS(VLOOKUP(Table1[[#This Row],[VisitorTeam]],TeamAttrs!$A$2:$H$20,7,FALSE))</f>
        <v>0.73943840820468165</v>
      </c>
      <c r="V302">
        <f>RADIANS(VLOOKUP(Table1[[#This Row],[VisitorTeam]], TeamAttrs!$A$2:$H$20,8,FALSE))</f>
        <v>-1.2397649635568881</v>
      </c>
      <c r="W302" s="5">
        <f>60*DEGREES(ACOS(SIN(Table1[[#This Row],[HomeLat]])*SIN(Table1[[#This Row],[VisitorLat]]) +COS(Table1[[#This Row],[HomeLat]])*COS(Table1[[#This Row],[VisitorLat]])*COS(ABS(Table1[[#This Row],[HomeLong]] -Table1[[#This Row],[VisitorLong]]))))</f>
        <v>241.86218544449619</v>
      </c>
      <c r="X302" s="6">
        <f>VLOOKUP(Table1[[#This Row],[HomeTeam]],TeamAttrs!$A$2:$K$20,5,FALSE)</f>
        <v>3620000</v>
      </c>
      <c r="Y302" s="6">
        <f>VLOOKUP(Table1[[#This Row],[HomeTeam]],TeamAttrs!$A$2:$K$20,9,FALSE)</f>
        <v>18053</v>
      </c>
      <c r="Z302" s="6">
        <f>VLOOKUP(Table1[[#This Row],[HomeTeam]],TeamAttrs!$A$2:$K$20,10,FALSE)</f>
        <v>18500</v>
      </c>
      <c r="AA302" s="6">
        <f>VLOOKUP(Table1[[#This Row],[HomeTeam]],TeamAttrs!$A$2:$K$20,11,FALSE)</f>
        <v>0.97583783783783784</v>
      </c>
    </row>
    <row r="303" spans="1:27" x14ac:dyDescent="0.25">
      <c r="A303" s="1">
        <v>41188</v>
      </c>
      <c r="B303" t="s">
        <v>10</v>
      </c>
      <c r="C303" t="str">
        <f>VLOOKUP(Table1[[#This Row],[HomeTeam]], TeamAttrs!$A$2:$B$20,2,FALSE)</f>
        <v>Tor</v>
      </c>
      <c r="D303">
        <v>0</v>
      </c>
      <c r="E303">
        <v>1</v>
      </c>
      <c r="F303">
        <f>Table1[[#This Row],[HomeTeamScore]]-Table1[[#This Row],[VisitorScore]]</f>
        <v>-1</v>
      </c>
      <c r="G303" t="s">
        <v>3</v>
      </c>
      <c r="H303" t="str">
        <f>VLOOKUP(Table1[[#This Row],[VisitorTeam]],TeamAttrs!$A$2:$B$20, 2, FALSE)</f>
        <v>DCU</v>
      </c>
      <c r="I303">
        <f t="shared" si="16"/>
        <v>0</v>
      </c>
      <c r="J303">
        <f t="shared" si="17"/>
        <v>0</v>
      </c>
      <c r="K303">
        <f t="shared" si="18"/>
        <v>1</v>
      </c>
      <c r="L303">
        <f>3*Table1[HomeWin] +Table1[Draw]</f>
        <v>0</v>
      </c>
      <c r="M303">
        <f>3*Table1[HomeLoss]+Table1[Draw]</f>
        <v>3</v>
      </c>
      <c r="N303">
        <f>VLOOKUP(B303,TeamAttrs!$A$2:$C$20,3,FALSE)</f>
        <v>5</v>
      </c>
      <c r="O303">
        <f>VLOOKUP(G303,TeamAttrs!$A$2:$C$20,3,FALSE)</f>
        <v>5</v>
      </c>
      <c r="P303">
        <f t="shared" si="19"/>
        <v>0</v>
      </c>
      <c r="Q303">
        <f>VLOOKUP(B303,TeamAttrs!$A$2:$D$20,3,FALSE)</f>
        <v>5</v>
      </c>
      <c r="R303">
        <f>VLOOKUP(G303,TeamAttrs!$A$2:$D$20,3,FALSE)</f>
        <v>5</v>
      </c>
      <c r="S303">
        <f>RADIANS(VLOOKUP(Table1[[#This Row],[HomeTeam]],TeamAttrs!$A$2:$H$20,7, FALSE))</f>
        <v>0.76241741313643896</v>
      </c>
      <c r="T303">
        <f>RADIANS(VLOOKUP(Table1[[#This Row],[HomeTeam]],TeamAttrs!$A$2:$H$20, 8, FALSE))</f>
        <v>-1.3898632792284005</v>
      </c>
      <c r="U303">
        <f>RADIANS(VLOOKUP(Table1[[#This Row],[VisitorTeam]],TeamAttrs!$A$2:$H$20,7,FALSE))</f>
        <v>0.67806041439979703</v>
      </c>
      <c r="V303">
        <f>RADIANS(VLOOKUP(Table1[[#This Row],[VisitorTeam]], TeamAttrs!$A$2:$H$20,8,FALSE))</f>
        <v>-1.3444847186765478</v>
      </c>
      <c r="W303" s="5">
        <f>60*DEGREES(ACOS(SIN(Table1[[#This Row],[HomeLat]])*SIN(Table1[[#This Row],[VisitorLat]]) +COS(Table1[[#This Row],[HomeLat]])*COS(Table1[[#This Row],[VisitorLat]])*COS(ABS(Table1[[#This Row],[HomeLong]] -Table1[[#This Row],[VisitorLong]]))))</f>
        <v>312.76196193076703</v>
      </c>
      <c r="X303" s="6">
        <f>VLOOKUP(Table1[[#This Row],[HomeTeam]],TeamAttrs!$A$2:$K$20,5,FALSE)</f>
        <v>8250000</v>
      </c>
      <c r="Y303" s="6">
        <f>VLOOKUP(Table1[[#This Row],[HomeTeam]],TeamAttrs!$A$2:$K$20,9,FALSE)</f>
        <v>18155</v>
      </c>
      <c r="Z303" s="6">
        <f>VLOOKUP(Table1[[#This Row],[HomeTeam]],TeamAttrs!$A$2:$K$20,10,FALSE)</f>
        <v>21140</v>
      </c>
      <c r="AA303" s="6">
        <f>VLOOKUP(Table1[[#This Row],[HomeTeam]],TeamAttrs!$A$2:$K$20,11,FALSE)</f>
        <v>0.85879848628193001</v>
      </c>
    </row>
    <row r="304" spans="1:27" x14ac:dyDescent="0.25">
      <c r="A304" s="1">
        <v>41189</v>
      </c>
      <c r="B304" t="s">
        <v>2</v>
      </c>
      <c r="C304" t="str">
        <f>VLOOKUP(Table1[[#This Row],[HomeTeam]], TeamAttrs!$A$2:$B$20,2,FALSE)</f>
        <v>Chiv</v>
      </c>
      <c r="D304">
        <v>1</v>
      </c>
      <c r="E304">
        <v>1</v>
      </c>
      <c r="F304">
        <f>Table1[[#This Row],[HomeTeamScore]]-Table1[[#This Row],[VisitorScore]]</f>
        <v>0</v>
      </c>
      <c r="G304" t="s">
        <v>7</v>
      </c>
      <c r="H304" t="str">
        <f>VLOOKUP(Table1[[#This Row],[VisitorTeam]],TeamAttrs!$A$2:$B$20, 2, FALSE)</f>
        <v>FCDal</v>
      </c>
      <c r="I304">
        <f t="shared" si="16"/>
        <v>0</v>
      </c>
      <c r="J304">
        <f t="shared" si="17"/>
        <v>1</v>
      </c>
      <c r="K304">
        <f t="shared" si="18"/>
        <v>0</v>
      </c>
      <c r="L304">
        <f>3*Table1[HomeWin] +Table1[Draw]</f>
        <v>1</v>
      </c>
      <c r="M304">
        <f>3*Table1[HomeLoss]+Table1[Draw]</f>
        <v>1</v>
      </c>
      <c r="N304">
        <f>VLOOKUP(B304,TeamAttrs!$A$2:$C$20,3,FALSE)</f>
        <v>8</v>
      </c>
      <c r="O304">
        <f>VLOOKUP(G304,TeamAttrs!$A$2:$C$20,3,FALSE)</f>
        <v>6</v>
      </c>
      <c r="P304">
        <f t="shared" si="19"/>
        <v>-2</v>
      </c>
      <c r="Q304">
        <f>VLOOKUP(B304,TeamAttrs!$A$2:$D$20,3,FALSE)</f>
        <v>8</v>
      </c>
      <c r="R304">
        <f>VLOOKUP(G304,TeamAttrs!$A$2:$D$20,3,FALSE)</f>
        <v>6</v>
      </c>
      <c r="S304">
        <f>RADIANS(VLOOKUP(Table1[[#This Row],[HomeTeam]],TeamAttrs!$A$2:$H$20,7, FALSE))</f>
        <v>0.59224781106699187</v>
      </c>
      <c r="T304">
        <f>RADIANS(VLOOKUP(Table1[[#This Row],[HomeTeam]],TeamAttrs!$A$2:$H$20, 8, FALSE))</f>
        <v>-2.0664698343612864</v>
      </c>
      <c r="U304">
        <f>RADIANS(VLOOKUP(Table1[[#This Row],[VisitorTeam]],TeamAttrs!$A$2:$H$20,7,FALSE))</f>
        <v>0.57334065928013733</v>
      </c>
      <c r="V304">
        <f>RADIANS(VLOOKUP(Table1[[#This Row],[VisitorTeam]], TeamAttrs!$A$2:$H$20,8,FALSE))</f>
        <v>-1.690351380556508</v>
      </c>
      <c r="W304" s="5">
        <f>60*DEGREES(ACOS(SIN(Table1[[#This Row],[HomeLat]])*SIN(Table1[[#This Row],[VisitorLat]]) +COS(Table1[[#This Row],[HomeLat]])*COS(Table1[[#This Row],[VisitorLat]])*COS(ABS(Table1[[#This Row],[HomeLong]] -Table1[[#This Row],[VisitorLong]]))))</f>
        <v>1079.5378040042574</v>
      </c>
      <c r="X304" s="6">
        <f>VLOOKUP(Table1[[#This Row],[HomeTeam]],TeamAttrs!$A$2:$K$20,5,FALSE)</f>
        <v>3230000</v>
      </c>
      <c r="Y304" s="6">
        <f>VLOOKUP(Table1[[#This Row],[HomeTeam]],TeamAttrs!$A$2:$K$20,9,FALSE)</f>
        <v>13056</v>
      </c>
      <c r="Z304" s="6">
        <f>VLOOKUP(Table1[[#This Row],[HomeTeam]],TeamAttrs!$A$2:$K$20,10,FALSE)</f>
        <v>18800</v>
      </c>
      <c r="AA304" s="6">
        <f>VLOOKUP(Table1[[#This Row],[HomeTeam]],TeamAttrs!$A$2:$K$20,11,FALSE)</f>
        <v>0.69446808510638303</v>
      </c>
    </row>
    <row r="305" spans="1:27" x14ac:dyDescent="0.25">
      <c r="A305" s="1">
        <v>41189</v>
      </c>
      <c r="B305" t="s">
        <v>8</v>
      </c>
      <c r="C305" t="str">
        <f>VLOOKUP(Table1[[#This Row],[HomeTeam]], TeamAttrs!$A$2:$B$20,2,FALSE)</f>
        <v>Colum</v>
      </c>
      <c r="D305">
        <v>1</v>
      </c>
      <c r="E305">
        <v>1</v>
      </c>
      <c r="F305">
        <f>Table1[[#This Row],[HomeTeamScore]]-Table1[[#This Row],[VisitorScore]]</f>
        <v>0</v>
      </c>
      <c r="G305" t="s">
        <v>6</v>
      </c>
      <c r="H305" t="str">
        <f>VLOOKUP(Table1[[#This Row],[VisitorTeam]],TeamAttrs!$A$2:$B$20, 2, FALSE)</f>
        <v>SKC</v>
      </c>
      <c r="I305">
        <f t="shared" si="16"/>
        <v>0</v>
      </c>
      <c r="J305">
        <f t="shared" si="17"/>
        <v>1</v>
      </c>
      <c r="K305">
        <f t="shared" si="18"/>
        <v>0</v>
      </c>
      <c r="L305">
        <f>3*Table1[HomeWin] +Table1[Draw]</f>
        <v>1</v>
      </c>
      <c r="M305">
        <f>3*Table1[HomeLoss]+Table1[Draw]</f>
        <v>1</v>
      </c>
      <c r="N305">
        <f>VLOOKUP(B305,TeamAttrs!$A$2:$C$20,3,FALSE)</f>
        <v>5</v>
      </c>
      <c r="O305">
        <f>VLOOKUP(G305,TeamAttrs!$A$2:$C$20,3,FALSE)</f>
        <v>6</v>
      </c>
      <c r="P305">
        <f t="shared" si="19"/>
        <v>1</v>
      </c>
      <c r="Q305">
        <f>VLOOKUP(B305,TeamAttrs!$A$2:$D$20,3,FALSE)</f>
        <v>5</v>
      </c>
      <c r="R305">
        <f>VLOOKUP(G305,TeamAttrs!$A$2:$D$20,3,FALSE)</f>
        <v>6</v>
      </c>
      <c r="S305">
        <f>RADIANS(VLOOKUP(Table1[[#This Row],[HomeTeam]],TeamAttrs!$A$2:$H$20,7, FALSE))</f>
        <v>0.69813170079773179</v>
      </c>
      <c r="T305">
        <f>RADIANS(VLOOKUP(Table1[[#This Row],[HomeTeam]],TeamAttrs!$A$2:$H$20, 8, FALSE))</f>
        <v>-1.4465864799182162</v>
      </c>
      <c r="U305">
        <f>RADIANS(VLOOKUP(Table1[[#This Row],[VisitorTeam]],TeamAttrs!$A$2:$H$20,7,FALSE))</f>
        <v>0.68271520751486592</v>
      </c>
      <c r="V305">
        <f>RADIANS(VLOOKUP(Table1[[#This Row],[VisitorTeam]], TeamAttrs!$A$2:$H$20,8,FALSE))</f>
        <v>-1.65166266702755</v>
      </c>
      <c r="W305" s="5">
        <f>60*DEGREES(ACOS(SIN(Table1[[#This Row],[HomeLat]])*SIN(Table1[[#This Row],[VisitorLat]]) +COS(Table1[[#This Row],[HomeLat]])*COS(Table1[[#This Row],[VisitorLat]])*COS(ABS(Table1[[#This Row],[HomeLong]] -Table1[[#This Row],[VisitorLong]]))))</f>
        <v>545.71434098790951</v>
      </c>
      <c r="X305" s="6">
        <f>VLOOKUP(Table1[[#This Row],[HomeTeam]],TeamAttrs!$A$2:$K$20,5,FALSE)</f>
        <v>3330000</v>
      </c>
      <c r="Y305" s="6">
        <f>VLOOKUP(Table1[[#This Row],[HomeTeam]],TeamAttrs!$A$2:$K$20,9,FALSE)</f>
        <v>14397</v>
      </c>
      <c r="Z305" s="6">
        <f>VLOOKUP(Table1[[#This Row],[HomeTeam]],TeamAttrs!$A$2:$K$20,10,FALSE)</f>
        <v>20145</v>
      </c>
      <c r="AA305" s="6">
        <f>VLOOKUP(Table1[[#This Row],[HomeTeam]],TeamAttrs!$A$2:$K$20,11,FALSE)</f>
        <v>0.71466865227103504</v>
      </c>
    </row>
    <row r="306" spans="1:27" x14ac:dyDescent="0.25">
      <c r="A306" s="1">
        <v>41189</v>
      </c>
      <c r="B306" t="s">
        <v>11</v>
      </c>
      <c r="C306" t="str">
        <f>VLOOKUP(Table1[[#This Row],[HomeTeam]], TeamAttrs!$A$2:$B$20,2,FALSE)</f>
        <v>SEA</v>
      </c>
      <c r="D306">
        <v>3</v>
      </c>
      <c r="E306">
        <v>0</v>
      </c>
      <c r="F306">
        <f>Table1[[#This Row],[HomeTeamScore]]-Table1[[#This Row],[VisitorScore]]</f>
        <v>3</v>
      </c>
      <c r="G306" t="s">
        <v>12</v>
      </c>
      <c r="H306" t="str">
        <f>VLOOKUP(Table1[[#This Row],[VisitorTeam]],TeamAttrs!$A$2:$B$20, 2, FALSE)</f>
        <v>Port</v>
      </c>
      <c r="I306">
        <f t="shared" si="16"/>
        <v>1</v>
      </c>
      <c r="J306">
        <f t="shared" si="17"/>
        <v>0</v>
      </c>
      <c r="K306">
        <f t="shared" si="18"/>
        <v>0</v>
      </c>
      <c r="L306">
        <f>3*Table1[HomeWin] +Table1[Draw]</f>
        <v>3</v>
      </c>
      <c r="M306">
        <f>3*Table1[HomeLoss]+Table1[Draw]</f>
        <v>0</v>
      </c>
      <c r="N306">
        <f>VLOOKUP(B306,TeamAttrs!$A$2:$C$20,3,FALSE)</f>
        <v>8</v>
      </c>
      <c r="O306">
        <f>VLOOKUP(G306,TeamAttrs!$A$2:$C$20,3,FALSE)</f>
        <v>8</v>
      </c>
      <c r="P306">
        <f t="shared" si="19"/>
        <v>0</v>
      </c>
      <c r="Q306">
        <f>VLOOKUP(B306,TeamAttrs!$A$2:$D$20,3,FALSE)</f>
        <v>8</v>
      </c>
      <c r="R306">
        <f>VLOOKUP(G306,TeamAttrs!$A$2:$D$20,3,FALSE)</f>
        <v>8</v>
      </c>
      <c r="S306">
        <f>RADIANS(VLOOKUP(Table1[[#This Row],[HomeTeam]],TeamAttrs!$A$2:$H$20,7, FALSE))</f>
        <v>0.83164938857529802</v>
      </c>
      <c r="T306">
        <f>RADIANS(VLOOKUP(Table1[[#This Row],[HomeTeam]],TeamAttrs!$A$2:$H$20, 8, FALSE))</f>
        <v>-2.134537675189065</v>
      </c>
      <c r="U306">
        <f>RADIANS(VLOOKUP(Table1[[#This Row],[VisitorTeam]],TeamAttrs!$A$2:$H$20,7,FALSE))</f>
        <v>0.79587013890941427</v>
      </c>
      <c r="V306">
        <f>RADIANS(VLOOKUP(Table1[[#This Row],[VisitorTeam]], TeamAttrs!$A$2:$H$20,8,FALSE))</f>
        <v>-2.1397736629450481</v>
      </c>
      <c r="W306" s="5">
        <f>60*DEGREES(ACOS(SIN(Table1[[#This Row],[HomeLat]])*SIN(Table1[[#This Row],[VisitorLat]]) +COS(Table1[[#This Row],[HomeLat]])*COS(Table1[[#This Row],[VisitorLat]])*COS(ABS(Table1[[#This Row],[HomeLong]] -Table1[[#This Row],[VisitorLong]]))))</f>
        <v>123.61935321741947</v>
      </c>
      <c r="X306" s="6">
        <f>VLOOKUP(Table1[[#This Row],[HomeTeam]],TeamAttrs!$A$2:$K$20,5,FALSE)</f>
        <v>3980000</v>
      </c>
      <c r="Y306" s="6">
        <f>VLOOKUP(Table1[[#This Row],[HomeTeam]],TeamAttrs!$A$2:$K$20,9,FALSE)</f>
        <v>43104</v>
      </c>
      <c r="Z306" s="6">
        <f>VLOOKUP(Table1[[#This Row],[HomeTeam]],TeamAttrs!$A$2:$K$20,10,FALSE)</f>
        <v>38500</v>
      </c>
      <c r="AA306" s="6">
        <f>VLOOKUP(Table1[[#This Row],[HomeTeam]],TeamAttrs!$A$2:$K$20,11,FALSE)</f>
        <v>1.1195844155844157</v>
      </c>
    </row>
    <row r="307" spans="1:27" x14ac:dyDescent="0.25">
      <c r="A307" s="1">
        <v>41199</v>
      </c>
      <c r="B307" t="s">
        <v>11</v>
      </c>
      <c r="C307" t="str">
        <f>VLOOKUP(Table1[[#This Row],[HomeTeam]], TeamAttrs!$A$2:$B$20,2,FALSE)</f>
        <v>SEA</v>
      </c>
      <c r="D307">
        <v>0</v>
      </c>
      <c r="E307">
        <v>0</v>
      </c>
      <c r="F307">
        <f>Table1[[#This Row],[HomeTeamScore]]-Table1[[#This Row],[VisitorScore]]</f>
        <v>0</v>
      </c>
      <c r="G307" t="s">
        <v>18</v>
      </c>
      <c r="H307" t="str">
        <f>VLOOKUP(Table1[[#This Row],[VisitorTeam]],TeamAttrs!$A$2:$B$20, 2, FALSE)</f>
        <v>RSL</v>
      </c>
      <c r="I307">
        <f t="shared" si="16"/>
        <v>0</v>
      </c>
      <c r="J307">
        <f t="shared" si="17"/>
        <v>1</v>
      </c>
      <c r="K307">
        <f t="shared" si="18"/>
        <v>0</v>
      </c>
      <c r="L307">
        <f>3*Table1[HomeWin] +Table1[Draw]</f>
        <v>1</v>
      </c>
      <c r="M307">
        <f>3*Table1[HomeLoss]+Table1[Draw]</f>
        <v>1</v>
      </c>
      <c r="N307">
        <f>VLOOKUP(B307,TeamAttrs!$A$2:$C$20,3,FALSE)</f>
        <v>8</v>
      </c>
      <c r="O307">
        <f>VLOOKUP(G307,TeamAttrs!$A$2:$C$20,3,FALSE)</f>
        <v>7</v>
      </c>
      <c r="P307">
        <f t="shared" si="19"/>
        <v>-1</v>
      </c>
      <c r="Q307">
        <f>VLOOKUP(B307,TeamAttrs!$A$2:$D$20,3,FALSE)</f>
        <v>8</v>
      </c>
      <c r="R307">
        <f>VLOOKUP(G307,TeamAttrs!$A$2:$D$20,3,FALSE)</f>
        <v>7</v>
      </c>
      <c r="S307">
        <f>RADIANS(VLOOKUP(Table1[[#This Row],[HomeTeam]],TeamAttrs!$A$2:$H$20,7, FALSE))</f>
        <v>0.83164938857529802</v>
      </c>
      <c r="T307">
        <f>RADIANS(VLOOKUP(Table1[[#This Row],[HomeTeam]],TeamAttrs!$A$2:$H$20, 8, FALSE))</f>
        <v>-2.134537675189065</v>
      </c>
      <c r="U307">
        <f>RADIANS(VLOOKUP(Table1[[#This Row],[VisitorTeam]],TeamAttrs!$A$2:$H$20,7,FALSE))</f>
        <v>0.71151314017277234</v>
      </c>
      <c r="V307">
        <f>RADIANS(VLOOKUP(Table1[[#This Row],[VisitorTeam]], TeamAttrs!$A$2:$H$20,8,FALSE))</f>
        <v>-1.954192803580491</v>
      </c>
      <c r="W307" s="5">
        <f>60*DEGREES(ACOS(SIN(Table1[[#This Row],[HomeLat]])*SIN(Table1[[#This Row],[VisitorLat]]) +COS(Table1[[#This Row],[HomeLat]])*COS(Table1[[#This Row],[VisitorLat]])*COS(ABS(Table1[[#This Row],[HomeLong]] -Table1[[#This Row],[VisitorLong]]))))</f>
        <v>605.71619462811998</v>
      </c>
      <c r="X307" s="6">
        <f>VLOOKUP(Table1[[#This Row],[HomeTeam]],TeamAttrs!$A$2:$K$20,5,FALSE)</f>
        <v>3980000</v>
      </c>
      <c r="Y307" s="6">
        <f>VLOOKUP(Table1[[#This Row],[HomeTeam]],TeamAttrs!$A$2:$K$20,9,FALSE)</f>
        <v>43104</v>
      </c>
      <c r="Z307" s="6">
        <f>VLOOKUP(Table1[[#This Row],[HomeTeam]],TeamAttrs!$A$2:$K$20,10,FALSE)</f>
        <v>38500</v>
      </c>
      <c r="AA307" s="6">
        <f>VLOOKUP(Table1[[#This Row],[HomeTeam]],TeamAttrs!$A$2:$K$20,11,FALSE)</f>
        <v>1.1195844155844157</v>
      </c>
    </row>
    <row r="308" spans="1:27" x14ac:dyDescent="0.25">
      <c r="A308" s="1">
        <v>41202</v>
      </c>
      <c r="B308" t="s">
        <v>2</v>
      </c>
      <c r="C308" t="str">
        <f>VLOOKUP(Table1[[#This Row],[HomeTeam]], TeamAttrs!$A$2:$B$20,2,FALSE)</f>
        <v>Chiv</v>
      </c>
      <c r="D308">
        <v>0</v>
      </c>
      <c r="E308">
        <v>2</v>
      </c>
      <c r="F308">
        <f>Table1[[#This Row],[HomeTeamScore]]-Table1[[#This Row],[VisitorScore]]</f>
        <v>-2</v>
      </c>
      <c r="G308" t="s">
        <v>14</v>
      </c>
      <c r="H308" t="str">
        <f>VLOOKUP(Table1[[#This Row],[VisitorTeam]],TeamAttrs!$A$2:$B$20, 2, FALSE)</f>
        <v>ColRa</v>
      </c>
      <c r="I308">
        <f t="shared" si="16"/>
        <v>0</v>
      </c>
      <c r="J308">
        <f t="shared" si="17"/>
        <v>0</v>
      </c>
      <c r="K308">
        <f t="shared" si="18"/>
        <v>1</v>
      </c>
      <c r="L308">
        <f>3*Table1[HomeWin] +Table1[Draw]</f>
        <v>0</v>
      </c>
      <c r="M308">
        <f>3*Table1[HomeLoss]+Table1[Draw]</f>
        <v>3</v>
      </c>
      <c r="N308">
        <f>VLOOKUP(B308,TeamAttrs!$A$2:$C$20,3,FALSE)</f>
        <v>8</v>
      </c>
      <c r="O308">
        <f>VLOOKUP(G308,TeamAttrs!$A$2:$C$20,3,FALSE)</f>
        <v>7</v>
      </c>
      <c r="P308">
        <f t="shared" si="19"/>
        <v>-1</v>
      </c>
      <c r="Q308">
        <f>VLOOKUP(B308,TeamAttrs!$A$2:$D$20,3,FALSE)</f>
        <v>8</v>
      </c>
      <c r="R308">
        <f>VLOOKUP(G308,TeamAttrs!$A$2:$D$20,3,FALSE)</f>
        <v>7</v>
      </c>
      <c r="S308">
        <f>RADIANS(VLOOKUP(Table1[[#This Row],[HomeTeam]],TeamAttrs!$A$2:$H$20,7, FALSE))</f>
        <v>0.59224781106699187</v>
      </c>
      <c r="T308">
        <f>RADIANS(VLOOKUP(Table1[[#This Row],[HomeTeam]],TeamAttrs!$A$2:$H$20, 8, FALSE))</f>
        <v>-2.0664698343612864</v>
      </c>
      <c r="U308">
        <f>RADIANS(VLOOKUP(Table1[[#This Row],[VisitorTeam]],TeamAttrs!$A$2:$H$20,7,FALSE))</f>
        <v>0.69376837766774602</v>
      </c>
      <c r="V308">
        <f>RADIANS(VLOOKUP(Table1[[#This Row],[VisitorTeam]], TeamAttrs!$A$2:$H$20,8,FALSE))</f>
        <v>-1.8302744266888937</v>
      </c>
      <c r="W308" s="5">
        <f>60*DEGREES(ACOS(SIN(Table1[[#This Row],[HomeLat]])*SIN(Table1[[#This Row],[VisitorLat]]) +COS(Table1[[#This Row],[HomeLat]])*COS(Table1[[#This Row],[VisitorLat]])*COS(ABS(Table1[[#This Row],[HomeLong]] -Table1[[#This Row],[VisitorLong]]))))</f>
        <v>736.47232912321954</v>
      </c>
      <c r="X308" s="6">
        <f>VLOOKUP(Table1[[#This Row],[HomeTeam]],TeamAttrs!$A$2:$K$20,5,FALSE)</f>
        <v>3230000</v>
      </c>
      <c r="Y308" s="6">
        <f>VLOOKUP(Table1[[#This Row],[HomeTeam]],TeamAttrs!$A$2:$K$20,9,FALSE)</f>
        <v>13056</v>
      </c>
      <c r="Z308" s="6">
        <f>VLOOKUP(Table1[[#This Row],[HomeTeam]],TeamAttrs!$A$2:$K$20,10,FALSE)</f>
        <v>18800</v>
      </c>
      <c r="AA308" s="6">
        <f>VLOOKUP(Table1[[#This Row],[HomeTeam]],TeamAttrs!$A$2:$K$20,11,FALSE)</f>
        <v>0.69446808510638303</v>
      </c>
    </row>
    <row r="309" spans="1:27" x14ac:dyDescent="0.25">
      <c r="A309" s="1">
        <v>41202</v>
      </c>
      <c r="B309" t="s">
        <v>3</v>
      </c>
      <c r="C309" t="str">
        <f>VLOOKUP(Table1[[#This Row],[HomeTeam]], TeamAttrs!$A$2:$B$20,2,FALSE)</f>
        <v>DCU</v>
      </c>
      <c r="D309">
        <v>3</v>
      </c>
      <c r="E309">
        <v>2</v>
      </c>
      <c r="F309">
        <f>Table1[[#This Row],[HomeTeamScore]]-Table1[[#This Row],[VisitorScore]]</f>
        <v>1</v>
      </c>
      <c r="G309" t="s">
        <v>8</v>
      </c>
      <c r="H309" t="str">
        <f>VLOOKUP(Table1[[#This Row],[VisitorTeam]],TeamAttrs!$A$2:$B$20, 2, FALSE)</f>
        <v>Colum</v>
      </c>
      <c r="I309">
        <f t="shared" si="16"/>
        <v>1</v>
      </c>
      <c r="J309">
        <f t="shared" si="17"/>
        <v>0</v>
      </c>
      <c r="K309">
        <f t="shared" si="18"/>
        <v>0</v>
      </c>
      <c r="L309">
        <f>3*Table1[HomeWin] +Table1[Draw]</f>
        <v>3</v>
      </c>
      <c r="M309">
        <f>3*Table1[HomeLoss]+Table1[Draw]</f>
        <v>0</v>
      </c>
      <c r="N309">
        <f>VLOOKUP(B309,TeamAttrs!$A$2:$C$20,3,FALSE)</f>
        <v>5</v>
      </c>
      <c r="O309">
        <f>VLOOKUP(G309,TeamAttrs!$A$2:$C$20,3,FALSE)</f>
        <v>5</v>
      </c>
      <c r="P309">
        <f t="shared" si="19"/>
        <v>0</v>
      </c>
      <c r="Q309">
        <f>VLOOKUP(B309,TeamAttrs!$A$2:$D$20,3,FALSE)</f>
        <v>5</v>
      </c>
      <c r="R309">
        <f>VLOOKUP(G309,TeamAttrs!$A$2:$D$20,3,FALSE)</f>
        <v>5</v>
      </c>
      <c r="S309">
        <f>RADIANS(VLOOKUP(Table1[[#This Row],[HomeTeam]],TeamAttrs!$A$2:$H$20,7, FALSE))</f>
        <v>0.67806041439979703</v>
      </c>
      <c r="T309">
        <f>RADIANS(VLOOKUP(Table1[[#This Row],[HomeTeam]],TeamAttrs!$A$2:$H$20, 8, FALSE))</f>
        <v>-1.3444847186765478</v>
      </c>
      <c r="U309">
        <f>RADIANS(VLOOKUP(Table1[[#This Row],[VisitorTeam]],TeamAttrs!$A$2:$H$20,7,FALSE))</f>
        <v>0.69813170079773179</v>
      </c>
      <c r="V309">
        <f>RADIANS(VLOOKUP(Table1[[#This Row],[VisitorTeam]], TeamAttrs!$A$2:$H$20,8,FALSE))</f>
        <v>-1.4465864799182162</v>
      </c>
      <c r="W309" s="5">
        <f>60*DEGREES(ACOS(SIN(Table1[[#This Row],[HomeLat]])*SIN(Table1[[#This Row],[VisitorLat]]) +COS(Table1[[#This Row],[HomeLat]])*COS(Table1[[#This Row],[VisitorLat]])*COS(ABS(Table1[[#This Row],[HomeLong]] -Table1[[#This Row],[VisitorLong]]))))</f>
        <v>279.71495170162672</v>
      </c>
      <c r="X309" s="6">
        <f>VLOOKUP(Table1[[#This Row],[HomeTeam]],TeamAttrs!$A$2:$K$20,5,FALSE)</f>
        <v>4190000.0000000005</v>
      </c>
      <c r="Y309" s="6">
        <f>VLOOKUP(Table1[[#This Row],[HomeTeam]],TeamAttrs!$A$2:$K$20,9,FALSE)</f>
        <v>13846</v>
      </c>
      <c r="Z309" s="6">
        <f>VLOOKUP(Table1[[#This Row],[HomeTeam]],TeamAttrs!$A$2:$K$20,10,FALSE)</f>
        <v>19467</v>
      </c>
      <c r="AA309" s="6">
        <f>VLOOKUP(Table1[[#This Row],[HomeTeam]],TeamAttrs!$A$2:$K$20,11,FALSE)</f>
        <v>0.71125494426465297</v>
      </c>
    </row>
    <row r="310" spans="1:27" x14ac:dyDescent="0.25">
      <c r="A310" s="1">
        <v>41202</v>
      </c>
      <c r="B310" t="s">
        <v>13</v>
      </c>
      <c r="C310" t="str">
        <f>VLOOKUP(Table1[[#This Row],[HomeTeam]], TeamAttrs!$A$2:$B$20,2,FALSE)</f>
        <v>Hou</v>
      </c>
      <c r="D310">
        <v>3</v>
      </c>
      <c r="E310">
        <v>1</v>
      </c>
      <c r="F310">
        <f>Table1[[#This Row],[HomeTeamScore]]-Table1[[#This Row],[VisitorScore]]</f>
        <v>2</v>
      </c>
      <c r="G310" t="s">
        <v>4</v>
      </c>
      <c r="H310" t="str">
        <f>VLOOKUP(Table1[[#This Row],[VisitorTeam]],TeamAttrs!$A$2:$B$20, 2, FALSE)</f>
        <v>Phil</v>
      </c>
      <c r="I310">
        <f t="shared" si="16"/>
        <v>1</v>
      </c>
      <c r="J310">
        <f t="shared" si="17"/>
        <v>0</v>
      </c>
      <c r="K310">
        <f t="shared" si="18"/>
        <v>0</v>
      </c>
      <c r="L310">
        <f>3*Table1[HomeWin] +Table1[Draw]</f>
        <v>3</v>
      </c>
      <c r="M310">
        <f>3*Table1[HomeLoss]+Table1[Draw]</f>
        <v>0</v>
      </c>
      <c r="N310">
        <f>VLOOKUP(B310,TeamAttrs!$A$2:$C$20,3,FALSE)</f>
        <v>6</v>
      </c>
      <c r="O310">
        <f>VLOOKUP(G310,TeamAttrs!$A$2:$C$20,3,FALSE)</f>
        <v>5</v>
      </c>
      <c r="P310">
        <f t="shared" si="19"/>
        <v>-1</v>
      </c>
      <c r="Q310">
        <f>VLOOKUP(B310,TeamAttrs!$A$2:$D$20,3,FALSE)</f>
        <v>6</v>
      </c>
      <c r="R310">
        <f>VLOOKUP(G310,TeamAttrs!$A$2:$D$20,3,FALSE)</f>
        <v>5</v>
      </c>
      <c r="S310">
        <f>RADIANS(VLOOKUP(Table1[[#This Row],[HomeTeam]],TeamAttrs!$A$2:$H$20,7, FALSE))</f>
        <v>0.52301758095738471</v>
      </c>
      <c r="T310">
        <f>RADIANS(VLOOKUP(Table1[[#This Row],[HomeTeam]],TeamAttrs!$A$2:$H$20, 8, FALSE))</f>
        <v>-1.6641714417765932</v>
      </c>
      <c r="U310">
        <f>RADIANS(VLOOKUP(Table1[[#This Row],[VisitorTeam]],TeamAttrs!$A$2:$H$20,7,FALSE))</f>
        <v>0.69609490156065446</v>
      </c>
      <c r="V310">
        <f>RADIANS(VLOOKUP(Table1[[#This Row],[VisitorTeam]], TeamAttrs!$A$2:$H$20,8,FALSE))</f>
        <v>-1.313360262125733</v>
      </c>
      <c r="W310" s="5">
        <f>60*DEGREES(ACOS(SIN(Table1[[#This Row],[HomeLat]])*SIN(Table1[[#This Row],[VisitorLat]]) +COS(Table1[[#This Row],[HomeLat]])*COS(Table1[[#This Row],[VisitorLat]])*COS(ABS(Table1[[#This Row],[HomeLong]] -Table1[[#This Row],[VisitorLong]]))))</f>
        <v>1149.9616181637095</v>
      </c>
      <c r="X310" s="6">
        <f>VLOOKUP(Table1[[#This Row],[HomeTeam]],TeamAttrs!$A$2:$K$20,5,FALSE)</f>
        <v>3000000</v>
      </c>
      <c r="Y310" s="6">
        <f>VLOOKUP(Table1[[#This Row],[HomeTeam]],TeamAttrs!$A$2:$K$20,9,FALSE)</f>
        <v>20946</v>
      </c>
      <c r="Z310" s="6">
        <f>VLOOKUP(Table1[[#This Row],[HomeTeam]],TeamAttrs!$A$2:$K$20,10,FALSE)</f>
        <v>22000</v>
      </c>
      <c r="AA310" s="6">
        <f>VLOOKUP(Table1[[#This Row],[HomeTeam]],TeamAttrs!$A$2:$K$20,11,FALSE)</f>
        <v>0.9520909090909091</v>
      </c>
    </row>
    <row r="311" spans="1:27" x14ac:dyDescent="0.25">
      <c r="A311" s="1">
        <v>41202</v>
      </c>
      <c r="B311" t="s">
        <v>9</v>
      </c>
      <c r="C311" t="str">
        <f>VLOOKUP(Table1[[#This Row],[HomeTeam]], TeamAttrs!$A$2:$B$20,2,FALSE)</f>
        <v>NE</v>
      </c>
      <c r="D311">
        <v>1</v>
      </c>
      <c r="E311">
        <v>0</v>
      </c>
      <c r="F311">
        <f>Table1[[#This Row],[HomeTeamScore]]-Table1[[#This Row],[VisitorScore]]</f>
        <v>1</v>
      </c>
      <c r="G311" t="s">
        <v>17</v>
      </c>
      <c r="H311" t="str">
        <f>VLOOKUP(Table1[[#This Row],[VisitorTeam]],TeamAttrs!$A$2:$B$20, 2, FALSE)</f>
        <v>Chi</v>
      </c>
      <c r="I311">
        <f t="shared" si="16"/>
        <v>1</v>
      </c>
      <c r="J311">
        <f t="shared" si="17"/>
        <v>0</v>
      </c>
      <c r="K311">
        <f t="shared" si="18"/>
        <v>0</v>
      </c>
      <c r="L311">
        <f>3*Table1[HomeWin] +Table1[Draw]</f>
        <v>3</v>
      </c>
      <c r="M311">
        <f>3*Table1[HomeLoss]+Table1[Draw]</f>
        <v>0</v>
      </c>
      <c r="N311">
        <f>VLOOKUP(B311,TeamAttrs!$A$2:$C$20,3,FALSE)</f>
        <v>5</v>
      </c>
      <c r="O311">
        <f>VLOOKUP(G311,TeamAttrs!$A$2:$C$20,3,FALSE)</f>
        <v>6</v>
      </c>
      <c r="P311">
        <f t="shared" si="19"/>
        <v>1</v>
      </c>
      <c r="Q311">
        <f>VLOOKUP(B311,TeamAttrs!$A$2:$D$20,3,FALSE)</f>
        <v>5</v>
      </c>
      <c r="R311">
        <f>VLOOKUP(G311,TeamAttrs!$A$2:$D$20,3,FALSE)</f>
        <v>6</v>
      </c>
      <c r="S311">
        <f>RADIANS(VLOOKUP(Table1[[#This Row],[HomeTeam]],TeamAttrs!$A$2:$H$20,7, FALSE))</f>
        <v>0.73943840820468165</v>
      </c>
      <c r="T311">
        <f>RADIANS(VLOOKUP(Table1[[#This Row],[HomeTeam]],TeamAttrs!$A$2:$H$20, 8, FALSE))</f>
        <v>-1.2397649635568881</v>
      </c>
      <c r="U311">
        <f>RADIANS(VLOOKUP(Table1[[#This Row],[VisitorTeam]],TeamAttrs!$A$2:$H$20,7,FALSE))</f>
        <v>0.72925615734854665</v>
      </c>
      <c r="V311">
        <f>RADIANS(VLOOKUP(Table1[[#This Row],[VisitorTeam]], TeamAttrs!$A$2:$H$20,8,FALSE))</f>
        <v>-1.5315264186250241</v>
      </c>
      <c r="W311" s="5">
        <f>60*DEGREES(ACOS(SIN(Table1[[#This Row],[HomeLat]])*SIN(Table1[[#This Row],[VisitorLat]]) +COS(Table1[[#This Row],[HomeLat]])*COS(Table1[[#This Row],[VisitorLat]])*COS(ABS(Table1[[#This Row],[HomeLong]] -Table1[[#This Row],[VisitorLong]]))))</f>
        <v>744.11850967063151</v>
      </c>
      <c r="X311" s="6">
        <f>VLOOKUP(Table1[[#This Row],[HomeTeam]],TeamAttrs!$A$2:$K$20,5,FALSE)</f>
        <v>3260000</v>
      </c>
      <c r="Y311" s="6">
        <f>VLOOKUP(Table1[[#This Row],[HomeTeam]],TeamAttrs!$A$2:$K$20,9,FALSE)</f>
        <v>14001</v>
      </c>
      <c r="Z311" s="6">
        <f>VLOOKUP(Table1[[#This Row],[HomeTeam]],TeamAttrs!$A$2:$K$20,10,FALSE)</f>
        <v>20000</v>
      </c>
      <c r="AA311" s="6">
        <f>VLOOKUP(Table1[[#This Row],[HomeTeam]],TeamAttrs!$A$2:$K$20,11,FALSE)</f>
        <v>0.70004999999999995</v>
      </c>
    </row>
    <row r="312" spans="1:27" x14ac:dyDescent="0.25">
      <c r="A312" s="1">
        <v>41202</v>
      </c>
      <c r="B312" t="s">
        <v>15</v>
      </c>
      <c r="C312" t="str">
        <f>VLOOKUP(Table1[[#This Row],[HomeTeam]], TeamAttrs!$A$2:$B$20,2,FALSE)</f>
        <v>NY</v>
      </c>
      <c r="D312">
        <v>0</v>
      </c>
      <c r="E312">
        <v>0</v>
      </c>
      <c r="F312">
        <f>Table1[[#This Row],[HomeTeamScore]]-Table1[[#This Row],[VisitorScore]]</f>
        <v>0</v>
      </c>
      <c r="G312" t="s">
        <v>6</v>
      </c>
      <c r="H312" t="str">
        <f>VLOOKUP(Table1[[#This Row],[VisitorTeam]],TeamAttrs!$A$2:$B$20, 2, FALSE)</f>
        <v>SKC</v>
      </c>
      <c r="I312">
        <f t="shared" si="16"/>
        <v>0</v>
      </c>
      <c r="J312">
        <f t="shared" si="17"/>
        <v>1</v>
      </c>
      <c r="K312">
        <f t="shared" si="18"/>
        <v>0</v>
      </c>
      <c r="L312">
        <f>3*Table1[HomeWin] +Table1[Draw]</f>
        <v>1</v>
      </c>
      <c r="M312">
        <f>3*Table1[HomeLoss]+Table1[Draw]</f>
        <v>1</v>
      </c>
      <c r="N312">
        <f>VLOOKUP(B312,TeamAttrs!$A$2:$C$20,3,FALSE)</f>
        <v>5</v>
      </c>
      <c r="O312">
        <f>VLOOKUP(G312,TeamAttrs!$A$2:$C$20,3,FALSE)</f>
        <v>6</v>
      </c>
      <c r="P312">
        <f t="shared" si="19"/>
        <v>1</v>
      </c>
      <c r="Q312">
        <f>VLOOKUP(B312,TeamAttrs!$A$2:$D$20,3,FALSE)</f>
        <v>5</v>
      </c>
      <c r="R312">
        <f>VLOOKUP(G312,TeamAttrs!$A$2:$D$20,3,FALSE)</f>
        <v>6</v>
      </c>
      <c r="S312">
        <f>RADIANS(VLOOKUP(Table1[[#This Row],[HomeTeam]],TeamAttrs!$A$2:$H$20,7, FALSE))</f>
        <v>0.71180286482860333</v>
      </c>
      <c r="T312">
        <f>RADIANS(VLOOKUP(Table1[[#This Row],[HomeTeam]],TeamAttrs!$A$2:$H$20, 8, FALSE))</f>
        <v>-1.2909624518348899</v>
      </c>
      <c r="U312">
        <f>RADIANS(VLOOKUP(Table1[[#This Row],[VisitorTeam]],TeamAttrs!$A$2:$H$20,7,FALSE))</f>
        <v>0.68271520751486592</v>
      </c>
      <c r="V312">
        <f>RADIANS(VLOOKUP(Table1[[#This Row],[VisitorTeam]], TeamAttrs!$A$2:$H$20,8,FALSE))</f>
        <v>-1.65166266702755</v>
      </c>
      <c r="W312" s="5">
        <f>60*DEGREES(ACOS(SIN(Table1[[#This Row],[HomeLat]])*SIN(Table1[[#This Row],[VisitorLat]]) +COS(Table1[[#This Row],[HomeLat]])*COS(Table1[[#This Row],[VisitorLat]])*COS(ABS(Table1[[#This Row],[HomeLong]] -Table1[[#This Row],[VisitorLong]]))))</f>
        <v>953.60066247058421</v>
      </c>
      <c r="X312" s="6">
        <f>VLOOKUP(Table1[[#This Row],[HomeTeam]],TeamAttrs!$A$2:$K$20,5,FALSE)</f>
        <v>12960000</v>
      </c>
      <c r="Y312" s="6">
        <f>VLOOKUP(Table1[[#This Row],[HomeTeam]],TeamAttrs!$A$2:$K$20,9,FALSE)</f>
        <v>18281</v>
      </c>
      <c r="Z312" s="6">
        <f>VLOOKUP(Table1[[#This Row],[HomeTeam]],TeamAttrs!$A$2:$K$20,10,FALSE)</f>
        <v>25000</v>
      </c>
      <c r="AA312" s="6">
        <f>VLOOKUP(Table1[[#This Row],[HomeTeam]],TeamAttrs!$A$2:$K$20,11,FALSE)</f>
        <v>0.73124</v>
      </c>
    </row>
    <row r="313" spans="1:27" x14ac:dyDescent="0.25">
      <c r="A313" s="1">
        <v>41202</v>
      </c>
      <c r="B313" t="s">
        <v>10</v>
      </c>
      <c r="C313" t="str">
        <f>VLOOKUP(Table1[[#This Row],[HomeTeam]], TeamAttrs!$A$2:$B$20,2,FALSE)</f>
        <v>Tor</v>
      </c>
      <c r="D313">
        <v>0</v>
      </c>
      <c r="E313">
        <v>0</v>
      </c>
      <c r="F313">
        <f>Table1[[#This Row],[HomeTeamScore]]-Table1[[#This Row],[VisitorScore]]</f>
        <v>0</v>
      </c>
      <c r="G313" t="s">
        <v>1</v>
      </c>
      <c r="H313" t="str">
        <f>VLOOKUP(Table1[[#This Row],[VisitorTeam]],TeamAttrs!$A$2:$B$20, 2, FALSE)</f>
        <v>Mntrl</v>
      </c>
      <c r="I313">
        <f t="shared" si="16"/>
        <v>0</v>
      </c>
      <c r="J313">
        <f t="shared" si="17"/>
        <v>1</v>
      </c>
      <c r="K313">
        <f t="shared" si="18"/>
        <v>0</v>
      </c>
      <c r="L313">
        <f>3*Table1[HomeWin] +Table1[Draw]</f>
        <v>1</v>
      </c>
      <c r="M313">
        <f>3*Table1[HomeLoss]+Table1[Draw]</f>
        <v>1</v>
      </c>
      <c r="N313">
        <f>VLOOKUP(B313,TeamAttrs!$A$2:$C$20,3,FALSE)</f>
        <v>5</v>
      </c>
      <c r="O313">
        <f>VLOOKUP(G313,TeamAttrs!$A$2:$C$20,3,FALSE)</f>
        <v>5</v>
      </c>
      <c r="P313">
        <f t="shared" si="19"/>
        <v>0</v>
      </c>
      <c r="Q313">
        <f>VLOOKUP(B313,TeamAttrs!$A$2:$D$20,3,FALSE)</f>
        <v>5</v>
      </c>
      <c r="R313">
        <f>VLOOKUP(G313,TeamAttrs!$A$2:$D$20,3,FALSE)</f>
        <v>5</v>
      </c>
      <c r="S313">
        <f>RADIANS(VLOOKUP(Table1[[#This Row],[HomeTeam]],TeamAttrs!$A$2:$H$20,7, FALSE))</f>
        <v>0.76241741313643896</v>
      </c>
      <c r="T313">
        <f>RADIANS(VLOOKUP(Table1[[#This Row],[HomeTeam]],TeamAttrs!$A$2:$H$20, 8, FALSE))</f>
        <v>-1.3898632792284005</v>
      </c>
      <c r="U313">
        <f>RADIANS(VLOOKUP(Table1[[#This Row],[VisitorTeam]],TeamAttrs!$A$2:$H$20,7,FALSE))</f>
        <v>0.79354361501650583</v>
      </c>
      <c r="V313">
        <f>RADIANS(VLOOKUP(Table1[[#This Row],[VisitorTeam]], TeamAttrs!$A$2:$H$20,8,FALSE))</f>
        <v>-1.2871803233458181</v>
      </c>
      <c r="W313" s="5">
        <f>60*DEGREES(ACOS(SIN(Table1[[#This Row],[HomeLat]])*SIN(Table1[[#This Row],[VisitorLat]]) +COS(Table1[[#This Row],[HomeLat]])*COS(Table1[[#This Row],[VisitorLat]])*COS(ABS(Table1[[#This Row],[HomeLong]] -Table1[[#This Row],[VisitorLong]]))))</f>
        <v>273.1859527045325</v>
      </c>
      <c r="X313" s="6">
        <f>VLOOKUP(Table1[[#This Row],[HomeTeam]],TeamAttrs!$A$2:$K$20,5,FALSE)</f>
        <v>8250000</v>
      </c>
      <c r="Y313" s="6">
        <f>VLOOKUP(Table1[[#This Row],[HomeTeam]],TeamAttrs!$A$2:$K$20,9,FALSE)</f>
        <v>18155</v>
      </c>
      <c r="Z313" s="6">
        <f>VLOOKUP(Table1[[#This Row],[HomeTeam]],TeamAttrs!$A$2:$K$20,10,FALSE)</f>
        <v>21140</v>
      </c>
      <c r="AA313" s="6">
        <f>VLOOKUP(Table1[[#This Row],[HomeTeam]],TeamAttrs!$A$2:$K$20,11,FALSE)</f>
        <v>0.85879848628193001</v>
      </c>
    </row>
    <row r="314" spans="1:27" x14ac:dyDescent="0.25">
      <c r="A314" s="1">
        <v>41203</v>
      </c>
      <c r="B314" t="s">
        <v>5</v>
      </c>
      <c r="C314" t="str">
        <f>VLOOKUP(Table1[[#This Row],[HomeTeam]], TeamAttrs!$A$2:$B$20,2,FALSE)</f>
        <v>SJE</v>
      </c>
      <c r="D314">
        <v>2</v>
      </c>
      <c r="E314">
        <v>2</v>
      </c>
      <c r="F314">
        <f>Table1[[#This Row],[HomeTeamScore]]-Table1[[#This Row],[VisitorScore]]</f>
        <v>0</v>
      </c>
      <c r="G314" t="s">
        <v>16</v>
      </c>
      <c r="H314" t="str">
        <f>VLOOKUP(Table1[[#This Row],[VisitorTeam]],TeamAttrs!$A$2:$B$20, 2, FALSE)</f>
        <v>LAGxy</v>
      </c>
      <c r="I314">
        <f t="shared" si="16"/>
        <v>0</v>
      </c>
      <c r="J314">
        <f t="shared" si="17"/>
        <v>1</v>
      </c>
      <c r="K314">
        <f t="shared" si="18"/>
        <v>0</v>
      </c>
      <c r="L314">
        <f>3*Table1[HomeWin] +Table1[Draw]</f>
        <v>1</v>
      </c>
      <c r="M314">
        <f>3*Table1[HomeLoss]+Table1[Draw]</f>
        <v>1</v>
      </c>
      <c r="N314">
        <f>VLOOKUP(B314,TeamAttrs!$A$2:$C$20,3,FALSE)</f>
        <v>8</v>
      </c>
      <c r="O314">
        <f>VLOOKUP(G314,TeamAttrs!$A$2:$C$20,3,FALSE)</f>
        <v>8</v>
      </c>
      <c r="P314">
        <f t="shared" si="19"/>
        <v>0</v>
      </c>
      <c r="Q314">
        <f>VLOOKUP(B314,TeamAttrs!$A$2:$D$20,3,FALSE)</f>
        <v>8</v>
      </c>
      <c r="R314">
        <f>VLOOKUP(G314,TeamAttrs!$A$2:$D$20,3,FALSE)</f>
        <v>8</v>
      </c>
      <c r="S314">
        <f>RADIANS(VLOOKUP(Table1[[#This Row],[HomeTeam]],TeamAttrs!$A$2:$H$20,7, FALSE))</f>
        <v>0.65217194560496516</v>
      </c>
      <c r="T314">
        <f>RADIANS(VLOOKUP(Table1[[#This Row],[HomeTeam]],TeamAttrs!$A$2:$H$20, 8, FALSE))</f>
        <v>-2.1281323168342459</v>
      </c>
      <c r="U314">
        <f>RADIANS(VLOOKUP(Table1[[#This Row],[VisitorTeam]],TeamAttrs!$A$2:$H$20,7,FALSE))</f>
        <v>0.59224781106699187</v>
      </c>
      <c r="V314">
        <f>RADIANS(VLOOKUP(Table1[[#This Row],[VisitorTeam]], TeamAttrs!$A$2:$H$20,8,FALSE))</f>
        <v>-2.0664698343612864</v>
      </c>
      <c r="W314" s="5">
        <f>60*DEGREES(ACOS(SIN(Table1[[#This Row],[HomeLat]])*SIN(Table1[[#This Row],[VisitorLat]]) +COS(Table1[[#This Row],[HomeLat]])*COS(Table1[[#This Row],[VisitorLat]])*COS(ABS(Table1[[#This Row],[HomeLong]] -Table1[[#This Row],[VisitorLong]]))))</f>
        <v>268.48292730997031</v>
      </c>
      <c r="X314" s="6">
        <f>VLOOKUP(Table1[[#This Row],[HomeTeam]],TeamAttrs!$A$2:$K$20,5,FALSE)</f>
        <v>3210000</v>
      </c>
      <c r="Y314" s="6">
        <f>VLOOKUP(Table1[[#This Row],[HomeTeam]],TeamAttrs!$A$2:$K$20,9,FALSE)</f>
        <v>13293</v>
      </c>
      <c r="Z314" s="6">
        <f>VLOOKUP(Table1[[#This Row],[HomeTeam]],TeamAttrs!$A$2:$K$20,10,FALSE)</f>
        <v>10525</v>
      </c>
      <c r="AA314" s="6">
        <f>VLOOKUP(Table1[[#This Row],[HomeTeam]],TeamAttrs!$A$2:$K$20,11,FALSE)</f>
        <v>1.2629928741092638</v>
      </c>
    </row>
    <row r="315" spans="1:27" x14ac:dyDescent="0.25">
      <c r="A315" s="1">
        <v>41203</v>
      </c>
      <c r="B315" t="s">
        <v>11</v>
      </c>
      <c r="C315" t="str">
        <f>VLOOKUP(Table1[[#This Row],[HomeTeam]], TeamAttrs!$A$2:$B$20,2,FALSE)</f>
        <v>SEA</v>
      </c>
      <c r="D315">
        <v>3</v>
      </c>
      <c r="E315">
        <v>1</v>
      </c>
      <c r="F315">
        <f>Table1[[#This Row],[HomeTeamScore]]-Table1[[#This Row],[VisitorScore]]</f>
        <v>2</v>
      </c>
      <c r="G315" t="s">
        <v>7</v>
      </c>
      <c r="H315" t="str">
        <f>VLOOKUP(Table1[[#This Row],[VisitorTeam]],TeamAttrs!$A$2:$B$20, 2, FALSE)</f>
        <v>FCDal</v>
      </c>
      <c r="I315">
        <f t="shared" si="16"/>
        <v>1</v>
      </c>
      <c r="J315">
        <f t="shared" si="17"/>
        <v>0</v>
      </c>
      <c r="K315">
        <f t="shared" si="18"/>
        <v>0</v>
      </c>
      <c r="L315">
        <f>3*Table1[HomeWin] +Table1[Draw]</f>
        <v>3</v>
      </c>
      <c r="M315">
        <f>3*Table1[HomeLoss]+Table1[Draw]</f>
        <v>0</v>
      </c>
      <c r="N315">
        <f>VLOOKUP(B315,TeamAttrs!$A$2:$C$20,3,FALSE)</f>
        <v>8</v>
      </c>
      <c r="O315">
        <f>VLOOKUP(G315,TeamAttrs!$A$2:$C$20,3,FALSE)</f>
        <v>6</v>
      </c>
      <c r="P315">
        <f t="shared" si="19"/>
        <v>-2</v>
      </c>
      <c r="Q315">
        <f>VLOOKUP(B315,TeamAttrs!$A$2:$D$20,3,FALSE)</f>
        <v>8</v>
      </c>
      <c r="R315">
        <f>VLOOKUP(G315,TeamAttrs!$A$2:$D$20,3,FALSE)</f>
        <v>6</v>
      </c>
      <c r="S315">
        <f>RADIANS(VLOOKUP(Table1[[#This Row],[HomeTeam]],TeamAttrs!$A$2:$H$20,7, FALSE))</f>
        <v>0.83164938857529802</v>
      </c>
      <c r="T315">
        <f>RADIANS(VLOOKUP(Table1[[#This Row],[HomeTeam]],TeamAttrs!$A$2:$H$20, 8, FALSE))</f>
        <v>-2.134537675189065</v>
      </c>
      <c r="U315">
        <f>RADIANS(VLOOKUP(Table1[[#This Row],[VisitorTeam]],TeamAttrs!$A$2:$H$20,7,FALSE))</f>
        <v>0.57334065928013733</v>
      </c>
      <c r="V315">
        <f>RADIANS(VLOOKUP(Table1[[#This Row],[VisitorTeam]], TeamAttrs!$A$2:$H$20,8,FALSE))</f>
        <v>-1.690351380556508</v>
      </c>
      <c r="W315" s="5">
        <f>60*DEGREES(ACOS(SIN(Table1[[#This Row],[HomeLat]])*SIN(Table1[[#This Row],[VisitorLat]]) +COS(Table1[[#This Row],[HomeLat]])*COS(Table1[[#This Row],[VisitorLat]])*COS(ABS(Table1[[#This Row],[HomeLong]] -Table1[[#This Row],[VisitorLong]]))))</f>
        <v>1453.7999169487216</v>
      </c>
      <c r="X315" s="6">
        <f>VLOOKUP(Table1[[#This Row],[HomeTeam]],TeamAttrs!$A$2:$K$20,5,FALSE)</f>
        <v>3980000</v>
      </c>
      <c r="Y315" s="6">
        <f>VLOOKUP(Table1[[#This Row],[HomeTeam]],TeamAttrs!$A$2:$K$20,9,FALSE)</f>
        <v>43104</v>
      </c>
      <c r="Z315" s="6">
        <f>VLOOKUP(Table1[[#This Row],[HomeTeam]],TeamAttrs!$A$2:$K$20,10,FALSE)</f>
        <v>38500</v>
      </c>
      <c r="AA315" s="6">
        <f>VLOOKUP(Table1[[#This Row],[HomeTeam]],TeamAttrs!$A$2:$K$20,11,FALSE)</f>
        <v>1.1195844155844157</v>
      </c>
    </row>
    <row r="316" spans="1:27" x14ac:dyDescent="0.25">
      <c r="A316" s="1">
        <v>41203</v>
      </c>
      <c r="B316" t="s">
        <v>0</v>
      </c>
      <c r="C316" t="str">
        <f>VLOOKUP(Table1[[#This Row],[HomeTeam]], TeamAttrs!$A$2:$B$20,2,FALSE)</f>
        <v>Van</v>
      </c>
      <c r="D316">
        <v>0</v>
      </c>
      <c r="E316">
        <v>1</v>
      </c>
      <c r="F316">
        <f>Table1[[#This Row],[HomeTeamScore]]-Table1[[#This Row],[VisitorScore]]</f>
        <v>-1</v>
      </c>
      <c r="G316" t="s">
        <v>12</v>
      </c>
      <c r="H316" t="str">
        <f>VLOOKUP(Table1[[#This Row],[VisitorTeam]],TeamAttrs!$A$2:$B$20, 2, FALSE)</f>
        <v>Port</v>
      </c>
      <c r="I316">
        <f t="shared" si="16"/>
        <v>0</v>
      </c>
      <c r="J316">
        <f t="shared" si="17"/>
        <v>0</v>
      </c>
      <c r="K316">
        <f t="shared" si="18"/>
        <v>1</v>
      </c>
      <c r="L316">
        <f>3*Table1[HomeWin] +Table1[Draw]</f>
        <v>0</v>
      </c>
      <c r="M316">
        <f>3*Table1[HomeLoss]+Table1[Draw]</f>
        <v>3</v>
      </c>
      <c r="N316">
        <f>VLOOKUP(B316,TeamAttrs!$A$2:$C$20,3,FALSE)</f>
        <v>8</v>
      </c>
      <c r="O316">
        <f>VLOOKUP(G316,TeamAttrs!$A$2:$C$20,3,FALSE)</f>
        <v>8</v>
      </c>
      <c r="P316">
        <f t="shared" si="19"/>
        <v>0</v>
      </c>
      <c r="Q316">
        <f>VLOOKUP(B316,TeamAttrs!$A$2:$D$20,3,FALSE)</f>
        <v>8</v>
      </c>
      <c r="R316">
        <f>VLOOKUP(G316,TeamAttrs!$A$2:$D$20,3,FALSE)</f>
        <v>8</v>
      </c>
      <c r="S316">
        <f>RADIANS(VLOOKUP(Table1[[#This Row],[HomeTeam]],TeamAttrs!$A$2:$H$20,7, FALSE))</f>
        <v>0.86015585124812133</v>
      </c>
      <c r="T316">
        <f>RADIANS(VLOOKUP(Table1[[#This Row],[HomeTeam]],TeamAttrs!$A$2:$H$20, 8, FALSE))</f>
        <v>-2.1487970151778586</v>
      </c>
      <c r="U316">
        <f>RADIANS(VLOOKUP(Table1[[#This Row],[VisitorTeam]],TeamAttrs!$A$2:$H$20,7,FALSE))</f>
        <v>0.79587013890941427</v>
      </c>
      <c r="V316">
        <f>RADIANS(VLOOKUP(Table1[[#This Row],[VisitorTeam]], TeamAttrs!$A$2:$H$20,8,FALSE))</f>
        <v>-2.1397736629450481</v>
      </c>
      <c r="W316" s="5">
        <f>60*DEGREES(ACOS(SIN(Table1[[#This Row],[HomeLat]])*SIN(Table1[[#This Row],[VisitorLat]]) +COS(Table1[[#This Row],[HomeLat]])*COS(Table1[[#This Row],[VisitorLat]])*COS(ABS(Table1[[#This Row],[HomeLong]] -Table1[[#This Row],[VisitorLong]]))))</f>
        <v>221.99006132070124</v>
      </c>
      <c r="X316" s="6">
        <f>VLOOKUP(Table1[[#This Row],[HomeTeam]],TeamAttrs!$A$2:$K$20,5,FALSE)</f>
        <v>4370000</v>
      </c>
      <c r="Y316" s="6">
        <f>VLOOKUP(Table1[[#This Row],[HomeTeam]],TeamAttrs!$A$2:$K$20,9,FALSE)</f>
        <v>19475</v>
      </c>
      <c r="Z316" s="6">
        <f>VLOOKUP(Table1[[#This Row],[HomeTeam]],TeamAttrs!$A$2:$K$20,10,FALSE)</f>
        <v>21000</v>
      </c>
      <c r="AA316" s="6">
        <f>VLOOKUP(Table1[[#This Row],[HomeTeam]],TeamAttrs!$A$2:$K$20,11,FALSE)</f>
        <v>0.92738095238095242</v>
      </c>
    </row>
    <row r="317" spans="1:27" x14ac:dyDescent="0.25">
      <c r="A317" s="1">
        <v>41206</v>
      </c>
      <c r="B317" t="s">
        <v>6</v>
      </c>
      <c r="C317" t="str">
        <f>VLOOKUP(Table1[[#This Row],[HomeTeam]], TeamAttrs!$A$2:$B$20,2,FALSE)</f>
        <v>SKC</v>
      </c>
      <c r="D317">
        <v>2</v>
      </c>
      <c r="E317">
        <v>1</v>
      </c>
      <c r="F317">
        <f>Table1[[#This Row],[HomeTeamScore]]-Table1[[#This Row],[VisitorScore]]</f>
        <v>1</v>
      </c>
      <c r="G317" t="s">
        <v>4</v>
      </c>
      <c r="H317" t="str">
        <f>VLOOKUP(Table1[[#This Row],[VisitorTeam]],TeamAttrs!$A$2:$B$20, 2, FALSE)</f>
        <v>Phil</v>
      </c>
      <c r="I317">
        <f t="shared" si="16"/>
        <v>1</v>
      </c>
      <c r="J317">
        <f t="shared" si="17"/>
        <v>0</v>
      </c>
      <c r="K317">
        <f t="shared" si="18"/>
        <v>0</v>
      </c>
      <c r="L317">
        <f>3*Table1[HomeWin] +Table1[Draw]</f>
        <v>3</v>
      </c>
      <c r="M317">
        <f>3*Table1[HomeLoss]+Table1[Draw]</f>
        <v>0</v>
      </c>
      <c r="N317">
        <f>VLOOKUP(B317,TeamAttrs!$A$2:$C$20,3,FALSE)</f>
        <v>6</v>
      </c>
      <c r="O317">
        <f>VLOOKUP(G317,TeamAttrs!$A$2:$C$20,3,FALSE)</f>
        <v>5</v>
      </c>
      <c r="P317">
        <f t="shared" si="19"/>
        <v>-1</v>
      </c>
      <c r="Q317">
        <f>VLOOKUP(B317,TeamAttrs!$A$2:$D$20,3,FALSE)</f>
        <v>6</v>
      </c>
      <c r="R317">
        <f>VLOOKUP(G317,TeamAttrs!$A$2:$D$20,3,FALSE)</f>
        <v>5</v>
      </c>
      <c r="S317">
        <f>RADIANS(VLOOKUP(Table1[[#This Row],[HomeTeam]],TeamAttrs!$A$2:$H$20,7, FALSE))</f>
        <v>0.68271520751486592</v>
      </c>
      <c r="T317">
        <f>RADIANS(VLOOKUP(Table1[[#This Row],[HomeTeam]],TeamAttrs!$A$2:$H$20, 8, FALSE))</f>
        <v>-1.65166266702755</v>
      </c>
      <c r="U317">
        <f>RADIANS(VLOOKUP(Table1[[#This Row],[VisitorTeam]],TeamAttrs!$A$2:$H$20,7,FALSE))</f>
        <v>0.69609490156065446</v>
      </c>
      <c r="V317">
        <f>RADIANS(VLOOKUP(Table1[[#This Row],[VisitorTeam]], TeamAttrs!$A$2:$H$20,8,FALSE))</f>
        <v>-1.313360262125733</v>
      </c>
      <c r="W317" s="5">
        <f>60*DEGREES(ACOS(SIN(Table1[[#This Row],[HomeLat]])*SIN(Table1[[#This Row],[VisitorLat]]) +COS(Table1[[#This Row],[HomeLat]])*COS(Table1[[#This Row],[VisitorLat]])*COS(ABS(Table1[[#This Row],[HomeLong]] -Table1[[#This Row],[VisitorLong]]))))</f>
        <v>896.8154906372713</v>
      </c>
      <c r="X317" s="6">
        <f>VLOOKUP(Table1[[#This Row],[HomeTeam]],TeamAttrs!$A$2:$K$20,5,FALSE)</f>
        <v>3120000</v>
      </c>
      <c r="Y317" s="6">
        <f>VLOOKUP(Table1[[#This Row],[HomeTeam]],TeamAttrs!$A$2:$K$20,9,FALSE)</f>
        <v>19404</v>
      </c>
      <c r="Z317" s="6">
        <f>VLOOKUP(Table1[[#This Row],[HomeTeam]],TeamAttrs!$A$2:$K$20,10,FALSE)</f>
        <v>18467</v>
      </c>
      <c r="AA317" s="6">
        <f>VLOOKUP(Table1[[#This Row],[HomeTeam]],TeamAttrs!$A$2:$K$20,11,FALSE)</f>
        <v>1.0507391563329183</v>
      </c>
    </row>
    <row r="318" spans="1:27" x14ac:dyDescent="0.25">
      <c r="A318" s="1">
        <v>41209</v>
      </c>
      <c r="B318" t="s">
        <v>17</v>
      </c>
      <c r="C318" t="str">
        <f>VLOOKUP(Table1[[#This Row],[HomeTeam]], TeamAttrs!$A$2:$B$20,2,FALSE)</f>
        <v>Chi</v>
      </c>
      <c r="D318">
        <v>1</v>
      </c>
      <c r="E318">
        <v>1</v>
      </c>
      <c r="F318">
        <f>Table1[[#This Row],[HomeTeamScore]]-Table1[[#This Row],[VisitorScore]]</f>
        <v>0</v>
      </c>
      <c r="G318" t="s">
        <v>3</v>
      </c>
      <c r="H318" t="str">
        <f>VLOOKUP(Table1[[#This Row],[VisitorTeam]],TeamAttrs!$A$2:$B$20, 2, FALSE)</f>
        <v>DCU</v>
      </c>
      <c r="I318">
        <f t="shared" si="16"/>
        <v>0</v>
      </c>
      <c r="J318">
        <f t="shared" si="17"/>
        <v>1</v>
      </c>
      <c r="K318">
        <f t="shared" si="18"/>
        <v>0</v>
      </c>
      <c r="L318">
        <f>3*Table1[HomeWin] +Table1[Draw]</f>
        <v>1</v>
      </c>
      <c r="M318">
        <f>3*Table1[HomeLoss]+Table1[Draw]</f>
        <v>1</v>
      </c>
      <c r="N318">
        <f>VLOOKUP(B318,TeamAttrs!$A$2:$C$20,3,FALSE)</f>
        <v>6</v>
      </c>
      <c r="O318">
        <f>VLOOKUP(G318,TeamAttrs!$A$2:$C$20,3,FALSE)</f>
        <v>5</v>
      </c>
      <c r="P318">
        <f t="shared" si="19"/>
        <v>-1</v>
      </c>
      <c r="Q318">
        <f>VLOOKUP(B318,TeamAttrs!$A$2:$D$20,3,FALSE)</f>
        <v>6</v>
      </c>
      <c r="R318">
        <f>VLOOKUP(G318,TeamAttrs!$A$2:$D$20,3,FALSE)</f>
        <v>5</v>
      </c>
      <c r="S318">
        <f>RADIANS(VLOOKUP(Table1[[#This Row],[HomeTeam]],TeamAttrs!$A$2:$H$20,7, FALSE))</f>
        <v>0.72925615734854665</v>
      </c>
      <c r="T318">
        <f>RADIANS(VLOOKUP(Table1[[#This Row],[HomeTeam]],TeamAttrs!$A$2:$H$20, 8, FALSE))</f>
        <v>-1.5315264186250241</v>
      </c>
      <c r="U318">
        <f>RADIANS(VLOOKUP(Table1[[#This Row],[VisitorTeam]],TeamAttrs!$A$2:$H$20,7,FALSE))</f>
        <v>0.67806041439979703</v>
      </c>
      <c r="V318">
        <f>RADIANS(VLOOKUP(Table1[[#This Row],[VisitorTeam]], TeamAttrs!$A$2:$H$20,8,FALSE))</f>
        <v>-1.3444847186765478</v>
      </c>
      <c r="W318" s="5">
        <f>60*DEGREES(ACOS(SIN(Table1[[#This Row],[HomeLat]])*SIN(Table1[[#This Row],[VisitorLat]]) +COS(Table1[[#This Row],[HomeLat]])*COS(Table1[[#This Row],[VisitorLat]])*COS(ABS(Table1[[#This Row],[HomeLong]] -Table1[[#This Row],[VisitorLong]]))))</f>
        <v>520.46754850665639</v>
      </c>
      <c r="X318" s="6">
        <f>VLOOKUP(Table1[[#This Row],[HomeTeam]],TeamAttrs!$A$2:$K$20,5,FALSE)</f>
        <v>3230000</v>
      </c>
      <c r="Y318" s="6">
        <f>VLOOKUP(Table1[[#This Row],[HomeTeam]],TeamAttrs!$A$2:$K$20,9,FALSE)</f>
        <v>16407</v>
      </c>
      <c r="Z318" s="6">
        <f>VLOOKUP(Table1[[#This Row],[HomeTeam]],TeamAttrs!$A$2:$K$20,10,FALSE)</f>
        <v>20000</v>
      </c>
      <c r="AA318" s="6">
        <f>VLOOKUP(Table1[[#This Row],[HomeTeam]],TeamAttrs!$A$2:$K$20,11,FALSE)</f>
        <v>0.82035000000000002</v>
      </c>
    </row>
    <row r="319" spans="1:27" x14ac:dyDescent="0.25">
      <c r="A319" s="1">
        <v>41209</v>
      </c>
      <c r="B319" t="s">
        <v>14</v>
      </c>
      <c r="C319" t="str">
        <f>VLOOKUP(Table1[[#This Row],[HomeTeam]], TeamAttrs!$A$2:$B$20,2,FALSE)</f>
        <v>ColRa</v>
      </c>
      <c r="D319">
        <v>2</v>
      </c>
      <c r="E319">
        <v>0</v>
      </c>
      <c r="F319">
        <f>Table1[[#This Row],[HomeTeamScore]]-Table1[[#This Row],[VisitorScore]]</f>
        <v>2</v>
      </c>
      <c r="G319" t="s">
        <v>13</v>
      </c>
      <c r="H319" t="str">
        <f>VLOOKUP(Table1[[#This Row],[VisitorTeam]],TeamAttrs!$A$2:$B$20, 2, FALSE)</f>
        <v>Hou</v>
      </c>
      <c r="I319">
        <f t="shared" si="16"/>
        <v>1</v>
      </c>
      <c r="J319">
        <f t="shared" si="17"/>
        <v>0</v>
      </c>
      <c r="K319">
        <f t="shared" si="18"/>
        <v>0</v>
      </c>
      <c r="L319">
        <f>3*Table1[HomeWin] +Table1[Draw]</f>
        <v>3</v>
      </c>
      <c r="M319">
        <f>3*Table1[HomeLoss]+Table1[Draw]</f>
        <v>0</v>
      </c>
      <c r="N319">
        <f>VLOOKUP(B319,TeamAttrs!$A$2:$C$20,3,FALSE)</f>
        <v>7</v>
      </c>
      <c r="O319">
        <f>VLOOKUP(G319,TeamAttrs!$A$2:$C$20,3,FALSE)</f>
        <v>6</v>
      </c>
      <c r="P319">
        <f t="shared" si="19"/>
        <v>-1</v>
      </c>
      <c r="Q319">
        <f>VLOOKUP(B319,TeamAttrs!$A$2:$D$20,3,FALSE)</f>
        <v>7</v>
      </c>
      <c r="R319">
        <f>VLOOKUP(G319,TeamAttrs!$A$2:$D$20,3,FALSE)</f>
        <v>6</v>
      </c>
      <c r="S319">
        <f>RADIANS(VLOOKUP(Table1[[#This Row],[HomeTeam]],TeamAttrs!$A$2:$H$20,7, FALSE))</f>
        <v>0.69376837766774602</v>
      </c>
      <c r="T319">
        <f>RADIANS(VLOOKUP(Table1[[#This Row],[HomeTeam]],TeamAttrs!$A$2:$H$20, 8, FALSE))</f>
        <v>-1.8302744266888937</v>
      </c>
      <c r="U319">
        <f>RADIANS(VLOOKUP(Table1[[#This Row],[VisitorTeam]],TeamAttrs!$A$2:$H$20,7,FALSE))</f>
        <v>0.52301758095738471</v>
      </c>
      <c r="V319">
        <f>RADIANS(VLOOKUP(Table1[[#This Row],[VisitorTeam]], TeamAttrs!$A$2:$H$20,8,FALSE))</f>
        <v>-1.6641714417765932</v>
      </c>
      <c r="W319" s="5">
        <f>60*DEGREES(ACOS(SIN(Table1[[#This Row],[HomeLat]])*SIN(Table1[[#This Row],[VisitorLat]]) +COS(Table1[[#This Row],[HomeLat]])*COS(Table1[[#This Row],[VisitorLat]])*COS(ABS(Table1[[#This Row],[HomeLong]] -Table1[[#This Row],[VisitorLong]]))))</f>
        <v>750.09205727921062</v>
      </c>
      <c r="X319" s="6">
        <f>VLOOKUP(Table1[[#This Row],[HomeTeam]],TeamAttrs!$A$2:$K$20,5,FALSE)</f>
        <v>3430000</v>
      </c>
      <c r="Y319" s="6">
        <f>VLOOKUP(Table1[[#This Row],[HomeTeam]],TeamAttrs!$A$2:$K$20,9,FALSE)</f>
        <v>15175</v>
      </c>
      <c r="Z319" s="6">
        <f>VLOOKUP(Table1[[#This Row],[HomeTeam]],TeamAttrs!$A$2:$K$20,10,FALSE)</f>
        <v>18086</v>
      </c>
      <c r="AA319" s="6">
        <f>VLOOKUP(Table1[[#This Row],[HomeTeam]],TeamAttrs!$A$2:$K$20,11,FALSE)</f>
        <v>0.83904677651221937</v>
      </c>
    </row>
    <row r="320" spans="1:27" x14ac:dyDescent="0.25">
      <c r="A320" s="1">
        <v>41209</v>
      </c>
      <c r="B320" t="s">
        <v>1</v>
      </c>
      <c r="C320" t="str">
        <f>VLOOKUP(Table1[[#This Row],[HomeTeam]], TeamAttrs!$A$2:$B$20,2,FALSE)</f>
        <v>Mntrl</v>
      </c>
      <c r="D320">
        <v>0</v>
      </c>
      <c r="E320">
        <v>1</v>
      </c>
      <c r="F320">
        <f>Table1[[#This Row],[HomeTeamScore]]-Table1[[#This Row],[VisitorScore]]</f>
        <v>-1</v>
      </c>
      <c r="G320" t="s">
        <v>9</v>
      </c>
      <c r="H320" t="str">
        <f>VLOOKUP(Table1[[#This Row],[VisitorTeam]],TeamAttrs!$A$2:$B$20, 2, FALSE)</f>
        <v>NE</v>
      </c>
      <c r="I320">
        <f t="shared" si="16"/>
        <v>0</v>
      </c>
      <c r="J320">
        <f t="shared" si="17"/>
        <v>0</v>
      </c>
      <c r="K320">
        <f t="shared" si="18"/>
        <v>1</v>
      </c>
      <c r="L320">
        <f>3*Table1[HomeWin] +Table1[Draw]</f>
        <v>0</v>
      </c>
      <c r="M320">
        <f>3*Table1[HomeLoss]+Table1[Draw]</f>
        <v>3</v>
      </c>
      <c r="N320">
        <f>VLOOKUP(B320,TeamAttrs!$A$2:$C$20,3,FALSE)</f>
        <v>5</v>
      </c>
      <c r="O320">
        <f>VLOOKUP(G320,TeamAttrs!$A$2:$C$20,3,FALSE)</f>
        <v>5</v>
      </c>
      <c r="P320">
        <f t="shared" si="19"/>
        <v>0</v>
      </c>
      <c r="Q320">
        <f>VLOOKUP(B320,TeamAttrs!$A$2:$D$20,3,FALSE)</f>
        <v>5</v>
      </c>
      <c r="R320">
        <f>VLOOKUP(G320,TeamAttrs!$A$2:$D$20,3,FALSE)</f>
        <v>5</v>
      </c>
      <c r="S320">
        <f>RADIANS(VLOOKUP(Table1[[#This Row],[HomeTeam]],TeamAttrs!$A$2:$H$20,7, FALSE))</f>
        <v>0.79354361501650583</v>
      </c>
      <c r="T320">
        <f>RADIANS(VLOOKUP(Table1[[#This Row],[HomeTeam]],TeamAttrs!$A$2:$H$20, 8, FALSE))</f>
        <v>-1.2871803233458181</v>
      </c>
      <c r="U320">
        <f>RADIANS(VLOOKUP(Table1[[#This Row],[VisitorTeam]],TeamAttrs!$A$2:$H$20,7,FALSE))</f>
        <v>0.73943840820468165</v>
      </c>
      <c r="V320">
        <f>RADIANS(VLOOKUP(Table1[[#This Row],[VisitorTeam]], TeamAttrs!$A$2:$H$20,8,FALSE))</f>
        <v>-1.2397649635568881</v>
      </c>
      <c r="W320" s="5">
        <f>60*DEGREES(ACOS(SIN(Table1[[#This Row],[HomeLat]])*SIN(Table1[[#This Row],[VisitorLat]]) +COS(Table1[[#This Row],[HomeLat]])*COS(Table1[[#This Row],[VisitorLat]])*COS(ABS(Table1[[#This Row],[HomeLong]] -Table1[[#This Row],[VisitorLong]]))))</f>
        <v>219.92976036609551</v>
      </c>
      <c r="X320" s="6">
        <f>VLOOKUP(Table1[[#This Row],[HomeTeam]],TeamAttrs!$A$2:$K$20,5,FALSE)</f>
        <v>3030000</v>
      </c>
      <c r="Y320" s="6">
        <f>VLOOKUP(Table1[[#This Row],[HomeTeam]],TeamAttrs!$A$2:$K$20,9,FALSE)</f>
        <v>22772</v>
      </c>
      <c r="Z320" s="6">
        <f>VLOOKUP(Table1[[#This Row],[HomeTeam]],TeamAttrs!$A$2:$K$20,10,FALSE)</f>
        <v>20341</v>
      </c>
      <c r="AA320" s="6">
        <f>VLOOKUP(Table1[[#This Row],[HomeTeam]],TeamAttrs!$A$2:$K$20,11,FALSE)</f>
        <v>1.1195123150287596</v>
      </c>
    </row>
    <row r="321" spans="1:27" x14ac:dyDescent="0.25">
      <c r="A321" s="1">
        <v>41209</v>
      </c>
      <c r="B321" t="s">
        <v>4</v>
      </c>
      <c r="C321" t="str">
        <f>VLOOKUP(Table1[[#This Row],[HomeTeam]], TeamAttrs!$A$2:$B$20,2,FALSE)</f>
        <v>Phil</v>
      </c>
      <c r="D321">
        <v>0</v>
      </c>
      <c r="E321">
        <v>3</v>
      </c>
      <c r="F321">
        <f>Table1[[#This Row],[HomeTeamScore]]-Table1[[#This Row],[VisitorScore]]</f>
        <v>-3</v>
      </c>
      <c r="G321" t="s">
        <v>15</v>
      </c>
      <c r="H321" t="str">
        <f>VLOOKUP(Table1[[#This Row],[VisitorTeam]],TeamAttrs!$A$2:$B$20, 2, FALSE)</f>
        <v>NY</v>
      </c>
      <c r="I321">
        <f t="shared" si="16"/>
        <v>0</v>
      </c>
      <c r="J321">
        <f t="shared" si="17"/>
        <v>0</v>
      </c>
      <c r="K321">
        <f t="shared" si="18"/>
        <v>1</v>
      </c>
      <c r="L321">
        <f>3*Table1[HomeWin] +Table1[Draw]</f>
        <v>0</v>
      </c>
      <c r="M321">
        <f>3*Table1[HomeLoss]+Table1[Draw]</f>
        <v>3</v>
      </c>
      <c r="N321">
        <f>VLOOKUP(B321,TeamAttrs!$A$2:$C$20,3,FALSE)</f>
        <v>5</v>
      </c>
      <c r="O321">
        <f>VLOOKUP(G321,TeamAttrs!$A$2:$C$20,3,FALSE)</f>
        <v>5</v>
      </c>
      <c r="P321">
        <f t="shared" si="19"/>
        <v>0</v>
      </c>
      <c r="Q321">
        <f>VLOOKUP(B321,TeamAttrs!$A$2:$D$20,3,FALSE)</f>
        <v>5</v>
      </c>
      <c r="R321">
        <f>VLOOKUP(G321,TeamAttrs!$A$2:$D$20,3,FALSE)</f>
        <v>5</v>
      </c>
      <c r="S321">
        <f>RADIANS(VLOOKUP(Table1[[#This Row],[HomeTeam]],TeamAttrs!$A$2:$H$20,7, FALSE))</f>
        <v>0.69609490156065446</v>
      </c>
      <c r="T321">
        <f>RADIANS(VLOOKUP(Table1[[#This Row],[HomeTeam]],TeamAttrs!$A$2:$H$20, 8, FALSE))</f>
        <v>-1.313360262125733</v>
      </c>
      <c r="U321">
        <f>RADIANS(VLOOKUP(Table1[[#This Row],[VisitorTeam]],TeamAttrs!$A$2:$H$20,7,FALSE))</f>
        <v>0.71180286482860333</v>
      </c>
      <c r="V321">
        <f>RADIANS(VLOOKUP(Table1[[#This Row],[VisitorTeam]], TeamAttrs!$A$2:$H$20,8,FALSE))</f>
        <v>-1.2909624518348899</v>
      </c>
      <c r="W321" s="5">
        <f>60*DEGREES(ACOS(SIN(Table1[[#This Row],[HomeLat]])*SIN(Table1[[#This Row],[VisitorLat]]) +COS(Table1[[#This Row],[HomeLat]])*COS(Table1[[#This Row],[VisitorLat]])*COS(ABS(Table1[[#This Row],[HomeLong]] -Table1[[#This Row],[VisitorLong]]))))</f>
        <v>79.754727185209106</v>
      </c>
      <c r="X321" s="6">
        <f>VLOOKUP(Table1[[#This Row],[HomeTeam]],TeamAttrs!$A$2:$K$20,5,FALSE)</f>
        <v>3620000</v>
      </c>
      <c r="Y321" s="6">
        <f>VLOOKUP(Table1[[#This Row],[HomeTeam]],TeamAttrs!$A$2:$K$20,9,FALSE)</f>
        <v>18053</v>
      </c>
      <c r="Z321" s="6">
        <f>VLOOKUP(Table1[[#This Row],[HomeTeam]],TeamAttrs!$A$2:$K$20,10,FALSE)</f>
        <v>18500</v>
      </c>
      <c r="AA321" s="6">
        <f>VLOOKUP(Table1[[#This Row],[HomeTeam]],TeamAttrs!$A$2:$K$20,11,FALSE)</f>
        <v>0.97583783783783784</v>
      </c>
    </row>
    <row r="322" spans="1:27" x14ac:dyDescent="0.25">
      <c r="A322" s="1">
        <v>41209</v>
      </c>
      <c r="B322" t="s">
        <v>4</v>
      </c>
      <c r="C322" t="str">
        <f>VLOOKUP(Table1[[#This Row],[HomeTeam]], TeamAttrs!$A$2:$B$20,2,FALSE)</f>
        <v>Phil</v>
      </c>
      <c r="D322">
        <v>0</v>
      </c>
      <c r="E322">
        <v>3</v>
      </c>
      <c r="F322">
        <f>Table1[[#This Row],[HomeTeamScore]]-Table1[[#This Row],[VisitorScore]]</f>
        <v>-3</v>
      </c>
      <c r="G322" t="s">
        <v>15</v>
      </c>
      <c r="H322" t="str">
        <f>VLOOKUP(Table1[[#This Row],[VisitorTeam]],TeamAttrs!$A$2:$B$20, 2, FALSE)</f>
        <v>NY</v>
      </c>
      <c r="I322">
        <f t="shared" ref="I322:I342" si="20">IF(D322&gt;E322, 1,0)</f>
        <v>0</v>
      </c>
      <c r="J322">
        <f t="shared" ref="J322:J342" si="21">IF(D322=E322, 1, 0)</f>
        <v>0</v>
      </c>
      <c r="K322">
        <f t="shared" ref="K322:K342" si="22">IF(E322&gt;D322, 1,0)</f>
        <v>1</v>
      </c>
      <c r="L322">
        <f>3*Table1[HomeWin] +Table1[Draw]</f>
        <v>0</v>
      </c>
      <c r="M322">
        <f>3*Table1[HomeLoss]+Table1[Draw]</f>
        <v>3</v>
      </c>
      <c r="N322">
        <f>VLOOKUP(B322,TeamAttrs!$A$2:$C$20,3,FALSE)</f>
        <v>5</v>
      </c>
      <c r="O322">
        <f>VLOOKUP(G322,TeamAttrs!$A$2:$C$20,3,FALSE)</f>
        <v>5</v>
      </c>
      <c r="P322">
        <f t="shared" ref="P322:P342" si="23">O322-N322</f>
        <v>0</v>
      </c>
      <c r="Q322">
        <f>VLOOKUP(B322,TeamAttrs!$A$2:$D$20,3,FALSE)</f>
        <v>5</v>
      </c>
      <c r="R322">
        <f>VLOOKUP(G322,TeamAttrs!$A$2:$D$20,3,FALSE)</f>
        <v>5</v>
      </c>
      <c r="S322">
        <f>RADIANS(VLOOKUP(Table1[[#This Row],[HomeTeam]],TeamAttrs!$A$2:$H$20,7, FALSE))</f>
        <v>0.69609490156065446</v>
      </c>
      <c r="T322">
        <f>RADIANS(VLOOKUP(Table1[[#This Row],[HomeTeam]],TeamAttrs!$A$2:$H$20, 8, FALSE))</f>
        <v>-1.313360262125733</v>
      </c>
      <c r="U322">
        <f>RADIANS(VLOOKUP(Table1[[#This Row],[VisitorTeam]],TeamAttrs!$A$2:$H$20,7,FALSE))</f>
        <v>0.71180286482860333</v>
      </c>
      <c r="V322">
        <f>RADIANS(VLOOKUP(Table1[[#This Row],[VisitorTeam]], TeamAttrs!$A$2:$H$20,8,FALSE))</f>
        <v>-1.2909624518348899</v>
      </c>
      <c r="W322" s="5">
        <f>60*DEGREES(ACOS(SIN(Table1[[#This Row],[HomeLat]])*SIN(Table1[[#This Row],[VisitorLat]]) +COS(Table1[[#This Row],[HomeLat]])*COS(Table1[[#This Row],[VisitorLat]])*COS(ABS(Table1[[#This Row],[HomeLong]] -Table1[[#This Row],[VisitorLong]]))))</f>
        <v>79.754727185209106</v>
      </c>
      <c r="X322" s="6">
        <f>VLOOKUP(Table1[[#This Row],[HomeTeam]],TeamAttrs!$A$2:$K$20,5,FALSE)</f>
        <v>3620000</v>
      </c>
      <c r="Y322" s="6">
        <f>VLOOKUP(Table1[[#This Row],[HomeTeam]],TeamAttrs!$A$2:$K$20,9,FALSE)</f>
        <v>18053</v>
      </c>
      <c r="Z322" s="6">
        <f>VLOOKUP(Table1[[#This Row],[HomeTeam]],TeamAttrs!$A$2:$K$20,10,FALSE)</f>
        <v>18500</v>
      </c>
      <c r="AA322" s="6">
        <f>VLOOKUP(Table1[[#This Row],[HomeTeam]],TeamAttrs!$A$2:$K$20,11,FALSE)</f>
        <v>0.97583783783783784</v>
      </c>
    </row>
    <row r="323" spans="1:27" x14ac:dyDescent="0.25">
      <c r="A323" s="1">
        <v>41209</v>
      </c>
      <c r="B323" t="s">
        <v>12</v>
      </c>
      <c r="C323" t="str">
        <f>VLOOKUP(Table1[[#This Row],[HomeTeam]], TeamAttrs!$A$2:$B$20,2,FALSE)</f>
        <v>Port</v>
      </c>
      <c r="D323">
        <v>1</v>
      </c>
      <c r="E323">
        <v>1</v>
      </c>
      <c r="F323">
        <f>Table1[[#This Row],[HomeTeamScore]]-Table1[[#This Row],[VisitorScore]]</f>
        <v>0</v>
      </c>
      <c r="G323" t="s">
        <v>5</v>
      </c>
      <c r="H323" t="str">
        <f>VLOOKUP(Table1[[#This Row],[VisitorTeam]],TeamAttrs!$A$2:$B$20, 2, FALSE)</f>
        <v>SJE</v>
      </c>
      <c r="I323">
        <f t="shared" si="20"/>
        <v>0</v>
      </c>
      <c r="J323">
        <f t="shared" si="21"/>
        <v>1</v>
      </c>
      <c r="K323">
        <f t="shared" si="22"/>
        <v>0</v>
      </c>
      <c r="L323">
        <f>3*Table1[HomeWin] +Table1[Draw]</f>
        <v>1</v>
      </c>
      <c r="M323">
        <f>3*Table1[HomeLoss]+Table1[Draw]</f>
        <v>1</v>
      </c>
      <c r="N323">
        <f>VLOOKUP(B323,TeamAttrs!$A$2:$C$20,3,FALSE)</f>
        <v>8</v>
      </c>
      <c r="O323">
        <f>VLOOKUP(G323,TeamAttrs!$A$2:$C$20,3,FALSE)</f>
        <v>8</v>
      </c>
      <c r="P323">
        <f t="shared" si="23"/>
        <v>0</v>
      </c>
      <c r="Q323">
        <f>VLOOKUP(B323,TeamAttrs!$A$2:$D$20,3,FALSE)</f>
        <v>8</v>
      </c>
      <c r="R323">
        <f>VLOOKUP(G323,TeamAttrs!$A$2:$D$20,3,FALSE)</f>
        <v>8</v>
      </c>
      <c r="S323">
        <f>RADIANS(VLOOKUP(Table1[[#This Row],[HomeTeam]],TeamAttrs!$A$2:$H$20,7, FALSE))</f>
        <v>0.79587013890941427</v>
      </c>
      <c r="T323">
        <f>RADIANS(VLOOKUP(Table1[[#This Row],[HomeTeam]],TeamAttrs!$A$2:$H$20, 8, FALSE))</f>
        <v>-2.1397736629450481</v>
      </c>
      <c r="U323">
        <f>RADIANS(VLOOKUP(Table1[[#This Row],[VisitorTeam]],TeamAttrs!$A$2:$H$20,7,FALSE))</f>
        <v>0.65217194560496516</v>
      </c>
      <c r="V323">
        <f>RADIANS(VLOOKUP(Table1[[#This Row],[VisitorTeam]], TeamAttrs!$A$2:$H$20,8,FALSE))</f>
        <v>-2.1281323168342459</v>
      </c>
      <c r="W323" s="5">
        <f>60*DEGREES(ACOS(SIN(Table1[[#This Row],[HomeLat]])*SIN(Table1[[#This Row],[VisitorLat]]) +COS(Table1[[#This Row],[HomeLat]])*COS(Table1[[#This Row],[VisitorLat]])*COS(ABS(Table1[[#This Row],[HomeLong]] -Table1[[#This Row],[VisitorLong]]))))</f>
        <v>494.90170074246748</v>
      </c>
      <c r="X323" s="6">
        <f>VLOOKUP(Table1[[#This Row],[HomeTeam]],TeamAttrs!$A$2:$K$20,5,FALSE)</f>
        <v>4160000</v>
      </c>
      <c r="Y323" s="6">
        <f>VLOOKUP(Table1[[#This Row],[HomeTeam]],TeamAttrs!$A$2:$K$20,9,FALSE)</f>
        <v>20438</v>
      </c>
      <c r="Z323" s="6">
        <f>VLOOKUP(Table1[[#This Row],[HomeTeam]],TeamAttrs!$A$2:$K$20,10,FALSE)</f>
        <v>20438</v>
      </c>
      <c r="AA323" s="6">
        <f>VLOOKUP(Table1[[#This Row],[HomeTeam]],TeamAttrs!$A$2:$K$20,11,FALSE)</f>
        <v>1</v>
      </c>
    </row>
    <row r="324" spans="1:27" x14ac:dyDescent="0.25">
      <c r="A324" s="1">
        <v>41209</v>
      </c>
      <c r="B324" t="s">
        <v>18</v>
      </c>
      <c r="C324" t="str">
        <f>VLOOKUP(Table1[[#This Row],[HomeTeam]], TeamAttrs!$A$2:$B$20,2,FALSE)</f>
        <v>RSL</v>
      </c>
      <c r="D324">
        <v>0</v>
      </c>
      <c r="E324">
        <v>0</v>
      </c>
      <c r="F324">
        <f>Table1[[#This Row],[HomeTeamScore]]-Table1[[#This Row],[VisitorScore]]</f>
        <v>0</v>
      </c>
      <c r="G324" t="s">
        <v>0</v>
      </c>
      <c r="H324" t="str">
        <f>VLOOKUP(Table1[[#This Row],[VisitorTeam]],TeamAttrs!$A$2:$B$20, 2, FALSE)</f>
        <v>Van</v>
      </c>
      <c r="I324">
        <f t="shared" si="20"/>
        <v>0</v>
      </c>
      <c r="J324">
        <f t="shared" si="21"/>
        <v>1</v>
      </c>
      <c r="K324">
        <f t="shared" si="22"/>
        <v>0</v>
      </c>
      <c r="L324">
        <f>3*Table1[HomeWin] +Table1[Draw]</f>
        <v>1</v>
      </c>
      <c r="M324">
        <f>3*Table1[HomeLoss]+Table1[Draw]</f>
        <v>1</v>
      </c>
      <c r="N324">
        <f>VLOOKUP(B324,TeamAttrs!$A$2:$C$20,3,FALSE)</f>
        <v>7</v>
      </c>
      <c r="O324">
        <f>VLOOKUP(G324,TeamAttrs!$A$2:$C$20,3,FALSE)</f>
        <v>8</v>
      </c>
      <c r="P324">
        <f t="shared" si="23"/>
        <v>1</v>
      </c>
      <c r="Q324">
        <f>VLOOKUP(B324,TeamAttrs!$A$2:$D$20,3,FALSE)</f>
        <v>7</v>
      </c>
      <c r="R324">
        <f>VLOOKUP(G324,TeamAttrs!$A$2:$D$20,3,FALSE)</f>
        <v>8</v>
      </c>
      <c r="S324">
        <f>RADIANS(VLOOKUP(Table1[[#This Row],[HomeTeam]],TeamAttrs!$A$2:$H$20,7, FALSE))</f>
        <v>0.71151314017277234</v>
      </c>
      <c r="T324">
        <f>RADIANS(VLOOKUP(Table1[[#This Row],[HomeTeam]],TeamAttrs!$A$2:$H$20, 8, FALSE))</f>
        <v>-1.954192803580491</v>
      </c>
      <c r="U324">
        <f>RADIANS(VLOOKUP(Table1[[#This Row],[VisitorTeam]],TeamAttrs!$A$2:$H$20,7,FALSE))</f>
        <v>0.86015585124812133</v>
      </c>
      <c r="V324">
        <f>RADIANS(VLOOKUP(Table1[[#This Row],[VisitorTeam]], TeamAttrs!$A$2:$H$20,8,FALSE))</f>
        <v>-2.1487970151778586</v>
      </c>
      <c r="W324" s="5">
        <f>60*DEGREES(ACOS(SIN(Table1[[#This Row],[HomeLat]])*SIN(Table1[[#This Row],[VisitorLat]]) +COS(Table1[[#This Row],[HomeLat]])*COS(Table1[[#This Row],[VisitorLat]])*COS(ABS(Table1[[#This Row],[HomeLong]] -Table1[[#This Row],[VisitorLong]]))))</f>
        <v>694.76459230129387</v>
      </c>
      <c r="X324" s="6">
        <f>VLOOKUP(Table1[[#This Row],[HomeTeam]],TeamAttrs!$A$2:$K$20,5,FALSE)</f>
        <v>3520000</v>
      </c>
      <c r="Y324" s="6">
        <f>VLOOKUP(Table1[[#This Row],[HomeTeam]],TeamAttrs!$A$2:$K$20,9,FALSE)</f>
        <v>19087</v>
      </c>
      <c r="Z324" s="6">
        <f>VLOOKUP(Table1[[#This Row],[HomeTeam]],TeamAttrs!$A$2:$K$20,10,FALSE)</f>
        <v>20213</v>
      </c>
      <c r="AA324" s="6">
        <f>VLOOKUP(Table1[[#This Row],[HomeTeam]],TeamAttrs!$A$2:$K$20,11,FALSE)</f>
        <v>0.94429327660416562</v>
      </c>
    </row>
    <row r="325" spans="1:27" x14ac:dyDescent="0.25">
      <c r="A325" s="1">
        <v>41210</v>
      </c>
      <c r="B325" t="s">
        <v>8</v>
      </c>
      <c r="C325" t="str">
        <f>VLOOKUP(Table1[[#This Row],[HomeTeam]], TeamAttrs!$A$2:$B$20,2,FALSE)</f>
        <v>Colum</v>
      </c>
      <c r="D325">
        <v>2</v>
      </c>
      <c r="E325">
        <v>1</v>
      </c>
      <c r="F325">
        <f>Table1[[#This Row],[HomeTeamScore]]-Table1[[#This Row],[VisitorScore]]</f>
        <v>1</v>
      </c>
      <c r="G325" t="s">
        <v>10</v>
      </c>
      <c r="H325" t="str">
        <f>VLOOKUP(Table1[[#This Row],[VisitorTeam]],TeamAttrs!$A$2:$B$20, 2, FALSE)</f>
        <v>Tor</v>
      </c>
      <c r="I325">
        <f t="shared" si="20"/>
        <v>1</v>
      </c>
      <c r="J325">
        <f t="shared" si="21"/>
        <v>0</v>
      </c>
      <c r="K325">
        <f t="shared" si="22"/>
        <v>0</v>
      </c>
      <c r="L325">
        <f>3*Table1[HomeWin] +Table1[Draw]</f>
        <v>3</v>
      </c>
      <c r="M325">
        <f>3*Table1[HomeLoss]+Table1[Draw]</f>
        <v>0</v>
      </c>
      <c r="N325">
        <f>VLOOKUP(B325,TeamAttrs!$A$2:$C$20,3,FALSE)</f>
        <v>5</v>
      </c>
      <c r="O325">
        <f>VLOOKUP(G325,TeamAttrs!$A$2:$C$20,3,FALSE)</f>
        <v>5</v>
      </c>
      <c r="P325">
        <f t="shared" si="23"/>
        <v>0</v>
      </c>
      <c r="Q325">
        <f>VLOOKUP(B325,TeamAttrs!$A$2:$D$20,3,FALSE)</f>
        <v>5</v>
      </c>
      <c r="R325">
        <f>VLOOKUP(G325,TeamAttrs!$A$2:$D$20,3,FALSE)</f>
        <v>5</v>
      </c>
      <c r="S325">
        <f>RADIANS(VLOOKUP(Table1[[#This Row],[HomeTeam]],TeamAttrs!$A$2:$H$20,7, FALSE))</f>
        <v>0.69813170079773179</v>
      </c>
      <c r="T325">
        <f>RADIANS(VLOOKUP(Table1[[#This Row],[HomeTeam]],TeamAttrs!$A$2:$H$20, 8, FALSE))</f>
        <v>-1.4465864799182162</v>
      </c>
      <c r="U325">
        <f>RADIANS(VLOOKUP(Table1[[#This Row],[VisitorTeam]],TeamAttrs!$A$2:$H$20,7,FALSE))</f>
        <v>0.76241741313643896</v>
      </c>
      <c r="V325">
        <f>RADIANS(VLOOKUP(Table1[[#This Row],[VisitorTeam]], TeamAttrs!$A$2:$H$20,8,FALSE))</f>
        <v>-1.3898632792284005</v>
      </c>
      <c r="W325" s="5">
        <f>60*DEGREES(ACOS(SIN(Table1[[#This Row],[HomeLat]])*SIN(Table1[[#This Row],[VisitorLat]]) +COS(Table1[[#This Row],[HomeLat]])*COS(Table1[[#This Row],[VisitorLat]])*COS(ABS(Table1[[#This Row],[HomeLong]] -Table1[[#This Row],[VisitorLong]]))))</f>
        <v>264.4185564345218</v>
      </c>
      <c r="X325" s="6">
        <f>VLOOKUP(Table1[[#This Row],[HomeTeam]],TeamAttrs!$A$2:$K$20,5,FALSE)</f>
        <v>3330000</v>
      </c>
      <c r="Y325" s="6">
        <f>VLOOKUP(Table1[[#This Row],[HomeTeam]],TeamAttrs!$A$2:$K$20,9,FALSE)</f>
        <v>14397</v>
      </c>
      <c r="Z325" s="6">
        <f>VLOOKUP(Table1[[#This Row],[HomeTeam]],TeamAttrs!$A$2:$K$20,10,FALSE)</f>
        <v>20145</v>
      </c>
      <c r="AA325" s="6">
        <f>VLOOKUP(Table1[[#This Row],[HomeTeam]],TeamAttrs!$A$2:$K$20,11,FALSE)</f>
        <v>0.71466865227103504</v>
      </c>
    </row>
    <row r="326" spans="1:27" x14ac:dyDescent="0.25">
      <c r="A326" s="1">
        <v>41210</v>
      </c>
      <c r="B326" t="s">
        <v>7</v>
      </c>
      <c r="C326" t="str">
        <f>VLOOKUP(Table1[[#This Row],[HomeTeam]], TeamAttrs!$A$2:$B$20,2,FALSE)</f>
        <v>FCDal</v>
      </c>
      <c r="D326">
        <v>2</v>
      </c>
      <c r="E326">
        <v>2</v>
      </c>
      <c r="F326">
        <f>Table1[[#This Row],[HomeTeamScore]]-Table1[[#This Row],[VisitorScore]]</f>
        <v>0</v>
      </c>
      <c r="G326" t="s">
        <v>2</v>
      </c>
      <c r="H326" t="str">
        <f>VLOOKUP(Table1[[#This Row],[VisitorTeam]],TeamAttrs!$A$2:$B$20, 2, FALSE)</f>
        <v>Chiv</v>
      </c>
      <c r="I326">
        <f t="shared" si="20"/>
        <v>0</v>
      </c>
      <c r="J326">
        <f t="shared" si="21"/>
        <v>1</v>
      </c>
      <c r="K326">
        <f t="shared" si="22"/>
        <v>0</v>
      </c>
      <c r="L326">
        <f>3*Table1[HomeWin] +Table1[Draw]</f>
        <v>1</v>
      </c>
      <c r="M326">
        <f>3*Table1[HomeLoss]+Table1[Draw]</f>
        <v>1</v>
      </c>
      <c r="N326">
        <f>VLOOKUP(B326,TeamAttrs!$A$2:$C$20,3,FALSE)</f>
        <v>6</v>
      </c>
      <c r="O326">
        <f>VLOOKUP(G326,TeamAttrs!$A$2:$C$20,3,FALSE)</f>
        <v>8</v>
      </c>
      <c r="P326">
        <f t="shared" si="23"/>
        <v>2</v>
      </c>
      <c r="Q326">
        <f>VLOOKUP(B326,TeamAttrs!$A$2:$D$20,3,FALSE)</f>
        <v>6</v>
      </c>
      <c r="R326">
        <f>VLOOKUP(G326,TeamAttrs!$A$2:$D$20,3,FALSE)</f>
        <v>8</v>
      </c>
      <c r="S326">
        <f>RADIANS(VLOOKUP(Table1[[#This Row],[HomeTeam]],TeamAttrs!$A$2:$H$20,7, FALSE))</f>
        <v>0.57334065928013733</v>
      </c>
      <c r="T326">
        <f>RADIANS(VLOOKUP(Table1[[#This Row],[HomeTeam]],TeamAttrs!$A$2:$H$20, 8, FALSE))</f>
        <v>-1.690351380556508</v>
      </c>
      <c r="U326">
        <f>RADIANS(VLOOKUP(Table1[[#This Row],[VisitorTeam]],TeamAttrs!$A$2:$H$20,7,FALSE))</f>
        <v>0.59224781106699187</v>
      </c>
      <c r="V326">
        <f>RADIANS(VLOOKUP(Table1[[#This Row],[VisitorTeam]], TeamAttrs!$A$2:$H$20,8,FALSE))</f>
        <v>-2.0664698343612864</v>
      </c>
      <c r="W326" s="5">
        <f>60*DEGREES(ACOS(SIN(Table1[[#This Row],[HomeLat]])*SIN(Table1[[#This Row],[VisitorLat]]) +COS(Table1[[#This Row],[HomeLat]])*COS(Table1[[#This Row],[VisitorLat]])*COS(ABS(Table1[[#This Row],[HomeLong]] -Table1[[#This Row],[VisitorLong]]))))</f>
        <v>1079.5378040042574</v>
      </c>
      <c r="X326" s="6">
        <f>VLOOKUP(Table1[[#This Row],[HomeTeam]],TeamAttrs!$A$2:$K$20,5,FALSE)</f>
        <v>3450000</v>
      </c>
      <c r="Y326" s="6">
        <f>VLOOKUP(Table1[[#This Row],[HomeTeam]],TeamAttrs!$A$2:$K$20,9,FALSE)</f>
        <v>14199</v>
      </c>
      <c r="Z326" s="6">
        <f>VLOOKUP(Table1[[#This Row],[HomeTeam]],TeamAttrs!$A$2:$K$20,10,FALSE)</f>
        <v>20500</v>
      </c>
      <c r="AA326" s="6">
        <f>VLOOKUP(Table1[[#This Row],[HomeTeam]],TeamAttrs!$A$2:$K$20,11,FALSE)</f>
        <v>0.69263414634146336</v>
      </c>
    </row>
    <row r="327" spans="1:27" x14ac:dyDescent="0.25">
      <c r="A327" s="1">
        <v>41210</v>
      </c>
      <c r="B327" t="s">
        <v>16</v>
      </c>
      <c r="C327" t="str">
        <f>VLOOKUP(Table1[[#This Row],[HomeTeam]], TeamAttrs!$A$2:$B$20,2,FALSE)</f>
        <v>LAGxy</v>
      </c>
      <c r="D327">
        <v>1</v>
      </c>
      <c r="E327">
        <v>0</v>
      </c>
      <c r="F327">
        <f>Table1[[#This Row],[HomeTeamScore]]-Table1[[#This Row],[VisitorScore]]</f>
        <v>1</v>
      </c>
      <c r="G327" t="s">
        <v>11</v>
      </c>
      <c r="H327" t="str">
        <f>VLOOKUP(Table1[[#This Row],[VisitorTeam]],TeamAttrs!$A$2:$B$20, 2, FALSE)</f>
        <v>SEA</v>
      </c>
      <c r="I327">
        <f t="shared" si="20"/>
        <v>1</v>
      </c>
      <c r="J327">
        <f t="shared" si="21"/>
        <v>0</v>
      </c>
      <c r="K327">
        <f t="shared" si="22"/>
        <v>0</v>
      </c>
      <c r="L327">
        <f>3*Table1[HomeWin] +Table1[Draw]</f>
        <v>3</v>
      </c>
      <c r="M327">
        <f>3*Table1[HomeLoss]+Table1[Draw]</f>
        <v>0</v>
      </c>
      <c r="N327">
        <f>VLOOKUP(B327,TeamAttrs!$A$2:$C$20,3,FALSE)</f>
        <v>8</v>
      </c>
      <c r="O327">
        <f>VLOOKUP(G327,TeamAttrs!$A$2:$C$20,3,FALSE)</f>
        <v>8</v>
      </c>
      <c r="P327">
        <f t="shared" si="23"/>
        <v>0</v>
      </c>
      <c r="Q327">
        <f>VLOOKUP(B327,TeamAttrs!$A$2:$D$20,3,FALSE)</f>
        <v>8</v>
      </c>
      <c r="R327">
        <f>VLOOKUP(G327,TeamAttrs!$A$2:$D$20,3,FALSE)</f>
        <v>8</v>
      </c>
      <c r="S327">
        <f>RADIANS(VLOOKUP(Table1[[#This Row],[HomeTeam]],TeamAttrs!$A$2:$H$20,7, FALSE))</f>
        <v>0.59224781106699187</v>
      </c>
      <c r="T327">
        <f>RADIANS(VLOOKUP(Table1[[#This Row],[HomeTeam]],TeamAttrs!$A$2:$H$20, 8, FALSE))</f>
        <v>-2.0664698343612864</v>
      </c>
      <c r="U327">
        <f>RADIANS(VLOOKUP(Table1[[#This Row],[VisitorTeam]],TeamAttrs!$A$2:$H$20,7,FALSE))</f>
        <v>0.83164938857529802</v>
      </c>
      <c r="V327">
        <f>RADIANS(VLOOKUP(Table1[[#This Row],[VisitorTeam]], TeamAttrs!$A$2:$H$20,8,FALSE))</f>
        <v>-2.134537675189065</v>
      </c>
      <c r="W327" s="5">
        <f>60*DEGREES(ACOS(SIN(Table1[[#This Row],[HomeLat]])*SIN(Table1[[#This Row],[VisitorLat]]) +COS(Table1[[#This Row],[HomeLat]])*COS(Table1[[#This Row],[VisitorLat]])*COS(ABS(Table1[[#This Row],[HomeLong]] -Table1[[#This Row],[VisitorLong]]))))</f>
        <v>841.56162088012809</v>
      </c>
      <c r="X327" s="6">
        <f>VLOOKUP(Table1[[#This Row],[HomeTeam]],TeamAttrs!$A$2:$K$20,5,FALSE)</f>
        <v>12630000</v>
      </c>
      <c r="Y327" s="6">
        <f>VLOOKUP(Table1[[#This Row],[HomeTeam]],TeamAttrs!$A$2:$K$20,9,FALSE)</f>
        <v>23136</v>
      </c>
      <c r="Z327" s="6">
        <f>VLOOKUP(Table1[[#This Row],[HomeTeam]],TeamAttrs!$A$2:$K$20,10,FALSE)</f>
        <v>27000</v>
      </c>
      <c r="AA327" s="6">
        <f>VLOOKUP(Table1[[#This Row],[HomeTeam]],TeamAttrs!$A$2:$K$20,11,FALSE)</f>
        <v>0.85688888888888892</v>
      </c>
    </row>
    <row r="328" spans="1:27" x14ac:dyDescent="0.25">
      <c r="A328" s="1">
        <v>41213</v>
      </c>
      <c r="B328" t="s">
        <v>17</v>
      </c>
      <c r="C328" t="str">
        <f>VLOOKUP(Table1[[#This Row],[HomeTeam]], TeamAttrs!$A$2:$B$20,2,FALSE)</f>
        <v>Chi</v>
      </c>
      <c r="D328">
        <v>1</v>
      </c>
      <c r="E328">
        <v>2</v>
      </c>
      <c r="F328">
        <f>Table1[[#This Row],[HomeTeamScore]]-Table1[[#This Row],[VisitorScore]]</f>
        <v>-1</v>
      </c>
      <c r="G328" t="s">
        <v>13</v>
      </c>
      <c r="H328" t="str">
        <f>VLOOKUP(Table1[[#This Row],[VisitorTeam]],TeamAttrs!$A$2:$B$20, 2, FALSE)</f>
        <v>Hou</v>
      </c>
      <c r="I328">
        <f t="shared" si="20"/>
        <v>0</v>
      </c>
      <c r="J328">
        <f t="shared" si="21"/>
        <v>0</v>
      </c>
      <c r="K328">
        <f t="shared" si="22"/>
        <v>1</v>
      </c>
      <c r="L328">
        <f>3*Table1[HomeWin] +Table1[Draw]</f>
        <v>0</v>
      </c>
      <c r="M328">
        <f>3*Table1[HomeLoss]+Table1[Draw]</f>
        <v>3</v>
      </c>
      <c r="N328">
        <f>VLOOKUP(B328,TeamAttrs!$A$2:$C$20,3,FALSE)</f>
        <v>6</v>
      </c>
      <c r="O328">
        <f>VLOOKUP(G328,TeamAttrs!$A$2:$C$20,3,FALSE)</f>
        <v>6</v>
      </c>
      <c r="P328">
        <f t="shared" si="23"/>
        <v>0</v>
      </c>
      <c r="Q328">
        <f>VLOOKUP(B328,TeamAttrs!$A$2:$D$20,3,FALSE)</f>
        <v>6</v>
      </c>
      <c r="R328">
        <f>VLOOKUP(G328,TeamAttrs!$A$2:$D$20,3,FALSE)</f>
        <v>6</v>
      </c>
      <c r="S328">
        <f>RADIANS(VLOOKUP(Table1[[#This Row],[HomeTeam]],TeamAttrs!$A$2:$H$20,7, FALSE))</f>
        <v>0.72925615734854665</v>
      </c>
      <c r="T328">
        <f>RADIANS(VLOOKUP(Table1[[#This Row],[HomeTeam]],TeamAttrs!$A$2:$H$20, 8, FALSE))</f>
        <v>-1.5315264186250241</v>
      </c>
      <c r="U328">
        <f>RADIANS(VLOOKUP(Table1[[#This Row],[VisitorTeam]],TeamAttrs!$A$2:$H$20,7,FALSE))</f>
        <v>0.52301758095738471</v>
      </c>
      <c r="V328">
        <f>RADIANS(VLOOKUP(Table1[[#This Row],[VisitorTeam]], TeamAttrs!$A$2:$H$20,8,FALSE))</f>
        <v>-1.6641714417765932</v>
      </c>
      <c r="W328" s="5">
        <f>60*DEGREES(ACOS(SIN(Table1[[#This Row],[HomeLat]])*SIN(Table1[[#This Row],[VisitorLat]]) +COS(Table1[[#This Row],[HomeLat]])*COS(Table1[[#This Row],[VisitorLat]])*COS(ABS(Table1[[#This Row],[HomeLong]] -Table1[[#This Row],[VisitorLong]]))))</f>
        <v>798.67830471317484</v>
      </c>
      <c r="X328" s="6">
        <f>VLOOKUP(Table1[[#This Row],[HomeTeam]],TeamAttrs!$A$2:$K$20,5,FALSE)</f>
        <v>3230000</v>
      </c>
      <c r="Y328" s="6">
        <f>VLOOKUP(Table1[[#This Row],[HomeTeam]],TeamAttrs!$A$2:$K$20,9,FALSE)</f>
        <v>16407</v>
      </c>
      <c r="Z328" s="6">
        <f>VLOOKUP(Table1[[#This Row],[HomeTeam]],TeamAttrs!$A$2:$K$20,10,FALSE)</f>
        <v>20000</v>
      </c>
      <c r="AA328" s="6">
        <f>VLOOKUP(Table1[[#This Row],[HomeTeam]],TeamAttrs!$A$2:$K$20,11,FALSE)</f>
        <v>0.82035000000000002</v>
      </c>
    </row>
    <row r="329" spans="1:27" x14ac:dyDescent="0.25">
      <c r="A329" s="1">
        <v>41214</v>
      </c>
      <c r="B329" t="s">
        <v>16</v>
      </c>
      <c r="C329" t="str">
        <f>VLOOKUP(Table1[[#This Row],[HomeTeam]], TeamAttrs!$A$2:$B$20,2,FALSE)</f>
        <v>LAGxy</v>
      </c>
      <c r="D329">
        <v>2</v>
      </c>
      <c r="E329">
        <v>1</v>
      </c>
      <c r="F329">
        <f>Table1[[#This Row],[HomeTeamScore]]-Table1[[#This Row],[VisitorScore]]</f>
        <v>1</v>
      </c>
      <c r="G329" t="s">
        <v>0</v>
      </c>
      <c r="H329" t="str">
        <f>VLOOKUP(Table1[[#This Row],[VisitorTeam]],TeamAttrs!$A$2:$B$20, 2, FALSE)</f>
        <v>Van</v>
      </c>
      <c r="I329">
        <f t="shared" si="20"/>
        <v>1</v>
      </c>
      <c r="J329">
        <f t="shared" si="21"/>
        <v>0</v>
      </c>
      <c r="K329">
        <f t="shared" si="22"/>
        <v>0</v>
      </c>
      <c r="L329">
        <f>3*Table1[HomeWin] +Table1[Draw]</f>
        <v>3</v>
      </c>
      <c r="M329">
        <f>3*Table1[HomeLoss]+Table1[Draw]</f>
        <v>0</v>
      </c>
      <c r="N329">
        <f>VLOOKUP(B329,TeamAttrs!$A$2:$C$20,3,FALSE)</f>
        <v>8</v>
      </c>
      <c r="O329">
        <f>VLOOKUP(G329,TeamAttrs!$A$2:$C$20,3,FALSE)</f>
        <v>8</v>
      </c>
      <c r="P329">
        <f t="shared" si="23"/>
        <v>0</v>
      </c>
      <c r="Q329">
        <f>VLOOKUP(B329,TeamAttrs!$A$2:$D$20,3,FALSE)</f>
        <v>8</v>
      </c>
      <c r="R329">
        <f>VLOOKUP(G329,TeamAttrs!$A$2:$D$20,3,FALSE)</f>
        <v>8</v>
      </c>
      <c r="S329">
        <f>RADIANS(VLOOKUP(Table1[[#This Row],[HomeTeam]],TeamAttrs!$A$2:$H$20,7, FALSE))</f>
        <v>0.59224781106699187</v>
      </c>
      <c r="T329">
        <f>RADIANS(VLOOKUP(Table1[[#This Row],[HomeTeam]],TeamAttrs!$A$2:$H$20, 8, FALSE))</f>
        <v>-2.0664698343612864</v>
      </c>
      <c r="U329">
        <f>RADIANS(VLOOKUP(Table1[[#This Row],[VisitorTeam]],TeamAttrs!$A$2:$H$20,7,FALSE))</f>
        <v>0.86015585124812133</v>
      </c>
      <c r="V329">
        <f>RADIANS(VLOOKUP(Table1[[#This Row],[VisitorTeam]], TeamAttrs!$A$2:$H$20,8,FALSE))</f>
        <v>-2.1487970151778586</v>
      </c>
      <c r="W329" s="5">
        <f>60*DEGREES(ACOS(SIN(Table1[[#This Row],[HomeLat]])*SIN(Table1[[#This Row],[VisitorLat]]) +COS(Table1[[#This Row],[HomeLat]])*COS(Table1[[#This Row],[VisitorLat]])*COS(ABS(Table1[[#This Row],[HomeLong]] -Table1[[#This Row],[VisitorLong]]))))</f>
        <v>944.51302004211243</v>
      </c>
      <c r="X329" s="6">
        <f>VLOOKUP(Table1[[#This Row],[HomeTeam]],TeamAttrs!$A$2:$K$20,5,FALSE)</f>
        <v>12630000</v>
      </c>
      <c r="Y329" s="6">
        <f>VLOOKUP(Table1[[#This Row],[HomeTeam]],TeamAttrs!$A$2:$K$20,9,FALSE)</f>
        <v>23136</v>
      </c>
      <c r="Z329" s="6">
        <f>VLOOKUP(Table1[[#This Row],[HomeTeam]],TeamAttrs!$A$2:$K$20,10,FALSE)</f>
        <v>27000</v>
      </c>
      <c r="AA329" s="6">
        <f>VLOOKUP(Table1[[#This Row],[HomeTeam]],TeamAttrs!$A$2:$K$20,11,FALSE)</f>
        <v>0.85688888888888892</v>
      </c>
    </row>
    <row r="330" spans="1:27" x14ac:dyDescent="0.25">
      <c r="A330" s="1">
        <v>41215</v>
      </c>
      <c r="B330" t="s">
        <v>11</v>
      </c>
      <c r="C330" t="str">
        <f>VLOOKUP(Table1[[#This Row],[HomeTeam]], TeamAttrs!$A$2:$B$20,2,FALSE)</f>
        <v>SEA</v>
      </c>
      <c r="D330">
        <v>0</v>
      </c>
      <c r="E330">
        <v>0</v>
      </c>
      <c r="F330">
        <f>Table1[[#This Row],[HomeTeamScore]]-Table1[[#This Row],[VisitorScore]]</f>
        <v>0</v>
      </c>
      <c r="G330" t="s">
        <v>18</v>
      </c>
      <c r="H330" t="str">
        <f>VLOOKUP(Table1[[#This Row],[VisitorTeam]],TeamAttrs!$A$2:$B$20, 2, FALSE)</f>
        <v>RSL</v>
      </c>
      <c r="I330">
        <f t="shared" si="20"/>
        <v>0</v>
      </c>
      <c r="J330">
        <f t="shared" si="21"/>
        <v>1</v>
      </c>
      <c r="K330">
        <f t="shared" si="22"/>
        <v>0</v>
      </c>
      <c r="L330">
        <f>3*Table1[HomeWin] +Table1[Draw]</f>
        <v>1</v>
      </c>
      <c r="M330">
        <f>3*Table1[HomeLoss]+Table1[Draw]</f>
        <v>1</v>
      </c>
      <c r="N330">
        <f>VLOOKUP(B330,TeamAttrs!$A$2:$C$20,3,FALSE)</f>
        <v>8</v>
      </c>
      <c r="O330">
        <f>VLOOKUP(G330,TeamAttrs!$A$2:$C$20,3,FALSE)</f>
        <v>7</v>
      </c>
      <c r="P330">
        <f t="shared" si="23"/>
        <v>-1</v>
      </c>
      <c r="Q330">
        <f>VLOOKUP(B330,TeamAttrs!$A$2:$D$20,3,FALSE)</f>
        <v>8</v>
      </c>
      <c r="R330">
        <f>VLOOKUP(G330,TeamAttrs!$A$2:$D$20,3,FALSE)</f>
        <v>7</v>
      </c>
      <c r="S330">
        <f>RADIANS(VLOOKUP(Table1[[#This Row],[HomeTeam]],TeamAttrs!$A$2:$H$20,7, FALSE))</f>
        <v>0.83164938857529802</v>
      </c>
      <c r="T330">
        <f>RADIANS(VLOOKUP(Table1[[#This Row],[HomeTeam]],TeamAttrs!$A$2:$H$20, 8, FALSE))</f>
        <v>-2.134537675189065</v>
      </c>
      <c r="U330">
        <f>RADIANS(VLOOKUP(Table1[[#This Row],[VisitorTeam]],TeamAttrs!$A$2:$H$20,7,FALSE))</f>
        <v>0.71151314017277234</v>
      </c>
      <c r="V330">
        <f>RADIANS(VLOOKUP(Table1[[#This Row],[VisitorTeam]], TeamAttrs!$A$2:$H$20,8,FALSE))</f>
        <v>-1.954192803580491</v>
      </c>
      <c r="W330" s="5">
        <f>60*DEGREES(ACOS(SIN(Table1[[#This Row],[HomeLat]])*SIN(Table1[[#This Row],[VisitorLat]]) +COS(Table1[[#This Row],[HomeLat]])*COS(Table1[[#This Row],[VisitorLat]])*COS(ABS(Table1[[#This Row],[HomeLong]] -Table1[[#This Row],[VisitorLong]]))))</f>
        <v>605.71619462811998</v>
      </c>
      <c r="X330" s="6">
        <f>VLOOKUP(Table1[[#This Row],[HomeTeam]],TeamAttrs!$A$2:$K$20,5,FALSE)</f>
        <v>3980000</v>
      </c>
      <c r="Y330" s="6">
        <f>VLOOKUP(Table1[[#This Row],[HomeTeam]],TeamAttrs!$A$2:$K$20,9,FALSE)</f>
        <v>43104</v>
      </c>
      <c r="Z330" s="6">
        <f>VLOOKUP(Table1[[#This Row],[HomeTeam]],TeamAttrs!$A$2:$K$20,10,FALSE)</f>
        <v>38500</v>
      </c>
      <c r="AA330" s="6">
        <f>VLOOKUP(Table1[[#This Row],[HomeTeam]],TeamAttrs!$A$2:$K$20,11,FALSE)</f>
        <v>1.1195844155844157</v>
      </c>
    </row>
    <row r="331" spans="1:27" x14ac:dyDescent="0.25">
      <c r="A331" s="1">
        <v>41216</v>
      </c>
      <c r="B331" t="s">
        <v>3</v>
      </c>
      <c r="C331" t="str">
        <f>VLOOKUP(Table1[[#This Row],[HomeTeam]], TeamAttrs!$A$2:$B$20,2,FALSE)</f>
        <v>DCU</v>
      </c>
      <c r="D331">
        <v>1</v>
      </c>
      <c r="E331">
        <v>1</v>
      </c>
      <c r="F331">
        <f>Table1[[#This Row],[HomeTeamScore]]-Table1[[#This Row],[VisitorScore]]</f>
        <v>0</v>
      </c>
      <c r="G331" t="s">
        <v>15</v>
      </c>
      <c r="H331" t="str">
        <f>VLOOKUP(Table1[[#This Row],[VisitorTeam]],TeamAttrs!$A$2:$B$20, 2, FALSE)</f>
        <v>NY</v>
      </c>
      <c r="I331">
        <f t="shared" si="20"/>
        <v>0</v>
      </c>
      <c r="J331">
        <f t="shared" si="21"/>
        <v>1</v>
      </c>
      <c r="K331">
        <f t="shared" si="22"/>
        <v>0</v>
      </c>
      <c r="L331">
        <f>3*Table1[HomeWin] +Table1[Draw]</f>
        <v>1</v>
      </c>
      <c r="M331">
        <f>3*Table1[HomeLoss]+Table1[Draw]</f>
        <v>1</v>
      </c>
      <c r="N331">
        <f>VLOOKUP(B331,TeamAttrs!$A$2:$C$20,3,FALSE)</f>
        <v>5</v>
      </c>
      <c r="O331">
        <f>VLOOKUP(G331,TeamAttrs!$A$2:$C$20,3,FALSE)</f>
        <v>5</v>
      </c>
      <c r="P331">
        <f t="shared" si="23"/>
        <v>0</v>
      </c>
      <c r="Q331">
        <f>VLOOKUP(B331,TeamAttrs!$A$2:$D$20,3,FALSE)</f>
        <v>5</v>
      </c>
      <c r="R331">
        <f>VLOOKUP(G331,TeamAttrs!$A$2:$D$20,3,FALSE)</f>
        <v>5</v>
      </c>
      <c r="S331">
        <f>RADIANS(VLOOKUP(Table1[[#This Row],[HomeTeam]],TeamAttrs!$A$2:$H$20,7, FALSE))</f>
        <v>0.67806041439979703</v>
      </c>
      <c r="T331">
        <f>RADIANS(VLOOKUP(Table1[[#This Row],[HomeTeam]],TeamAttrs!$A$2:$H$20, 8, FALSE))</f>
        <v>-1.3444847186765478</v>
      </c>
      <c r="U331">
        <f>RADIANS(VLOOKUP(Table1[[#This Row],[VisitorTeam]],TeamAttrs!$A$2:$H$20,7,FALSE))</f>
        <v>0.71180286482860333</v>
      </c>
      <c r="V331">
        <f>RADIANS(VLOOKUP(Table1[[#This Row],[VisitorTeam]], TeamAttrs!$A$2:$H$20,8,FALSE))</f>
        <v>-1.2909624518348899</v>
      </c>
      <c r="W331" s="5">
        <f>60*DEGREES(ACOS(SIN(Table1[[#This Row],[HomeLat]])*SIN(Table1[[#This Row],[VisitorLat]]) +COS(Table1[[#This Row],[HomeLat]])*COS(Table1[[#This Row],[VisitorLat]])*COS(ABS(Table1[[#This Row],[HomeLong]] -Table1[[#This Row],[VisitorLong]]))))</f>
        <v>182.81415814322813</v>
      </c>
      <c r="X331" s="6">
        <f>VLOOKUP(Table1[[#This Row],[HomeTeam]],TeamAttrs!$A$2:$K$20,5,FALSE)</f>
        <v>4190000.0000000005</v>
      </c>
      <c r="Y331" s="6">
        <f>VLOOKUP(Table1[[#This Row],[HomeTeam]],TeamAttrs!$A$2:$K$20,9,FALSE)</f>
        <v>13846</v>
      </c>
      <c r="Z331" s="6">
        <f>VLOOKUP(Table1[[#This Row],[HomeTeam]],TeamAttrs!$A$2:$K$20,10,FALSE)</f>
        <v>19467</v>
      </c>
      <c r="AA331" s="6">
        <f>VLOOKUP(Table1[[#This Row],[HomeTeam]],TeamAttrs!$A$2:$K$20,11,FALSE)</f>
        <v>0.71125494426465297</v>
      </c>
    </row>
    <row r="332" spans="1:27" x14ac:dyDescent="0.25">
      <c r="A332" s="1">
        <v>41217</v>
      </c>
      <c r="B332" t="s">
        <v>13</v>
      </c>
      <c r="C332" t="str">
        <f>VLOOKUP(Table1[[#This Row],[HomeTeam]], TeamAttrs!$A$2:$B$20,2,FALSE)</f>
        <v>Hou</v>
      </c>
      <c r="D332">
        <v>2</v>
      </c>
      <c r="E332">
        <v>0</v>
      </c>
      <c r="F332">
        <f>Table1[[#This Row],[HomeTeamScore]]-Table1[[#This Row],[VisitorScore]]</f>
        <v>2</v>
      </c>
      <c r="G332" t="s">
        <v>6</v>
      </c>
      <c r="H332" t="str">
        <f>VLOOKUP(Table1[[#This Row],[VisitorTeam]],TeamAttrs!$A$2:$B$20, 2, FALSE)</f>
        <v>SKC</v>
      </c>
      <c r="I332">
        <f t="shared" si="20"/>
        <v>1</v>
      </c>
      <c r="J332">
        <f t="shared" si="21"/>
        <v>0</v>
      </c>
      <c r="K332">
        <f t="shared" si="22"/>
        <v>0</v>
      </c>
      <c r="L332">
        <f>3*Table1[HomeWin] +Table1[Draw]</f>
        <v>3</v>
      </c>
      <c r="M332">
        <f>3*Table1[HomeLoss]+Table1[Draw]</f>
        <v>0</v>
      </c>
      <c r="N332">
        <f>VLOOKUP(B332,TeamAttrs!$A$2:$C$20,3,FALSE)</f>
        <v>6</v>
      </c>
      <c r="O332">
        <f>VLOOKUP(G332,TeamAttrs!$A$2:$C$20,3,FALSE)</f>
        <v>6</v>
      </c>
      <c r="P332">
        <f t="shared" si="23"/>
        <v>0</v>
      </c>
      <c r="Q332">
        <f>VLOOKUP(B332,TeamAttrs!$A$2:$D$20,3,FALSE)</f>
        <v>6</v>
      </c>
      <c r="R332">
        <f>VLOOKUP(G332,TeamAttrs!$A$2:$D$20,3,FALSE)</f>
        <v>6</v>
      </c>
      <c r="S332">
        <f>RADIANS(VLOOKUP(Table1[[#This Row],[HomeTeam]],TeamAttrs!$A$2:$H$20,7, FALSE))</f>
        <v>0.52301758095738471</v>
      </c>
      <c r="T332">
        <f>RADIANS(VLOOKUP(Table1[[#This Row],[HomeTeam]],TeamAttrs!$A$2:$H$20, 8, FALSE))</f>
        <v>-1.6641714417765932</v>
      </c>
      <c r="U332">
        <f>RADIANS(VLOOKUP(Table1[[#This Row],[VisitorTeam]],TeamAttrs!$A$2:$H$20,7,FALSE))</f>
        <v>0.68271520751486592</v>
      </c>
      <c r="V332">
        <f>RADIANS(VLOOKUP(Table1[[#This Row],[VisitorTeam]], TeamAttrs!$A$2:$H$20,8,FALSE))</f>
        <v>-1.65166266702755</v>
      </c>
      <c r="W332" s="5">
        <f>60*DEGREES(ACOS(SIN(Table1[[#This Row],[HomeLat]])*SIN(Table1[[#This Row],[VisitorLat]]) +COS(Table1[[#This Row],[HomeLat]])*COS(Table1[[#This Row],[VisitorLat]])*COS(ABS(Table1[[#This Row],[HomeLong]] -Table1[[#This Row],[VisitorLong]]))))</f>
        <v>550.13561942068407</v>
      </c>
      <c r="X332" s="6">
        <f>VLOOKUP(Table1[[#This Row],[HomeTeam]],TeamAttrs!$A$2:$K$20,5,FALSE)</f>
        <v>3000000</v>
      </c>
      <c r="Y332" s="6">
        <f>VLOOKUP(Table1[[#This Row],[HomeTeam]],TeamAttrs!$A$2:$K$20,9,FALSE)</f>
        <v>20946</v>
      </c>
      <c r="Z332" s="6">
        <f>VLOOKUP(Table1[[#This Row],[HomeTeam]],TeamAttrs!$A$2:$K$20,10,FALSE)</f>
        <v>22000</v>
      </c>
      <c r="AA332" s="6">
        <f>VLOOKUP(Table1[[#This Row],[HomeTeam]],TeamAttrs!$A$2:$K$20,11,FALSE)</f>
        <v>0.9520909090909091</v>
      </c>
    </row>
    <row r="333" spans="1:27" x14ac:dyDescent="0.25">
      <c r="A333" s="1">
        <v>41217</v>
      </c>
      <c r="B333" t="s">
        <v>16</v>
      </c>
      <c r="C333" t="str">
        <f>VLOOKUP(Table1[[#This Row],[HomeTeam]], TeamAttrs!$A$2:$B$20,2,FALSE)</f>
        <v>LAGxy</v>
      </c>
      <c r="D333">
        <v>0</v>
      </c>
      <c r="E333">
        <v>1</v>
      </c>
      <c r="F333">
        <f>Table1[[#This Row],[HomeTeamScore]]-Table1[[#This Row],[VisitorScore]]</f>
        <v>-1</v>
      </c>
      <c r="G333" t="s">
        <v>5</v>
      </c>
      <c r="H333" t="str">
        <f>VLOOKUP(Table1[[#This Row],[VisitorTeam]],TeamAttrs!$A$2:$B$20, 2, FALSE)</f>
        <v>SJE</v>
      </c>
      <c r="I333">
        <f t="shared" si="20"/>
        <v>0</v>
      </c>
      <c r="J333">
        <f t="shared" si="21"/>
        <v>0</v>
      </c>
      <c r="K333">
        <f t="shared" si="22"/>
        <v>1</v>
      </c>
      <c r="L333">
        <f>3*Table1[HomeWin] +Table1[Draw]</f>
        <v>0</v>
      </c>
      <c r="M333">
        <f>3*Table1[HomeLoss]+Table1[Draw]</f>
        <v>3</v>
      </c>
      <c r="N333">
        <f>VLOOKUP(B333,TeamAttrs!$A$2:$C$20,3,FALSE)</f>
        <v>8</v>
      </c>
      <c r="O333">
        <f>VLOOKUP(G333,TeamAttrs!$A$2:$C$20,3,FALSE)</f>
        <v>8</v>
      </c>
      <c r="P333">
        <f t="shared" si="23"/>
        <v>0</v>
      </c>
      <c r="Q333">
        <f>VLOOKUP(B333,TeamAttrs!$A$2:$D$20,3,FALSE)</f>
        <v>8</v>
      </c>
      <c r="R333">
        <f>VLOOKUP(G333,TeamAttrs!$A$2:$D$20,3,FALSE)</f>
        <v>8</v>
      </c>
      <c r="S333">
        <f>RADIANS(VLOOKUP(Table1[[#This Row],[HomeTeam]],TeamAttrs!$A$2:$H$20,7, FALSE))</f>
        <v>0.59224781106699187</v>
      </c>
      <c r="T333">
        <f>RADIANS(VLOOKUP(Table1[[#This Row],[HomeTeam]],TeamAttrs!$A$2:$H$20, 8, FALSE))</f>
        <v>-2.0664698343612864</v>
      </c>
      <c r="U333">
        <f>RADIANS(VLOOKUP(Table1[[#This Row],[VisitorTeam]],TeamAttrs!$A$2:$H$20,7,FALSE))</f>
        <v>0.65217194560496516</v>
      </c>
      <c r="V333">
        <f>RADIANS(VLOOKUP(Table1[[#This Row],[VisitorTeam]], TeamAttrs!$A$2:$H$20,8,FALSE))</f>
        <v>-2.1281323168342459</v>
      </c>
      <c r="W333" s="5">
        <f>60*DEGREES(ACOS(SIN(Table1[[#This Row],[HomeLat]])*SIN(Table1[[#This Row],[VisitorLat]]) +COS(Table1[[#This Row],[HomeLat]])*COS(Table1[[#This Row],[VisitorLat]])*COS(ABS(Table1[[#This Row],[HomeLong]] -Table1[[#This Row],[VisitorLong]]))))</f>
        <v>268.48292730997031</v>
      </c>
      <c r="X333" s="6">
        <f>VLOOKUP(Table1[[#This Row],[HomeTeam]],TeamAttrs!$A$2:$K$20,5,FALSE)</f>
        <v>12630000</v>
      </c>
      <c r="Y333" s="6">
        <f>VLOOKUP(Table1[[#This Row],[HomeTeam]],TeamAttrs!$A$2:$K$20,9,FALSE)</f>
        <v>23136</v>
      </c>
      <c r="Z333" s="6">
        <f>VLOOKUP(Table1[[#This Row],[HomeTeam]],TeamAttrs!$A$2:$K$20,10,FALSE)</f>
        <v>27000</v>
      </c>
      <c r="AA333" s="6">
        <f>VLOOKUP(Table1[[#This Row],[HomeTeam]],TeamAttrs!$A$2:$K$20,11,FALSE)</f>
        <v>0.85688888888888892</v>
      </c>
    </row>
    <row r="334" spans="1:27" x14ac:dyDescent="0.25">
      <c r="A334" s="1">
        <v>41220</v>
      </c>
      <c r="B334" t="s">
        <v>5</v>
      </c>
      <c r="C334" t="str">
        <f>VLOOKUP(Table1[[#This Row],[HomeTeam]], TeamAttrs!$A$2:$B$20,2,FALSE)</f>
        <v>SJE</v>
      </c>
      <c r="D334">
        <v>1</v>
      </c>
      <c r="E334">
        <v>3</v>
      </c>
      <c r="F334">
        <f>Table1[[#This Row],[HomeTeamScore]]-Table1[[#This Row],[VisitorScore]]</f>
        <v>-2</v>
      </c>
      <c r="G334" t="s">
        <v>16</v>
      </c>
      <c r="H334" t="str">
        <f>VLOOKUP(Table1[[#This Row],[VisitorTeam]],TeamAttrs!$A$2:$B$20, 2, FALSE)</f>
        <v>LAGxy</v>
      </c>
      <c r="I334">
        <f t="shared" si="20"/>
        <v>0</v>
      </c>
      <c r="J334">
        <f t="shared" si="21"/>
        <v>0</v>
      </c>
      <c r="K334">
        <f t="shared" si="22"/>
        <v>1</v>
      </c>
      <c r="L334">
        <f>3*Table1[HomeWin] +Table1[Draw]</f>
        <v>0</v>
      </c>
      <c r="M334">
        <f>3*Table1[HomeLoss]+Table1[Draw]</f>
        <v>3</v>
      </c>
      <c r="N334">
        <f>VLOOKUP(B334,TeamAttrs!$A$2:$C$20,3,FALSE)</f>
        <v>8</v>
      </c>
      <c r="O334">
        <f>VLOOKUP(G334,TeamAttrs!$A$2:$C$20,3,FALSE)</f>
        <v>8</v>
      </c>
      <c r="P334">
        <f t="shared" si="23"/>
        <v>0</v>
      </c>
      <c r="Q334">
        <f>VLOOKUP(B334,TeamAttrs!$A$2:$D$20,3,FALSE)</f>
        <v>8</v>
      </c>
      <c r="R334">
        <f>VLOOKUP(G334,TeamAttrs!$A$2:$D$20,3,FALSE)</f>
        <v>8</v>
      </c>
      <c r="S334">
        <f>RADIANS(VLOOKUP(Table1[[#This Row],[HomeTeam]],TeamAttrs!$A$2:$H$20,7, FALSE))</f>
        <v>0.65217194560496516</v>
      </c>
      <c r="T334">
        <f>RADIANS(VLOOKUP(Table1[[#This Row],[HomeTeam]],TeamAttrs!$A$2:$H$20, 8, FALSE))</f>
        <v>-2.1281323168342459</v>
      </c>
      <c r="U334">
        <f>RADIANS(VLOOKUP(Table1[[#This Row],[VisitorTeam]],TeamAttrs!$A$2:$H$20,7,FALSE))</f>
        <v>0.59224781106699187</v>
      </c>
      <c r="V334">
        <f>RADIANS(VLOOKUP(Table1[[#This Row],[VisitorTeam]], TeamAttrs!$A$2:$H$20,8,FALSE))</f>
        <v>-2.0664698343612864</v>
      </c>
      <c r="W334" s="5">
        <f>60*DEGREES(ACOS(SIN(Table1[[#This Row],[HomeLat]])*SIN(Table1[[#This Row],[VisitorLat]]) +COS(Table1[[#This Row],[HomeLat]])*COS(Table1[[#This Row],[VisitorLat]])*COS(ABS(Table1[[#This Row],[HomeLong]] -Table1[[#This Row],[VisitorLong]]))))</f>
        <v>268.48292730997031</v>
      </c>
      <c r="X334" s="6">
        <f>VLOOKUP(Table1[[#This Row],[HomeTeam]],TeamAttrs!$A$2:$K$20,5,FALSE)</f>
        <v>3210000</v>
      </c>
      <c r="Y334" s="6">
        <f>VLOOKUP(Table1[[#This Row],[HomeTeam]],TeamAttrs!$A$2:$K$20,9,FALSE)</f>
        <v>13293</v>
      </c>
      <c r="Z334" s="6">
        <f>VLOOKUP(Table1[[#This Row],[HomeTeam]],TeamAttrs!$A$2:$K$20,10,FALSE)</f>
        <v>10525</v>
      </c>
      <c r="AA334" s="6">
        <f>VLOOKUP(Table1[[#This Row],[HomeTeam]],TeamAttrs!$A$2:$K$20,11,FALSE)</f>
        <v>1.2629928741092638</v>
      </c>
    </row>
    <row r="335" spans="1:27" x14ac:dyDescent="0.25">
      <c r="A335" s="1">
        <v>41220</v>
      </c>
      <c r="B335" t="s">
        <v>6</v>
      </c>
      <c r="C335" t="str">
        <f>VLOOKUP(Table1[[#This Row],[HomeTeam]], TeamAttrs!$A$2:$B$20,2,FALSE)</f>
        <v>SKC</v>
      </c>
      <c r="D335">
        <v>1</v>
      </c>
      <c r="E335">
        <v>0</v>
      </c>
      <c r="F335">
        <f>Table1[[#This Row],[HomeTeamScore]]-Table1[[#This Row],[VisitorScore]]</f>
        <v>1</v>
      </c>
      <c r="G335" t="s">
        <v>13</v>
      </c>
      <c r="H335" t="str">
        <f>VLOOKUP(Table1[[#This Row],[VisitorTeam]],TeamAttrs!$A$2:$B$20, 2, FALSE)</f>
        <v>Hou</v>
      </c>
      <c r="I335">
        <f t="shared" si="20"/>
        <v>1</v>
      </c>
      <c r="J335">
        <f t="shared" si="21"/>
        <v>0</v>
      </c>
      <c r="K335">
        <f t="shared" si="22"/>
        <v>0</v>
      </c>
      <c r="L335">
        <f>3*Table1[HomeWin] +Table1[Draw]</f>
        <v>3</v>
      </c>
      <c r="M335">
        <f>3*Table1[HomeLoss]+Table1[Draw]</f>
        <v>0</v>
      </c>
      <c r="N335">
        <f>VLOOKUP(B335,TeamAttrs!$A$2:$C$20,3,FALSE)</f>
        <v>6</v>
      </c>
      <c r="O335">
        <f>VLOOKUP(G335,TeamAttrs!$A$2:$C$20,3,FALSE)</f>
        <v>6</v>
      </c>
      <c r="P335">
        <f t="shared" si="23"/>
        <v>0</v>
      </c>
      <c r="Q335">
        <f>VLOOKUP(B335,TeamAttrs!$A$2:$D$20,3,FALSE)</f>
        <v>6</v>
      </c>
      <c r="R335">
        <f>VLOOKUP(G335,TeamAttrs!$A$2:$D$20,3,FALSE)</f>
        <v>6</v>
      </c>
      <c r="S335">
        <f>RADIANS(VLOOKUP(Table1[[#This Row],[HomeTeam]],TeamAttrs!$A$2:$H$20,7, FALSE))</f>
        <v>0.68271520751486592</v>
      </c>
      <c r="T335">
        <f>RADIANS(VLOOKUP(Table1[[#This Row],[HomeTeam]],TeamAttrs!$A$2:$H$20, 8, FALSE))</f>
        <v>-1.65166266702755</v>
      </c>
      <c r="U335">
        <f>RADIANS(VLOOKUP(Table1[[#This Row],[VisitorTeam]],TeamAttrs!$A$2:$H$20,7,FALSE))</f>
        <v>0.52301758095738471</v>
      </c>
      <c r="V335">
        <f>RADIANS(VLOOKUP(Table1[[#This Row],[VisitorTeam]], TeamAttrs!$A$2:$H$20,8,FALSE))</f>
        <v>-1.6641714417765932</v>
      </c>
      <c r="W335" s="5">
        <f>60*DEGREES(ACOS(SIN(Table1[[#This Row],[HomeLat]])*SIN(Table1[[#This Row],[VisitorLat]]) +COS(Table1[[#This Row],[HomeLat]])*COS(Table1[[#This Row],[VisitorLat]])*COS(ABS(Table1[[#This Row],[HomeLong]] -Table1[[#This Row],[VisitorLong]]))))</f>
        <v>550.13561942068407</v>
      </c>
      <c r="X335" s="6">
        <f>VLOOKUP(Table1[[#This Row],[HomeTeam]],TeamAttrs!$A$2:$K$20,5,FALSE)</f>
        <v>3120000</v>
      </c>
      <c r="Y335" s="6">
        <f>VLOOKUP(Table1[[#This Row],[HomeTeam]],TeamAttrs!$A$2:$K$20,9,FALSE)</f>
        <v>19404</v>
      </c>
      <c r="Z335" s="6">
        <f>VLOOKUP(Table1[[#This Row],[HomeTeam]],TeamAttrs!$A$2:$K$20,10,FALSE)</f>
        <v>18467</v>
      </c>
      <c r="AA335" s="6">
        <f>VLOOKUP(Table1[[#This Row],[HomeTeam]],TeamAttrs!$A$2:$K$20,11,FALSE)</f>
        <v>1.0507391563329183</v>
      </c>
    </row>
    <row r="336" spans="1:27" x14ac:dyDescent="0.25">
      <c r="A336" s="1">
        <v>41221</v>
      </c>
      <c r="B336" t="s">
        <v>15</v>
      </c>
      <c r="C336" t="str">
        <f>VLOOKUP(Table1[[#This Row],[HomeTeam]], TeamAttrs!$A$2:$B$20,2,FALSE)</f>
        <v>NY</v>
      </c>
      <c r="D336">
        <v>0</v>
      </c>
      <c r="E336">
        <v>1</v>
      </c>
      <c r="F336">
        <f>Table1[[#This Row],[HomeTeamScore]]-Table1[[#This Row],[VisitorScore]]</f>
        <v>-1</v>
      </c>
      <c r="G336" t="s">
        <v>3</v>
      </c>
      <c r="H336" t="str">
        <f>VLOOKUP(Table1[[#This Row],[VisitorTeam]],TeamAttrs!$A$2:$B$20, 2, FALSE)</f>
        <v>DCU</v>
      </c>
      <c r="I336">
        <f t="shared" si="20"/>
        <v>0</v>
      </c>
      <c r="J336">
        <f t="shared" si="21"/>
        <v>0</v>
      </c>
      <c r="K336">
        <f t="shared" si="22"/>
        <v>1</v>
      </c>
      <c r="L336">
        <f>3*Table1[HomeWin] +Table1[Draw]</f>
        <v>0</v>
      </c>
      <c r="M336">
        <f>3*Table1[HomeLoss]+Table1[Draw]</f>
        <v>3</v>
      </c>
      <c r="N336">
        <f>VLOOKUP(B336,TeamAttrs!$A$2:$C$20,3,FALSE)</f>
        <v>5</v>
      </c>
      <c r="O336">
        <f>VLOOKUP(G336,TeamAttrs!$A$2:$C$20,3,FALSE)</f>
        <v>5</v>
      </c>
      <c r="P336">
        <f t="shared" si="23"/>
        <v>0</v>
      </c>
      <c r="Q336">
        <f>VLOOKUP(B336,TeamAttrs!$A$2:$D$20,3,FALSE)</f>
        <v>5</v>
      </c>
      <c r="R336">
        <f>VLOOKUP(G336,TeamAttrs!$A$2:$D$20,3,FALSE)</f>
        <v>5</v>
      </c>
      <c r="S336">
        <f>RADIANS(VLOOKUP(Table1[[#This Row],[HomeTeam]],TeamAttrs!$A$2:$H$20,7, FALSE))</f>
        <v>0.71180286482860333</v>
      </c>
      <c r="T336">
        <f>RADIANS(VLOOKUP(Table1[[#This Row],[HomeTeam]],TeamAttrs!$A$2:$H$20, 8, FALSE))</f>
        <v>-1.2909624518348899</v>
      </c>
      <c r="U336">
        <f>RADIANS(VLOOKUP(Table1[[#This Row],[VisitorTeam]],TeamAttrs!$A$2:$H$20,7,FALSE))</f>
        <v>0.67806041439979703</v>
      </c>
      <c r="V336">
        <f>RADIANS(VLOOKUP(Table1[[#This Row],[VisitorTeam]], TeamAttrs!$A$2:$H$20,8,FALSE))</f>
        <v>-1.3444847186765478</v>
      </c>
      <c r="W336" s="5">
        <f>60*DEGREES(ACOS(SIN(Table1[[#This Row],[HomeLat]])*SIN(Table1[[#This Row],[VisitorLat]]) +COS(Table1[[#This Row],[HomeLat]])*COS(Table1[[#This Row],[VisitorLat]])*COS(ABS(Table1[[#This Row],[HomeLong]] -Table1[[#This Row],[VisitorLong]]))))</f>
        <v>182.81415814322813</v>
      </c>
      <c r="X336" s="6">
        <f>VLOOKUP(Table1[[#This Row],[HomeTeam]],TeamAttrs!$A$2:$K$20,5,FALSE)</f>
        <v>12960000</v>
      </c>
      <c r="Y336" s="6">
        <f>VLOOKUP(Table1[[#This Row],[HomeTeam]],TeamAttrs!$A$2:$K$20,9,FALSE)</f>
        <v>18281</v>
      </c>
      <c r="Z336" s="6">
        <f>VLOOKUP(Table1[[#This Row],[HomeTeam]],TeamAttrs!$A$2:$K$20,10,FALSE)</f>
        <v>25000</v>
      </c>
      <c r="AA336" s="6">
        <f>VLOOKUP(Table1[[#This Row],[HomeTeam]],TeamAttrs!$A$2:$K$20,11,FALSE)</f>
        <v>0.73124</v>
      </c>
    </row>
    <row r="337" spans="1:27" x14ac:dyDescent="0.25">
      <c r="A337" s="1">
        <v>41221</v>
      </c>
      <c r="B337" t="s">
        <v>18</v>
      </c>
      <c r="C337" t="str">
        <f>VLOOKUP(Table1[[#This Row],[HomeTeam]], TeamAttrs!$A$2:$B$20,2,FALSE)</f>
        <v>RSL</v>
      </c>
      <c r="D337">
        <v>0</v>
      </c>
      <c r="E337">
        <v>1</v>
      </c>
      <c r="F337">
        <f>Table1[[#This Row],[HomeTeamScore]]-Table1[[#This Row],[VisitorScore]]</f>
        <v>-1</v>
      </c>
      <c r="G337" t="s">
        <v>11</v>
      </c>
      <c r="H337" t="str">
        <f>VLOOKUP(Table1[[#This Row],[VisitorTeam]],TeamAttrs!$A$2:$B$20, 2, FALSE)</f>
        <v>SEA</v>
      </c>
      <c r="I337">
        <f t="shared" si="20"/>
        <v>0</v>
      </c>
      <c r="J337">
        <f t="shared" si="21"/>
        <v>0</v>
      </c>
      <c r="K337">
        <f t="shared" si="22"/>
        <v>1</v>
      </c>
      <c r="L337">
        <f>3*Table1[HomeWin] +Table1[Draw]</f>
        <v>0</v>
      </c>
      <c r="M337">
        <f>3*Table1[HomeLoss]+Table1[Draw]</f>
        <v>3</v>
      </c>
      <c r="N337">
        <f>VLOOKUP(B337,TeamAttrs!$A$2:$C$20,3,FALSE)</f>
        <v>7</v>
      </c>
      <c r="O337">
        <f>VLOOKUP(G337,TeamAttrs!$A$2:$C$20,3,FALSE)</f>
        <v>8</v>
      </c>
      <c r="P337">
        <f t="shared" si="23"/>
        <v>1</v>
      </c>
      <c r="Q337">
        <f>VLOOKUP(B337,TeamAttrs!$A$2:$D$20,3,FALSE)</f>
        <v>7</v>
      </c>
      <c r="R337">
        <f>VLOOKUP(G337,TeamAttrs!$A$2:$D$20,3,FALSE)</f>
        <v>8</v>
      </c>
      <c r="S337">
        <f>RADIANS(VLOOKUP(Table1[[#This Row],[HomeTeam]],TeamAttrs!$A$2:$H$20,7, FALSE))</f>
        <v>0.71151314017277234</v>
      </c>
      <c r="T337">
        <f>RADIANS(VLOOKUP(Table1[[#This Row],[HomeTeam]],TeamAttrs!$A$2:$H$20, 8, FALSE))</f>
        <v>-1.954192803580491</v>
      </c>
      <c r="U337">
        <f>RADIANS(VLOOKUP(Table1[[#This Row],[VisitorTeam]],TeamAttrs!$A$2:$H$20,7,FALSE))</f>
        <v>0.83164938857529802</v>
      </c>
      <c r="V337">
        <f>RADIANS(VLOOKUP(Table1[[#This Row],[VisitorTeam]], TeamAttrs!$A$2:$H$20,8,FALSE))</f>
        <v>-2.134537675189065</v>
      </c>
      <c r="W337" s="5">
        <f>60*DEGREES(ACOS(SIN(Table1[[#This Row],[HomeLat]])*SIN(Table1[[#This Row],[VisitorLat]]) +COS(Table1[[#This Row],[HomeLat]])*COS(Table1[[#This Row],[VisitorLat]])*COS(ABS(Table1[[#This Row],[HomeLong]] -Table1[[#This Row],[VisitorLong]]))))</f>
        <v>605.71619462811998</v>
      </c>
      <c r="X337" s="6">
        <f>VLOOKUP(Table1[[#This Row],[HomeTeam]],TeamAttrs!$A$2:$K$20,5,FALSE)</f>
        <v>3520000</v>
      </c>
      <c r="Y337" s="6">
        <f>VLOOKUP(Table1[[#This Row],[HomeTeam]],TeamAttrs!$A$2:$K$20,9,FALSE)</f>
        <v>19087</v>
      </c>
      <c r="Z337" s="6">
        <f>VLOOKUP(Table1[[#This Row],[HomeTeam]],TeamAttrs!$A$2:$K$20,10,FALSE)</f>
        <v>20213</v>
      </c>
      <c r="AA337" s="6">
        <f>VLOOKUP(Table1[[#This Row],[HomeTeam]],TeamAttrs!$A$2:$K$20,11,FALSE)</f>
        <v>0.94429327660416562</v>
      </c>
    </row>
    <row r="338" spans="1:27" x14ac:dyDescent="0.25">
      <c r="A338" s="1">
        <v>41224</v>
      </c>
      <c r="B338" t="s">
        <v>13</v>
      </c>
      <c r="C338" t="str">
        <f>VLOOKUP(Table1[[#This Row],[HomeTeam]], TeamAttrs!$A$2:$B$20,2,FALSE)</f>
        <v>Hou</v>
      </c>
      <c r="D338">
        <v>3</v>
      </c>
      <c r="E338">
        <v>1</v>
      </c>
      <c r="F338">
        <f>Table1[[#This Row],[HomeTeamScore]]-Table1[[#This Row],[VisitorScore]]</f>
        <v>2</v>
      </c>
      <c r="G338" t="s">
        <v>3</v>
      </c>
      <c r="H338" t="str">
        <f>VLOOKUP(Table1[[#This Row],[VisitorTeam]],TeamAttrs!$A$2:$B$20, 2, FALSE)</f>
        <v>DCU</v>
      </c>
      <c r="I338">
        <f t="shared" si="20"/>
        <v>1</v>
      </c>
      <c r="J338">
        <f t="shared" si="21"/>
        <v>0</v>
      </c>
      <c r="K338">
        <f t="shared" si="22"/>
        <v>0</v>
      </c>
      <c r="L338">
        <f>3*Table1[HomeWin] +Table1[Draw]</f>
        <v>3</v>
      </c>
      <c r="M338">
        <f>3*Table1[HomeLoss]+Table1[Draw]</f>
        <v>0</v>
      </c>
      <c r="N338">
        <f>VLOOKUP(B338,TeamAttrs!$A$2:$C$20,3,FALSE)</f>
        <v>6</v>
      </c>
      <c r="O338">
        <f>VLOOKUP(G338,TeamAttrs!$A$2:$C$20,3,FALSE)</f>
        <v>5</v>
      </c>
      <c r="P338">
        <f t="shared" si="23"/>
        <v>-1</v>
      </c>
      <c r="Q338">
        <f>VLOOKUP(B338,TeamAttrs!$A$2:$D$20,3,FALSE)</f>
        <v>6</v>
      </c>
      <c r="R338">
        <f>VLOOKUP(G338,TeamAttrs!$A$2:$D$20,3,FALSE)</f>
        <v>5</v>
      </c>
      <c r="S338">
        <f>RADIANS(VLOOKUP(Table1[[#This Row],[HomeTeam]],TeamAttrs!$A$2:$H$20,7, FALSE))</f>
        <v>0.52301758095738471</v>
      </c>
      <c r="T338">
        <f>RADIANS(VLOOKUP(Table1[[#This Row],[HomeTeam]],TeamAttrs!$A$2:$H$20, 8, FALSE))</f>
        <v>-1.6641714417765932</v>
      </c>
      <c r="U338">
        <f>RADIANS(VLOOKUP(Table1[[#This Row],[VisitorTeam]],TeamAttrs!$A$2:$H$20,7,FALSE))</f>
        <v>0.67806041439979703</v>
      </c>
      <c r="V338">
        <f>RADIANS(VLOOKUP(Table1[[#This Row],[VisitorTeam]], TeamAttrs!$A$2:$H$20,8,FALSE))</f>
        <v>-1.3444847186765478</v>
      </c>
      <c r="W338" s="5">
        <f>60*DEGREES(ACOS(SIN(Table1[[#This Row],[HomeLat]])*SIN(Table1[[#This Row],[VisitorLat]]) +COS(Table1[[#This Row],[HomeLat]])*COS(Table1[[#This Row],[VisitorLat]])*COS(ABS(Table1[[#This Row],[HomeLong]] -Table1[[#This Row],[VisitorLong]]))))</f>
        <v>1048.8031611896665</v>
      </c>
      <c r="X338" s="6">
        <f>VLOOKUP(Table1[[#This Row],[HomeTeam]],TeamAttrs!$A$2:$K$20,5,FALSE)</f>
        <v>3000000</v>
      </c>
      <c r="Y338" s="6">
        <f>VLOOKUP(Table1[[#This Row],[HomeTeam]],TeamAttrs!$A$2:$K$20,9,FALSE)</f>
        <v>20946</v>
      </c>
      <c r="Z338" s="6">
        <f>VLOOKUP(Table1[[#This Row],[HomeTeam]],TeamAttrs!$A$2:$K$20,10,FALSE)</f>
        <v>22000</v>
      </c>
      <c r="AA338" s="6">
        <f>VLOOKUP(Table1[[#This Row],[HomeTeam]],TeamAttrs!$A$2:$K$20,11,FALSE)</f>
        <v>0.9520909090909091</v>
      </c>
    </row>
    <row r="339" spans="1:27" x14ac:dyDescent="0.25">
      <c r="A339" s="1">
        <v>41224</v>
      </c>
      <c r="B339" t="s">
        <v>16</v>
      </c>
      <c r="C339" t="str">
        <f>VLOOKUP(Table1[[#This Row],[HomeTeam]], TeamAttrs!$A$2:$B$20,2,FALSE)</f>
        <v>LAGxy</v>
      </c>
      <c r="D339">
        <v>3</v>
      </c>
      <c r="E339">
        <v>0</v>
      </c>
      <c r="F339">
        <f>Table1[[#This Row],[HomeTeamScore]]-Table1[[#This Row],[VisitorScore]]</f>
        <v>3</v>
      </c>
      <c r="G339" t="s">
        <v>11</v>
      </c>
      <c r="H339" t="str">
        <f>VLOOKUP(Table1[[#This Row],[VisitorTeam]],TeamAttrs!$A$2:$B$20, 2, FALSE)</f>
        <v>SEA</v>
      </c>
      <c r="I339">
        <f t="shared" si="20"/>
        <v>1</v>
      </c>
      <c r="J339">
        <f t="shared" si="21"/>
        <v>0</v>
      </c>
      <c r="K339">
        <f t="shared" si="22"/>
        <v>0</v>
      </c>
      <c r="L339">
        <f>3*Table1[HomeWin] +Table1[Draw]</f>
        <v>3</v>
      </c>
      <c r="M339">
        <f>3*Table1[HomeLoss]+Table1[Draw]</f>
        <v>0</v>
      </c>
      <c r="N339">
        <f>VLOOKUP(B339,TeamAttrs!$A$2:$C$20,3,FALSE)</f>
        <v>8</v>
      </c>
      <c r="O339">
        <f>VLOOKUP(G339,TeamAttrs!$A$2:$C$20,3,FALSE)</f>
        <v>8</v>
      </c>
      <c r="P339">
        <f t="shared" si="23"/>
        <v>0</v>
      </c>
      <c r="Q339">
        <f>VLOOKUP(B339,TeamAttrs!$A$2:$D$20,3,FALSE)</f>
        <v>8</v>
      </c>
      <c r="R339">
        <f>VLOOKUP(G339,TeamAttrs!$A$2:$D$20,3,FALSE)</f>
        <v>8</v>
      </c>
      <c r="S339">
        <f>RADIANS(VLOOKUP(Table1[[#This Row],[HomeTeam]],TeamAttrs!$A$2:$H$20,7, FALSE))</f>
        <v>0.59224781106699187</v>
      </c>
      <c r="T339">
        <f>RADIANS(VLOOKUP(Table1[[#This Row],[HomeTeam]],TeamAttrs!$A$2:$H$20, 8, FALSE))</f>
        <v>-2.0664698343612864</v>
      </c>
      <c r="U339">
        <f>RADIANS(VLOOKUP(Table1[[#This Row],[VisitorTeam]],TeamAttrs!$A$2:$H$20,7,FALSE))</f>
        <v>0.83164938857529802</v>
      </c>
      <c r="V339">
        <f>RADIANS(VLOOKUP(Table1[[#This Row],[VisitorTeam]], TeamAttrs!$A$2:$H$20,8,FALSE))</f>
        <v>-2.134537675189065</v>
      </c>
      <c r="W339" s="5">
        <f>60*DEGREES(ACOS(SIN(Table1[[#This Row],[HomeLat]])*SIN(Table1[[#This Row],[VisitorLat]]) +COS(Table1[[#This Row],[HomeLat]])*COS(Table1[[#This Row],[VisitorLat]])*COS(ABS(Table1[[#This Row],[HomeLong]] -Table1[[#This Row],[VisitorLong]]))))</f>
        <v>841.56162088012809</v>
      </c>
      <c r="X339" s="6">
        <f>VLOOKUP(Table1[[#This Row],[HomeTeam]],TeamAttrs!$A$2:$K$20,5,FALSE)</f>
        <v>12630000</v>
      </c>
      <c r="Y339" s="6">
        <f>VLOOKUP(Table1[[#This Row],[HomeTeam]],TeamAttrs!$A$2:$K$20,9,FALSE)</f>
        <v>23136</v>
      </c>
      <c r="Z339" s="6">
        <f>VLOOKUP(Table1[[#This Row],[HomeTeam]],TeamAttrs!$A$2:$K$20,10,FALSE)</f>
        <v>27000</v>
      </c>
      <c r="AA339" s="6">
        <f>VLOOKUP(Table1[[#This Row],[HomeTeam]],TeamAttrs!$A$2:$K$20,11,FALSE)</f>
        <v>0.85688888888888892</v>
      </c>
    </row>
    <row r="340" spans="1:27" x14ac:dyDescent="0.25">
      <c r="A340" s="1">
        <v>41231</v>
      </c>
      <c r="B340" t="s">
        <v>3</v>
      </c>
      <c r="C340" t="str">
        <f>VLOOKUP(Table1[[#This Row],[HomeTeam]], TeamAttrs!$A$2:$B$20,2,FALSE)</f>
        <v>DCU</v>
      </c>
      <c r="D340">
        <v>1</v>
      </c>
      <c r="E340">
        <v>1</v>
      </c>
      <c r="F340">
        <f>Table1[[#This Row],[HomeTeamScore]]-Table1[[#This Row],[VisitorScore]]</f>
        <v>0</v>
      </c>
      <c r="G340" t="s">
        <v>13</v>
      </c>
      <c r="H340" t="str">
        <f>VLOOKUP(Table1[[#This Row],[VisitorTeam]],TeamAttrs!$A$2:$B$20, 2, FALSE)</f>
        <v>Hou</v>
      </c>
      <c r="I340">
        <f t="shared" si="20"/>
        <v>0</v>
      </c>
      <c r="J340">
        <f t="shared" si="21"/>
        <v>1</v>
      </c>
      <c r="K340">
        <f t="shared" si="22"/>
        <v>0</v>
      </c>
      <c r="L340">
        <f>3*Table1[HomeWin] +Table1[Draw]</f>
        <v>1</v>
      </c>
      <c r="M340">
        <f>3*Table1[HomeLoss]+Table1[Draw]</f>
        <v>1</v>
      </c>
      <c r="N340">
        <f>VLOOKUP(B340,TeamAttrs!$A$2:$C$20,3,FALSE)</f>
        <v>5</v>
      </c>
      <c r="O340">
        <f>VLOOKUP(G340,TeamAttrs!$A$2:$C$20,3,FALSE)</f>
        <v>6</v>
      </c>
      <c r="P340">
        <f t="shared" si="23"/>
        <v>1</v>
      </c>
      <c r="Q340">
        <f>VLOOKUP(B340,TeamAttrs!$A$2:$D$20,3,FALSE)</f>
        <v>5</v>
      </c>
      <c r="R340">
        <f>VLOOKUP(G340,TeamAttrs!$A$2:$D$20,3,FALSE)</f>
        <v>6</v>
      </c>
      <c r="S340">
        <f>RADIANS(VLOOKUP(Table1[[#This Row],[HomeTeam]],TeamAttrs!$A$2:$H$20,7, FALSE))</f>
        <v>0.67806041439979703</v>
      </c>
      <c r="T340">
        <f>RADIANS(VLOOKUP(Table1[[#This Row],[HomeTeam]],TeamAttrs!$A$2:$H$20, 8, FALSE))</f>
        <v>-1.3444847186765478</v>
      </c>
      <c r="U340">
        <f>RADIANS(VLOOKUP(Table1[[#This Row],[VisitorTeam]],TeamAttrs!$A$2:$H$20,7,FALSE))</f>
        <v>0.52301758095738471</v>
      </c>
      <c r="V340">
        <f>RADIANS(VLOOKUP(Table1[[#This Row],[VisitorTeam]], TeamAttrs!$A$2:$H$20,8,FALSE))</f>
        <v>-1.6641714417765932</v>
      </c>
      <c r="W340" s="5">
        <f>60*DEGREES(ACOS(SIN(Table1[[#This Row],[HomeLat]])*SIN(Table1[[#This Row],[VisitorLat]]) +COS(Table1[[#This Row],[HomeLat]])*COS(Table1[[#This Row],[VisitorLat]])*COS(ABS(Table1[[#This Row],[HomeLong]] -Table1[[#This Row],[VisitorLong]]))))</f>
        <v>1048.8031611896665</v>
      </c>
      <c r="X340" s="6">
        <f>VLOOKUP(Table1[[#This Row],[HomeTeam]],TeamAttrs!$A$2:$K$20,5,FALSE)</f>
        <v>4190000.0000000005</v>
      </c>
      <c r="Y340" s="6">
        <f>VLOOKUP(Table1[[#This Row],[HomeTeam]],TeamAttrs!$A$2:$K$20,9,FALSE)</f>
        <v>13846</v>
      </c>
      <c r="Z340" s="6">
        <f>VLOOKUP(Table1[[#This Row],[HomeTeam]],TeamAttrs!$A$2:$K$20,10,FALSE)</f>
        <v>19467</v>
      </c>
      <c r="AA340" s="6">
        <f>VLOOKUP(Table1[[#This Row],[HomeTeam]],TeamAttrs!$A$2:$K$20,11,FALSE)</f>
        <v>0.71125494426465297</v>
      </c>
    </row>
    <row r="341" spans="1:27" x14ac:dyDescent="0.25">
      <c r="A341" s="1">
        <v>41231</v>
      </c>
      <c r="B341" t="s">
        <v>11</v>
      </c>
      <c r="C341" t="str">
        <f>VLOOKUP(Table1[[#This Row],[HomeTeam]], TeamAttrs!$A$2:$B$20,2,FALSE)</f>
        <v>SEA</v>
      </c>
      <c r="D341">
        <v>2</v>
      </c>
      <c r="E341">
        <v>1</v>
      </c>
      <c r="F341">
        <f>Table1[[#This Row],[HomeTeamScore]]-Table1[[#This Row],[VisitorScore]]</f>
        <v>1</v>
      </c>
      <c r="G341" t="s">
        <v>16</v>
      </c>
      <c r="H341" t="str">
        <f>VLOOKUP(Table1[[#This Row],[VisitorTeam]],TeamAttrs!$A$2:$B$20, 2, FALSE)</f>
        <v>LAGxy</v>
      </c>
      <c r="I341">
        <f t="shared" si="20"/>
        <v>1</v>
      </c>
      <c r="J341">
        <f t="shared" si="21"/>
        <v>0</v>
      </c>
      <c r="K341">
        <f t="shared" si="22"/>
        <v>0</v>
      </c>
      <c r="L341">
        <f>3*Table1[HomeWin] +Table1[Draw]</f>
        <v>3</v>
      </c>
      <c r="M341">
        <f>3*Table1[HomeLoss]+Table1[Draw]</f>
        <v>0</v>
      </c>
      <c r="N341">
        <f>VLOOKUP(B341,TeamAttrs!$A$2:$C$20,3,FALSE)</f>
        <v>8</v>
      </c>
      <c r="O341">
        <f>VLOOKUP(G341,TeamAttrs!$A$2:$C$20,3,FALSE)</f>
        <v>8</v>
      </c>
      <c r="P341">
        <f t="shared" si="23"/>
        <v>0</v>
      </c>
      <c r="Q341">
        <f>VLOOKUP(B341,TeamAttrs!$A$2:$D$20,3,FALSE)</f>
        <v>8</v>
      </c>
      <c r="R341">
        <f>VLOOKUP(G341,TeamAttrs!$A$2:$D$20,3,FALSE)</f>
        <v>8</v>
      </c>
      <c r="S341">
        <f>RADIANS(VLOOKUP(Table1[[#This Row],[HomeTeam]],TeamAttrs!$A$2:$H$20,7, FALSE))</f>
        <v>0.83164938857529802</v>
      </c>
      <c r="T341">
        <f>RADIANS(VLOOKUP(Table1[[#This Row],[HomeTeam]],TeamAttrs!$A$2:$H$20, 8, FALSE))</f>
        <v>-2.134537675189065</v>
      </c>
      <c r="U341">
        <f>RADIANS(VLOOKUP(Table1[[#This Row],[VisitorTeam]],TeamAttrs!$A$2:$H$20,7,FALSE))</f>
        <v>0.59224781106699187</v>
      </c>
      <c r="V341">
        <f>RADIANS(VLOOKUP(Table1[[#This Row],[VisitorTeam]], TeamAttrs!$A$2:$H$20,8,FALSE))</f>
        <v>-2.0664698343612864</v>
      </c>
      <c r="W341" s="5">
        <f>60*DEGREES(ACOS(SIN(Table1[[#This Row],[HomeLat]])*SIN(Table1[[#This Row],[VisitorLat]]) +COS(Table1[[#This Row],[HomeLat]])*COS(Table1[[#This Row],[VisitorLat]])*COS(ABS(Table1[[#This Row],[HomeLong]] -Table1[[#This Row],[VisitorLong]]))))</f>
        <v>841.56162088012809</v>
      </c>
      <c r="X341" s="6">
        <f>VLOOKUP(Table1[[#This Row],[HomeTeam]],TeamAttrs!$A$2:$K$20,5,FALSE)</f>
        <v>3980000</v>
      </c>
      <c r="Y341" s="6">
        <f>VLOOKUP(Table1[[#This Row],[HomeTeam]],TeamAttrs!$A$2:$K$20,9,FALSE)</f>
        <v>43104</v>
      </c>
      <c r="Z341" s="6">
        <f>VLOOKUP(Table1[[#This Row],[HomeTeam]],TeamAttrs!$A$2:$K$20,10,FALSE)</f>
        <v>38500</v>
      </c>
      <c r="AA341" s="6">
        <f>VLOOKUP(Table1[[#This Row],[HomeTeam]],TeamAttrs!$A$2:$K$20,11,FALSE)</f>
        <v>1.1195844155844157</v>
      </c>
    </row>
    <row r="342" spans="1:27" x14ac:dyDescent="0.25">
      <c r="A342" t="s">
        <v>27</v>
      </c>
      <c r="B342" t="s">
        <v>16</v>
      </c>
      <c r="C342" t="str">
        <f>VLOOKUP(Table1[[#This Row],[HomeTeam]], TeamAttrs!$A$2:$B$20,2,FALSE)</f>
        <v>LAGxy</v>
      </c>
      <c r="D342">
        <v>3</v>
      </c>
      <c r="E342">
        <v>1</v>
      </c>
      <c r="F342">
        <f>Table1[[#This Row],[HomeTeamScore]]-Table1[[#This Row],[VisitorScore]]</f>
        <v>2</v>
      </c>
      <c r="G342" t="s">
        <v>13</v>
      </c>
      <c r="H342" t="str">
        <f>VLOOKUP(Table1[[#This Row],[VisitorTeam]],TeamAttrs!$A$2:$B$20, 2, FALSE)</f>
        <v>Hou</v>
      </c>
      <c r="I342">
        <f t="shared" si="20"/>
        <v>1</v>
      </c>
      <c r="J342">
        <f t="shared" si="21"/>
        <v>0</v>
      </c>
      <c r="K342">
        <f t="shared" si="22"/>
        <v>0</v>
      </c>
      <c r="L342">
        <f>3*Table1[HomeWin] +Table1[Draw]</f>
        <v>3</v>
      </c>
      <c r="M342">
        <f>3*Table1[HomeLoss]+Table1[Draw]</f>
        <v>0</v>
      </c>
      <c r="N342">
        <f>VLOOKUP(B342,TeamAttrs!$A$2:$C$20,3,FALSE)</f>
        <v>8</v>
      </c>
      <c r="O342">
        <f>VLOOKUP(G342,TeamAttrs!$A$2:$C$20,3,FALSE)</f>
        <v>6</v>
      </c>
      <c r="P342">
        <f t="shared" si="23"/>
        <v>-2</v>
      </c>
      <c r="Q342">
        <f>VLOOKUP(B342,TeamAttrs!$A$2:$D$20,3,FALSE)</f>
        <v>8</v>
      </c>
      <c r="R342">
        <f>VLOOKUP(G342,TeamAttrs!$A$2:$D$20,3,FALSE)</f>
        <v>6</v>
      </c>
      <c r="S342">
        <f>RADIANS(VLOOKUP(Table1[[#This Row],[HomeTeam]],TeamAttrs!$A$2:$H$20,7, FALSE))</f>
        <v>0.59224781106699187</v>
      </c>
      <c r="T342">
        <f>RADIANS(VLOOKUP(Table1[[#This Row],[HomeTeam]],TeamAttrs!$A$2:$H$20, 8, FALSE))</f>
        <v>-2.0664698343612864</v>
      </c>
      <c r="U342">
        <f>RADIANS(VLOOKUP(Table1[[#This Row],[VisitorTeam]],TeamAttrs!$A$2:$H$20,7,FALSE))</f>
        <v>0.52301758095738471</v>
      </c>
      <c r="V342">
        <f>RADIANS(VLOOKUP(Table1[[#This Row],[VisitorTeam]], TeamAttrs!$A$2:$H$20,8,FALSE))</f>
        <v>-1.6641714417765932</v>
      </c>
      <c r="W342" s="5">
        <f>60*DEGREES(ACOS(SIN(Table1[[#This Row],[HomeLat]])*SIN(Table1[[#This Row],[VisitorLat]]) +COS(Table1[[#This Row],[HomeLat]])*COS(Table1[[#This Row],[VisitorLat]])*COS(ABS(Table1[[#This Row],[HomeLong]] -Table1[[#This Row],[VisitorLong]]))))</f>
        <v>1194.6845065728508</v>
      </c>
      <c r="X342" s="6">
        <f>VLOOKUP(Table1[[#This Row],[HomeTeam]],TeamAttrs!$A$2:$K$20,5,FALSE)</f>
        <v>12630000</v>
      </c>
      <c r="Y342" s="6">
        <f>VLOOKUP(Table1[[#This Row],[HomeTeam]],TeamAttrs!$A$2:$K$20,9,FALSE)</f>
        <v>23136</v>
      </c>
      <c r="Z342" s="6">
        <f>VLOOKUP(Table1[[#This Row],[HomeTeam]],TeamAttrs!$A$2:$K$20,10,FALSE)</f>
        <v>27000</v>
      </c>
      <c r="AA342" s="6">
        <f>VLOOKUP(Table1[[#This Row],[HomeTeam]],TeamAttrs!$A$2:$K$20,11,FALSE)</f>
        <v>0.85688888888888892</v>
      </c>
    </row>
    <row r="343" spans="1:27" x14ac:dyDescent="0.25">
      <c r="T343"/>
    </row>
    <row r="344" spans="1:27" x14ac:dyDescent="0.25">
      <c r="T344"/>
    </row>
    <row r="345" spans="1:27" x14ac:dyDescent="0.25">
      <c r="T345"/>
    </row>
    <row r="346" spans="1:27" x14ac:dyDescent="0.25">
      <c r="T346"/>
    </row>
    <row r="347" spans="1:27" x14ac:dyDescent="0.25">
      <c r="T347"/>
    </row>
    <row r="348" spans="1:27" x14ac:dyDescent="0.25">
      <c r="T348"/>
    </row>
    <row r="349" spans="1:27" x14ac:dyDescent="0.25">
      <c r="T349"/>
    </row>
    <row r="350" spans="1:27" x14ac:dyDescent="0.25">
      <c r="T350"/>
    </row>
    <row r="351" spans="1:27" x14ac:dyDescent="0.25">
      <c r="T351"/>
    </row>
    <row r="352" spans="1:27" x14ac:dyDescent="0.25">
      <c r="T352"/>
    </row>
    <row r="353" spans="20:20" x14ac:dyDescent="0.25">
      <c r="T353"/>
    </row>
    <row r="354" spans="20:20" x14ac:dyDescent="0.25">
      <c r="T354"/>
    </row>
    <row r="355" spans="20:20" x14ac:dyDescent="0.25">
      <c r="T355"/>
    </row>
    <row r="356" spans="20:20" x14ac:dyDescent="0.25">
      <c r="T356"/>
    </row>
    <row r="357" spans="20:20" x14ac:dyDescent="0.25">
      <c r="T357"/>
    </row>
    <row r="358" spans="20:20" x14ac:dyDescent="0.25">
      <c r="T358"/>
    </row>
    <row r="359" spans="20:20" x14ac:dyDescent="0.25">
      <c r="T359"/>
    </row>
    <row r="360" spans="20:20" x14ac:dyDescent="0.25">
      <c r="T360"/>
    </row>
    <row r="361" spans="20:20" x14ac:dyDescent="0.25">
      <c r="T361"/>
    </row>
    <row r="362" spans="20:20" x14ac:dyDescent="0.25">
      <c r="T362"/>
    </row>
    <row r="363" spans="20:20" x14ac:dyDescent="0.25">
      <c r="T363"/>
    </row>
    <row r="364" spans="20:20" x14ac:dyDescent="0.25">
      <c r="T364"/>
    </row>
    <row r="365" spans="20:20" x14ac:dyDescent="0.25">
      <c r="T365"/>
    </row>
    <row r="366" spans="20:20" x14ac:dyDescent="0.25">
      <c r="T366"/>
    </row>
    <row r="367" spans="20:20" x14ac:dyDescent="0.25">
      <c r="T367"/>
    </row>
    <row r="368" spans="20:20" x14ac:dyDescent="0.25">
      <c r="T368"/>
    </row>
    <row r="369" spans="20:20" x14ac:dyDescent="0.25">
      <c r="T369"/>
    </row>
    <row r="370" spans="20:20" x14ac:dyDescent="0.25">
      <c r="T370"/>
    </row>
    <row r="371" spans="20:20" x14ac:dyDescent="0.25">
      <c r="T371"/>
    </row>
    <row r="372" spans="20:20" x14ac:dyDescent="0.25">
      <c r="T372"/>
    </row>
    <row r="373" spans="20:20" x14ac:dyDescent="0.25">
      <c r="T373"/>
    </row>
    <row r="374" spans="20:20" x14ac:dyDescent="0.25">
      <c r="T374"/>
    </row>
    <row r="375" spans="20:20" x14ac:dyDescent="0.25">
      <c r="T375"/>
    </row>
    <row r="376" spans="20:20" x14ac:dyDescent="0.25">
      <c r="T376"/>
    </row>
    <row r="377" spans="20:20" x14ac:dyDescent="0.25">
      <c r="T377"/>
    </row>
    <row r="378" spans="20:20" x14ac:dyDescent="0.25">
      <c r="T378"/>
    </row>
    <row r="379" spans="20:20" x14ac:dyDescent="0.25">
      <c r="T379"/>
    </row>
    <row r="380" spans="20:20" x14ac:dyDescent="0.25">
      <c r="T380"/>
    </row>
    <row r="381" spans="20:20" x14ac:dyDescent="0.25">
      <c r="T381"/>
    </row>
    <row r="382" spans="20:20" x14ac:dyDescent="0.25">
      <c r="T382"/>
    </row>
    <row r="383" spans="20:20" x14ac:dyDescent="0.25">
      <c r="T383"/>
    </row>
    <row r="384" spans="20:20" x14ac:dyDescent="0.25">
      <c r="T384"/>
    </row>
    <row r="385" spans="20:20" x14ac:dyDescent="0.25">
      <c r="T385"/>
    </row>
    <row r="386" spans="20:20" x14ac:dyDescent="0.25">
      <c r="T386"/>
    </row>
    <row r="387" spans="20:20" x14ac:dyDescent="0.25">
      <c r="T387"/>
    </row>
    <row r="388" spans="20:20" x14ac:dyDescent="0.25">
      <c r="T388"/>
    </row>
    <row r="389" spans="20:20" x14ac:dyDescent="0.25">
      <c r="T389"/>
    </row>
    <row r="390" spans="20:20" x14ac:dyDescent="0.25">
      <c r="T390"/>
    </row>
    <row r="391" spans="20:20" x14ac:dyDescent="0.25">
      <c r="T391"/>
    </row>
    <row r="392" spans="20:20" x14ac:dyDescent="0.25">
      <c r="T392"/>
    </row>
    <row r="393" spans="20:20" x14ac:dyDescent="0.25">
      <c r="T393"/>
    </row>
    <row r="394" spans="20:20" x14ac:dyDescent="0.25">
      <c r="T394"/>
    </row>
    <row r="395" spans="20:20" x14ac:dyDescent="0.25">
      <c r="T395"/>
    </row>
    <row r="396" spans="20:20" x14ac:dyDescent="0.25">
      <c r="T396"/>
    </row>
    <row r="397" spans="20:20" x14ac:dyDescent="0.25">
      <c r="T397"/>
    </row>
    <row r="398" spans="20:20" x14ac:dyDescent="0.25">
      <c r="T398"/>
    </row>
    <row r="399" spans="20:20" x14ac:dyDescent="0.25">
      <c r="T399"/>
    </row>
    <row r="400" spans="20:20" x14ac:dyDescent="0.25">
      <c r="T400"/>
    </row>
    <row r="401" spans="20:20" x14ac:dyDescent="0.25">
      <c r="T401"/>
    </row>
    <row r="402" spans="20:20" x14ac:dyDescent="0.25">
      <c r="T402"/>
    </row>
    <row r="403" spans="20:20" x14ac:dyDescent="0.25">
      <c r="T403"/>
    </row>
    <row r="404" spans="20:20" x14ac:dyDescent="0.25">
      <c r="T404"/>
    </row>
    <row r="405" spans="20:20" x14ac:dyDescent="0.25">
      <c r="T405"/>
    </row>
    <row r="406" spans="20:20" x14ac:dyDescent="0.25">
      <c r="T406"/>
    </row>
    <row r="407" spans="20:20" x14ac:dyDescent="0.25">
      <c r="T407"/>
    </row>
    <row r="408" spans="20:20" x14ac:dyDescent="0.25">
      <c r="T408"/>
    </row>
    <row r="409" spans="20:20" x14ac:dyDescent="0.25">
      <c r="T409"/>
    </row>
    <row r="410" spans="20:20" x14ac:dyDescent="0.25">
      <c r="T410"/>
    </row>
    <row r="411" spans="20:20" x14ac:dyDescent="0.25">
      <c r="T411"/>
    </row>
    <row r="412" spans="20:20" x14ac:dyDescent="0.25">
      <c r="T412"/>
    </row>
    <row r="413" spans="20:20" x14ac:dyDescent="0.25">
      <c r="T413"/>
    </row>
    <row r="414" spans="20:20" x14ac:dyDescent="0.25">
      <c r="T414"/>
    </row>
    <row r="415" spans="20:20" x14ac:dyDescent="0.25">
      <c r="T415"/>
    </row>
    <row r="416" spans="20:20" x14ac:dyDescent="0.25">
      <c r="T416"/>
    </row>
    <row r="417" spans="20:20" x14ac:dyDescent="0.25">
      <c r="T417"/>
    </row>
    <row r="418" spans="20:20" x14ac:dyDescent="0.25">
      <c r="T418"/>
    </row>
    <row r="419" spans="20:20" x14ac:dyDescent="0.25">
      <c r="T419"/>
    </row>
    <row r="420" spans="20:20" x14ac:dyDescent="0.25">
      <c r="T420"/>
    </row>
    <row r="421" spans="20:20" x14ac:dyDescent="0.25">
      <c r="T421"/>
    </row>
    <row r="422" spans="20:20" x14ac:dyDescent="0.25">
      <c r="T422"/>
    </row>
    <row r="423" spans="20:20" x14ac:dyDescent="0.25">
      <c r="T423"/>
    </row>
    <row r="424" spans="20:20" x14ac:dyDescent="0.25">
      <c r="T424"/>
    </row>
    <row r="425" spans="20:20" x14ac:dyDescent="0.25">
      <c r="T425"/>
    </row>
    <row r="426" spans="20:20" x14ac:dyDescent="0.25">
      <c r="T426"/>
    </row>
    <row r="427" spans="20:20" x14ac:dyDescent="0.25">
      <c r="T427"/>
    </row>
    <row r="428" spans="20:20" x14ac:dyDescent="0.25">
      <c r="T428"/>
    </row>
    <row r="429" spans="20:20" x14ac:dyDescent="0.25">
      <c r="T429"/>
    </row>
    <row r="430" spans="20:20" x14ac:dyDescent="0.25">
      <c r="T430"/>
    </row>
    <row r="431" spans="20:20" x14ac:dyDescent="0.25">
      <c r="T431"/>
    </row>
    <row r="432" spans="20:20" x14ac:dyDescent="0.25">
      <c r="T432"/>
    </row>
    <row r="433" spans="20:20" x14ac:dyDescent="0.25">
      <c r="T433"/>
    </row>
    <row r="434" spans="20:20" x14ac:dyDescent="0.25">
      <c r="T434"/>
    </row>
    <row r="435" spans="20:20" x14ac:dyDescent="0.25">
      <c r="T435"/>
    </row>
    <row r="436" spans="20:20" x14ac:dyDescent="0.25">
      <c r="T436"/>
    </row>
    <row r="437" spans="20:20" x14ac:dyDescent="0.25">
      <c r="T437"/>
    </row>
    <row r="438" spans="20:20" x14ac:dyDescent="0.25">
      <c r="T438"/>
    </row>
    <row r="439" spans="20:20" x14ac:dyDescent="0.25">
      <c r="T439"/>
    </row>
    <row r="440" spans="20:20" x14ac:dyDescent="0.25">
      <c r="T440"/>
    </row>
    <row r="441" spans="20:20" x14ac:dyDescent="0.25">
      <c r="T441"/>
    </row>
    <row r="442" spans="20:20" x14ac:dyDescent="0.25">
      <c r="T442"/>
    </row>
    <row r="443" spans="20:20" x14ac:dyDescent="0.25">
      <c r="T443"/>
    </row>
    <row r="444" spans="20:20" x14ac:dyDescent="0.25">
      <c r="T444"/>
    </row>
    <row r="445" spans="20:20" x14ac:dyDescent="0.25">
      <c r="T445"/>
    </row>
    <row r="446" spans="20:20" x14ac:dyDescent="0.25">
      <c r="T446"/>
    </row>
    <row r="447" spans="20:20" x14ac:dyDescent="0.25">
      <c r="T447"/>
    </row>
    <row r="448" spans="20:20" x14ac:dyDescent="0.25">
      <c r="T448"/>
    </row>
    <row r="449" spans="20:20" x14ac:dyDescent="0.25">
      <c r="T449"/>
    </row>
    <row r="450" spans="20:20" x14ac:dyDescent="0.25">
      <c r="T450"/>
    </row>
    <row r="451" spans="20:20" x14ac:dyDescent="0.25">
      <c r="T451"/>
    </row>
    <row r="452" spans="20:20" x14ac:dyDescent="0.25">
      <c r="T452"/>
    </row>
    <row r="453" spans="20:20" x14ac:dyDescent="0.25">
      <c r="T453"/>
    </row>
    <row r="454" spans="20:20" x14ac:dyDescent="0.25">
      <c r="T454"/>
    </row>
    <row r="455" spans="20:20" x14ac:dyDescent="0.25">
      <c r="T455"/>
    </row>
    <row r="456" spans="20:20" x14ac:dyDescent="0.25">
      <c r="T456"/>
    </row>
    <row r="457" spans="20:20" x14ac:dyDescent="0.25">
      <c r="T457"/>
    </row>
    <row r="458" spans="20:20" x14ac:dyDescent="0.25">
      <c r="T458"/>
    </row>
    <row r="459" spans="20:20" x14ac:dyDescent="0.25">
      <c r="T459"/>
    </row>
    <row r="460" spans="20:20" x14ac:dyDescent="0.25">
      <c r="T460"/>
    </row>
    <row r="461" spans="20:20" x14ac:dyDescent="0.25">
      <c r="T461"/>
    </row>
    <row r="462" spans="20:20" x14ac:dyDescent="0.25">
      <c r="T462"/>
    </row>
    <row r="463" spans="20:20" x14ac:dyDescent="0.25">
      <c r="T463"/>
    </row>
    <row r="464" spans="20:20" x14ac:dyDescent="0.25">
      <c r="T464"/>
    </row>
    <row r="465" spans="20:20" x14ac:dyDescent="0.25">
      <c r="T465"/>
    </row>
    <row r="466" spans="20:20" x14ac:dyDescent="0.25">
      <c r="T466"/>
    </row>
    <row r="467" spans="20:20" x14ac:dyDescent="0.25">
      <c r="T467"/>
    </row>
    <row r="468" spans="20:20" x14ac:dyDescent="0.25">
      <c r="T468"/>
    </row>
    <row r="469" spans="20:20" x14ac:dyDescent="0.25">
      <c r="T469"/>
    </row>
    <row r="470" spans="20:20" x14ac:dyDescent="0.25">
      <c r="T470"/>
    </row>
    <row r="471" spans="20:20" x14ac:dyDescent="0.25">
      <c r="T471"/>
    </row>
    <row r="472" spans="20:20" x14ac:dyDescent="0.25">
      <c r="T472"/>
    </row>
    <row r="473" spans="20:20" x14ac:dyDescent="0.25">
      <c r="T473"/>
    </row>
    <row r="474" spans="20:20" x14ac:dyDescent="0.25">
      <c r="T474"/>
    </row>
    <row r="475" spans="20:20" x14ac:dyDescent="0.25">
      <c r="T475"/>
    </row>
    <row r="476" spans="20:20" x14ac:dyDescent="0.25">
      <c r="T476"/>
    </row>
    <row r="477" spans="20:20" x14ac:dyDescent="0.25">
      <c r="T477"/>
    </row>
    <row r="478" spans="20:20" x14ac:dyDescent="0.25">
      <c r="T478"/>
    </row>
    <row r="479" spans="20:20" x14ac:dyDescent="0.25">
      <c r="T479"/>
    </row>
    <row r="480" spans="20:20" x14ac:dyDescent="0.25">
      <c r="T480"/>
    </row>
    <row r="481" spans="20:20" x14ac:dyDescent="0.25">
      <c r="T481"/>
    </row>
    <row r="482" spans="20:20" x14ac:dyDescent="0.25">
      <c r="T482"/>
    </row>
    <row r="483" spans="20:20" x14ac:dyDescent="0.25">
      <c r="T483"/>
    </row>
    <row r="484" spans="20:20" x14ac:dyDescent="0.25">
      <c r="T484"/>
    </row>
    <row r="485" spans="20:20" x14ac:dyDescent="0.25">
      <c r="T485"/>
    </row>
    <row r="486" spans="20:20" x14ac:dyDescent="0.25">
      <c r="T486"/>
    </row>
    <row r="487" spans="20:20" x14ac:dyDescent="0.25">
      <c r="T487"/>
    </row>
    <row r="488" spans="20:20" x14ac:dyDescent="0.25">
      <c r="T488"/>
    </row>
    <row r="489" spans="20:20" x14ac:dyDescent="0.25">
      <c r="T489"/>
    </row>
    <row r="490" spans="20:20" x14ac:dyDescent="0.25">
      <c r="T490"/>
    </row>
    <row r="491" spans="20:20" x14ac:dyDescent="0.25">
      <c r="T491"/>
    </row>
    <row r="492" spans="20:20" x14ac:dyDescent="0.25">
      <c r="T492"/>
    </row>
    <row r="493" spans="20:20" x14ac:dyDescent="0.25">
      <c r="T493"/>
    </row>
    <row r="494" spans="20:20" x14ac:dyDescent="0.25">
      <c r="T494"/>
    </row>
    <row r="495" spans="20:20" x14ac:dyDescent="0.25">
      <c r="T495"/>
    </row>
    <row r="496" spans="20:20" x14ac:dyDescent="0.25">
      <c r="T496"/>
    </row>
    <row r="497" spans="20:20" x14ac:dyDescent="0.25">
      <c r="T497"/>
    </row>
    <row r="498" spans="20:20" x14ac:dyDescent="0.25">
      <c r="T498"/>
    </row>
    <row r="499" spans="20:20" x14ac:dyDescent="0.25">
      <c r="T499"/>
    </row>
    <row r="500" spans="20:20" x14ac:dyDescent="0.25">
      <c r="T500"/>
    </row>
    <row r="501" spans="20:20" x14ac:dyDescent="0.25">
      <c r="T501"/>
    </row>
    <row r="502" spans="20:20" x14ac:dyDescent="0.25">
      <c r="T502"/>
    </row>
    <row r="503" spans="20:20" x14ac:dyDescent="0.25">
      <c r="T503"/>
    </row>
    <row r="504" spans="20:20" x14ac:dyDescent="0.25">
      <c r="T504"/>
    </row>
    <row r="505" spans="20:20" x14ac:dyDescent="0.25">
      <c r="T505"/>
    </row>
    <row r="506" spans="20:20" x14ac:dyDescent="0.25">
      <c r="T506"/>
    </row>
    <row r="507" spans="20:20" x14ac:dyDescent="0.25">
      <c r="T507"/>
    </row>
    <row r="508" spans="20:20" x14ac:dyDescent="0.25">
      <c r="T508"/>
    </row>
    <row r="509" spans="20:20" x14ac:dyDescent="0.25">
      <c r="T509"/>
    </row>
    <row r="510" spans="20:20" x14ac:dyDescent="0.25">
      <c r="T510"/>
    </row>
    <row r="511" spans="20:20" x14ac:dyDescent="0.25">
      <c r="T511"/>
    </row>
    <row r="512" spans="20:20" x14ac:dyDescent="0.25">
      <c r="T512"/>
    </row>
    <row r="513" spans="20:20" x14ac:dyDescent="0.25">
      <c r="T513"/>
    </row>
    <row r="514" spans="20:20" x14ac:dyDescent="0.25">
      <c r="T514"/>
    </row>
    <row r="515" spans="20:20" x14ac:dyDescent="0.25">
      <c r="T515"/>
    </row>
    <row r="516" spans="20:20" x14ac:dyDescent="0.25">
      <c r="T516"/>
    </row>
    <row r="517" spans="20:20" x14ac:dyDescent="0.25">
      <c r="T517"/>
    </row>
    <row r="518" spans="20:20" x14ac:dyDescent="0.25">
      <c r="T518"/>
    </row>
    <row r="519" spans="20:20" x14ac:dyDescent="0.25">
      <c r="T519"/>
    </row>
    <row r="520" spans="20:20" x14ac:dyDescent="0.25">
      <c r="T520"/>
    </row>
    <row r="521" spans="20:20" x14ac:dyDescent="0.25">
      <c r="T521"/>
    </row>
    <row r="522" spans="20:20" x14ac:dyDescent="0.25">
      <c r="T522"/>
    </row>
    <row r="523" spans="20:20" x14ac:dyDescent="0.25">
      <c r="T523"/>
    </row>
    <row r="524" spans="20:20" x14ac:dyDescent="0.25">
      <c r="T524"/>
    </row>
    <row r="525" spans="20:20" x14ac:dyDescent="0.25">
      <c r="T525"/>
    </row>
    <row r="526" spans="20:20" x14ac:dyDescent="0.25">
      <c r="T526"/>
    </row>
    <row r="527" spans="20:20" x14ac:dyDescent="0.25">
      <c r="T527"/>
    </row>
    <row r="528" spans="20:20" x14ac:dyDescent="0.25">
      <c r="T528"/>
    </row>
    <row r="529" spans="20:20" x14ac:dyDescent="0.25">
      <c r="T529"/>
    </row>
    <row r="530" spans="20:20" x14ac:dyDescent="0.25">
      <c r="T530"/>
    </row>
    <row r="531" spans="20:20" x14ac:dyDescent="0.25">
      <c r="T531"/>
    </row>
    <row r="532" spans="20:20" x14ac:dyDescent="0.25">
      <c r="T532"/>
    </row>
    <row r="533" spans="20:20" x14ac:dyDescent="0.25">
      <c r="T533"/>
    </row>
    <row r="534" spans="20:20" x14ac:dyDescent="0.25">
      <c r="T534"/>
    </row>
    <row r="535" spans="20:20" x14ac:dyDescent="0.25">
      <c r="T535"/>
    </row>
    <row r="536" spans="20:20" x14ac:dyDescent="0.25">
      <c r="T536"/>
    </row>
    <row r="537" spans="20:20" x14ac:dyDescent="0.25">
      <c r="T537"/>
    </row>
    <row r="538" spans="20:20" x14ac:dyDescent="0.25">
      <c r="T538"/>
    </row>
    <row r="539" spans="20:20" x14ac:dyDescent="0.25">
      <c r="T539"/>
    </row>
    <row r="540" spans="20:20" x14ac:dyDescent="0.25">
      <c r="T540"/>
    </row>
    <row r="541" spans="20:20" x14ac:dyDescent="0.25">
      <c r="T541"/>
    </row>
    <row r="542" spans="20:20" x14ac:dyDescent="0.25">
      <c r="T542"/>
    </row>
    <row r="543" spans="20:20" x14ac:dyDescent="0.25">
      <c r="T543"/>
    </row>
    <row r="544" spans="20:20" x14ac:dyDescent="0.25">
      <c r="T544"/>
    </row>
    <row r="545" spans="20:20" x14ac:dyDescent="0.25">
      <c r="T545"/>
    </row>
    <row r="546" spans="20:20" x14ac:dyDescent="0.25">
      <c r="T546"/>
    </row>
    <row r="547" spans="20:20" x14ac:dyDescent="0.25">
      <c r="T547"/>
    </row>
    <row r="548" spans="20:20" x14ac:dyDescent="0.25">
      <c r="T548"/>
    </row>
    <row r="549" spans="20:20" x14ac:dyDescent="0.25">
      <c r="T549"/>
    </row>
    <row r="550" spans="20:20" x14ac:dyDescent="0.25">
      <c r="T550"/>
    </row>
    <row r="551" spans="20:20" x14ac:dyDescent="0.25">
      <c r="T551"/>
    </row>
    <row r="552" spans="20:20" x14ac:dyDescent="0.25">
      <c r="T552"/>
    </row>
    <row r="553" spans="20:20" x14ac:dyDescent="0.25">
      <c r="T553"/>
    </row>
    <row r="554" spans="20:20" x14ac:dyDescent="0.25">
      <c r="T554"/>
    </row>
    <row r="555" spans="20:20" x14ac:dyDescent="0.25">
      <c r="T555"/>
    </row>
    <row r="556" spans="20:20" x14ac:dyDescent="0.25">
      <c r="T556"/>
    </row>
    <row r="557" spans="20:20" x14ac:dyDescent="0.25">
      <c r="T557"/>
    </row>
    <row r="558" spans="20:20" x14ac:dyDescent="0.25">
      <c r="T558"/>
    </row>
    <row r="559" spans="20:20" x14ac:dyDescent="0.25">
      <c r="T559"/>
    </row>
    <row r="560" spans="20:20" x14ac:dyDescent="0.25">
      <c r="T560"/>
    </row>
    <row r="561" spans="20:20" x14ac:dyDescent="0.25">
      <c r="T561"/>
    </row>
    <row r="562" spans="20:20" x14ac:dyDescent="0.25">
      <c r="T562"/>
    </row>
    <row r="563" spans="20:20" x14ac:dyDescent="0.25">
      <c r="T563"/>
    </row>
    <row r="564" spans="20:20" x14ac:dyDescent="0.25">
      <c r="T564"/>
    </row>
    <row r="565" spans="20:20" x14ac:dyDescent="0.25">
      <c r="T565"/>
    </row>
    <row r="566" spans="20:20" x14ac:dyDescent="0.25">
      <c r="T566"/>
    </row>
    <row r="567" spans="20:20" x14ac:dyDescent="0.25">
      <c r="T567"/>
    </row>
    <row r="568" spans="20:20" x14ac:dyDescent="0.25">
      <c r="T568"/>
    </row>
    <row r="569" spans="20:20" x14ac:dyDescent="0.25">
      <c r="T569"/>
    </row>
    <row r="570" spans="20:20" x14ac:dyDescent="0.25">
      <c r="T570"/>
    </row>
    <row r="571" spans="20:20" x14ac:dyDescent="0.25">
      <c r="T571"/>
    </row>
    <row r="572" spans="20:20" x14ac:dyDescent="0.25">
      <c r="T572"/>
    </row>
    <row r="573" spans="20:20" x14ac:dyDescent="0.25">
      <c r="T573"/>
    </row>
    <row r="574" spans="20:20" x14ac:dyDescent="0.25">
      <c r="T574"/>
    </row>
    <row r="575" spans="20:20" x14ac:dyDescent="0.25">
      <c r="T575"/>
    </row>
    <row r="576" spans="20:20" x14ac:dyDescent="0.25">
      <c r="T576"/>
    </row>
    <row r="577" spans="20:20" x14ac:dyDescent="0.25">
      <c r="T577"/>
    </row>
    <row r="578" spans="20:20" x14ac:dyDescent="0.25">
      <c r="T578"/>
    </row>
    <row r="579" spans="20:20" x14ac:dyDescent="0.25">
      <c r="T579"/>
    </row>
    <row r="580" spans="20:20" x14ac:dyDescent="0.25">
      <c r="T580"/>
    </row>
    <row r="581" spans="20:20" x14ac:dyDescent="0.25">
      <c r="T581"/>
    </row>
    <row r="582" spans="20:20" x14ac:dyDescent="0.25">
      <c r="T582"/>
    </row>
    <row r="583" spans="20:20" x14ac:dyDescent="0.25">
      <c r="T583"/>
    </row>
    <row r="584" spans="20:20" x14ac:dyDescent="0.25">
      <c r="T584"/>
    </row>
    <row r="585" spans="20:20" x14ac:dyDescent="0.25">
      <c r="T585"/>
    </row>
    <row r="586" spans="20:20" x14ac:dyDescent="0.25">
      <c r="T586"/>
    </row>
    <row r="587" spans="20:20" x14ac:dyDescent="0.25">
      <c r="T587"/>
    </row>
    <row r="588" spans="20:20" x14ac:dyDescent="0.25">
      <c r="T588"/>
    </row>
    <row r="589" spans="20:20" x14ac:dyDescent="0.25">
      <c r="T589"/>
    </row>
    <row r="590" spans="20:20" x14ac:dyDescent="0.25">
      <c r="T590"/>
    </row>
    <row r="591" spans="20:20" x14ac:dyDescent="0.25">
      <c r="T591"/>
    </row>
    <row r="592" spans="20:20" x14ac:dyDescent="0.25">
      <c r="T592"/>
    </row>
    <row r="593" spans="20:20" x14ac:dyDescent="0.25">
      <c r="T593"/>
    </row>
    <row r="594" spans="20:20" x14ac:dyDescent="0.25">
      <c r="T594"/>
    </row>
    <row r="595" spans="20:20" x14ac:dyDescent="0.25">
      <c r="T595"/>
    </row>
    <row r="596" spans="20:20" x14ac:dyDescent="0.25">
      <c r="T596"/>
    </row>
    <row r="597" spans="20:20" x14ac:dyDescent="0.25">
      <c r="T597"/>
    </row>
    <row r="598" spans="20:20" x14ac:dyDescent="0.25">
      <c r="T598"/>
    </row>
    <row r="599" spans="20:20" x14ac:dyDescent="0.25">
      <c r="T599"/>
    </row>
    <row r="600" spans="20:20" x14ac:dyDescent="0.25">
      <c r="T600"/>
    </row>
    <row r="601" spans="20:20" x14ac:dyDescent="0.25">
      <c r="T601"/>
    </row>
    <row r="602" spans="20:20" x14ac:dyDescent="0.25">
      <c r="T602"/>
    </row>
    <row r="603" spans="20:20" x14ac:dyDescent="0.25">
      <c r="T603"/>
    </row>
    <row r="604" spans="20:20" x14ac:dyDescent="0.25">
      <c r="T604"/>
    </row>
    <row r="605" spans="20:20" x14ac:dyDescent="0.25">
      <c r="T605"/>
    </row>
    <row r="606" spans="20:20" x14ac:dyDescent="0.25">
      <c r="T606"/>
    </row>
    <row r="607" spans="20:20" x14ac:dyDescent="0.25">
      <c r="T607"/>
    </row>
    <row r="608" spans="20:20" x14ac:dyDescent="0.25">
      <c r="T608"/>
    </row>
    <row r="609" spans="20:20" x14ac:dyDescent="0.25">
      <c r="T609"/>
    </row>
    <row r="610" spans="20:20" x14ac:dyDescent="0.25">
      <c r="T610"/>
    </row>
    <row r="611" spans="20:20" x14ac:dyDescent="0.25">
      <c r="T611"/>
    </row>
    <row r="612" spans="20:20" x14ac:dyDescent="0.25">
      <c r="T612"/>
    </row>
    <row r="613" spans="20:20" x14ac:dyDescent="0.25">
      <c r="T613"/>
    </row>
    <row r="614" spans="20:20" x14ac:dyDescent="0.25">
      <c r="T614"/>
    </row>
    <row r="615" spans="20:20" x14ac:dyDescent="0.25">
      <c r="T615"/>
    </row>
    <row r="616" spans="20:20" x14ac:dyDescent="0.25">
      <c r="T616"/>
    </row>
    <row r="617" spans="20:20" x14ac:dyDescent="0.25">
      <c r="T617"/>
    </row>
    <row r="618" spans="20:20" x14ac:dyDescent="0.25">
      <c r="T618"/>
    </row>
    <row r="619" spans="20:20" x14ac:dyDescent="0.25">
      <c r="T619"/>
    </row>
    <row r="620" spans="20:20" x14ac:dyDescent="0.25">
      <c r="T620"/>
    </row>
    <row r="621" spans="20:20" x14ac:dyDescent="0.25">
      <c r="T621"/>
    </row>
    <row r="622" spans="20:20" x14ac:dyDescent="0.25">
      <c r="T622"/>
    </row>
    <row r="623" spans="20:20" x14ac:dyDescent="0.25">
      <c r="T623"/>
    </row>
    <row r="624" spans="20:20" x14ac:dyDescent="0.25">
      <c r="T624"/>
    </row>
    <row r="625" spans="20:20" x14ac:dyDescent="0.25">
      <c r="T625"/>
    </row>
    <row r="626" spans="20:20" x14ac:dyDescent="0.25">
      <c r="T626"/>
    </row>
    <row r="627" spans="20:20" x14ac:dyDescent="0.25">
      <c r="T627"/>
    </row>
    <row r="628" spans="20:20" x14ac:dyDescent="0.25">
      <c r="T628"/>
    </row>
    <row r="629" spans="20:20" x14ac:dyDescent="0.25">
      <c r="T629"/>
    </row>
    <row r="630" spans="20:20" x14ac:dyDescent="0.25">
      <c r="T630"/>
    </row>
    <row r="631" spans="20:20" x14ac:dyDescent="0.25">
      <c r="T631"/>
    </row>
    <row r="632" spans="20:20" x14ac:dyDescent="0.25">
      <c r="T632"/>
    </row>
    <row r="633" spans="20:20" x14ac:dyDescent="0.25">
      <c r="T633"/>
    </row>
    <row r="634" spans="20:20" x14ac:dyDescent="0.25">
      <c r="T634"/>
    </row>
    <row r="635" spans="20:20" x14ac:dyDescent="0.25">
      <c r="T635"/>
    </row>
    <row r="636" spans="20:20" x14ac:dyDescent="0.25">
      <c r="T636"/>
    </row>
    <row r="637" spans="20:20" x14ac:dyDescent="0.25">
      <c r="T637"/>
    </row>
    <row r="638" spans="20:20" x14ac:dyDescent="0.25">
      <c r="T638"/>
    </row>
    <row r="639" spans="20:20" x14ac:dyDescent="0.25">
      <c r="T639"/>
    </row>
    <row r="640" spans="20:20" x14ac:dyDescent="0.25">
      <c r="T640"/>
    </row>
    <row r="641" spans="20:20" x14ac:dyDescent="0.25">
      <c r="T641"/>
    </row>
    <row r="642" spans="20:20" x14ac:dyDescent="0.25">
      <c r="T642"/>
    </row>
    <row r="643" spans="20:20" x14ac:dyDescent="0.25">
      <c r="T643"/>
    </row>
    <row r="644" spans="20:20" x14ac:dyDescent="0.25">
      <c r="T644"/>
    </row>
    <row r="645" spans="20:20" x14ac:dyDescent="0.25">
      <c r="T645"/>
    </row>
    <row r="646" spans="20:20" x14ac:dyDescent="0.25">
      <c r="T646"/>
    </row>
    <row r="647" spans="20:20" x14ac:dyDescent="0.25">
      <c r="T647"/>
    </row>
    <row r="648" spans="20:20" x14ac:dyDescent="0.25">
      <c r="T648"/>
    </row>
    <row r="649" spans="20:20" x14ac:dyDescent="0.25">
      <c r="T649"/>
    </row>
    <row r="650" spans="20:20" x14ac:dyDescent="0.25">
      <c r="T650"/>
    </row>
    <row r="651" spans="20:20" x14ac:dyDescent="0.25">
      <c r="T651"/>
    </row>
    <row r="652" spans="20:20" x14ac:dyDescent="0.25">
      <c r="T652"/>
    </row>
    <row r="653" spans="20:20" x14ac:dyDescent="0.25">
      <c r="T653"/>
    </row>
    <row r="654" spans="20:20" x14ac:dyDescent="0.25">
      <c r="T654"/>
    </row>
    <row r="655" spans="20:20" x14ac:dyDescent="0.25">
      <c r="T655"/>
    </row>
    <row r="656" spans="20:20" x14ac:dyDescent="0.25">
      <c r="T656"/>
    </row>
    <row r="657" spans="20:20" x14ac:dyDescent="0.25">
      <c r="T657"/>
    </row>
    <row r="658" spans="20:20" x14ac:dyDescent="0.25">
      <c r="T658"/>
    </row>
    <row r="659" spans="20:20" x14ac:dyDescent="0.25">
      <c r="T659"/>
    </row>
    <row r="660" spans="20:20" x14ac:dyDescent="0.25">
      <c r="T660"/>
    </row>
    <row r="661" spans="20:20" x14ac:dyDescent="0.25">
      <c r="T661"/>
    </row>
    <row r="662" spans="20:20" x14ac:dyDescent="0.25">
      <c r="T662"/>
    </row>
    <row r="663" spans="20:20" x14ac:dyDescent="0.25">
      <c r="T663"/>
    </row>
    <row r="664" spans="20:20" x14ac:dyDescent="0.25">
      <c r="T664"/>
    </row>
    <row r="665" spans="20:20" x14ac:dyDescent="0.25">
      <c r="T665"/>
    </row>
    <row r="666" spans="20:20" x14ac:dyDescent="0.25">
      <c r="T666"/>
    </row>
    <row r="667" spans="20:20" x14ac:dyDescent="0.25">
      <c r="T667"/>
    </row>
    <row r="668" spans="20:20" x14ac:dyDescent="0.25">
      <c r="T668"/>
    </row>
    <row r="669" spans="20:20" x14ac:dyDescent="0.25">
      <c r="T669"/>
    </row>
    <row r="670" spans="20:20" x14ac:dyDescent="0.25">
      <c r="T670"/>
    </row>
    <row r="671" spans="20:20" x14ac:dyDescent="0.25">
      <c r="T671"/>
    </row>
    <row r="672" spans="20:20" x14ac:dyDescent="0.25">
      <c r="T672"/>
    </row>
    <row r="673" spans="20:20" x14ac:dyDescent="0.25">
      <c r="T673"/>
    </row>
    <row r="674" spans="20:20" x14ac:dyDescent="0.25">
      <c r="T674"/>
    </row>
    <row r="675" spans="20:20" x14ac:dyDescent="0.25">
      <c r="T675"/>
    </row>
    <row r="676" spans="20:20" x14ac:dyDescent="0.25">
      <c r="T676"/>
    </row>
    <row r="677" spans="20:20" x14ac:dyDescent="0.25">
      <c r="T677"/>
    </row>
    <row r="678" spans="20:20" x14ac:dyDescent="0.25">
      <c r="T678"/>
    </row>
    <row r="679" spans="20:20" x14ac:dyDescent="0.25">
      <c r="T679"/>
    </row>
    <row r="680" spans="20:20" x14ac:dyDescent="0.25">
      <c r="T680"/>
    </row>
    <row r="681" spans="20:20" x14ac:dyDescent="0.25">
      <c r="T68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H2" sqref="H2"/>
    </sheetView>
  </sheetViews>
  <sheetFormatPr defaultRowHeight="15" x14ac:dyDescent="0.25"/>
  <cols>
    <col min="1" max="1" width="23.140625" bestFit="1" customWidth="1"/>
    <col min="2" max="2" width="23.140625" customWidth="1"/>
    <col min="3" max="3" width="17.28515625" customWidth="1"/>
    <col min="4" max="4" width="13.42578125" customWidth="1"/>
    <col min="5" max="5" width="13.28515625" customWidth="1"/>
    <col min="6" max="6" width="15.7109375" bestFit="1" customWidth="1"/>
    <col min="7" max="7" width="10.42578125" customWidth="1"/>
    <col min="8" max="8" width="12" customWidth="1"/>
    <col min="9" max="9" width="13.42578125" customWidth="1"/>
    <col min="10" max="10" width="10.5703125" customWidth="1"/>
    <col min="11" max="11" width="17.7109375" customWidth="1"/>
  </cols>
  <sheetData>
    <row r="1" spans="1:11" x14ac:dyDescent="0.25">
      <c r="A1" s="2" t="s">
        <v>28</v>
      </c>
      <c r="B1" s="2" t="s">
        <v>74</v>
      </c>
      <c r="C1" s="2" t="s">
        <v>29</v>
      </c>
      <c r="D1" s="2" t="s">
        <v>32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65</v>
      </c>
      <c r="J1" s="2" t="s">
        <v>66</v>
      </c>
      <c r="K1" s="2" t="s">
        <v>67</v>
      </c>
    </row>
    <row r="2" spans="1:11" x14ac:dyDescent="0.25">
      <c r="A2" t="s">
        <v>15</v>
      </c>
      <c r="B2" t="s">
        <v>89</v>
      </c>
      <c r="C2">
        <v>5</v>
      </c>
      <c r="D2" t="s">
        <v>33</v>
      </c>
      <c r="E2">
        <v>12960000</v>
      </c>
      <c r="F2" t="s">
        <v>55</v>
      </c>
      <c r="G2">
        <f>VLOOKUP(F2,City!$A$2:$C$19,2,FALSE)</f>
        <v>40.783299999999997</v>
      </c>
      <c r="H2">
        <f>VLOOKUP(F2,City!$A$2:$C$19,3,FALSE)</f>
        <v>-73.966700000000003</v>
      </c>
      <c r="I2">
        <v>18281</v>
      </c>
      <c r="J2">
        <v>25000</v>
      </c>
      <c r="K2">
        <f t="shared" ref="K2:K20" si="0">I2/J2</f>
        <v>0.73124</v>
      </c>
    </row>
    <row r="3" spans="1:11" x14ac:dyDescent="0.25">
      <c r="A3" t="s">
        <v>16</v>
      </c>
      <c r="B3" t="s">
        <v>86</v>
      </c>
      <c r="C3">
        <v>8</v>
      </c>
      <c r="D3" t="s">
        <v>34</v>
      </c>
      <c r="E3">
        <v>12630000</v>
      </c>
      <c r="F3" t="s">
        <v>45</v>
      </c>
      <c r="G3">
        <f>VLOOKUP(F3,City!$A$2:$C$19,2,FALSE)</f>
        <v>33.933300000000003</v>
      </c>
      <c r="H3">
        <f>VLOOKUP(F3,City!$A$2:$C$19,3,FALSE)</f>
        <v>-118.4</v>
      </c>
      <c r="I3">
        <v>23136</v>
      </c>
      <c r="J3">
        <v>27000</v>
      </c>
      <c r="K3">
        <f t="shared" si="0"/>
        <v>0.85688888888888892</v>
      </c>
    </row>
    <row r="4" spans="1:11" x14ac:dyDescent="0.25">
      <c r="A4" t="s">
        <v>10</v>
      </c>
      <c r="B4" t="s">
        <v>93</v>
      </c>
      <c r="C4">
        <v>5</v>
      </c>
      <c r="D4" t="s">
        <v>33</v>
      </c>
      <c r="E4">
        <v>8250000</v>
      </c>
      <c r="F4" t="s">
        <v>49</v>
      </c>
      <c r="G4">
        <f>VLOOKUP(F4,City!$A$2:$C$19,2,FALSE)</f>
        <v>43.683300000000003</v>
      </c>
      <c r="H4">
        <f>VLOOKUP(F4,City!$A$2:$C$19,3,FALSE)</f>
        <v>-79.633300000000006</v>
      </c>
      <c r="I4">
        <v>18155</v>
      </c>
      <c r="J4">
        <v>21140</v>
      </c>
      <c r="K4">
        <f t="shared" si="0"/>
        <v>0.85879848628193001</v>
      </c>
    </row>
    <row r="5" spans="1:11" x14ac:dyDescent="0.25">
      <c r="A5" t="s">
        <v>0</v>
      </c>
      <c r="B5" t="s">
        <v>83</v>
      </c>
      <c r="C5">
        <v>8</v>
      </c>
      <c r="D5" t="s">
        <v>34</v>
      </c>
      <c r="E5">
        <v>4370000</v>
      </c>
      <c r="F5" t="s">
        <v>48</v>
      </c>
      <c r="G5">
        <f>VLOOKUP(F5,City!$A$2:$C$19,2,FALSE)</f>
        <v>49.283299999999997</v>
      </c>
      <c r="H5">
        <f>VLOOKUP(F5,City!$A$2:$C$19,3,FALSE)</f>
        <v>-123.117</v>
      </c>
      <c r="I5">
        <v>19475</v>
      </c>
      <c r="J5">
        <v>21000</v>
      </c>
      <c r="K5">
        <f t="shared" si="0"/>
        <v>0.92738095238095242</v>
      </c>
    </row>
    <row r="6" spans="1:11" x14ac:dyDescent="0.25">
      <c r="A6" t="s">
        <v>3</v>
      </c>
      <c r="B6" t="s">
        <v>77</v>
      </c>
      <c r="C6">
        <v>5</v>
      </c>
      <c r="D6" t="s">
        <v>33</v>
      </c>
      <c r="E6">
        <v>4190000.0000000005</v>
      </c>
      <c r="F6" t="s">
        <v>57</v>
      </c>
      <c r="G6">
        <f>VLOOKUP(F6,City!$A$2:$C$19,2,FALSE)</f>
        <v>38.85</v>
      </c>
      <c r="H6">
        <f>VLOOKUP(F6,City!$A$2:$C$19,3,FALSE)</f>
        <v>-77.033299999999997</v>
      </c>
      <c r="I6">
        <v>13846</v>
      </c>
      <c r="J6">
        <v>19467</v>
      </c>
      <c r="K6">
        <f t="shared" si="0"/>
        <v>0.71125494426465297</v>
      </c>
    </row>
    <row r="7" spans="1:11" x14ac:dyDescent="0.25">
      <c r="A7" t="s">
        <v>12</v>
      </c>
      <c r="B7" t="s">
        <v>91</v>
      </c>
      <c r="C7">
        <v>8</v>
      </c>
      <c r="D7" t="s">
        <v>34</v>
      </c>
      <c r="E7">
        <v>4160000</v>
      </c>
      <c r="F7" t="s">
        <v>42</v>
      </c>
      <c r="G7">
        <f>VLOOKUP(F7,City!$A$2:$C$19,2,FALSE)</f>
        <v>45.6</v>
      </c>
      <c r="H7">
        <f>VLOOKUP(F7,City!$A$2:$C$19,3,FALSE)</f>
        <v>-122.6</v>
      </c>
      <c r="I7">
        <v>20438</v>
      </c>
      <c r="J7">
        <v>20438</v>
      </c>
      <c r="K7">
        <f t="shared" si="0"/>
        <v>1</v>
      </c>
    </row>
    <row r="8" spans="1:11" x14ac:dyDescent="0.25">
      <c r="A8" t="s">
        <v>11</v>
      </c>
      <c r="B8" t="s">
        <v>92</v>
      </c>
      <c r="C8">
        <v>8</v>
      </c>
      <c r="D8" t="s">
        <v>34</v>
      </c>
      <c r="E8">
        <v>3980000</v>
      </c>
      <c r="F8" t="s">
        <v>41</v>
      </c>
      <c r="G8">
        <f>VLOOKUP(F8,City!$A$2:$C$19,2,FALSE)</f>
        <v>47.65</v>
      </c>
      <c r="H8">
        <f>VLOOKUP(F8,City!$A$2:$C$19,3,FALSE)</f>
        <v>-122.3</v>
      </c>
      <c r="I8">
        <v>43104</v>
      </c>
      <c r="J8">
        <v>38500</v>
      </c>
      <c r="K8">
        <f t="shared" si="0"/>
        <v>1.1195844155844157</v>
      </c>
    </row>
    <row r="9" spans="1:11" x14ac:dyDescent="0.25">
      <c r="A9" t="s">
        <v>4</v>
      </c>
      <c r="B9" t="s">
        <v>90</v>
      </c>
      <c r="C9">
        <v>5</v>
      </c>
      <c r="D9" t="s">
        <v>33</v>
      </c>
      <c r="E9">
        <v>3620000</v>
      </c>
      <c r="F9" t="s">
        <v>56</v>
      </c>
      <c r="G9">
        <f>VLOOKUP(F9,City!$A$2:$C$19,2,FALSE)</f>
        <v>39.883299999999998</v>
      </c>
      <c r="H9">
        <f>VLOOKUP(F9,City!$A$2:$C$19,3,FALSE)</f>
        <v>-75.25</v>
      </c>
      <c r="I9">
        <v>18053</v>
      </c>
      <c r="J9">
        <v>18500</v>
      </c>
      <c r="K9">
        <f t="shared" si="0"/>
        <v>0.97583783783783784</v>
      </c>
    </row>
    <row r="10" spans="1:11" x14ac:dyDescent="0.25">
      <c r="A10" t="s">
        <v>18</v>
      </c>
      <c r="B10" t="s">
        <v>80</v>
      </c>
      <c r="C10">
        <v>7</v>
      </c>
      <c r="D10" t="s">
        <v>34</v>
      </c>
      <c r="E10">
        <v>3520000</v>
      </c>
      <c r="F10" t="s">
        <v>43</v>
      </c>
      <c r="G10">
        <f>VLOOKUP(F10,City!$A$2:$C$19,2,FALSE)</f>
        <v>40.7667</v>
      </c>
      <c r="H10">
        <f>VLOOKUP(F10,City!$A$2:$C$19,3,FALSE)</f>
        <v>-111.967</v>
      </c>
      <c r="I10">
        <v>19087</v>
      </c>
      <c r="J10">
        <v>20213</v>
      </c>
      <c r="K10">
        <f t="shared" si="0"/>
        <v>0.94429327660416562</v>
      </c>
    </row>
    <row r="11" spans="1:11" x14ac:dyDescent="0.25">
      <c r="A11" t="s">
        <v>7</v>
      </c>
      <c r="B11" t="s">
        <v>79</v>
      </c>
      <c r="C11">
        <v>6</v>
      </c>
      <c r="D11" t="s">
        <v>34</v>
      </c>
      <c r="E11">
        <v>3450000</v>
      </c>
      <c r="F11" t="s">
        <v>46</v>
      </c>
      <c r="G11">
        <f>VLOOKUP(F11,City!$A$2:$C$19,2,FALSE)</f>
        <v>32.85</v>
      </c>
      <c r="H11">
        <f>VLOOKUP(F11,City!$A$2:$C$19,3,FALSE)</f>
        <v>-96.85</v>
      </c>
      <c r="I11">
        <v>14199</v>
      </c>
      <c r="J11">
        <v>20500</v>
      </c>
      <c r="K11">
        <f t="shared" si="0"/>
        <v>0.69263414634146336</v>
      </c>
    </row>
    <row r="12" spans="1:11" x14ac:dyDescent="0.25">
      <c r="A12" t="s">
        <v>14</v>
      </c>
      <c r="B12" t="s">
        <v>76</v>
      </c>
      <c r="C12">
        <v>7</v>
      </c>
      <c r="D12" t="s">
        <v>34</v>
      </c>
      <c r="E12">
        <v>3430000</v>
      </c>
      <c r="F12" t="s">
        <v>47</v>
      </c>
      <c r="G12">
        <f>VLOOKUP(F12,City!$A$2:$C$19,2,FALSE)</f>
        <v>39.75</v>
      </c>
      <c r="H12">
        <f>VLOOKUP(F12,City!$A$2:$C$19,3,FALSE)</f>
        <v>-104.867</v>
      </c>
      <c r="I12">
        <v>15175</v>
      </c>
      <c r="J12">
        <v>18086</v>
      </c>
      <c r="K12">
        <f t="shared" si="0"/>
        <v>0.83904677651221937</v>
      </c>
    </row>
    <row r="13" spans="1:11" x14ac:dyDescent="0.25">
      <c r="A13" t="s">
        <v>8</v>
      </c>
      <c r="B13" t="s">
        <v>85</v>
      </c>
      <c r="C13">
        <v>5</v>
      </c>
      <c r="D13" t="s">
        <v>33</v>
      </c>
      <c r="E13">
        <v>3330000</v>
      </c>
      <c r="F13" t="s">
        <v>58</v>
      </c>
      <c r="G13">
        <f>VLOOKUP(F13,City!$A$2:$C$19,2,FALSE)</f>
        <v>40</v>
      </c>
      <c r="H13">
        <f>VLOOKUP(F13,City!$A$2:$C$19,3,FALSE)</f>
        <v>-82.883300000000006</v>
      </c>
      <c r="I13">
        <v>14397</v>
      </c>
      <c r="J13">
        <v>20145</v>
      </c>
      <c r="K13">
        <f t="shared" si="0"/>
        <v>0.71466865227103504</v>
      </c>
    </row>
    <row r="14" spans="1:11" x14ac:dyDescent="0.25">
      <c r="A14" t="s">
        <v>9</v>
      </c>
      <c r="B14" t="s">
        <v>88</v>
      </c>
      <c r="C14">
        <v>5</v>
      </c>
      <c r="D14" t="s">
        <v>33</v>
      </c>
      <c r="E14">
        <v>3260000</v>
      </c>
      <c r="F14" t="s">
        <v>54</v>
      </c>
      <c r="G14">
        <f>VLOOKUP(F14,City!$A$2:$C$19,2,FALSE)</f>
        <v>42.366700000000002</v>
      </c>
      <c r="H14">
        <f>VLOOKUP(F14,City!$A$2:$C$19,3,FALSE)</f>
        <v>-71.033299999999997</v>
      </c>
      <c r="I14">
        <v>14001</v>
      </c>
      <c r="J14">
        <v>20000</v>
      </c>
      <c r="K14">
        <f t="shared" si="0"/>
        <v>0.70004999999999995</v>
      </c>
    </row>
    <row r="15" spans="1:11" x14ac:dyDescent="0.25">
      <c r="A15" t="s">
        <v>17</v>
      </c>
      <c r="B15" t="s">
        <v>84</v>
      </c>
      <c r="C15">
        <v>6</v>
      </c>
      <c r="D15" t="s">
        <v>33</v>
      </c>
      <c r="E15">
        <v>3230000</v>
      </c>
      <c r="F15" t="s">
        <v>53</v>
      </c>
      <c r="G15">
        <f>VLOOKUP(F15,City!$A$2:$C$19,2,FALSE)</f>
        <v>41.783299999999997</v>
      </c>
      <c r="H15">
        <f>VLOOKUP(F15,City!$A$2:$C$19,3,FALSE)</f>
        <v>-87.75</v>
      </c>
      <c r="I15">
        <v>16407</v>
      </c>
      <c r="J15">
        <v>20000</v>
      </c>
      <c r="K15">
        <f t="shared" si="0"/>
        <v>0.82035000000000002</v>
      </c>
    </row>
    <row r="16" spans="1:11" x14ac:dyDescent="0.25">
      <c r="A16" t="s">
        <v>2</v>
      </c>
      <c r="B16" t="s">
        <v>75</v>
      </c>
      <c r="C16">
        <v>8</v>
      </c>
      <c r="D16" t="s">
        <v>34</v>
      </c>
      <c r="E16">
        <v>3230000</v>
      </c>
      <c r="F16" t="s">
        <v>45</v>
      </c>
      <c r="G16">
        <f>VLOOKUP(F16,City!$A$2:$C$19,2,FALSE)</f>
        <v>33.933300000000003</v>
      </c>
      <c r="H16">
        <f>VLOOKUP(F16,City!$A$2:$C$19,3,FALSE)</f>
        <v>-118.4</v>
      </c>
      <c r="I16">
        <v>13056</v>
      </c>
      <c r="J16">
        <v>18800</v>
      </c>
      <c r="K16">
        <f t="shared" si="0"/>
        <v>0.69446808510638303</v>
      </c>
    </row>
    <row r="17" spans="1:11" x14ac:dyDescent="0.25">
      <c r="A17" t="s">
        <v>5</v>
      </c>
      <c r="B17" t="s">
        <v>81</v>
      </c>
      <c r="C17">
        <v>8</v>
      </c>
      <c r="D17" t="s">
        <v>34</v>
      </c>
      <c r="E17">
        <v>3210000</v>
      </c>
      <c r="F17" t="s">
        <v>44</v>
      </c>
      <c r="G17">
        <f>VLOOKUP(F17,City!$A$2:$C$19,2,FALSE)</f>
        <v>37.366700000000002</v>
      </c>
      <c r="H17">
        <f>VLOOKUP(F17,City!$A$2:$C$19,3,FALSE)</f>
        <v>-121.93300000000001</v>
      </c>
      <c r="I17">
        <v>13293</v>
      </c>
      <c r="J17">
        <v>10525</v>
      </c>
      <c r="K17">
        <f t="shared" si="0"/>
        <v>1.2629928741092638</v>
      </c>
    </row>
    <row r="18" spans="1:11" x14ac:dyDescent="0.25">
      <c r="A18" t="s">
        <v>6</v>
      </c>
      <c r="B18" t="s">
        <v>82</v>
      </c>
      <c r="C18">
        <v>6</v>
      </c>
      <c r="D18" t="s">
        <v>33</v>
      </c>
      <c r="E18">
        <v>3120000</v>
      </c>
      <c r="F18" t="s">
        <v>52</v>
      </c>
      <c r="G18">
        <f>VLOOKUP(F18,City!$A$2:$C$19,2,FALSE)</f>
        <v>39.116700000000002</v>
      </c>
      <c r="H18">
        <f>VLOOKUP(F18,City!$A$2:$C$19,3,FALSE)</f>
        <v>-94.633300000000006</v>
      </c>
      <c r="I18">
        <v>19404</v>
      </c>
      <c r="J18">
        <v>18467</v>
      </c>
      <c r="K18">
        <f t="shared" si="0"/>
        <v>1.0507391563329183</v>
      </c>
    </row>
    <row r="19" spans="1:11" x14ac:dyDescent="0.25">
      <c r="A19" t="s">
        <v>1</v>
      </c>
      <c r="B19" t="s">
        <v>87</v>
      </c>
      <c r="C19">
        <v>5</v>
      </c>
      <c r="D19" t="s">
        <v>33</v>
      </c>
      <c r="E19">
        <v>3030000</v>
      </c>
      <c r="F19" t="s">
        <v>50</v>
      </c>
      <c r="G19">
        <f>VLOOKUP(F19,City!$A$2:$C$19,2,FALSE)</f>
        <v>45.466700000000003</v>
      </c>
      <c r="H19">
        <f>VLOOKUP(F19,City!$A$2:$C$19,3,FALSE)</f>
        <v>-73.75</v>
      </c>
      <c r="I19">
        <v>22772</v>
      </c>
      <c r="J19">
        <v>20341</v>
      </c>
      <c r="K19">
        <f t="shared" si="0"/>
        <v>1.1195123150287596</v>
      </c>
    </row>
    <row r="20" spans="1:11" x14ac:dyDescent="0.25">
      <c r="A20" t="s">
        <v>13</v>
      </c>
      <c r="B20" t="s">
        <v>78</v>
      </c>
      <c r="C20">
        <v>6</v>
      </c>
      <c r="D20" t="s">
        <v>33</v>
      </c>
      <c r="E20">
        <v>3000000</v>
      </c>
      <c r="F20" t="s">
        <v>51</v>
      </c>
      <c r="G20">
        <f>VLOOKUP(F20,City!$A$2:$C$19,2,FALSE)</f>
        <v>29.966699999999999</v>
      </c>
      <c r="H20">
        <f>VLOOKUP(F20,City!$A$2:$C$19,3,FALSE)</f>
        <v>-95.35</v>
      </c>
      <c r="I20">
        <v>20946</v>
      </c>
      <c r="J20">
        <v>22000</v>
      </c>
      <c r="K20">
        <f t="shared" si="0"/>
        <v>0.9520909090909091</v>
      </c>
    </row>
  </sheetData>
  <sortState ref="A1:A30">
    <sortCondition ref="A1:A30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1" sqref="D1:E1"/>
    </sheetView>
  </sheetViews>
  <sheetFormatPr defaultRowHeight="15" x14ac:dyDescent="0.25"/>
  <sheetData>
    <row r="1" spans="1:5" x14ac:dyDescent="0.25">
      <c r="A1" s="2" t="s">
        <v>38</v>
      </c>
      <c r="B1" s="2" t="s">
        <v>39</v>
      </c>
      <c r="C1" s="2" t="s">
        <v>40</v>
      </c>
      <c r="D1" s="2"/>
      <c r="E1" s="2"/>
    </row>
    <row r="2" spans="1:5" x14ac:dyDescent="0.25">
      <c r="A2" t="s">
        <v>54</v>
      </c>
      <c r="B2">
        <v>42.366700000000002</v>
      </c>
      <c r="C2">
        <v>-71.033299999999997</v>
      </c>
    </row>
    <row r="3" spans="1:5" x14ac:dyDescent="0.25">
      <c r="A3" t="s">
        <v>53</v>
      </c>
      <c r="B3">
        <v>41.783299999999997</v>
      </c>
      <c r="C3">
        <v>-87.75</v>
      </c>
    </row>
    <row r="4" spans="1:5" x14ac:dyDescent="0.25">
      <c r="A4" t="s">
        <v>58</v>
      </c>
      <c r="B4">
        <v>40</v>
      </c>
      <c r="C4">
        <v>-82.883300000000006</v>
      </c>
    </row>
    <row r="5" spans="1:5" x14ac:dyDescent="0.25">
      <c r="A5" t="s">
        <v>46</v>
      </c>
      <c r="B5">
        <v>32.85</v>
      </c>
      <c r="C5">
        <v>-96.85</v>
      </c>
    </row>
    <row r="6" spans="1:5" x14ac:dyDescent="0.25">
      <c r="A6" t="s">
        <v>47</v>
      </c>
      <c r="B6">
        <v>39.75</v>
      </c>
      <c r="C6">
        <v>-104.867</v>
      </c>
    </row>
    <row r="7" spans="1:5" x14ac:dyDescent="0.25">
      <c r="A7" t="s">
        <v>51</v>
      </c>
      <c r="B7">
        <v>29.966699999999999</v>
      </c>
      <c r="C7">
        <v>-95.35</v>
      </c>
    </row>
    <row r="8" spans="1:5" x14ac:dyDescent="0.25">
      <c r="A8" t="s">
        <v>52</v>
      </c>
      <c r="B8">
        <v>39.116700000000002</v>
      </c>
      <c r="C8">
        <v>-94.633300000000006</v>
      </c>
    </row>
    <row r="9" spans="1:5" x14ac:dyDescent="0.25">
      <c r="A9" t="s">
        <v>45</v>
      </c>
      <c r="B9">
        <v>33.933300000000003</v>
      </c>
      <c r="C9">
        <v>-118.4</v>
      </c>
    </row>
    <row r="10" spans="1:5" x14ac:dyDescent="0.25">
      <c r="A10" t="s">
        <v>50</v>
      </c>
      <c r="B10">
        <v>45.466700000000003</v>
      </c>
      <c r="C10">
        <v>-73.75</v>
      </c>
    </row>
    <row r="11" spans="1:5" x14ac:dyDescent="0.25">
      <c r="A11" t="s">
        <v>55</v>
      </c>
      <c r="B11">
        <v>40.783299999999997</v>
      </c>
      <c r="C11">
        <v>-73.966700000000003</v>
      </c>
    </row>
    <row r="12" spans="1:5" x14ac:dyDescent="0.25">
      <c r="A12" t="s">
        <v>56</v>
      </c>
      <c r="B12">
        <v>39.883299999999998</v>
      </c>
      <c r="C12">
        <v>-75.25</v>
      </c>
    </row>
    <row r="13" spans="1:5" x14ac:dyDescent="0.25">
      <c r="A13" t="s">
        <v>42</v>
      </c>
      <c r="B13">
        <v>45.6</v>
      </c>
      <c r="C13">
        <v>-122.6</v>
      </c>
    </row>
    <row r="14" spans="1:5" x14ac:dyDescent="0.25">
      <c r="A14" t="s">
        <v>43</v>
      </c>
      <c r="B14">
        <v>40.7667</v>
      </c>
      <c r="C14">
        <v>-111.967</v>
      </c>
    </row>
    <row r="15" spans="1:5" x14ac:dyDescent="0.25">
      <c r="A15" t="s">
        <v>44</v>
      </c>
      <c r="B15">
        <v>37.366700000000002</v>
      </c>
      <c r="C15">
        <v>-121.93300000000001</v>
      </c>
    </row>
    <row r="16" spans="1:5" x14ac:dyDescent="0.25">
      <c r="A16" t="s">
        <v>41</v>
      </c>
      <c r="B16">
        <v>47.65</v>
      </c>
      <c r="C16">
        <v>-122.3</v>
      </c>
    </row>
    <row r="17" spans="1:3" x14ac:dyDescent="0.25">
      <c r="A17" t="s">
        <v>49</v>
      </c>
      <c r="B17">
        <v>43.683300000000003</v>
      </c>
      <c r="C17">
        <v>-79.633300000000006</v>
      </c>
    </row>
    <row r="18" spans="1:3" x14ac:dyDescent="0.25">
      <c r="A18" t="s">
        <v>48</v>
      </c>
      <c r="B18">
        <v>49.283299999999997</v>
      </c>
      <c r="C18">
        <v>-123.117</v>
      </c>
    </row>
    <row r="19" spans="1:3" x14ac:dyDescent="0.25">
      <c r="A19" t="s">
        <v>57</v>
      </c>
      <c r="B19">
        <v>38.85</v>
      </c>
      <c r="C19">
        <v>-77.033299999999997</v>
      </c>
    </row>
  </sheetData>
  <sortState ref="A2:C19">
    <sortCondition ref="A2:A19"/>
  </sortState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MLS2012</vt:lpstr>
      <vt:lpstr>TeamAttrs</vt:lpstr>
      <vt:lpstr>City</vt:lpstr>
      <vt:lpstr>Graphics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</dc:creator>
  <cp:lastModifiedBy>Rod</cp:lastModifiedBy>
  <dcterms:created xsi:type="dcterms:W3CDTF">2012-12-02T20:44:19Z</dcterms:created>
  <dcterms:modified xsi:type="dcterms:W3CDTF">2012-12-16T23:25:36Z</dcterms:modified>
</cp:coreProperties>
</file>