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atalay.senol\Documents\"/>
    </mc:Choice>
  </mc:AlternateContent>
  <xr:revisionPtr revIDLastSave="0" documentId="8_{7AB35A31-B9A1-4A38-94A1-C80D593BF5B4}" xr6:coauthVersionLast="47" xr6:coauthVersionMax="47" xr10:uidLastSave="{00000000-0000-0000-0000-000000000000}"/>
  <bookViews>
    <workbookView xWindow="-108" yWindow="-108" windowWidth="23256" windowHeight="12456" activeTab="1" xr2:uid="{0F842718-DA55-4D88-B266-AC77883FB319}"/>
  </bookViews>
  <sheets>
    <sheet name="SUMMARY" sheetId="12" r:id="rId1"/>
    <sheet name="CALCULATION" sheetId="6" r:id="rId2"/>
    <sheet name="ROUTES" sheetId="11" r:id="rId3"/>
  </sheets>
  <definedNames>
    <definedName name="_xlnm._FilterDatabase" localSheetId="1" hidden="1">CALCULATION!$A$2:$AF$10</definedName>
    <definedName name="_xlnm._FilterDatabase" localSheetId="2" hidden="1">ROUTES!$B$1:$M$30</definedName>
    <definedName name="_xlnm.Print_Area" localSheetId="1">CALCULATION!$A$1:$AI$10</definedName>
    <definedName name="_xlnm.Print_Area" localSheetId="0">SUMMARY!$A$1:$H$42</definedName>
    <definedName name="_xlnm.Print_Titles" localSheetId="1">CALCULATION!$1:$9</definedName>
  </definedNames>
  <calcPr calcId="191028"/>
  <pivotCaches>
    <pivotCache cacheId="0"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6" i="11" l="1"/>
  <c r="K6" i="11"/>
  <c r="K39" i="6"/>
  <c r="L39" i="6"/>
  <c r="M39" i="6"/>
  <c r="V39" i="6"/>
  <c r="W39" i="6"/>
  <c r="X39" i="6"/>
  <c r="K38" i="6"/>
  <c r="L38" i="6"/>
  <c r="M38" i="6"/>
  <c r="V38" i="6"/>
  <c r="W38" i="6"/>
  <c r="X38" i="6"/>
  <c r="X37" i="6" l="1"/>
  <c r="W37" i="6"/>
  <c r="V37" i="6"/>
  <c r="B29" i="11"/>
  <c r="X36" i="6"/>
  <c r="W36" i="6"/>
  <c r="V36" i="6"/>
  <c r="B28" i="11"/>
  <c r="X35" i="6"/>
  <c r="W35" i="6"/>
  <c r="V35" i="6"/>
  <c r="T35" i="6"/>
  <c r="AB35" i="6" s="1"/>
  <c r="S35" i="6"/>
  <c r="AA35" i="6" s="1"/>
  <c r="AE35" i="6" s="1"/>
  <c r="R35" i="6"/>
  <c r="Z35" i="6" s="1"/>
  <c r="AD35" i="6" s="1"/>
  <c r="B27" i="11"/>
  <c r="X34" i="6"/>
  <c r="W34" i="6"/>
  <c r="V34" i="6"/>
  <c r="B26" i="11"/>
  <c r="X33" i="6"/>
  <c r="W33" i="6"/>
  <c r="V33" i="6"/>
  <c r="B25" i="11"/>
  <c r="R31" i="6" s="1"/>
  <c r="Z31" i="6" s="1"/>
  <c r="AD31" i="6" s="1"/>
  <c r="X32" i="6"/>
  <c r="W32" i="6"/>
  <c r="V32" i="6"/>
  <c r="B24" i="11"/>
  <c r="U36" i="6" s="1"/>
  <c r="AH36" i="6" s="1"/>
  <c r="X31" i="6"/>
  <c r="W31" i="6"/>
  <c r="V31" i="6"/>
  <c r="U30" i="6"/>
  <c r="AH30" i="6" s="1"/>
  <c r="X30" i="6"/>
  <c r="W30" i="6"/>
  <c r="V30" i="6"/>
  <c r="X29" i="6"/>
  <c r="W29" i="6"/>
  <c r="V29" i="6"/>
  <c r="X28" i="6"/>
  <c r="W28" i="6"/>
  <c r="V28" i="6"/>
  <c r="S28" i="6" l="1"/>
  <c r="AA28" i="6" s="1"/>
  <c r="AE28" i="6" s="1"/>
  <c r="U34" i="6"/>
  <c r="AH34" i="6" s="1"/>
  <c r="P31" i="6"/>
  <c r="Y31" i="6" s="1"/>
  <c r="U37" i="6"/>
  <c r="AC37" i="6" s="1"/>
  <c r="U32" i="6"/>
  <c r="AH32" i="6" s="1"/>
  <c r="U35" i="6"/>
  <c r="AH35" i="6" s="1"/>
  <c r="S34" i="6"/>
  <c r="AA34" i="6" s="1"/>
  <c r="AE34" i="6" s="1"/>
  <c r="S29" i="6"/>
  <c r="AA29" i="6" s="1"/>
  <c r="AE29" i="6" s="1"/>
  <c r="P33" i="6"/>
  <c r="Y33" i="6" s="1"/>
  <c r="T34" i="6"/>
  <c r="AB34" i="6" s="1"/>
  <c r="P37" i="6"/>
  <c r="Y37" i="6" s="1"/>
  <c r="S33" i="6"/>
  <c r="AA33" i="6" s="1"/>
  <c r="AE33" i="6" s="1"/>
  <c r="T33" i="6"/>
  <c r="AB33" i="6" s="1"/>
  <c r="P36" i="6"/>
  <c r="Y36" i="6" s="1"/>
  <c r="T37" i="6"/>
  <c r="AB37" i="6" s="1"/>
  <c r="P34" i="6"/>
  <c r="Y34" i="6" s="1"/>
  <c r="R34" i="6"/>
  <c r="Z34" i="6" s="1"/>
  <c r="AD34" i="6" s="1"/>
  <c r="R37" i="6"/>
  <c r="Z37" i="6" s="1"/>
  <c r="AD37" i="6" s="1"/>
  <c r="S37" i="6"/>
  <c r="AA37" i="6" s="1"/>
  <c r="AE37" i="6" s="1"/>
  <c r="R32" i="6"/>
  <c r="Z32" i="6" s="1"/>
  <c r="AD32" i="6" s="1"/>
  <c r="U33" i="6"/>
  <c r="AH33" i="6" s="1"/>
  <c r="R36" i="6"/>
  <c r="Z36" i="6" s="1"/>
  <c r="AD36" i="6" s="1"/>
  <c r="R33" i="6"/>
  <c r="Z33" i="6" s="1"/>
  <c r="AD33" i="6" s="1"/>
  <c r="U29" i="6"/>
  <c r="AH29" i="6" s="1"/>
  <c r="P39" i="6"/>
  <c r="Q39" i="6" s="1"/>
  <c r="Y39" i="6" s="1"/>
  <c r="U39" i="6"/>
  <c r="P38" i="6"/>
  <c r="Q38" i="6" s="1"/>
  <c r="Y38" i="6" s="1"/>
  <c r="R38" i="6"/>
  <c r="Z38" i="6" s="1"/>
  <c r="AD38" i="6" s="1"/>
  <c r="S39" i="6"/>
  <c r="AA39" i="6" s="1"/>
  <c r="AE39" i="6" s="1"/>
  <c r="R39" i="6"/>
  <c r="Z39" i="6" s="1"/>
  <c r="AD39" i="6" s="1"/>
  <c r="S38" i="6"/>
  <c r="AA38" i="6" s="1"/>
  <c r="AE38" i="6" s="1"/>
  <c r="T39" i="6"/>
  <c r="AB39" i="6" s="1"/>
  <c r="T38" i="6"/>
  <c r="AB38" i="6" s="1"/>
  <c r="U38" i="6"/>
  <c r="S32" i="6"/>
  <c r="AA32" i="6" s="1"/>
  <c r="AE32" i="6" s="1"/>
  <c r="S36" i="6"/>
  <c r="AA36" i="6" s="1"/>
  <c r="AE36" i="6" s="1"/>
  <c r="U31" i="6"/>
  <c r="AH31" i="6" s="1"/>
  <c r="P32" i="6"/>
  <c r="Y32" i="6" s="1"/>
  <c r="T32" i="6"/>
  <c r="AB32" i="6" s="1"/>
  <c r="AF32" i="6" s="1"/>
  <c r="P35" i="6"/>
  <c r="Y35" i="6" s="1"/>
  <c r="AF35" i="6" s="1"/>
  <c r="AG35" i="6" s="1"/>
  <c r="T36" i="6"/>
  <c r="AB36" i="6" s="1"/>
  <c r="AC36" i="6"/>
  <c r="P28" i="6"/>
  <c r="Y28" i="6" s="1"/>
  <c r="P29" i="6"/>
  <c r="Y29" i="6" s="1"/>
  <c r="P30" i="6"/>
  <c r="Y30" i="6" s="1"/>
  <c r="S31" i="6"/>
  <c r="AA31" i="6" s="1"/>
  <c r="AE31" i="6" s="1"/>
  <c r="R28" i="6"/>
  <c r="Z28" i="6" s="1"/>
  <c r="AD28" i="6" s="1"/>
  <c r="R29" i="6"/>
  <c r="Z29" i="6" s="1"/>
  <c r="AD29" i="6" s="1"/>
  <c r="R30" i="6"/>
  <c r="Z30" i="6" s="1"/>
  <c r="AD30" i="6" s="1"/>
  <c r="T31" i="6"/>
  <c r="AB31" i="6" s="1"/>
  <c r="AF31" i="6" s="1"/>
  <c r="T28" i="6"/>
  <c r="AB28" i="6" s="1"/>
  <c r="T29" i="6"/>
  <c r="AB29" i="6" s="1"/>
  <c r="U28" i="6"/>
  <c r="AH28" i="6" s="1"/>
  <c r="AC31" i="6"/>
  <c r="S30" i="6"/>
  <c r="AA30" i="6" s="1"/>
  <c r="AE30" i="6" s="1"/>
  <c r="T30" i="6"/>
  <c r="AB30" i="6" s="1"/>
  <c r="AC30" i="6"/>
  <c r="X27" i="6"/>
  <c r="W27" i="6"/>
  <c r="V27" i="6"/>
  <c r="U27" i="6"/>
  <c r="AC27" i="6" s="1"/>
  <c r="T27" i="6"/>
  <c r="AB27" i="6" s="1"/>
  <c r="S27" i="6"/>
  <c r="AA27" i="6" s="1"/>
  <c r="AE27" i="6" s="1"/>
  <c r="R27" i="6"/>
  <c r="Z27" i="6" s="1"/>
  <c r="AD27" i="6" s="1"/>
  <c r="P27" i="6"/>
  <c r="Y27" i="6" s="1"/>
  <c r="X26" i="6"/>
  <c r="W26" i="6"/>
  <c r="V26" i="6"/>
  <c r="U26" i="6"/>
  <c r="AH26" i="6" s="1"/>
  <c r="T26" i="6"/>
  <c r="AB26" i="6" s="1"/>
  <c r="S26" i="6"/>
  <c r="AA26" i="6" s="1"/>
  <c r="AE26" i="6" s="1"/>
  <c r="R26" i="6"/>
  <c r="Z26" i="6" s="1"/>
  <c r="AD26" i="6" s="1"/>
  <c r="P26" i="6"/>
  <c r="Y26" i="6" s="1"/>
  <c r="X25" i="6"/>
  <c r="W25" i="6"/>
  <c r="V25" i="6"/>
  <c r="U25" i="6"/>
  <c r="AH25" i="6" s="1"/>
  <c r="T25" i="6"/>
  <c r="AB25" i="6" s="1"/>
  <c r="S25" i="6"/>
  <c r="AA25" i="6" s="1"/>
  <c r="AE25" i="6" s="1"/>
  <c r="R25" i="6"/>
  <c r="Z25" i="6" s="1"/>
  <c r="AD25" i="6" s="1"/>
  <c r="P25" i="6"/>
  <c r="Y25" i="6" s="1"/>
  <c r="X24" i="6"/>
  <c r="W24" i="6"/>
  <c r="V24" i="6"/>
  <c r="U24" i="6"/>
  <c r="AH24" i="6" s="1"/>
  <c r="T24" i="6"/>
  <c r="AB24" i="6" s="1"/>
  <c r="S24" i="6"/>
  <c r="AA24" i="6" s="1"/>
  <c r="AE24" i="6" s="1"/>
  <c r="R24" i="6"/>
  <c r="Z24" i="6" s="1"/>
  <c r="AD24" i="6" s="1"/>
  <c r="P24" i="6"/>
  <c r="Y24" i="6" s="1"/>
  <c r="P19" i="11"/>
  <c r="X23" i="6"/>
  <c r="W23" i="6"/>
  <c r="V23" i="6"/>
  <c r="U23" i="6"/>
  <c r="AH23" i="6" s="1"/>
  <c r="T23" i="6"/>
  <c r="AB23" i="6" s="1"/>
  <c r="S23" i="6"/>
  <c r="AA23" i="6" s="1"/>
  <c r="AE23" i="6" s="1"/>
  <c r="R23" i="6"/>
  <c r="Z23" i="6" s="1"/>
  <c r="AD23" i="6" s="1"/>
  <c r="P23" i="6"/>
  <c r="Y23" i="6" s="1"/>
  <c r="P11" i="6"/>
  <c r="Y11" i="6" s="1"/>
  <c r="R11" i="6"/>
  <c r="S11" i="6"/>
  <c r="AA11" i="6" s="1"/>
  <c r="AE11" i="6" s="1"/>
  <c r="T11" i="6"/>
  <c r="AB11" i="6" s="1"/>
  <c r="U11" i="6"/>
  <c r="AH11" i="6" s="1"/>
  <c r="P12" i="6"/>
  <c r="Y12" i="6" s="1"/>
  <c r="R12" i="6"/>
  <c r="S12" i="6"/>
  <c r="T12" i="6"/>
  <c r="U12" i="6"/>
  <c r="AC12" i="6" s="1"/>
  <c r="P13" i="6"/>
  <c r="Y13" i="6" s="1"/>
  <c r="R13" i="6"/>
  <c r="S13" i="6"/>
  <c r="T13" i="6"/>
  <c r="U13" i="6"/>
  <c r="P14" i="6"/>
  <c r="Y14" i="6" s="1"/>
  <c r="R14" i="6"/>
  <c r="S14" i="6"/>
  <c r="T14" i="6"/>
  <c r="U14" i="6"/>
  <c r="P15" i="6"/>
  <c r="Y15" i="6" s="1"/>
  <c r="R15" i="6"/>
  <c r="S15" i="6"/>
  <c r="T15" i="6"/>
  <c r="U15" i="6"/>
  <c r="P16" i="6"/>
  <c r="Y16" i="6" s="1"/>
  <c r="R16" i="6"/>
  <c r="Z16" i="6" s="1"/>
  <c r="AD16" i="6" s="1"/>
  <c r="S16" i="6"/>
  <c r="T16" i="6"/>
  <c r="U16" i="6"/>
  <c r="AH16" i="6" s="1"/>
  <c r="P17" i="6"/>
  <c r="Y17" i="6" s="1"/>
  <c r="R17" i="6"/>
  <c r="Z17" i="6" s="1"/>
  <c r="AD17" i="6" s="1"/>
  <c r="S17" i="6"/>
  <c r="AA17" i="6" s="1"/>
  <c r="AE17" i="6" s="1"/>
  <c r="T17" i="6"/>
  <c r="AB17" i="6" s="1"/>
  <c r="U17" i="6"/>
  <c r="AH17" i="6" s="1"/>
  <c r="P18" i="6"/>
  <c r="R18" i="6"/>
  <c r="Z18" i="6" s="1"/>
  <c r="AD18" i="6" s="1"/>
  <c r="S18" i="6"/>
  <c r="AA18" i="6" s="1"/>
  <c r="AE18" i="6" s="1"/>
  <c r="T18" i="6"/>
  <c r="AB18" i="6" s="1"/>
  <c r="U18" i="6"/>
  <c r="AH18" i="6" s="1"/>
  <c r="P19" i="6"/>
  <c r="Y19" i="6" s="1"/>
  <c r="R19" i="6"/>
  <c r="Z19" i="6" s="1"/>
  <c r="AD19" i="6" s="1"/>
  <c r="S19" i="6"/>
  <c r="T19" i="6"/>
  <c r="AB19" i="6" s="1"/>
  <c r="U19" i="6"/>
  <c r="AC19" i="6" s="1"/>
  <c r="P20" i="6"/>
  <c r="Y20" i="6" s="1"/>
  <c r="R20" i="6"/>
  <c r="S20" i="6"/>
  <c r="AA20" i="6" s="1"/>
  <c r="AE20" i="6" s="1"/>
  <c r="T20" i="6"/>
  <c r="U20" i="6"/>
  <c r="AC20" i="6" s="1"/>
  <c r="P21" i="6"/>
  <c r="Y21" i="6" s="1"/>
  <c r="R21" i="6"/>
  <c r="S21" i="6"/>
  <c r="T21" i="6"/>
  <c r="U21" i="6"/>
  <c r="P22" i="6"/>
  <c r="Y22" i="6" s="1"/>
  <c r="R22" i="6"/>
  <c r="S22" i="6"/>
  <c r="T22" i="6"/>
  <c r="U22" i="6"/>
  <c r="K11" i="6"/>
  <c r="L11" i="6"/>
  <c r="M11" i="6"/>
  <c r="V11" i="6"/>
  <c r="W11" i="6"/>
  <c r="X11" i="6"/>
  <c r="K12" i="6"/>
  <c r="L12" i="6"/>
  <c r="M12" i="6"/>
  <c r="V12" i="6"/>
  <c r="W12" i="6"/>
  <c r="X12" i="6"/>
  <c r="K13" i="6"/>
  <c r="L13" i="6"/>
  <c r="M13" i="6"/>
  <c r="V13" i="6"/>
  <c r="W13" i="6"/>
  <c r="X13" i="6"/>
  <c r="K14" i="6"/>
  <c r="L14" i="6"/>
  <c r="M14" i="6"/>
  <c r="V14" i="6"/>
  <c r="W14" i="6"/>
  <c r="X14" i="6"/>
  <c r="K15" i="6"/>
  <c r="L15" i="6"/>
  <c r="M15" i="6"/>
  <c r="V15" i="6"/>
  <c r="W15" i="6"/>
  <c r="X15" i="6"/>
  <c r="K16" i="6"/>
  <c r="L16" i="6"/>
  <c r="M16" i="6"/>
  <c r="V16" i="6"/>
  <c r="W16" i="6"/>
  <c r="X16" i="6"/>
  <c r="K17" i="6"/>
  <c r="L17" i="6"/>
  <c r="M17" i="6"/>
  <c r="V17" i="6"/>
  <c r="W17" i="6"/>
  <c r="X17" i="6"/>
  <c r="K18" i="6"/>
  <c r="L18" i="6"/>
  <c r="M18" i="6"/>
  <c r="V18" i="6"/>
  <c r="W18" i="6"/>
  <c r="X18" i="6"/>
  <c r="K19" i="6"/>
  <c r="L19" i="6"/>
  <c r="M19" i="6"/>
  <c r="V19" i="6"/>
  <c r="W19" i="6"/>
  <c r="X19" i="6"/>
  <c r="K20" i="6"/>
  <c r="L20" i="6"/>
  <c r="M20" i="6"/>
  <c r="V20" i="6"/>
  <c r="W20" i="6"/>
  <c r="X20" i="6"/>
  <c r="K21" i="6"/>
  <c r="L21" i="6"/>
  <c r="M21" i="6"/>
  <c r="V21" i="6"/>
  <c r="W21" i="6"/>
  <c r="X21" i="6"/>
  <c r="K22" i="6"/>
  <c r="L22" i="6"/>
  <c r="M22" i="6"/>
  <c r="V22" i="6"/>
  <c r="W22" i="6"/>
  <c r="X22" i="6"/>
  <c r="AC34" i="6" l="1"/>
  <c r="AF33" i="6"/>
  <c r="AG33" i="6" s="1"/>
  <c r="AI33" i="6" s="1"/>
  <c r="AC33" i="6"/>
  <c r="AG32" i="6"/>
  <c r="AI32" i="6" s="1"/>
  <c r="AH37" i="6"/>
  <c r="AC35" i="6"/>
  <c r="AI35" i="6"/>
  <c r="AF34" i="6"/>
  <c r="AG34" i="6" s="1"/>
  <c r="AI34" i="6" s="1"/>
  <c r="AC29" i="6"/>
  <c r="AF36" i="6"/>
  <c r="AG36" i="6" s="1"/>
  <c r="AI36" i="6" s="1"/>
  <c r="AF38" i="6"/>
  <c r="AG38" i="6" s="1"/>
  <c r="AC32" i="6"/>
  <c r="AF39" i="6"/>
  <c r="AG39" i="6" s="1"/>
  <c r="AF37" i="6"/>
  <c r="AG37" i="6" s="1"/>
  <c r="AC38" i="6"/>
  <c r="AH38" i="6"/>
  <c r="AH39" i="6"/>
  <c r="AC39" i="6"/>
  <c r="AF29" i="6"/>
  <c r="AG29" i="6" s="1"/>
  <c r="AI29" i="6" s="1"/>
  <c r="AG31" i="6"/>
  <c r="AI31" i="6" s="1"/>
  <c r="AC28" i="6"/>
  <c r="AF30" i="6"/>
  <c r="AG30" i="6" s="1"/>
  <c r="AI30" i="6" s="1"/>
  <c r="AF28" i="6"/>
  <c r="AG28" i="6" s="1"/>
  <c r="AI28" i="6" s="1"/>
  <c r="AF27" i="6"/>
  <c r="AG27" i="6" s="1"/>
  <c r="AH27" i="6"/>
  <c r="AF26" i="6"/>
  <c r="AG26" i="6" s="1"/>
  <c r="AI26" i="6" s="1"/>
  <c r="AC26" i="6"/>
  <c r="AF25" i="6"/>
  <c r="AG25" i="6" s="1"/>
  <c r="AI25" i="6" s="1"/>
  <c r="AC25" i="6"/>
  <c r="AF24" i="6"/>
  <c r="AG24" i="6" s="1"/>
  <c r="AI24" i="6" s="1"/>
  <c r="AC24" i="6"/>
  <c r="AF23" i="6"/>
  <c r="AG23" i="6" s="1"/>
  <c r="AI23" i="6" s="1"/>
  <c r="AC23" i="6"/>
  <c r="AA15" i="6"/>
  <c r="AE15" i="6" s="1"/>
  <c r="AA12" i="6"/>
  <c r="AE12" i="6" s="1"/>
  <c r="AH13" i="6"/>
  <c r="AA19" i="6"/>
  <c r="AE19" i="6" s="1"/>
  <c r="AC18" i="6"/>
  <c r="AH20" i="6"/>
  <c r="AH21" i="6"/>
  <c r="AH14" i="6"/>
  <c r="Z20" i="6"/>
  <c r="AD20" i="6" s="1"/>
  <c r="AH22" i="6"/>
  <c r="Z15" i="6"/>
  <c r="AD15" i="6" s="1"/>
  <c r="Z22" i="6"/>
  <c r="AD22" i="6" s="1"/>
  <c r="AH19" i="6"/>
  <c r="AA21" i="6"/>
  <c r="AE21" i="6" s="1"/>
  <c r="AH15" i="6"/>
  <c r="Z12" i="6"/>
  <c r="AD12" i="6" s="1"/>
  <c r="AC17" i="6"/>
  <c r="Z21" i="6"/>
  <c r="AD21" i="6" s="1"/>
  <c r="AA14" i="6"/>
  <c r="AE14" i="6" s="1"/>
  <c r="AH12" i="6"/>
  <c r="AF17" i="6"/>
  <c r="AG17" i="6" s="1"/>
  <c r="AI17" i="6" s="1"/>
  <c r="AA16" i="6"/>
  <c r="AE16" i="6" s="1"/>
  <c r="AC11" i="6"/>
  <c r="Y18" i="6"/>
  <c r="AF18" i="6" s="1"/>
  <c r="AG18" i="6" s="1"/>
  <c r="AI18" i="6" s="1"/>
  <c r="AB16" i="6"/>
  <c r="AF16" i="6" s="1"/>
  <c r="AA13" i="6"/>
  <c r="AE13" i="6" s="1"/>
  <c r="Z14" i="6"/>
  <c r="AD14" i="6" s="1"/>
  <c r="AA22" i="6"/>
  <c r="AE22" i="6" s="1"/>
  <c r="Z13" i="6"/>
  <c r="AD13" i="6" s="1"/>
  <c r="Z11" i="6"/>
  <c r="AD11" i="6" s="1"/>
  <c r="AF19" i="6"/>
  <c r="AF11" i="6"/>
  <c r="AC21" i="6"/>
  <c r="AB20" i="6"/>
  <c r="AF20" i="6" s="1"/>
  <c r="AC13" i="6"/>
  <c r="AB12" i="6"/>
  <c r="AF12" i="6" s="1"/>
  <c r="AG12" i="6" s="1"/>
  <c r="AC22" i="6"/>
  <c r="AB21" i="6"/>
  <c r="AF21" i="6" s="1"/>
  <c r="AC14" i="6"/>
  <c r="AB13" i="6"/>
  <c r="AF13" i="6" s="1"/>
  <c r="AB22" i="6"/>
  <c r="AF22" i="6" s="1"/>
  <c r="AC15" i="6"/>
  <c r="AB14" i="6"/>
  <c r="AF14" i="6" s="1"/>
  <c r="AC16" i="6"/>
  <c r="AB15" i="6"/>
  <c r="AF15" i="6" s="1"/>
  <c r="AI39" i="6" l="1"/>
  <c r="AI37" i="6"/>
  <c r="AI38" i="6"/>
  <c r="AI27" i="6"/>
  <c r="AG19" i="6"/>
  <c r="AI19" i="6" s="1"/>
  <c r="AG15" i="6"/>
  <c r="AI15" i="6" s="1"/>
  <c r="AG11" i="6"/>
  <c r="AI11" i="6" s="1"/>
  <c r="AG20" i="6"/>
  <c r="AI20" i="6" s="1"/>
  <c r="AI12" i="6"/>
  <c r="AG22" i="6"/>
  <c r="AI22" i="6" s="1"/>
  <c r="AG16" i="6"/>
  <c r="AI16" i="6" s="1"/>
  <c r="AG21" i="6"/>
  <c r="AI21" i="6" s="1"/>
  <c r="AG13" i="6"/>
  <c r="AI13" i="6" s="1"/>
  <c r="AG14" i="6"/>
  <c r="AI14" i="6" s="1"/>
  <c r="P10" i="6" l="1"/>
  <c r="X10" i="6"/>
  <c r="W10" i="6"/>
  <c r="V10" i="6"/>
  <c r="K10" i="6" l="1"/>
  <c r="M10" i="6" l="1"/>
  <c r="L10" i="6"/>
  <c r="S10" i="6"/>
  <c r="T10" i="6"/>
  <c r="U10" i="6"/>
  <c r="AH10" i="6" s="1"/>
  <c r="F5" i="6" s="1"/>
  <c r="R10" i="6"/>
  <c r="AA10" i="6" l="1"/>
  <c r="AE10" i="6" s="1"/>
  <c r="C5" i="6" s="1"/>
  <c r="AB10" i="6" l="1"/>
  <c r="AC10" i="6"/>
  <c r="Y10" i="6"/>
  <c r="AF10" i="6" l="1"/>
  <c r="D5" i="6" s="1"/>
  <c r="Z10" i="6"/>
  <c r="AD10" i="6" s="1"/>
  <c r="B5" i="6" s="1"/>
  <c r="AG10" i="6" l="1"/>
  <c r="AI10" i="6" s="1"/>
  <c r="G5" i="6" s="1"/>
  <c r="E5" i="6" l="1"/>
  <c r="AE5" i="6"/>
  <c r="AE6" i="6" s="1"/>
  <c r="AF5" i="6" l="1"/>
  <c r="A23" i="12" l="1"/>
  <c r="A24" i="12"/>
  <c r="AF6"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Bugra Han CETINER | Sarp Intermodal</author>
  </authors>
  <commentList>
    <comment ref="AE2" authorId="0" shapeId="0" xr:uid="{90C5CADA-A767-4ED6-A181-A7111BE5A6AC}">
      <text>
        <r>
          <rPr>
            <b/>
            <sz val="9"/>
            <color indexed="81"/>
            <rFont val="Tahoma"/>
            <family val="2"/>
            <charset val="162"/>
          </rPr>
          <t>Bugra Han CETINER | Sarp Intermodal:</t>
        </r>
        <r>
          <rPr>
            <sz val="9"/>
            <color indexed="81"/>
            <rFont val="Tahoma"/>
            <family val="2"/>
            <charset val="162"/>
          </rPr>
          <t xml:space="preserve">
On average, a mature tree can sequester (absorb and store) around 48 pounds (22 kilograms) of carbon dioxide (CO2) per year. This value is based on an estimate provided by the U.S. Forest Service and takes into account the average carbon content of trees and their growth rates. Keep in mind that this is a rough estimate, and the actual carbon sequestration potential of a tree can vary.</t>
        </r>
      </text>
    </comment>
    <comment ref="AF2" authorId="0" shapeId="0" xr:uid="{7AF90A31-019D-4116-AA40-2846C7405267}">
      <text>
        <r>
          <rPr>
            <b/>
            <sz val="9"/>
            <color indexed="81"/>
            <rFont val="Tahoma"/>
            <family val="2"/>
            <charset val="162"/>
          </rPr>
          <t>Bugra Han CETINER | Sarp Intermodal:</t>
        </r>
        <r>
          <rPr>
            <sz val="9"/>
            <color indexed="81"/>
            <rFont val="Tahoma"/>
            <family val="2"/>
            <charset val="162"/>
          </rPr>
          <t xml:space="preserve">
25 cm çapında bir kızılçam ağacının biyokütlesi (bitkisel kütlesi) 220 kg'dir ve bu ağaç 25 cm çapına ulaşana kadar 220 kg x 0,51 (ağacın karbon konsantrasyonu) = 112,2 kg karbonu atmosferden alır. Bu da 112,2 x (44/12) (karbonu karbondioksite çevirme katsayısı) = 411,4 kg karbondioksit (CO2)'e eşdeğerdir.</t>
        </r>
      </text>
    </comment>
    <comment ref="AE4" authorId="0" shapeId="0" xr:uid="{9EE8F1C3-1623-43D0-8919-03BC8437789F}">
      <text>
        <r>
          <rPr>
            <b/>
            <sz val="9"/>
            <color indexed="81"/>
            <rFont val="Tahoma"/>
            <family val="2"/>
            <charset val="162"/>
          </rPr>
          <t>Bugra Han CETINER | Sarp Intermodal:</t>
        </r>
        <r>
          <rPr>
            <sz val="9"/>
            <color indexed="81"/>
            <rFont val="Tahoma"/>
            <family val="2"/>
            <charset val="162"/>
          </rPr>
          <t xml:space="preserve">
https://onetreeplanted.org/blogs/stories/how-much-co2-does-tree-absorb</t>
        </r>
      </text>
    </comment>
    <comment ref="AE5" authorId="0" shapeId="0" xr:uid="{E359C8F4-F01A-45C6-AD5A-26D4E5C990B5}">
      <text>
        <r>
          <rPr>
            <b/>
            <sz val="9"/>
            <color indexed="81"/>
            <rFont val="Tahoma"/>
            <family val="2"/>
            <charset val="162"/>
          </rPr>
          <t>Bugra Han CETINER | Sarp Intermodal:</t>
        </r>
        <r>
          <rPr>
            <sz val="9"/>
            <color indexed="81"/>
            <rFont val="Tahoma"/>
            <family val="2"/>
            <charset val="162"/>
          </rPr>
          <t xml:space="preserve">
ağaç/yıl</t>
        </r>
      </text>
    </comment>
    <comment ref="AF5" authorId="0" shapeId="0" xr:uid="{3229126E-0FB1-4517-94A6-61B404B35AEE}">
      <text>
        <r>
          <rPr>
            <b/>
            <sz val="9"/>
            <color indexed="81"/>
            <rFont val="Tahoma"/>
            <family val="2"/>
            <charset val="162"/>
          </rPr>
          <t>Bugra Han CETINER | Sarp Intermodal:</t>
        </r>
        <r>
          <rPr>
            <sz val="9"/>
            <color indexed="81"/>
            <rFont val="Tahoma"/>
            <family val="2"/>
            <charset val="162"/>
          </rPr>
          <t xml:space="preserve">
25 cm genişliğinde kızılçam ağacı.</t>
        </r>
      </text>
    </comment>
    <comment ref="AE6" authorId="0" shapeId="0" xr:uid="{91B3927B-972D-485F-85FE-E66D72BA66DC}">
      <text>
        <r>
          <rPr>
            <b/>
            <sz val="9"/>
            <color indexed="81"/>
            <rFont val="Tahoma"/>
            <family val="2"/>
            <charset val="162"/>
          </rPr>
          <t>Bugra Han CETINER | Sarp Intermodal:</t>
        </r>
        <r>
          <rPr>
            <sz val="9"/>
            <color indexed="81"/>
            <rFont val="Tahoma"/>
            <family val="2"/>
            <charset val="162"/>
          </rPr>
          <t xml:space="preserve">
Ortalama hektar başıma 1.600 adet ağaç dikilebiliyor.</t>
        </r>
      </text>
    </comment>
    <comment ref="AF6" authorId="0" shapeId="0" xr:uid="{893E28CA-E664-401E-B845-2CC7CE6998C8}">
      <text>
        <r>
          <rPr>
            <b/>
            <sz val="9"/>
            <color indexed="81"/>
            <rFont val="Tahoma"/>
            <family val="2"/>
            <charset val="162"/>
          </rPr>
          <t>Bugra Han CETINER | Sarp Intermodal:</t>
        </r>
        <r>
          <rPr>
            <sz val="9"/>
            <color indexed="81"/>
            <rFont val="Tahoma"/>
            <family val="2"/>
            <charset val="162"/>
          </rPr>
          <t xml:space="preserve">
Ortalama hektar başıma 1.600 adet ağaç dikilebiliyor.</t>
        </r>
      </text>
    </comment>
    <comment ref="Q9" authorId="0" shapeId="0" xr:uid="{B24D7574-D89B-4015-92E6-2257B47F7DD4}">
      <text>
        <r>
          <rPr>
            <b/>
            <sz val="9"/>
            <color indexed="81"/>
            <rFont val="Tahoma"/>
            <family val="2"/>
            <charset val="162"/>
          </rPr>
          <t>Bugra Han CETINER | Sarp Intermodal:</t>
        </r>
        <r>
          <rPr>
            <sz val="9"/>
            <color indexed="81"/>
            <rFont val="Tahoma"/>
            <family val="2"/>
            <charset val="16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Bugra Han CETINER | Sarp Intermodal</author>
  </authors>
  <commentList>
    <comment ref="C14" authorId="0" shapeId="0" xr:uid="{0C0148E9-8238-4AED-932B-5BDDD946E1BF}">
      <text>
        <r>
          <rPr>
            <b/>
            <sz val="9"/>
            <color indexed="81"/>
            <rFont val="Tahoma"/>
            <family val="2"/>
            <charset val="162"/>
          </rPr>
          <t>Bugra Han CETINER | Sarp Intermodal:</t>
        </r>
        <r>
          <rPr>
            <sz val="9"/>
            <color indexed="81"/>
            <rFont val="Tahoma"/>
            <family val="2"/>
            <charset val="162"/>
          </rPr>
          <t xml:space="preserve">
yanlış girilmiş olmalı...</t>
        </r>
      </text>
    </comment>
  </commentList>
</comments>
</file>

<file path=xl/sharedStrings.xml><?xml version="1.0" encoding="utf-8"?>
<sst xmlns="http://schemas.openxmlformats.org/spreadsheetml/2006/main" count="525" uniqueCount="179">
  <si>
    <t>Distance multi-modal transport</t>
  </si>
  <si>
    <t>CO2 emission</t>
  </si>
  <si>
    <t>Carrier</t>
  </si>
  <si>
    <t>Realized date of unloading</t>
  </si>
  <si>
    <t>Vehicle type- Container TEU</t>
  </si>
  <si>
    <t>Tonnage transported</t>
  </si>
  <si>
    <t>Pre-carriage ROAD 
(km)</t>
  </si>
  <si>
    <t>Main carriage SHIP 
(km)</t>
  </si>
  <si>
    <t>Main carriage RAIL 
(km)</t>
  </si>
  <si>
    <t>On-carriage ROAD 
(km)</t>
  </si>
  <si>
    <t xml:space="preserve">Main carriage ROAD
(km) </t>
  </si>
  <si>
    <t>Pre-carriage ROAD
(kg CO2)</t>
  </si>
  <si>
    <t>Main carriage SHIP
(kg CO2)</t>
  </si>
  <si>
    <t>Main carriage RAIL
(kg CO2)</t>
  </si>
  <si>
    <t>On-carriage ROAD
(kg CO2)</t>
  </si>
  <si>
    <t>Main carriage ROAD
(kg CO2)</t>
  </si>
  <si>
    <t>Total SHIP
(kg CO2)</t>
  </si>
  <si>
    <t>Total RAIL
(kg CO2)</t>
  </si>
  <si>
    <t>Total ROAD
(kg CO2)</t>
  </si>
  <si>
    <t>Total
(kg CO2)</t>
  </si>
  <si>
    <t>Fill in</t>
  </si>
  <si>
    <t>Standard value</t>
  </si>
  <si>
    <t>Calculated</t>
  </si>
  <si>
    <t>SARP INTERMODAL</t>
  </si>
  <si>
    <t>Loading Country</t>
  </si>
  <si>
    <t>Loading City</t>
  </si>
  <si>
    <t>Unloading Country</t>
  </si>
  <si>
    <t>Unloading City</t>
  </si>
  <si>
    <t>Export / Import</t>
  </si>
  <si>
    <r>
      <t xml:space="preserve">ROAD 
</t>
    </r>
    <r>
      <rPr>
        <b/>
        <sz val="11"/>
        <color rgb="FF0070C0"/>
        <rFont val="Arial"/>
        <family val="2"/>
        <charset val="162"/>
      </rPr>
      <t>0,121</t>
    </r>
  </si>
  <si>
    <r>
      <t xml:space="preserve">SHIP 
</t>
    </r>
    <r>
      <rPr>
        <b/>
        <sz val="11"/>
        <color rgb="FF0070C0"/>
        <rFont val="Arial"/>
        <family val="2"/>
        <charset val="162"/>
      </rPr>
      <t>0,012</t>
    </r>
  </si>
  <si>
    <t>CO2 emission factor
(kg CO2/tonkm)</t>
  </si>
  <si>
    <t>Route</t>
  </si>
  <si>
    <t>*If Full Road
(kg CO2)</t>
  </si>
  <si>
    <t>Saved Emissions
(kg CO2)</t>
  </si>
  <si>
    <t>Referance Number
(Carrier)</t>
  </si>
  <si>
    <t>Information About Shipment</t>
  </si>
  <si>
    <r>
      <t xml:space="preserve">Distance 
</t>
    </r>
    <r>
      <rPr>
        <b/>
        <i/>
        <sz val="11"/>
        <color rgb="FFFF0000"/>
        <rFont val="Arial"/>
        <family val="2"/>
        <charset val="162"/>
      </rPr>
      <t>only</t>
    </r>
    <r>
      <rPr>
        <b/>
        <sz val="11"/>
        <color theme="1"/>
        <rFont val="Arial"/>
        <family val="2"/>
        <charset val="162"/>
      </rPr>
      <t xml:space="preserve"> road transport</t>
    </r>
  </si>
  <si>
    <r>
      <t xml:space="preserve">CO2 total SHIP
</t>
    </r>
    <r>
      <rPr>
        <sz val="11"/>
        <color theme="1"/>
        <rFont val="Arial"/>
        <family val="2"/>
        <charset val="162"/>
      </rPr>
      <t>(ton CO2)</t>
    </r>
  </si>
  <si>
    <r>
      <t xml:space="preserve">CO2 total RAIL
</t>
    </r>
    <r>
      <rPr>
        <sz val="11"/>
        <color theme="1"/>
        <rFont val="Arial"/>
        <family val="2"/>
        <charset val="162"/>
      </rPr>
      <t>(ton CO2)</t>
    </r>
  </si>
  <si>
    <r>
      <t xml:space="preserve">CO2 total ROAD
</t>
    </r>
    <r>
      <rPr>
        <sz val="11"/>
        <color theme="1"/>
        <rFont val="Arial"/>
        <family val="2"/>
        <charset val="162"/>
      </rPr>
      <t>(ton CO2)</t>
    </r>
  </si>
  <si>
    <r>
      <t xml:space="preserve">CO2 total
</t>
    </r>
    <r>
      <rPr>
        <sz val="11"/>
        <color theme="1"/>
        <rFont val="Arial"/>
        <family val="2"/>
        <charset val="162"/>
      </rPr>
      <t>(ton CO2)</t>
    </r>
  </si>
  <si>
    <r>
      <t xml:space="preserve">Saved CO2
</t>
    </r>
    <r>
      <rPr>
        <sz val="11"/>
        <color theme="1"/>
        <rFont val="Arial"/>
        <family val="2"/>
        <charset val="162"/>
      </rPr>
      <t>(ton CO2)</t>
    </r>
  </si>
  <si>
    <r>
      <t xml:space="preserve">CO2 total 
Full Road Route
</t>
    </r>
    <r>
      <rPr>
        <sz val="11"/>
        <color theme="1"/>
        <rFont val="Arial"/>
        <family val="2"/>
        <charset val="162"/>
      </rPr>
      <t>(ton CO2)</t>
    </r>
  </si>
  <si>
    <t>* Müşteriye göre değişkenlik gösteriyor olmalı.</t>
  </si>
  <si>
    <t>ROTA ADI (SİBER)</t>
  </si>
  <si>
    <t>TOTAL CO2 EMISSIONS</t>
  </si>
  <si>
    <r>
      <t xml:space="preserve">Saved 
</t>
    </r>
    <r>
      <rPr>
        <b/>
        <sz val="11"/>
        <color theme="1"/>
        <rFont val="Arial"/>
        <family val="2"/>
        <charset val="162"/>
      </rPr>
      <t xml:space="preserve">Pinus Brutia
</t>
    </r>
    <r>
      <rPr>
        <sz val="11"/>
        <color theme="1"/>
        <rFont val="Arial"/>
        <family val="2"/>
        <charset val="162"/>
      </rPr>
      <t>(Turkish Pine)</t>
    </r>
  </si>
  <si>
    <t>Total Intermodal CO2 Emissions</t>
  </si>
  <si>
    <t>Total Road CO2 Emissions</t>
  </si>
  <si>
    <t>Shipments</t>
  </si>
  <si>
    <t>*</t>
  </si>
  <si>
    <t>FULL ROAD 
(km)</t>
  </si>
  <si>
    <r>
      <t xml:space="preserve">Saved 
</t>
    </r>
    <r>
      <rPr>
        <b/>
        <sz val="11"/>
        <color theme="1"/>
        <rFont val="Arial"/>
        <family val="2"/>
        <charset val="162"/>
      </rPr>
      <t>Tree</t>
    </r>
    <r>
      <rPr>
        <sz val="11"/>
        <color theme="1"/>
        <rFont val="Arial"/>
        <family val="2"/>
        <charset val="162"/>
      </rPr>
      <t xml:space="preserve"> </t>
    </r>
    <r>
      <rPr>
        <b/>
        <sz val="11"/>
        <color theme="1"/>
        <rFont val="Arial"/>
        <family val="2"/>
        <charset val="162"/>
      </rPr>
      <t>(Avg.)</t>
    </r>
  </si>
  <si>
    <t>YALOVA-SETE</t>
  </si>
  <si>
    <r>
      <t xml:space="preserve">Pre-carriage ROAD 
</t>
    </r>
    <r>
      <rPr>
        <b/>
        <sz val="11"/>
        <color rgb="FFFF0000"/>
        <rFont val="Arial"/>
        <family val="2"/>
        <charset val="162"/>
      </rPr>
      <t xml:space="preserve">(km, </t>
    </r>
    <r>
      <rPr>
        <b/>
        <i/>
        <sz val="11"/>
        <color rgb="FFFF0000"/>
        <rFont val="Arial"/>
        <family val="2"/>
        <charset val="162"/>
      </rPr>
      <t>if electric</t>
    </r>
    <r>
      <rPr>
        <b/>
        <sz val="11"/>
        <color rgb="FFFF0000"/>
        <rFont val="Arial"/>
        <family val="2"/>
        <charset val="162"/>
      </rPr>
      <t>)</t>
    </r>
  </si>
  <si>
    <t>Taşıma Modu</t>
  </si>
  <si>
    <t>PEN-TRI</t>
  </si>
  <si>
    <t>TRI-DUI</t>
  </si>
  <si>
    <t>TRI-KOLN</t>
  </si>
  <si>
    <t>TRI-LAMBACH</t>
  </si>
  <si>
    <t>TRI-WELS</t>
  </si>
  <si>
    <r>
      <rPr>
        <b/>
        <sz val="11"/>
        <color rgb="FFFF0000"/>
        <rFont val="Calibri"/>
        <family val="2"/>
        <charset val="162"/>
        <scheme val="minor"/>
      </rPr>
      <t>Pre</t>
    </r>
    <r>
      <rPr>
        <b/>
        <sz val="11"/>
        <rFont val="Calibri"/>
        <family val="2"/>
        <scheme val="minor"/>
      </rPr>
      <t>-carriage ROAD 
(km)</t>
    </r>
  </si>
  <si>
    <r>
      <rPr>
        <b/>
        <sz val="11"/>
        <color rgb="FFFF0000"/>
        <rFont val="Calibri"/>
        <family val="2"/>
        <charset val="162"/>
        <scheme val="minor"/>
      </rPr>
      <t>On</t>
    </r>
    <r>
      <rPr>
        <b/>
        <sz val="11"/>
        <rFont val="Calibri"/>
        <family val="2"/>
        <scheme val="minor"/>
      </rPr>
      <t>-carriage ROAD 
(km)</t>
    </r>
  </si>
  <si>
    <t>Güzergah</t>
  </si>
  <si>
    <t>Route Detail</t>
  </si>
  <si>
    <t>PEN-BARI</t>
  </si>
  <si>
    <t>ROUTE BASED SAVED EMISSIONS</t>
  </si>
  <si>
    <r>
      <t xml:space="preserve">RAIL 
</t>
    </r>
    <r>
      <rPr>
        <b/>
        <sz val="11"/>
        <color rgb="FF0070C0"/>
        <rFont val="Arial"/>
        <family val="2"/>
        <charset val="162"/>
      </rPr>
      <t>0,016</t>
    </r>
  </si>
  <si>
    <t>#</t>
  </si>
  <si>
    <t>Realized date of loading</t>
  </si>
  <si>
    <t>MER-TRI</t>
  </si>
  <si>
    <t>Genel Toplam</t>
  </si>
  <si>
    <t>EXPORT</t>
  </si>
  <si>
    <t>TURKEY</t>
  </si>
  <si>
    <t>24TON / 45HCPW BOX</t>
  </si>
  <si>
    <t>İZMİR</t>
  </si>
  <si>
    <t>SWITZERLAND</t>
  </si>
  <si>
    <t>PENDIK (TR) - TRIESTE (IT)</t>
  </si>
  <si>
    <t>Saved CO2 Emissions (kg CO2)</t>
  </si>
  <si>
    <t>PENDIK (TR) - TRIESTE (IT) - DUISBURG (DE)</t>
  </si>
  <si>
    <t>PENDIK (TR) - PATRAS (GR)</t>
  </si>
  <si>
    <t>PENDIK (TR) - BARI (IT)</t>
  </si>
  <si>
    <t>YALOVA (TR) - SETE (FR)</t>
  </si>
  <si>
    <t>PATRAS (GR) - PENDIK (TR)</t>
  </si>
  <si>
    <t>BARI (IT) - PENDIK (TR)</t>
  </si>
  <si>
    <t>TRA - TRIESTE (IT) - PATRAS (GR)</t>
  </si>
  <si>
    <t>GREECE</t>
  </si>
  <si>
    <t>ITALY</t>
  </si>
  <si>
    <t>KOCAELİ</t>
  </si>
  <si>
    <t>PİREAS</t>
  </si>
  <si>
    <t>ANZIO</t>
  </si>
  <si>
    <t>DE</t>
  </si>
  <si>
    <t>GR</t>
  </si>
  <si>
    <t>IT</t>
  </si>
  <si>
    <t>FR</t>
  </si>
  <si>
    <t>TR</t>
  </si>
  <si>
    <t>ES</t>
  </si>
  <si>
    <t>GB</t>
  </si>
  <si>
    <t>NL</t>
  </si>
  <si>
    <t>HR</t>
  </si>
  <si>
    <t>SI</t>
  </si>
  <si>
    <t>BE</t>
  </si>
  <si>
    <t>50829</t>
  </si>
  <si>
    <t>19300</t>
  </si>
  <si>
    <t>04011</t>
  </si>
  <si>
    <t>19171</t>
  </si>
  <si>
    <t>S80 3FY</t>
  </si>
  <si>
    <t>4004</t>
  </si>
  <si>
    <t>60802</t>
  </si>
  <si>
    <t>1000</t>
  </si>
  <si>
    <t>9130</t>
  </si>
  <si>
    <t>41400</t>
  </si>
  <si>
    <t>PENDIK (TR) - TRIESTE (IT) - DUISBURG (DE)-TURKEY-KOCAELİ-DE-50829</t>
  </si>
  <si>
    <t>PENDIK (TR) - PATRAS (GR)-TURKEY-KOCAELİ-GR-19300</t>
  </si>
  <si>
    <t>PENDIK (TR) - BARI (IT)-TURKEY-KOCAELİ-IT-04011</t>
  </si>
  <si>
    <t>YALOVA (TR) - SETE (FR)-TURKEY-KOCAELİ-ES-19171</t>
  </si>
  <si>
    <t>PENDIK (TR) - TRIESTE (IT) - DUISBURG (DE)-TURKEY-KOCAELİ-GB-S80 3FY</t>
  </si>
  <si>
    <t>PENDIK (TR) - TRIESTE (IT) - DUISBURG (DE)-TURKEY-KOCAELİ-NL-4004</t>
  </si>
  <si>
    <t>PENDIK (TR) - TRIESTE (IT)-TURKEY-KOCAELİ-HR-1000</t>
  </si>
  <si>
    <t>PENDIK (TR) - TRIESTE (IT)-TURKEY-KOCAELİ-SI-1000</t>
  </si>
  <si>
    <t>PENDIK (TR) - TRIESTE (IT) - DUISBURG (DE)-TURKEY-KOCAELİ-BE-9130</t>
  </si>
  <si>
    <t>PATRAS (GR) - PENDIK (TR)-GREECE-PİREAS-TR-41400</t>
  </si>
  <si>
    <t>BARI (IT) - PENDIK (TR)-ITALY-ANZIO-TR-41400</t>
  </si>
  <si>
    <t>TRA - TRIESTE (IT) - PATRAS (GR)-ITALY-ANZIO-GR-19300</t>
  </si>
  <si>
    <t>GEBZE</t>
  </si>
  <si>
    <t>DK</t>
  </si>
  <si>
    <t>4450</t>
  </si>
  <si>
    <t>PENDIK (TR) - TRIESTE (IT)-TURKEY-GEBZE-DK-4450</t>
  </si>
  <si>
    <t>Olszowa</t>
  </si>
  <si>
    <t>PL</t>
  </si>
  <si>
    <t>PENDIK (TR) - TRIESTE (IT)-TURKEY-GEBZE-PL-Olszowa</t>
  </si>
  <si>
    <t>58-100</t>
  </si>
  <si>
    <t>TRIESTE (IT) - PENDIK (TR)</t>
  </si>
  <si>
    <t>TRIESTE (IT) - PENDIK (TR)-PL-58-100-TURKEY-GEBZE</t>
  </si>
  <si>
    <t>TUZLA</t>
  </si>
  <si>
    <t>TRIESTE (IT) - PENDIK (TR)-PL-58-100-TURKEY-TUZLA</t>
  </si>
  <si>
    <t>54-610</t>
  </si>
  <si>
    <t>TRIESTE (IT) - PENDIK (TR)-PL-54-610-TURKEY-GEBZE</t>
  </si>
  <si>
    <t>Bosna</t>
  </si>
  <si>
    <t>Hadzici</t>
  </si>
  <si>
    <t>-</t>
  </si>
  <si>
    <t>--TURKEY-GEBZE-Bosna-Hadzici</t>
  </si>
  <si>
    <t>Bulgaria</t>
  </si>
  <si>
    <t>Sofia</t>
  </si>
  <si>
    <t>--TURKEY-GEBZE-Bulgaria-Sofia</t>
  </si>
  <si>
    <t>Turkey</t>
  </si>
  <si>
    <t>Gebze</t>
  </si>
  <si>
    <t>Kosovo</t>
  </si>
  <si>
    <t>Fushe Kosove</t>
  </si>
  <si>
    <t>--Turkey-Gebze-Kosovo-Fushe Kosove</t>
  </si>
  <si>
    <t>Macedonia</t>
  </si>
  <si>
    <t>Petrovec</t>
  </si>
  <si>
    <t>--Turkey-Gebze-Macedonia-Petrovec</t>
  </si>
  <si>
    <t>Montenegro</t>
  </si>
  <si>
    <t>Kotor</t>
  </si>
  <si>
    <t>--Turkey-Gebze-Montenegro-Kotor</t>
  </si>
  <si>
    <t>é</t>
  </si>
  <si>
    <t>Romania</t>
  </si>
  <si>
    <t>Joita</t>
  </si>
  <si>
    <t>--Turkey-Gebze-Romania-Joita</t>
  </si>
  <si>
    <t>Serbia</t>
  </si>
  <si>
    <t>Zemun</t>
  </si>
  <si>
    <t>--Turkey-Gebze-Serbia-Zemun</t>
  </si>
  <si>
    <t>Poland</t>
  </si>
  <si>
    <t>Swidnica</t>
  </si>
  <si>
    <t>--Poland-Swidnica-Romania-Joita</t>
  </si>
  <si>
    <t>Greece</t>
  </si>
  <si>
    <t>Pireas</t>
  </si>
  <si>
    <t>--Greece-Pireas-Romania-Joita</t>
  </si>
  <si>
    <t>Wroclaw</t>
  </si>
  <si>
    <t>--Poland-Wroclaw-Romania-Joita</t>
  </si>
  <si>
    <t>Trieste -patras</t>
  </si>
  <si>
    <t>1225km</t>
  </si>
  <si>
    <t>FR-60802</t>
  </si>
  <si>
    <t>BE-9130</t>
  </si>
  <si>
    <t>YALOVA (TR) - SETE (FR)-TURKEY-KOCAELİ-FR-60802</t>
  </si>
  <si>
    <t>PEN-PATR</t>
  </si>
  <si>
    <t>Trieste Çeşme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</si>
</sst>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0.0"/>
    <numFmt numFmtId="165" formatCode="_-* #,##0.0_-;\-* #,##0.0_-;_-* &quot;-&quot;??_-;_-@_-"/>
    <numFmt numFmtId="166" formatCode="_-* #,##0_-;\-* #,##0_-;_-* &quot;-&quot;??_-;_-@_-"/>
  </numFmts>
  <fonts count="30" x14ac:knownFonts="1">
    <font>
      <sz val="11"/>
      <color theme="1"/>
      <name val="Calibri"/>
      <family val="2"/>
      <scheme val="minor"/>
    </font>
    <font>
      <b/>
      <sz val="11"/>
      <name val="Calibri"/>
      <family val="2"/>
      <scheme val="minor"/>
    </font>
    <font>
      <sz val="10"/>
      <name val="Arial"/>
      <family val="2"/>
    </font>
    <font>
      <sz val="11"/>
      <name val="Calibri"/>
      <family val="2"/>
      <charset val="162"/>
    </font>
    <font>
      <sz val="11"/>
      <color theme="1"/>
      <name val="Calibri"/>
      <family val="2"/>
      <scheme val="minor"/>
    </font>
    <font>
      <b/>
      <sz val="11"/>
      <color theme="1"/>
      <name val="Calibri"/>
      <family val="2"/>
      <charset val="162"/>
      <scheme val="minor"/>
    </font>
    <font>
      <sz val="11"/>
      <color theme="1"/>
      <name val="Arial"/>
      <family val="2"/>
      <charset val="162"/>
    </font>
    <font>
      <sz val="10"/>
      <color rgb="FF303133"/>
      <name val="Arial"/>
      <family val="2"/>
      <charset val="162"/>
    </font>
    <font>
      <b/>
      <sz val="11"/>
      <color rgb="FF0070C0"/>
      <name val="Arial"/>
      <family val="2"/>
      <charset val="162"/>
    </font>
    <font>
      <b/>
      <sz val="11"/>
      <color theme="1"/>
      <name val="Arial"/>
      <family val="2"/>
      <charset val="162"/>
    </font>
    <font>
      <b/>
      <sz val="11"/>
      <name val="Arial"/>
      <family val="2"/>
      <charset val="162"/>
    </font>
    <font>
      <b/>
      <sz val="10"/>
      <color rgb="FFFF0000"/>
      <name val="Arial"/>
      <family val="2"/>
      <charset val="162"/>
    </font>
    <font>
      <sz val="10"/>
      <color rgb="FFFF0000"/>
      <name val="Arial"/>
      <family val="2"/>
      <charset val="162"/>
    </font>
    <font>
      <b/>
      <sz val="11"/>
      <color theme="0"/>
      <name val="Calibri"/>
      <family val="2"/>
      <scheme val="minor"/>
    </font>
    <font>
      <b/>
      <i/>
      <sz val="11"/>
      <color rgb="FFFF0000"/>
      <name val="Arial"/>
      <family val="2"/>
      <charset val="162"/>
    </font>
    <font>
      <i/>
      <sz val="11"/>
      <name val="Calibri"/>
      <family val="2"/>
      <charset val="162"/>
      <scheme val="minor"/>
    </font>
    <font>
      <sz val="9"/>
      <color indexed="81"/>
      <name val="Tahoma"/>
      <family val="2"/>
      <charset val="162"/>
    </font>
    <font>
      <b/>
      <sz val="9"/>
      <color indexed="81"/>
      <name val="Tahoma"/>
      <family val="2"/>
      <charset val="162"/>
    </font>
    <font>
      <u val="singleAccounting"/>
      <sz val="11"/>
      <color theme="1"/>
      <name val="Arial"/>
      <family val="2"/>
      <charset val="162"/>
    </font>
    <font>
      <b/>
      <sz val="18"/>
      <color theme="1"/>
      <name val="Arial"/>
      <family val="2"/>
      <charset val="162"/>
    </font>
    <font>
      <b/>
      <sz val="11"/>
      <color rgb="FFFF0000"/>
      <name val="Arial"/>
      <family val="2"/>
      <charset val="162"/>
    </font>
    <font>
      <sz val="11"/>
      <name val="Calibri"/>
      <family val="2"/>
      <charset val="162"/>
    </font>
    <font>
      <b/>
      <sz val="11"/>
      <color rgb="FFFF0000"/>
      <name val="Calibri"/>
      <family val="2"/>
      <charset val="162"/>
      <scheme val="minor"/>
    </font>
    <font>
      <b/>
      <sz val="11"/>
      <name val="Calibri"/>
      <family val="2"/>
      <charset val="162"/>
      <scheme val="minor"/>
    </font>
    <font>
      <sz val="11"/>
      <name val="Calibri"/>
      <family val="2"/>
      <charset val="162"/>
    </font>
    <font>
      <b/>
      <sz val="11"/>
      <color theme="1"/>
      <name val="Open Sans"/>
      <charset val="162"/>
    </font>
    <font>
      <b/>
      <sz val="11"/>
      <color theme="1"/>
      <name val="Open Sans"/>
      <charset val="162"/>
    </font>
    <font>
      <sz val="11"/>
      <name val="Calibri"/>
      <family val="2"/>
      <charset val="162"/>
    </font>
    <font>
      <sz val="10"/>
      <color theme="0"/>
      <name val="Arial"/>
      <family val="2"/>
      <charset val="162"/>
    </font>
    <font>
      <sz val="11"/>
      <color theme="1"/>
      <name val="Open Sans"/>
    </font>
  </fonts>
  <fills count="17">
    <fill>
      <patternFill patternType="none"/>
    </fill>
    <fill>
      <patternFill patternType="gray125"/>
    </fill>
    <fill>
      <patternFill patternType="solid">
        <fgColor rgb="FFD9FFFF"/>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C00000"/>
        <bgColor indexed="64"/>
      </patternFill>
    </fill>
    <fill>
      <patternFill patternType="solid">
        <fgColor theme="9" tint="0.39997558519241921"/>
        <bgColor indexed="64"/>
      </patternFill>
    </fill>
    <fill>
      <patternFill patternType="solid">
        <fgColor theme="0" tint="-4.9989318521683403E-2"/>
        <bgColor indexed="64"/>
      </patternFill>
    </fill>
    <fill>
      <patternFill patternType="solid">
        <fgColor theme="6" tint="0.79998168889431442"/>
        <bgColor indexed="64"/>
      </patternFill>
    </fill>
    <fill>
      <patternFill patternType="solid">
        <fgColor rgb="FFFF0000"/>
        <bgColor indexed="64"/>
      </patternFill>
    </fill>
    <fill>
      <patternFill patternType="solid">
        <fgColor rgb="FFFFFFFF"/>
        <bgColor indexed="64"/>
      </patternFill>
    </fill>
    <fill>
      <patternFill patternType="solid">
        <fgColor rgb="FFFFFF00"/>
        <bgColor indexed="64"/>
      </patternFill>
    </fill>
    <fill>
      <patternFill patternType="solid">
        <fgColor theme="7"/>
        <bgColor indexed="64"/>
      </patternFill>
    </fill>
    <fill>
      <patternFill patternType="solid">
        <fgColor rgb="FFCCFF99"/>
        <bgColor indexed="64"/>
      </patternFill>
    </fill>
    <fill>
      <patternFill patternType="solid">
        <fgColor theme="8" tint="0.39997558519241921"/>
        <bgColor indexed="64"/>
      </patternFill>
    </fill>
  </fills>
  <borders count="52">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medium">
        <color indexed="64"/>
      </right>
      <top/>
      <bottom style="hair">
        <color auto="1"/>
      </bottom>
      <diagonal/>
    </border>
    <border>
      <left style="medium">
        <color indexed="64"/>
      </left>
      <right style="thin">
        <color indexed="64"/>
      </right>
      <top/>
      <bottom style="hair">
        <color auto="1"/>
      </bottom>
      <diagonal/>
    </border>
    <border>
      <left style="thin">
        <color indexed="64"/>
      </left>
      <right style="thin">
        <color indexed="64"/>
      </right>
      <top/>
      <bottom style="hair">
        <color auto="1"/>
      </bottom>
      <diagonal/>
    </border>
    <border>
      <left style="thin">
        <color indexed="64"/>
      </left>
      <right style="medium">
        <color indexed="64"/>
      </right>
      <top/>
      <bottom style="hair">
        <color auto="1"/>
      </bottom>
      <diagonal/>
    </border>
    <border>
      <left/>
      <right/>
      <top/>
      <bottom style="hair">
        <color auto="1"/>
      </bottom>
      <diagonal/>
    </border>
    <border>
      <left style="thin">
        <color indexed="64"/>
      </left>
      <right/>
      <top/>
      <bottom style="hair">
        <color auto="1"/>
      </bottom>
      <diagonal/>
    </border>
    <border>
      <left/>
      <right style="thin">
        <color indexed="64"/>
      </right>
      <top style="thin">
        <color indexed="64"/>
      </top>
      <bottom style="thin">
        <color indexed="64"/>
      </bottom>
      <diagonal/>
    </border>
    <border>
      <left/>
      <right style="thin">
        <color indexed="64"/>
      </right>
      <top/>
      <bottom style="hair">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hair">
        <color auto="1"/>
      </left>
      <right style="hair">
        <color auto="1"/>
      </right>
      <top style="hair">
        <color auto="1"/>
      </top>
      <bottom style="hair">
        <color auto="1"/>
      </bottom>
      <diagonal/>
    </border>
    <border>
      <left/>
      <right/>
      <top style="hair">
        <color auto="1"/>
      </top>
      <bottom/>
      <diagonal/>
    </border>
    <border>
      <left/>
      <right style="thin">
        <color indexed="64"/>
      </right>
      <top style="medium">
        <color indexed="64"/>
      </top>
      <bottom style="medium">
        <color indexed="64"/>
      </bottom>
      <diagonal/>
    </border>
    <border>
      <left style="thin">
        <color indexed="64"/>
      </left>
      <right style="thin">
        <color indexed="64"/>
      </right>
      <top style="thin">
        <color indexed="64"/>
      </top>
      <bottom style="hair">
        <color auto="1"/>
      </bottom>
      <diagonal/>
    </border>
    <border>
      <left/>
      <right style="medium">
        <color indexed="64"/>
      </right>
      <top/>
      <bottom/>
      <diagonal/>
    </border>
    <border>
      <left style="medium">
        <color indexed="64"/>
      </left>
      <right/>
      <top/>
      <bottom/>
      <diagonal/>
    </border>
    <border>
      <left style="hair">
        <color auto="1"/>
      </left>
      <right style="hair">
        <color auto="1"/>
      </right>
      <top style="hair">
        <color auto="1"/>
      </top>
      <bottom/>
      <diagonal/>
    </border>
    <border>
      <left style="hair">
        <color auto="1"/>
      </left>
      <right style="hair">
        <color auto="1"/>
      </right>
      <top/>
      <bottom/>
      <diagonal/>
    </border>
    <border>
      <left style="medium">
        <color indexed="64"/>
      </left>
      <right/>
      <top style="hair">
        <color auto="1"/>
      </top>
      <bottom/>
      <diagonal/>
    </border>
    <border>
      <left style="medium">
        <color indexed="64"/>
      </left>
      <right style="thin">
        <color indexed="64"/>
      </right>
      <top style="thin">
        <color indexed="64"/>
      </top>
      <bottom style="hair">
        <color indexed="64"/>
      </bottom>
      <diagonal/>
    </border>
    <border>
      <left style="thin">
        <color indexed="64"/>
      </left>
      <right style="medium">
        <color indexed="64"/>
      </right>
      <top style="thin">
        <color indexed="64"/>
      </top>
      <bottom style="hair">
        <color indexed="64"/>
      </bottom>
      <diagonal/>
    </border>
    <border>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bottom style="thin">
        <color indexed="64"/>
      </bottom>
      <diagonal/>
    </border>
    <border>
      <left/>
      <right/>
      <top style="hair">
        <color auto="1"/>
      </top>
      <bottom style="hair">
        <color auto="1"/>
      </bottom>
      <diagonal/>
    </border>
    <border>
      <left/>
      <right style="thin">
        <color indexed="64"/>
      </right>
      <top style="hair">
        <color auto="1"/>
      </top>
      <bottom style="hair">
        <color auto="1"/>
      </bottom>
      <diagonal/>
    </border>
    <border>
      <left style="thin">
        <color indexed="64"/>
      </left>
      <right style="thin">
        <color indexed="64"/>
      </right>
      <top style="hair">
        <color auto="1"/>
      </top>
      <bottom style="hair">
        <color auto="1"/>
      </bottom>
      <diagonal/>
    </border>
    <border>
      <left style="medium">
        <color indexed="64"/>
      </left>
      <right style="thin">
        <color indexed="64"/>
      </right>
      <top style="hair">
        <color auto="1"/>
      </top>
      <bottom style="hair">
        <color auto="1"/>
      </bottom>
      <diagonal/>
    </border>
    <border>
      <left style="thin">
        <color indexed="64"/>
      </left>
      <right style="medium">
        <color indexed="64"/>
      </right>
      <top style="hair">
        <color auto="1"/>
      </top>
      <bottom style="hair">
        <color auto="1"/>
      </bottom>
      <diagonal/>
    </border>
    <border>
      <left style="thin">
        <color indexed="64"/>
      </left>
      <right/>
      <top style="hair">
        <color auto="1"/>
      </top>
      <bottom style="hair">
        <color auto="1"/>
      </bottom>
      <diagonal/>
    </border>
    <border>
      <left style="hair">
        <color indexed="64"/>
      </left>
      <right style="hair">
        <color indexed="64"/>
      </right>
      <top/>
      <bottom style="hair">
        <color indexed="64"/>
      </bottom>
      <diagonal/>
    </border>
    <border>
      <left/>
      <right style="thin">
        <color indexed="64"/>
      </right>
      <top style="hair">
        <color auto="1"/>
      </top>
      <bottom/>
      <diagonal/>
    </border>
    <border>
      <left style="thin">
        <color indexed="64"/>
      </left>
      <right style="thin">
        <color indexed="64"/>
      </right>
      <top style="hair">
        <color auto="1"/>
      </top>
      <bottom/>
      <diagonal/>
    </border>
    <border>
      <left style="medium">
        <color indexed="64"/>
      </left>
      <right style="thin">
        <color indexed="64"/>
      </right>
      <top style="hair">
        <color auto="1"/>
      </top>
      <bottom/>
      <diagonal/>
    </border>
    <border>
      <left style="thin">
        <color indexed="64"/>
      </left>
      <right style="medium">
        <color indexed="64"/>
      </right>
      <top style="hair">
        <color auto="1"/>
      </top>
      <bottom/>
      <diagonal/>
    </border>
    <border>
      <left style="thin">
        <color indexed="64"/>
      </left>
      <right/>
      <top style="hair">
        <color auto="1"/>
      </top>
      <bottom/>
      <diagonal/>
    </border>
  </borders>
  <cellStyleXfs count="8">
    <xf numFmtId="0" fontId="0" fillId="0" borderId="0"/>
    <xf numFmtId="0" fontId="2" fillId="0" borderId="0"/>
    <xf numFmtId="0" fontId="3" fillId="0" borderId="0"/>
    <xf numFmtId="43" fontId="4" fillId="0" borderId="0" applyFont="0" applyFill="0" applyBorder="0" applyAlignment="0" applyProtection="0"/>
    <xf numFmtId="0" fontId="21" fillId="0" borderId="0"/>
    <xf numFmtId="43" fontId="21" fillId="0" borderId="0" applyFont="0" applyFill="0" applyBorder="0" applyAlignment="0" applyProtection="0"/>
    <xf numFmtId="0" fontId="24" fillId="0" borderId="0"/>
    <xf numFmtId="0" fontId="27" fillId="0" borderId="0"/>
  </cellStyleXfs>
  <cellXfs count="147">
    <xf numFmtId="0" fontId="0" fillId="0" borderId="0" xfId="0"/>
    <xf numFmtId="0" fontId="6" fillId="0" borderId="0" xfId="0" applyFont="1"/>
    <xf numFmtId="0" fontId="6" fillId="0" borderId="0" xfId="0" applyFont="1" applyAlignment="1">
      <alignment horizontal="left"/>
    </xf>
    <xf numFmtId="0" fontId="6" fillId="0" borderId="0" xfId="0" applyFont="1" applyAlignment="1">
      <alignment horizontal="right"/>
    </xf>
    <xf numFmtId="0" fontId="6" fillId="0" borderId="0" xfId="0" applyFont="1" applyAlignment="1">
      <alignment horizontal="left" vertical="center"/>
    </xf>
    <xf numFmtId="2" fontId="6" fillId="0" borderId="0" xfId="0" applyNumberFormat="1" applyFont="1" applyAlignment="1">
      <alignment horizontal="right"/>
    </xf>
    <xf numFmtId="164" fontId="6" fillId="0" borderId="0" xfId="0" applyNumberFormat="1" applyFont="1" applyAlignment="1">
      <alignment horizontal="right"/>
    </xf>
    <xf numFmtId="0" fontId="6" fillId="0" borderId="0" xfId="0" applyFont="1" applyAlignment="1">
      <alignment horizontal="center"/>
    </xf>
    <xf numFmtId="0" fontId="9" fillId="4" borderId="23" xfId="0" applyFont="1" applyFill="1" applyBorder="1" applyAlignment="1">
      <alignment horizontal="center" vertical="center" wrapText="1"/>
    </xf>
    <xf numFmtId="0" fontId="7" fillId="0" borderId="0" xfId="0" applyFont="1" applyAlignment="1">
      <alignment vertical="center" wrapText="1"/>
    </xf>
    <xf numFmtId="2" fontId="9" fillId="0" borderId="1" xfId="0" applyNumberFormat="1" applyFont="1" applyBorder="1" applyAlignment="1">
      <alignment horizontal="center" vertical="center" wrapText="1"/>
    </xf>
    <xf numFmtId="0" fontId="9" fillId="0" borderId="1" xfId="0" applyFont="1" applyBorder="1" applyAlignment="1">
      <alignment horizontal="center" vertical="center" wrapText="1"/>
    </xf>
    <xf numFmtId="0" fontId="15" fillId="0" borderId="0" xfId="0" applyFont="1" applyAlignment="1">
      <alignment horizontal="left" vertical="center"/>
    </xf>
    <xf numFmtId="0" fontId="5" fillId="3" borderId="1" xfId="0" applyFont="1" applyFill="1" applyBorder="1" applyAlignment="1">
      <alignment vertical="center"/>
    </xf>
    <xf numFmtId="0" fontId="13" fillId="7" borderId="1" xfId="0" applyFont="1" applyFill="1" applyBorder="1" applyAlignment="1">
      <alignment horizontal="center" vertical="center" wrapText="1"/>
    </xf>
    <xf numFmtId="3" fontId="0" fillId="0" borderId="0" xfId="0" applyNumberFormat="1"/>
    <xf numFmtId="0" fontId="9" fillId="6" borderId="1" xfId="0" applyFont="1" applyFill="1" applyBorder="1" applyAlignment="1">
      <alignment horizontal="center" vertical="center" wrapText="1"/>
    </xf>
    <xf numFmtId="0" fontId="9" fillId="10" borderId="1" xfId="0" applyFont="1" applyFill="1" applyBorder="1" applyAlignment="1">
      <alignment horizontal="center" vertical="center" wrapText="1"/>
    </xf>
    <xf numFmtId="43" fontId="9" fillId="9" borderId="1" xfId="3" applyFont="1" applyFill="1" applyBorder="1" applyAlignment="1">
      <alignment horizontal="right" vertical="center"/>
    </xf>
    <xf numFmtId="43" fontId="0" fillId="0" borderId="0" xfId="3" applyFont="1"/>
    <xf numFmtId="166" fontId="0" fillId="0" borderId="0" xfId="3" applyNumberFormat="1" applyFont="1"/>
    <xf numFmtId="0" fontId="6" fillId="0" borderId="9" xfId="0" applyFont="1" applyBorder="1" applyAlignment="1" applyProtection="1">
      <alignment horizontal="left"/>
      <protection locked="0"/>
    </xf>
    <xf numFmtId="14" fontId="6" fillId="0" borderId="9" xfId="0" applyNumberFormat="1" applyFont="1" applyBorder="1" applyAlignment="1" applyProtection="1">
      <alignment horizontal="right"/>
      <protection locked="0"/>
    </xf>
    <xf numFmtId="0" fontId="13" fillId="11" borderId="1" xfId="0" applyFont="1" applyFill="1" applyBorder="1" applyAlignment="1">
      <alignment horizontal="center" vertical="top" wrapText="1"/>
    </xf>
    <xf numFmtId="166" fontId="6" fillId="0" borderId="8" xfId="3" applyNumberFormat="1" applyFont="1" applyBorder="1" applyAlignment="1">
      <alignment horizontal="right"/>
    </xf>
    <xf numFmtId="166" fontId="6" fillId="0" borderId="6" xfId="3" applyNumberFormat="1" applyFont="1" applyBorder="1" applyAlignment="1">
      <alignment horizontal="right"/>
    </xf>
    <xf numFmtId="166" fontId="6" fillId="0" borderId="7" xfId="3" applyNumberFormat="1" applyFont="1" applyBorder="1" applyAlignment="1">
      <alignment horizontal="right"/>
    </xf>
    <xf numFmtId="166" fontId="6" fillId="0" borderId="10" xfId="3" applyNumberFormat="1" applyFont="1" applyBorder="1" applyAlignment="1">
      <alignment horizontal="right"/>
    </xf>
    <xf numFmtId="166" fontId="6" fillId="0" borderId="12" xfId="3" applyNumberFormat="1" applyFont="1" applyBorder="1" applyAlignment="1">
      <alignment horizontal="right"/>
    </xf>
    <xf numFmtId="166" fontId="6" fillId="0" borderId="5" xfId="3" applyNumberFormat="1" applyFont="1" applyBorder="1"/>
    <xf numFmtId="0" fontId="6" fillId="0" borderId="25" xfId="0" applyFont="1" applyBorder="1" applyAlignment="1" applyProtection="1">
      <alignment horizontal="left"/>
      <protection locked="0"/>
    </xf>
    <xf numFmtId="43" fontId="0" fillId="0" borderId="1" xfId="3" applyFont="1" applyFill="1" applyBorder="1" applyAlignment="1">
      <alignment horizontal="right" vertical="center"/>
    </xf>
    <xf numFmtId="43" fontId="0" fillId="6" borderId="1" xfId="3" applyFont="1" applyFill="1" applyBorder="1" applyAlignment="1">
      <alignment horizontal="right" vertical="center"/>
    </xf>
    <xf numFmtId="166" fontId="6" fillId="0" borderId="27" xfId="3" applyNumberFormat="1" applyFont="1" applyBorder="1" applyAlignment="1">
      <alignment horizontal="right"/>
    </xf>
    <xf numFmtId="166" fontId="6" fillId="0" borderId="27" xfId="3" applyNumberFormat="1" applyFont="1" applyBorder="1"/>
    <xf numFmtId="0" fontId="3" fillId="0" borderId="0" xfId="2"/>
    <xf numFmtId="0" fontId="12" fillId="0" borderId="28" xfId="0" applyFont="1" applyBorder="1" applyAlignment="1">
      <alignment horizontal="center" vertical="center" wrapText="1"/>
    </xf>
    <xf numFmtId="0" fontId="11" fillId="0" borderId="29" xfId="0" applyFont="1" applyBorder="1" applyAlignment="1">
      <alignment horizontal="center" vertical="center" wrapText="1"/>
    </xf>
    <xf numFmtId="43" fontId="18" fillId="12" borderId="30" xfId="3" applyFont="1" applyFill="1" applyBorder="1" applyAlignment="1">
      <alignment horizontal="center" vertical="center"/>
    </xf>
    <xf numFmtId="43" fontId="18" fillId="12" borderId="31" xfId="3" applyFont="1" applyFill="1" applyBorder="1" applyAlignment="1">
      <alignment horizontal="center" vertical="center"/>
    </xf>
    <xf numFmtId="166" fontId="23" fillId="2" borderId="1" xfId="3" applyNumberFormat="1" applyFont="1" applyFill="1" applyBorder="1" applyAlignment="1">
      <alignment horizontal="center" vertical="top" wrapText="1"/>
    </xf>
    <xf numFmtId="166" fontId="1" fillId="2" borderId="1" xfId="3" applyNumberFormat="1" applyFont="1" applyFill="1" applyBorder="1" applyAlignment="1">
      <alignment horizontal="center" vertical="top" wrapText="1"/>
    </xf>
    <xf numFmtId="0" fontId="0" fillId="0" borderId="0" xfId="2" applyFont="1"/>
    <xf numFmtId="0" fontId="11" fillId="0" borderId="28" xfId="0" applyFont="1" applyBorder="1" applyAlignment="1">
      <alignment horizontal="center" vertical="center" wrapText="1"/>
    </xf>
    <xf numFmtId="0" fontId="6" fillId="0" borderId="32" xfId="0" applyFont="1" applyBorder="1" applyAlignment="1" applyProtection="1">
      <alignment horizontal="left"/>
      <protection locked="0"/>
    </xf>
    <xf numFmtId="165" fontId="6" fillId="0" borderId="8" xfId="3" applyNumberFormat="1" applyFont="1" applyBorder="1" applyAlignment="1" applyProtection="1">
      <alignment horizontal="right"/>
      <protection locked="0"/>
    </xf>
    <xf numFmtId="0" fontId="12" fillId="0" borderId="29" xfId="0" applyFont="1" applyBorder="1" applyAlignment="1">
      <alignment horizontal="center" vertical="center" wrapText="1"/>
    </xf>
    <xf numFmtId="0" fontId="0" fillId="0" borderId="28" xfId="0" applyBorder="1"/>
    <xf numFmtId="0" fontId="6" fillId="0" borderId="33" xfId="0" applyFont="1" applyBorder="1" applyAlignment="1">
      <alignment horizontal="right"/>
    </xf>
    <xf numFmtId="0" fontId="6" fillId="0" borderId="27" xfId="0" applyFont="1" applyBorder="1" applyAlignment="1">
      <alignment horizontal="right"/>
    </xf>
    <xf numFmtId="0" fontId="6" fillId="0" borderId="34" xfId="0" applyFont="1" applyBorder="1" applyAlignment="1">
      <alignment horizontal="right"/>
    </xf>
    <xf numFmtId="0" fontId="9" fillId="3" borderId="3" xfId="0" applyFont="1" applyFill="1" applyBorder="1" applyAlignment="1">
      <alignment horizontal="left" vertical="center" wrapText="1"/>
    </xf>
    <xf numFmtId="0" fontId="20" fillId="3" borderId="3" xfId="0" applyFont="1" applyFill="1" applyBorder="1" applyAlignment="1">
      <alignment horizontal="left" vertical="center" wrapText="1"/>
    </xf>
    <xf numFmtId="0" fontId="9" fillId="13" borderId="3" xfId="0" applyFont="1" applyFill="1" applyBorder="1" applyAlignment="1">
      <alignment horizontal="left" vertical="center" wrapText="1"/>
    </xf>
    <xf numFmtId="0" fontId="9" fillId="3" borderId="35" xfId="0" applyFont="1" applyFill="1" applyBorder="1" applyAlignment="1">
      <alignment horizontal="left" vertical="center" wrapText="1"/>
    </xf>
    <xf numFmtId="0" fontId="10" fillId="4" borderId="36" xfId="0" applyFont="1" applyFill="1" applyBorder="1" applyAlignment="1">
      <alignment horizontal="right" vertical="center" wrapText="1"/>
    </xf>
    <xf numFmtId="0" fontId="10" fillId="4" borderId="37" xfId="0" applyFont="1" applyFill="1" applyBorder="1" applyAlignment="1">
      <alignment horizontal="right" vertical="center" wrapText="1"/>
    </xf>
    <xf numFmtId="0" fontId="10" fillId="4" borderId="38" xfId="0" applyFont="1" applyFill="1" applyBorder="1" applyAlignment="1">
      <alignment horizontal="right" vertical="center" wrapText="1"/>
    </xf>
    <xf numFmtId="0" fontId="10" fillId="5" borderId="36" xfId="0" applyFont="1" applyFill="1" applyBorder="1" applyAlignment="1">
      <alignment horizontal="center" vertical="center" wrapText="1"/>
    </xf>
    <xf numFmtId="0" fontId="10" fillId="5" borderId="37" xfId="0" applyFont="1" applyFill="1" applyBorder="1" applyAlignment="1">
      <alignment horizontal="center" vertical="center" wrapText="1"/>
    </xf>
    <xf numFmtId="0" fontId="10" fillId="5" borderId="38" xfId="0" applyFont="1" applyFill="1" applyBorder="1" applyAlignment="1">
      <alignment horizontal="center" vertical="center" wrapText="1"/>
    </xf>
    <xf numFmtId="0" fontId="10" fillId="6" borderId="36" xfId="0" applyFont="1" applyFill="1" applyBorder="1" applyAlignment="1">
      <alignment horizontal="right" vertical="center" wrapText="1"/>
    </xf>
    <xf numFmtId="0" fontId="10" fillId="6" borderId="37" xfId="0" applyFont="1" applyFill="1" applyBorder="1" applyAlignment="1">
      <alignment horizontal="right" vertical="center" wrapText="1"/>
    </xf>
    <xf numFmtId="2" fontId="10" fillId="6" borderId="37" xfId="0" applyNumberFormat="1" applyFont="1" applyFill="1" applyBorder="1" applyAlignment="1">
      <alignment horizontal="center" vertical="center" wrapText="1"/>
    </xf>
    <xf numFmtId="0" fontId="9" fillId="6" borderId="37" xfId="0" applyFont="1" applyFill="1" applyBorder="1" applyAlignment="1">
      <alignment horizontal="center" vertical="center" wrapText="1"/>
    </xf>
    <xf numFmtId="0" fontId="6" fillId="6" borderId="37" xfId="0" applyFont="1" applyFill="1" applyBorder="1" applyAlignment="1">
      <alignment horizontal="center" vertical="center" wrapText="1"/>
    </xf>
    <xf numFmtId="0" fontId="9" fillId="3" borderId="39" xfId="0" applyFont="1" applyFill="1" applyBorder="1" applyAlignment="1">
      <alignment horizontal="left" vertical="center" wrapText="1"/>
    </xf>
    <xf numFmtId="0" fontId="6" fillId="6" borderId="38" xfId="0" applyFont="1" applyFill="1" applyBorder="1" applyAlignment="1">
      <alignment horizontal="right" vertical="center" wrapText="1"/>
    </xf>
    <xf numFmtId="0" fontId="3" fillId="0" borderId="3" xfId="2" applyBorder="1"/>
    <xf numFmtId="0" fontId="0" fillId="0" borderId="3" xfId="0" applyBorder="1"/>
    <xf numFmtId="166" fontId="0" fillId="0" borderId="3" xfId="3" applyNumberFormat="1" applyFont="1" applyBorder="1"/>
    <xf numFmtId="166" fontId="0" fillId="0" borderId="0" xfId="3" applyNumberFormat="1" applyFont="1" applyFill="1"/>
    <xf numFmtId="0" fontId="6" fillId="0" borderId="0" xfId="0" applyFont="1" applyAlignment="1" applyProtection="1">
      <alignment horizontal="left"/>
      <protection locked="0"/>
    </xf>
    <xf numFmtId="0" fontId="11" fillId="0" borderId="0" xfId="0" applyFont="1" applyAlignment="1">
      <alignment horizontal="center" vertical="center" wrapText="1"/>
    </xf>
    <xf numFmtId="0" fontId="12" fillId="0" borderId="0" xfId="0" applyFont="1" applyAlignment="1">
      <alignment horizontal="center" vertical="center" wrapText="1"/>
    </xf>
    <xf numFmtId="0" fontId="11" fillId="0" borderId="0" xfId="0" applyFont="1" applyAlignment="1">
      <alignment vertical="center" wrapText="1"/>
    </xf>
    <xf numFmtId="0" fontId="9" fillId="13" borderId="3" xfId="0" applyFont="1" applyFill="1" applyBorder="1" applyAlignment="1">
      <alignment vertical="center" wrapText="1"/>
    </xf>
    <xf numFmtId="14" fontId="6" fillId="0" borderId="9" xfId="0" applyNumberFormat="1" applyFont="1" applyBorder="1" applyProtection="1">
      <protection locked="0"/>
    </xf>
    <xf numFmtId="0" fontId="28" fillId="0" borderId="0" xfId="0" applyFont="1" applyAlignment="1">
      <alignment horizontal="center"/>
    </xf>
    <xf numFmtId="0" fontId="28" fillId="0" borderId="0" xfId="0" applyFont="1" applyAlignment="1">
      <alignment horizontal="right"/>
    </xf>
    <xf numFmtId="166" fontId="0" fillId="0" borderId="0" xfId="3" applyNumberFormat="1" applyFont="1" applyBorder="1"/>
    <xf numFmtId="166" fontId="0" fillId="0" borderId="0" xfId="3" applyNumberFormat="1" applyFont="1" applyFill="1" applyBorder="1"/>
    <xf numFmtId="0" fontId="29" fillId="0" borderId="4" xfId="0" applyFont="1" applyBorder="1"/>
    <xf numFmtId="0" fontId="29" fillId="0" borderId="11" xfId="0" applyFont="1" applyBorder="1"/>
    <xf numFmtId="0" fontId="29" fillId="0" borderId="2" xfId="0" applyFont="1" applyBorder="1"/>
    <xf numFmtId="0" fontId="6" fillId="0" borderId="25" xfId="0" applyFont="1" applyBorder="1" applyAlignment="1" applyProtection="1">
      <alignment horizontal="left" wrapText="1"/>
      <protection locked="0"/>
    </xf>
    <xf numFmtId="0" fontId="6" fillId="0" borderId="9" xfId="0" applyFont="1" applyBorder="1" applyAlignment="1" applyProtection="1">
      <alignment horizontal="left" wrapText="1"/>
      <protection locked="0"/>
    </xf>
    <xf numFmtId="0" fontId="29" fillId="0" borderId="1" xfId="0" pivotButton="1" applyFont="1" applyBorder="1"/>
    <xf numFmtId="0" fontId="29" fillId="0" borderId="1" xfId="0" applyFont="1" applyBorder="1" applyAlignment="1">
      <alignment horizontal="right"/>
    </xf>
    <xf numFmtId="0" fontId="29" fillId="0" borderId="1" xfId="0" pivotButton="1" applyFont="1" applyBorder="1" applyAlignment="1">
      <alignment wrapText="1"/>
    </xf>
    <xf numFmtId="0" fontId="29" fillId="0" borderId="1" xfId="0" applyFont="1" applyBorder="1" applyAlignment="1">
      <alignment horizontal="right" wrapText="1"/>
    </xf>
    <xf numFmtId="0" fontId="29" fillId="0" borderId="1" xfId="0" applyFont="1" applyBorder="1"/>
    <xf numFmtId="3" fontId="29" fillId="0" borderId="1" xfId="0" applyNumberFormat="1" applyFont="1" applyBorder="1"/>
    <xf numFmtId="166" fontId="6" fillId="0" borderId="40" xfId="0" applyNumberFormat="1" applyFont="1" applyBorder="1" applyAlignment="1" applyProtection="1">
      <alignment horizontal="right"/>
      <protection locked="0"/>
    </xf>
    <xf numFmtId="0" fontId="6" fillId="0" borderId="40" xfId="0" applyFont="1" applyBorder="1" applyAlignment="1" applyProtection="1">
      <alignment horizontal="left"/>
      <protection locked="0"/>
    </xf>
    <xf numFmtId="14" fontId="6" fillId="0" borderId="40" xfId="0" applyNumberFormat="1" applyFont="1" applyBorder="1" applyAlignment="1" applyProtection="1">
      <alignment horizontal="right"/>
      <protection locked="0"/>
    </xf>
    <xf numFmtId="0" fontId="6" fillId="0" borderId="41" xfId="0" applyFont="1" applyBorder="1" applyAlignment="1" applyProtection="1">
      <alignment horizontal="left"/>
      <protection locked="0"/>
    </xf>
    <xf numFmtId="165" fontId="6" fillId="0" borderId="42" xfId="3" applyNumberFormat="1" applyFont="1" applyBorder="1" applyAlignment="1" applyProtection="1">
      <alignment horizontal="right"/>
      <protection locked="0"/>
    </xf>
    <xf numFmtId="166" fontId="6" fillId="0" borderId="43" xfId="3" applyNumberFormat="1" applyFont="1" applyBorder="1" applyAlignment="1">
      <alignment horizontal="right"/>
    </xf>
    <xf numFmtId="166" fontId="6" fillId="0" borderId="42" xfId="3" applyNumberFormat="1" applyFont="1" applyBorder="1" applyAlignment="1">
      <alignment horizontal="right"/>
    </xf>
    <xf numFmtId="0" fontId="6" fillId="0" borderId="43" xfId="0" applyFont="1" applyBorder="1" applyAlignment="1">
      <alignment horizontal="right"/>
    </xf>
    <xf numFmtId="0" fontId="6" fillId="0" borderId="42" xfId="0" applyFont="1" applyBorder="1" applyAlignment="1">
      <alignment horizontal="right"/>
    </xf>
    <xf numFmtId="0" fontId="6" fillId="0" borderId="44" xfId="0" applyFont="1" applyBorder="1" applyAlignment="1">
      <alignment horizontal="right"/>
    </xf>
    <xf numFmtId="166" fontId="6" fillId="0" borderId="45" xfId="3" applyNumberFormat="1" applyFont="1" applyBorder="1" applyAlignment="1">
      <alignment horizontal="right"/>
    </xf>
    <xf numFmtId="166" fontId="6" fillId="0" borderId="42" xfId="3" applyNumberFormat="1" applyFont="1" applyBorder="1"/>
    <xf numFmtId="166" fontId="6" fillId="0" borderId="40" xfId="3" applyNumberFormat="1" applyFont="1" applyBorder="1"/>
    <xf numFmtId="0" fontId="0" fillId="13" borderId="0" xfId="0" applyFill="1"/>
    <xf numFmtId="166" fontId="6" fillId="13" borderId="42" xfId="3" applyNumberFormat="1" applyFont="1" applyFill="1" applyBorder="1" applyAlignment="1">
      <alignment horizontal="right"/>
    </xf>
    <xf numFmtId="166" fontId="6" fillId="16" borderId="42" xfId="3" applyNumberFormat="1" applyFont="1" applyFill="1" applyBorder="1" applyAlignment="1">
      <alignment horizontal="right"/>
    </xf>
    <xf numFmtId="166" fontId="6" fillId="16" borderId="27" xfId="3" applyNumberFormat="1" applyFont="1" applyFill="1" applyBorder="1" applyAlignment="1">
      <alignment horizontal="right"/>
    </xf>
    <xf numFmtId="0" fontId="0" fillId="0" borderId="46" xfId="0" applyBorder="1" applyAlignment="1">
      <alignment horizontal="center" vertical="center"/>
    </xf>
    <xf numFmtId="166" fontId="6" fillId="0" borderId="47" xfId="0" applyNumberFormat="1" applyFont="1" applyBorder="1" applyAlignment="1">
      <alignment horizontal="right"/>
    </xf>
    <xf numFmtId="166" fontId="6" fillId="0" borderId="25" xfId="0" applyNumberFormat="1" applyFont="1" applyBorder="1" applyAlignment="1">
      <alignment horizontal="right"/>
    </xf>
    <xf numFmtId="14" fontId="6" fillId="0" borderId="0" xfId="0" applyNumberFormat="1" applyFont="1" applyProtection="1">
      <protection locked="0"/>
    </xf>
    <xf numFmtId="14" fontId="6" fillId="0" borderId="25" xfId="0" applyNumberFormat="1" applyFont="1" applyBorder="1" applyAlignment="1" applyProtection="1">
      <alignment horizontal="right"/>
      <protection locked="0"/>
    </xf>
    <xf numFmtId="0" fontId="6" fillId="0" borderId="47" xfId="0" applyFont="1" applyBorder="1" applyAlignment="1" applyProtection="1">
      <alignment horizontal="left"/>
      <protection locked="0"/>
    </xf>
    <xf numFmtId="165" fontId="6" fillId="0" borderId="48" xfId="0" applyNumberFormat="1" applyFont="1" applyBorder="1" applyAlignment="1" applyProtection="1">
      <alignment horizontal="right"/>
      <protection locked="0"/>
    </xf>
    <xf numFmtId="166" fontId="6" fillId="0" borderId="49" xfId="0" applyNumberFormat="1" applyFont="1" applyBorder="1" applyAlignment="1">
      <alignment horizontal="right"/>
    </xf>
    <xf numFmtId="166" fontId="6" fillId="0" borderId="48" xfId="0" applyNumberFormat="1" applyFont="1" applyBorder="1" applyAlignment="1">
      <alignment horizontal="right"/>
    </xf>
    <xf numFmtId="0" fontId="6" fillId="0" borderId="49" xfId="0" applyFont="1" applyBorder="1" applyAlignment="1">
      <alignment horizontal="right"/>
    </xf>
    <xf numFmtId="0" fontId="6" fillId="0" borderId="48" xfId="0" applyFont="1" applyBorder="1" applyAlignment="1">
      <alignment horizontal="right"/>
    </xf>
    <xf numFmtId="0" fontId="6" fillId="0" borderId="50" xfId="0" applyFont="1" applyBorder="1" applyAlignment="1">
      <alignment horizontal="right"/>
    </xf>
    <xf numFmtId="166" fontId="6" fillId="0" borderId="51" xfId="0" applyNumberFormat="1" applyFont="1" applyBorder="1" applyAlignment="1">
      <alignment horizontal="right"/>
    </xf>
    <xf numFmtId="166" fontId="6" fillId="0" borderId="48" xfId="0" applyNumberFormat="1" applyFont="1" applyBorder="1"/>
    <xf numFmtId="166" fontId="6" fillId="0" borderId="25" xfId="0" applyNumberFormat="1" applyFont="1" applyBorder="1"/>
    <xf numFmtId="0" fontId="0" fillId="0" borderId="0" xfId="0" applyAlignment="1">
      <alignment horizontal="center" vertical="center"/>
    </xf>
    <xf numFmtId="0" fontId="26" fillId="14" borderId="1" xfId="0" applyFont="1" applyFill="1" applyBorder="1" applyAlignment="1">
      <alignment horizontal="center"/>
    </xf>
    <xf numFmtId="0" fontId="25" fillId="3" borderId="0" xfId="0" applyFont="1" applyFill="1" applyAlignment="1">
      <alignment horizontal="center"/>
    </xf>
    <xf numFmtId="0" fontId="9" fillId="4" borderId="22" xfId="0" applyFont="1" applyFill="1" applyBorder="1" applyAlignment="1">
      <alignment horizontal="center" vertical="center"/>
    </xf>
    <xf numFmtId="0" fontId="9" fillId="4" borderId="26" xfId="0" applyFont="1" applyFill="1" applyBorder="1" applyAlignment="1">
      <alignment horizontal="center" vertical="center"/>
    </xf>
    <xf numFmtId="0" fontId="9" fillId="4" borderId="20" xfId="0" applyFont="1" applyFill="1" applyBorder="1" applyAlignment="1">
      <alignment horizontal="center" vertical="center"/>
    </xf>
    <xf numFmtId="0" fontId="9" fillId="5" borderId="22" xfId="0" applyFont="1" applyFill="1" applyBorder="1" applyAlignment="1">
      <alignment horizontal="center" vertical="center" wrapText="1"/>
    </xf>
    <xf numFmtId="0" fontId="9" fillId="5" borderId="20" xfId="0" applyFont="1" applyFill="1" applyBorder="1" applyAlignment="1">
      <alignment horizontal="center" vertical="center"/>
    </xf>
    <xf numFmtId="0" fontId="9" fillId="5" borderId="23" xfId="0" applyFont="1" applyFill="1" applyBorder="1" applyAlignment="1">
      <alignment horizontal="center" vertical="center"/>
    </xf>
    <xf numFmtId="2" fontId="19" fillId="8" borderId="13" xfId="0" applyNumberFormat="1" applyFont="1" applyFill="1" applyBorder="1" applyAlignment="1">
      <alignment horizontal="center" vertical="center"/>
    </xf>
    <xf numFmtId="2" fontId="19" fillId="8" borderId="14" xfId="0" applyNumberFormat="1" applyFont="1" applyFill="1" applyBorder="1" applyAlignment="1">
      <alignment horizontal="center" vertical="center"/>
    </xf>
    <xf numFmtId="2" fontId="19" fillId="8" borderId="15" xfId="0" applyNumberFormat="1" applyFont="1" applyFill="1" applyBorder="1" applyAlignment="1">
      <alignment horizontal="center" vertical="center"/>
    </xf>
    <xf numFmtId="2" fontId="19" fillId="8" borderId="16" xfId="0" applyNumberFormat="1" applyFont="1" applyFill="1" applyBorder="1" applyAlignment="1">
      <alignment horizontal="center" vertical="center"/>
    </xf>
    <xf numFmtId="2" fontId="19" fillId="8" borderId="3" xfId="0" applyNumberFormat="1" applyFont="1" applyFill="1" applyBorder="1" applyAlignment="1">
      <alignment horizontal="center" vertical="center"/>
    </xf>
    <xf numFmtId="2" fontId="19" fillId="8" borderId="17" xfId="0" applyNumberFormat="1" applyFont="1" applyFill="1" applyBorder="1" applyAlignment="1">
      <alignment horizontal="center" vertical="center"/>
    </xf>
    <xf numFmtId="0" fontId="6" fillId="6" borderId="24" xfId="0" applyFont="1" applyFill="1" applyBorder="1" applyAlignment="1">
      <alignment horizontal="center" vertical="center" wrapText="1"/>
    </xf>
    <xf numFmtId="0" fontId="9" fillId="3" borderId="18" xfId="0" applyFont="1" applyFill="1" applyBorder="1" applyAlignment="1">
      <alignment horizontal="center" vertical="center"/>
    </xf>
    <xf numFmtId="0" fontId="9" fillId="3" borderId="19" xfId="0" applyFont="1" applyFill="1" applyBorder="1" applyAlignment="1">
      <alignment horizontal="center" vertical="center"/>
    </xf>
    <xf numFmtId="0" fontId="9" fillId="3" borderId="21" xfId="0" applyFont="1" applyFill="1" applyBorder="1" applyAlignment="1">
      <alignment horizontal="center" vertical="center"/>
    </xf>
    <xf numFmtId="2" fontId="9" fillId="15" borderId="18" xfId="0" applyNumberFormat="1" applyFont="1" applyFill="1" applyBorder="1" applyAlignment="1">
      <alignment horizontal="center" vertical="center"/>
    </xf>
    <xf numFmtId="2" fontId="9" fillId="15" borderId="19" xfId="0" applyNumberFormat="1" applyFont="1" applyFill="1" applyBorder="1" applyAlignment="1">
      <alignment horizontal="center" vertical="center"/>
    </xf>
    <xf numFmtId="2" fontId="9" fillId="15" borderId="21" xfId="0" applyNumberFormat="1" applyFont="1" applyFill="1" applyBorder="1" applyAlignment="1">
      <alignment horizontal="center" vertical="center"/>
    </xf>
  </cellXfs>
  <cellStyles count="8">
    <cellStyle name="_x0004_" xfId="1" xr:uid="{A51F84FD-DA57-4CEB-AD85-4A33E2824F86}"/>
    <cellStyle name="Comma 2" xfId="5" xr:uid="{680A2432-A568-4886-839E-83331ECB1260}"/>
    <cellStyle name="Normal" xfId="0" builtinId="0"/>
    <cellStyle name="Normal 2" xfId="2" xr:uid="{772C0736-7C15-4E3A-9A27-60C3D042EA21}"/>
    <cellStyle name="Normal 3" xfId="4" xr:uid="{6203BC8A-BE5A-4D81-B56C-3DDBDEC6EF3C}"/>
    <cellStyle name="Normal 4" xfId="6" xr:uid="{D26C3D1A-383F-47FE-94D2-832D775A79CA}"/>
    <cellStyle name="Normal 5" xfId="7" xr:uid="{51CAE324-0419-4274-8476-9CFA4B3F28FB}"/>
    <cellStyle name="Virgül" xfId="3" builtinId="3"/>
  </cellStyles>
  <dxfs count="97">
    <dxf>
      <font>
        <b val="0"/>
        <i val="0"/>
        <strike val="0"/>
        <condense val="0"/>
        <extend val="0"/>
        <outline val="0"/>
        <shadow val="0"/>
        <u val="none"/>
        <vertAlign val="baseline"/>
        <sz val="11"/>
        <color theme="1"/>
        <name val="Arial"/>
        <family val="2"/>
        <charset val="162"/>
        <scheme val="none"/>
      </font>
      <numFmt numFmtId="166" formatCode="_-* #,##0_-;\-* #,##0_-;_-* &quot;-&quot;??_-;_-@_-"/>
      <border diagonalUp="0" diagonalDown="0">
        <left/>
        <right/>
        <top style="hair">
          <color auto="1"/>
        </top>
        <bottom style="hair">
          <color auto="1"/>
        </bottom>
      </border>
    </dxf>
    <dxf>
      <font>
        <b val="0"/>
        <i val="0"/>
        <strike val="0"/>
        <condense val="0"/>
        <extend val="0"/>
        <outline val="0"/>
        <shadow val="0"/>
        <u val="none"/>
        <vertAlign val="baseline"/>
        <sz val="11"/>
        <color theme="1"/>
        <name val="Arial"/>
        <family val="2"/>
        <charset val="162"/>
        <scheme val="none"/>
      </font>
      <numFmt numFmtId="166" formatCode="_-* #,##0_-;\-* #,##0_-;_-* &quot;-&quot;??_-;_-@_-"/>
      <border diagonalUp="0" diagonalDown="0">
        <left style="thin">
          <color indexed="64"/>
        </left>
        <right style="thin">
          <color indexed="64"/>
        </right>
        <top style="hair">
          <color auto="1"/>
        </top>
        <bottom style="hair">
          <color auto="1"/>
        </bottom>
      </border>
    </dxf>
    <dxf>
      <font>
        <b val="0"/>
        <i val="0"/>
        <strike val="0"/>
        <condense val="0"/>
        <extend val="0"/>
        <outline val="0"/>
        <shadow val="0"/>
        <u val="none"/>
        <vertAlign val="baseline"/>
        <sz val="11"/>
        <color theme="1"/>
        <name val="Arial"/>
        <family val="2"/>
        <charset val="162"/>
        <scheme val="none"/>
      </font>
      <numFmt numFmtId="166" formatCode="_-* #,##0_-;\-* #,##0_-;_-* &quot;-&quot;??_-;_-@_-"/>
      <alignment horizontal="right" vertical="bottom" textRotation="0" wrapText="0" indent="0" justifyLastLine="0" shrinkToFit="0" readingOrder="0"/>
      <border diagonalUp="0" diagonalDown="0">
        <left style="thin">
          <color indexed="64"/>
        </left>
        <right style="thin">
          <color indexed="64"/>
        </right>
        <top style="hair">
          <color auto="1"/>
        </top>
        <bottom style="hair">
          <color auto="1"/>
        </bottom>
      </border>
    </dxf>
    <dxf>
      <font>
        <b val="0"/>
        <i val="0"/>
        <strike val="0"/>
        <condense val="0"/>
        <extend val="0"/>
        <outline val="0"/>
        <shadow val="0"/>
        <u val="none"/>
        <vertAlign val="baseline"/>
        <sz val="11"/>
        <color theme="1"/>
        <name val="Arial"/>
        <family val="2"/>
        <charset val="162"/>
        <scheme val="none"/>
      </font>
      <numFmt numFmtId="166" formatCode="_-* #,##0_-;\-* #,##0_-;_-* &quot;-&quot;??_-;_-@_-"/>
      <alignment horizontal="right" vertical="bottom" textRotation="0" wrapText="0" indent="0" justifyLastLine="0" shrinkToFit="0" readingOrder="0"/>
      <border diagonalUp="0" diagonalDown="0">
        <left style="thin">
          <color indexed="64"/>
        </left>
        <right style="thin">
          <color indexed="64"/>
        </right>
        <top style="hair">
          <color auto="1"/>
        </top>
        <bottom style="hair">
          <color auto="1"/>
        </bottom>
      </border>
    </dxf>
    <dxf>
      <font>
        <b val="0"/>
        <i val="0"/>
        <strike val="0"/>
        <condense val="0"/>
        <extend val="0"/>
        <outline val="0"/>
        <shadow val="0"/>
        <u val="none"/>
        <vertAlign val="baseline"/>
        <sz val="11"/>
        <color theme="1"/>
        <name val="Arial"/>
        <family val="2"/>
        <charset val="162"/>
        <scheme val="none"/>
      </font>
      <numFmt numFmtId="166" formatCode="_-* #,##0_-;\-* #,##0_-;_-* &quot;-&quot;??_-;_-@_-"/>
      <alignment horizontal="right" vertical="bottom" textRotation="0" wrapText="0" indent="0" justifyLastLine="0" shrinkToFit="0" readingOrder="0"/>
      <border diagonalUp="0" diagonalDown="0">
        <left style="thin">
          <color indexed="64"/>
        </left>
        <right style="thin">
          <color indexed="64"/>
        </right>
        <top style="hair">
          <color auto="1"/>
        </top>
        <bottom style="hair">
          <color auto="1"/>
        </bottom>
      </border>
    </dxf>
    <dxf>
      <font>
        <b val="0"/>
        <i val="0"/>
        <strike val="0"/>
        <condense val="0"/>
        <extend val="0"/>
        <outline val="0"/>
        <shadow val="0"/>
        <u val="none"/>
        <vertAlign val="baseline"/>
        <sz val="11"/>
        <color theme="1"/>
        <name val="Arial"/>
        <family val="2"/>
        <charset val="162"/>
        <scheme val="none"/>
      </font>
      <numFmt numFmtId="166" formatCode="_-* #,##0_-;\-* #,##0_-;_-* &quot;-&quot;??_-;_-@_-"/>
      <alignment horizontal="right" vertical="bottom" textRotation="0" wrapText="0" indent="0" justifyLastLine="0" shrinkToFit="0" readingOrder="0"/>
      <border diagonalUp="0" diagonalDown="0">
        <left style="thin">
          <color indexed="64"/>
        </left>
        <right style="thin">
          <color indexed="64"/>
        </right>
        <top style="hair">
          <color auto="1"/>
        </top>
        <bottom style="hair">
          <color auto="1"/>
        </bottom>
      </border>
    </dxf>
    <dxf>
      <font>
        <b val="0"/>
        <i val="0"/>
        <strike val="0"/>
        <condense val="0"/>
        <extend val="0"/>
        <outline val="0"/>
        <shadow val="0"/>
        <u val="none"/>
        <vertAlign val="baseline"/>
        <sz val="11"/>
        <color theme="1"/>
        <name val="Arial"/>
        <family val="2"/>
        <charset val="162"/>
        <scheme val="none"/>
      </font>
      <numFmt numFmtId="166" formatCode="_-* #,##0_-;\-* #,##0_-;_-* &quot;-&quot;??_-;_-@_-"/>
      <alignment horizontal="right" vertical="bottom" textRotation="0" wrapText="0" indent="0" justifyLastLine="0" shrinkToFit="0" readingOrder="0"/>
      <border diagonalUp="0" diagonalDown="0">
        <left style="thin">
          <color indexed="64"/>
        </left>
        <right style="thin">
          <color indexed="64"/>
        </right>
        <top style="hair">
          <color auto="1"/>
        </top>
        <bottom style="hair">
          <color auto="1"/>
        </bottom>
      </border>
    </dxf>
    <dxf>
      <font>
        <b val="0"/>
        <i val="0"/>
        <strike val="0"/>
        <condense val="0"/>
        <extend val="0"/>
        <outline val="0"/>
        <shadow val="0"/>
        <u val="none"/>
        <vertAlign val="baseline"/>
        <sz val="11"/>
        <color theme="1"/>
        <name val="Arial"/>
        <family val="2"/>
        <charset val="162"/>
        <scheme val="none"/>
      </font>
      <numFmt numFmtId="166" formatCode="_-* #,##0_-;\-* #,##0_-;_-* &quot;-&quot;??_-;_-@_-"/>
      <alignment horizontal="right" vertical="bottom" textRotation="0" wrapText="0" indent="0" justifyLastLine="0" shrinkToFit="0" readingOrder="0"/>
      <border diagonalUp="0" diagonalDown="0">
        <left style="thin">
          <color indexed="64"/>
        </left>
        <right/>
        <top style="hair">
          <color auto="1"/>
        </top>
        <bottom style="hair">
          <color auto="1"/>
        </bottom>
      </border>
    </dxf>
    <dxf>
      <font>
        <b val="0"/>
        <i val="0"/>
        <strike val="0"/>
        <condense val="0"/>
        <extend val="0"/>
        <outline val="0"/>
        <shadow val="0"/>
        <u val="none"/>
        <vertAlign val="baseline"/>
        <sz val="11"/>
        <color theme="1"/>
        <name val="Arial"/>
        <family val="2"/>
        <charset val="162"/>
        <scheme val="none"/>
      </font>
      <numFmt numFmtId="166" formatCode="_-* #,##0_-;\-* #,##0_-;_-* &quot;-&quot;??_-;_-@_-"/>
      <alignment horizontal="right" vertical="bottom" textRotation="0" wrapText="0" indent="0" justifyLastLine="0" shrinkToFit="0" readingOrder="0"/>
      <border diagonalUp="0" diagonalDown="0">
        <left style="thin">
          <color indexed="64"/>
        </left>
        <right style="thin">
          <color indexed="64"/>
        </right>
        <top style="hair">
          <color auto="1"/>
        </top>
        <bottom style="hair">
          <color auto="1"/>
        </bottom>
      </border>
    </dxf>
    <dxf>
      <font>
        <b val="0"/>
        <i val="0"/>
        <strike val="0"/>
        <condense val="0"/>
        <extend val="0"/>
        <outline val="0"/>
        <shadow val="0"/>
        <u val="none"/>
        <vertAlign val="baseline"/>
        <sz val="11"/>
        <color theme="1"/>
        <name val="Arial"/>
        <family val="2"/>
        <charset val="162"/>
        <scheme val="none"/>
      </font>
      <numFmt numFmtId="166" formatCode="_-* #,##0_-;\-* #,##0_-;_-* &quot;-&quot;??_-;_-@_-"/>
      <alignment horizontal="right" vertical="bottom" textRotation="0" wrapText="0" indent="0" justifyLastLine="0" shrinkToFit="0" readingOrder="0"/>
      <border diagonalUp="0" diagonalDown="0">
        <left style="thin">
          <color indexed="64"/>
        </left>
        <right style="thin">
          <color indexed="64"/>
        </right>
        <top style="hair">
          <color auto="1"/>
        </top>
        <bottom style="hair">
          <color auto="1"/>
        </bottom>
      </border>
    </dxf>
    <dxf>
      <font>
        <b val="0"/>
        <i val="0"/>
        <strike val="0"/>
        <condense val="0"/>
        <extend val="0"/>
        <outline val="0"/>
        <shadow val="0"/>
        <u val="none"/>
        <vertAlign val="baseline"/>
        <sz val="11"/>
        <color theme="1"/>
        <name val="Arial"/>
        <family val="2"/>
        <charset val="162"/>
        <scheme val="none"/>
      </font>
      <numFmt numFmtId="166" formatCode="_-* #,##0_-;\-* #,##0_-;_-* &quot;-&quot;??_-;_-@_-"/>
      <alignment horizontal="right" vertical="bottom" textRotation="0" wrapText="0" indent="0" justifyLastLine="0" shrinkToFit="0" readingOrder="0"/>
      <border diagonalUp="0" diagonalDown="0">
        <left style="medium">
          <color indexed="64"/>
        </left>
        <right style="thin">
          <color indexed="64"/>
        </right>
        <top style="hair">
          <color auto="1"/>
        </top>
        <bottom style="hair">
          <color auto="1"/>
        </bottom>
      </border>
    </dxf>
    <dxf>
      <font>
        <b val="0"/>
        <i val="0"/>
        <strike val="0"/>
        <condense val="0"/>
        <extend val="0"/>
        <outline val="0"/>
        <shadow val="0"/>
        <u val="none"/>
        <vertAlign val="baseline"/>
        <sz val="11"/>
        <color theme="1"/>
        <name val="Arial"/>
        <family val="2"/>
        <charset val="162"/>
        <scheme val="none"/>
      </font>
      <alignment horizontal="right" vertical="bottom" textRotation="0" wrapText="0" indent="0" justifyLastLine="0" shrinkToFit="0" readingOrder="0"/>
      <border diagonalUp="0" diagonalDown="0">
        <left style="thin">
          <color indexed="64"/>
        </left>
        <right style="medium">
          <color indexed="64"/>
        </right>
        <top style="hair">
          <color auto="1"/>
        </top>
        <bottom style="hair">
          <color auto="1"/>
        </bottom>
      </border>
    </dxf>
    <dxf>
      <font>
        <b val="0"/>
        <i val="0"/>
        <strike val="0"/>
        <condense val="0"/>
        <extend val="0"/>
        <outline val="0"/>
        <shadow val="0"/>
        <u val="none"/>
        <vertAlign val="baseline"/>
        <sz val="11"/>
        <color theme="1"/>
        <name val="Arial"/>
        <family val="2"/>
        <charset val="162"/>
        <scheme val="none"/>
      </font>
      <alignment horizontal="right" vertical="bottom" textRotation="0" wrapText="0" indent="0" justifyLastLine="0" shrinkToFit="0" readingOrder="0"/>
      <border diagonalUp="0" diagonalDown="0">
        <left style="thin">
          <color indexed="64"/>
        </left>
        <right style="thin">
          <color indexed="64"/>
        </right>
        <top style="hair">
          <color auto="1"/>
        </top>
        <bottom style="hair">
          <color auto="1"/>
        </bottom>
      </border>
    </dxf>
    <dxf>
      <font>
        <b val="0"/>
        <i val="0"/>
        <strike val="0"/>
        <condense val="0"/>
        <extend val="0"/>
        <outline val="0"/>
        <shadow val="0"/>
        <u val="none"/>
        <vertAlign val="baseline"/>
        <sz val="11"/>
        <color theme="1"/>
        <name val="Arial"/>
        <family val="2"/>
        <charset val="162"/>
        <scheme val="none"/>
      </font>
      <alignment horizontal="right" vertical="bottom" textRotation="0" wrapText="0" indent="0" justifyLastLine="0" shrinkToFit="0" readingOrder="0"/>
      <border diagonalUp="0" diagonalDown="0">
        <left style="medium">
          <color indexed="64"/>
        </left>
        <right style="thin">
          <color indexed="64"/>
        </right>
        <top style="hair">
          <color auto="1"/>
        </top>
        <bottom style="hair">
          <color auto="1"/>
        </bottom>
      </border>
    </dxf>
    <dxf>
      <font>
        <b val="0"/>
        <i val="0"/>
        <strike val="0"/>
        <condense val="0"/>
        <extend val="0"/>
        <outline val="0"/>
        <shadow val="0"/>
        <u val="none"/>
        <vertAlign val="baseline"/>
        <sz val="11"/>
        <color theme="1"/>
        <name val="Arial"/>
        <family val="2"/>
        <charset val="162"/>
        <scheme val="none"/>
      </font>
      <numFmt numFmtId="166" formatCode="_-* #,##0_-;\-* #,##0_-;_-* &quot;-&quot;??_-;_-@_-"/>
      <alignment horizontal="right" vertical="bottom" textRotation="0" wrapText="0" indent="0" justifyLastLine="0" shrinkToFit="0" readingOrder="0"/>
      <border diagonalUp="0" diagonalDown="0">
        <left style="thin">
          <color indexed="64"/>
        </left>
        <right style="thin">
          <color indexed="64"/>
        </right>
        <top style="hair">
          <color auto="1"/>
        </top>
        <bottom style="hair">
          <color auto="1"/>
        </bottom>
      </border>
    </dxf>
    <dxf>
      <font>
        <b val="0"/>
        <i val="0"/>
        <strike val="0"/>
        <condense val="0"/>
        <extend val="0"/>
        <outline val="0"/>
        <shadow val="0"/>
        <u val="none"/>
        <vertAlign val="baseline"/>
        <sz val="11"/>
        <color theme="1"/>
        <name val="Arial"/>
        <family val="2"/>
        <charset val="162"/>
        <scheme val="none"/>
      </font>
      <numFmt numFmtId="166" formatCode="_-* #,##0_-;\-* #,##0_-;_-* &quot;-&quot;??_-;_-@_-"/>
      <alignment horizontal="right" vertical="bottom" textRotation="0" wrapText="0" indent="0" justifyLastLine="0" shrinkToFit="0" readingOrder="0"/>
      <border diagonalUp="0" diagonalDown="0">
        <left style="thin">
          <color indexed="64"/>
        </left>
        <right style="thin">
          <color indexed="64"/>
        </right>
        <top style="hair">
          <color auto="1"/>
        </top>
        <bottom style="hair">
          <color auto="1"/>
        </bottom>
      </border>
    </dxf>
    <dxf>
      <font>
        <b val="0"/>
        <i val="0"/>
        <strike val="0"/>
        <condense val="0"/>
        <extend val="0"/>
        <outline val="0"/>
        <shadow val="0"/>
        <u val="none"/>
        <vertAlign val="baseline"/>
        <sz val="11"/>
        <color theme="1"/>
        <name val="Arial"/>
        <family val="2"/>
        <charset val="162"/>
        <scheme val="none"/>
      </font>
      <numFmt numFmtId="166" formatCode="_-* #,##0_-;\-* #,##0_-;_-* &quot;-&quot;??_-;_-@_-"/>
      <alignment horizontal="right" vertical="bottom" textRotation="0" wrapText="0" indent="0" justifyLastLine="0" shrinkToFit="0" readingOrder="0"/>
      <border diagonalUp="0" diagonalDown="0">
        <left style="thin">
          <color indexed="64"/>
        </left>
        <right style="thin">
          <color indexed="64"/>
        </right>
        <top style="hair">
          <color auto="1"/>
        </top>
        <bottom style="hair">
          <color auto="1"/>
        </bottom>
      </border>
    </dxf>
    <dxf>
      <font>
        <b val="0"/>
        <i val="0"/>
        <strike val="0"/>
        <condense val="0"/>
        <extend val="0"/>
        <outline val="0"/>
        <shadow val="0"/>
        <u val="none"/>
        <vertAlign val="baseline"/>
        <sz val="11"/>
        <color theme="1"/>
        <name val="Arial"/>
        <family val="2"/>
        <charset val="162"/>
        <scheme val="none"/>
      </font>
      <numFmt numFmtId="166" formatCode="_-* #,##0_-;\-* #,##0_-;_-* &quot;-&quot;??_-;_-@_-"/>
      <alignment horizontal="right" vertical="bottom" textRotation="0" wrapText="0" indent="0" justifyLastLine="0" shrinkToFit="0" readingOrder="0"/>
      <border diagonalUp="0" diagonalDown="0">
        <left style="thin">
          <color indexed="64"/>
        </left>
        <right style="thin">
          <color indexed="64"/>
        </right>
        <top style="hair">
          <color auto="1"/>
        </top>
        <bottom style="hair">
          <color auto="1"/>
        </bottom>
      </border>
    </dxf>
    <dxf>
      <font>
        <b val="0"/>
        <i val="0"/>
        <strike val="0"/>
        <condense val="0"/>
        <extend val="0"/>
        <outline val="0"/>
        <shadow val="0"/>
        <u val="none"/>
        <vertAlign val="baseline"/>
        <sz val="11"/>
        <color theme="1"/>
        <name val="Arial"/>
        <family val="2"/>
        <charset val="162"/>
        <scheme val="none"/>
      </font>
      <numFmt numFmtId="166" formatCode="_-* #,##0_-;\-* #,##0_-;_-* &quot;-&quot;??_-;_-@_-"/>
      <alignment horizontal="right" vertical="bottom" textRotation="0" wrapText="0" indent="0" justifyLastLine="0" shrinkToFit="0" readingOrder="0"/>
      <border diagonalUp="0" diagonalDown="0">
        <left/>
        <right style="thin">
          <color indexed="64"/>
        </right>
        <top style="hair">
          <color auto="1"/>
        </top>
        <bottom/>
      </border>
    </dxf>
    <dxf>
      <font>
        <b val="0"/>
        <i val="0"/>
        <strike val="0"/>
        <condense val="0"/>
        <extend val="0"/>
        <outline val="0"/>
        <shadow val="0"/>
        <u val="none"/>
        <vertAlign val="baseline"/>
        <sz val="11"/>
        <color theme="1"/>
        <name val="Arial"/>
        <family val="2"/>
        <charset val="162"/>
        <scheme val="none"/>
      </font>
      <numFmt numFmtId="166" formatCode="_-* #,##0_-;\-* #,##0_-;_-* &quot;-&quot;??_-;_-@_-"/>
      <alignment horizontal="right" vertical="bottom" textRotation="0" wrapText="0" indent="0" justifyLastLine="0" shrinkToFit="0" readingOrder="0"/>
      <border diagonalUp="0" diagonalDown="0">
        <left style="medium">
          <color indexed="64"/>
        </left>
        <right style="thin">
          <color indexed="64"/>
        </right>
        <top style="hair">
          <color auto="1"/>
        </top>
        <bottom style="hair">
          <color auto="1"/>
        </bottom>
      </border>
    </dxf>
    <dxf>
      <font>
        <b val="0"/>
        <i val="0"/>
        <strike val="0"/>
        <condense val="0"/>
        <extend val="0"/>
        <outline val="0"/>
        <shadow val="0"/>
        <u val="none"/>
        <vertAlign val="baseline"/>
        <sz val="11"/>
        <color theme="1"/>
        <name val="Arial"/>
        <family val="2"/>
        <charset val="162"/>
        <scheme val="none"/>
      </font>
      <numFmt numFmtId="165" formatCode="_-* #,##0.0_-;\-* #,##0.0_-;_-* &quot;-&quot;??_-;_-@_-"/>
      <alignment horizontal="right" vertical="bottom" textRotation="0" wrapText="0" indent="0" justifyLastLine="0" shrinkToFit="0" readingOrder="0"/>
      <border diagonalUp="0" diagonalDown="0">
        <left style="thin">
          <color indexed="64"/>
        </left>
        <right style="thin">
          <color indexed="64"/>
        </right>
        <top style="hair">
          <color auto="1"/>
        </top>
        <bottom style="hair">
          <color auto="1"/>
        </bottom>
      </border>
      <protection locked="0" hidden="0"/>
    </dxf>
    <dxf>
      <font>
        <b val="0"/>
        <i val="0"/>
        <strike val="0"/>
        <condense val="0"/>
        <extend val="0"/>
        <outline val="0"/>
        <shadow val="0"/>
        <u val="none"/>
        <vertAlign val="baseline"/>
        <sz val="11"/>
        <color theme="1"/>
        <name val="Arial"/>
        <family val="2"/>
        <charset val="162"/>
        <scheme val="none"/>
      </font>
      <alignment horizontal="left" vertical="bottom" textRotation="0" wrapText="0" indent="0" justifyLastLine="0" shrinkToFit="0" readingOrder="0"/>
      <border diagonalUp="0" diagonalDown="0">
        <left/>
        <right style="thin">
          <color indexed="64"/>
        </right>
        <top style="hair">
          <color auto="1"/>
        </top>
        <bottom style="hair">
          <color auto="1"/>
        </bottom>
      </border>
      <protection locked="0" hidden="0"/>
    </dxf>
    <dxf>
      <font>
        <b val="0"/>
        <i val="0"/>
        <strike val="0"/>
        <condense val="0"/>
        <extend val="0"/>
        <outline val="0"/>
        <shadow val="0"/>
        <u val="none"/>
        <vertAlign val="baseline"/>
        <sz val="11"/>
        <color theme="1"/>
        <name val="Arial"/>
        <family val="2"/>
        <charset val="162"/>
        <scheme val="none"/>
      </font>
      <numFmt numFmtId="19" formatCode="d/mm/yyyy"/>
      <alignment horizontal="right" vertical="bottom" textRotation="0" wrapText="0" indent="0" justifyLastLine="0" shrinkToFit="0" readingOrder="0"/>
      <border diagonalUp="0" diagonalDown="0" outline="0">
        <left/>
        <right/>
        <top style="hair">
          <color auto="1"/>
        </top>
        <bottom style="hair">
          <color auto="1"/>
        </bottom>
      </border>
      <protection locked="0" hidden="0"/>
    </dxf>
    <dxf>
      <font>
        <b val="0"/>
        <i val="0"/>
        <strike val="0"/>
        <condense val="0"/>
        <extend val="0"/>
        <outline val="0"/>
        <shadow val="0"/>
        <u val="none"/>
        <vertAlign val="baseline"/>
        <sz val="11"/>
        <color theme="1"/>
        <name val="Arial"/>
        <family val="2"/>
        <charset val="162"/>
        <scheme val="none"/>
      </font>
      <numFmt numFmtId="19" formatCode="d/mm/yyyy"/>
      <alignment horizontal="general" vertical="bottom" textRotation="0" wrapText="0" indent="0" justifyLastLine="0" shrinkToFit="0" readingOrder="0"/>
      <protection locked="0" hidden="0"/>
    </dxf>
    <dxf>
      <font>
        <b val="0"/>
        <i val="0"/>
        <strike val="0"/>
        <condense val="0"/>
        <extend val="0"/>
        <outline val="0"/>
        <shadow val="0"/>
        <u val="none"/>
        <vertAlign val="baseline"/>
        <sz val="11"/>
        <color theme="1"/>
        <name val="Arial"/>
        <family val="2"/>
        <charset val="162"/>
        <scheme val="none"/>
      </font>
      <numFmt numFmtId="0" formatCode="General"/>
      <alignment horizontal="left" vertical="bottom" textRotation="0" wrapText="0" indent="0" justifyLastLine="0" shrinkToFit="0" readingOrder="0"/>
      <border diagonalUp="0" diagonalDown="0" outline="0">
        <left/>
        <right/>
        <top/>
        <bottom style="hair">
          <color auto="1"/>
        </bottom>
      </border>
      <protection locked="0" hidden="0"/>
    </dxf>
    <dxf>
      <font>
        <b val="0"/>
        <i val="0"/>
        <strike val="0"/>
        <condense val="0"/>
        <extend val="0"/>
        <outline val="0"/>
        <shadow val="0"/>
        <u val="none"/>
        <vertAlign val="baseline"/>
        <sz val="11"/>
        <color theme="1"/>
        <name val="Arial"/>
        <family val="2"/>
        <charset val="162"/>
        <scheme val="none"/>
      </font>
      <numFmt numFmtId="0" formatCode="General"/>
      <alignment horizontal="left" vertical="bottom" textRotation="0" wrapText="0" indent="0" justifyLastLine="0" shrinkToFit="0" readingOrder="0"/>
      <border diagonalUp="0" diagonalDown="0">
        <left/>
        <right/>
        <top/>
        <bottom style="hair">
          <color auto="1"/>
        </bottom>
        <vertical/>
        <horizontal/>
      </border>
      <protection locked="0" hidden="0"/>
    </dxf>
    <dxf>
      <font>
        <b val="0"/>
        <i val="0"/>
        <strike val="0"/>
        <condense val="0"/>
        <extend val="0"/>
        <outline val="0"/>
        <shadow val="0"/>
        <u val="none"/>
        <vertAlign val="baseline"/>
        <sz val="11"/>
        <color theme="1"/>
        <name val="Arial"/>
        <family val="2"/>
        <charset val="162"/>
        <scheme val="none"/>
      </font>
      <numFmt numFmtId="0" formatCode="General"/>
      <alignment horizontal="left" vertical="bottom" textRotation="0" wrapText="0" indent="0" justifyLastLine="0" shrinkToFit="0" readingOrder="0"/>
      <border diagonalUp="0" diagonalDown="0">
        <left/>
        <right/>
        <top style="hair">
          <color auto="1"/>
        </top>
        <bottom style="hair">
          <color auto="1"/>
        </bottom>
      </border>
      <protection locked="0" hidden="0"/>
    </dxf>
    <dxf>
      <font>
        <b val="0"/>
        <i val="0"/>
        <strike val="0"/>
        <condense val="0"/>
        <extend val="0"/>
        <outline val="0"/>
        <shadow val="0"/>
        <u val="none"/>
        <vertAlign val="baseline"/>
        <sz val="11"/>
        <color theme="1"/>
        <name val="Arial"/>
        <family val="2"/>
        <charset val="162"/>
        <scheme val="none"/>
      </font>
      <numFmt numFmtId="0" formatCode="General"/>
      <alignment horizontal="left" vertical="bottom" textRotation="0" wrapText="0" indent="0" justifyLastLine="0" shrinkToFit="0" readingOrder="0"/>
      <border diagonalUp="0" diagonalDown="0">
        <left/>
        <right/>
        <top style="hair">
          <color auto="1"/>
        </top>
        <bottom style="hair">
          <color auto="1"/>
        </bottom>
      </border>
      <protection locked="0" hidden="0"/>
    </dxf>
    <dxf>
      <font>
        <b val="0"/>
        <i val="0"/>
        <strike val="0"/>
        <condense val="0"/>
        <extend val="0"/>
        <outline val="0"/>
        <shadow val="0"/>
        <u val="none"/>
        <vertAlign val="baseline"/>
        <sz val="11"/>
        <color theme="1"/>
        <name val="Arial"/>
        <family val="2"/>
        <charset val="162"/>
        <scheme val="none"/>
      </font>
      <alignment horizontal="left" vertical="bottom" textRotation="0" wrapText="0" indent="0" justifyLastLine="0" shrinkToFit="0" readingOrder="0"/>
      <border diagonalUp="0" diagonalDown="0">
        <left/>
        <right/>
        <top style="hair">
          <color auto="1"/>
        </top>
        <bottom style="hair">
          <color auto="1"/>
        </bottom>
      </border>
      <protection locked="0" hidden="0"/>
    </dxf>
    <dxf>
      <font>
        <b val="0"/>
        <i val="0"/>
        <strike val="0"/>
        <condense val="0"/>
        <extend val="0"/>
        <outline val="0"/>
        <shadow val="0"/>
        <u val="none"/>
        <vertAlign val="baseline"/>
        <sz val="11"/>
        <color theme="1"/>
        <name val="Arial"/>
        <family val="2"/>
        <charset val="162"/>
        <scheme val="none"/>
      </font>
      <numFmt numFmtId="0" formatCode="General"/>
      <alignment horizontal="left" vertical="bottom" textRotation="0" wrapText="0" indent="0" justifyLastLine="0" shrinkToFit="0" readingOrder="0"/>
      <border diagonalUp="0" diagonalDown="0">
        <left/>
        <right/>
        <top style="hair">
          <color auto="1"/>
        </top>
        <bottom style="hair">
          <color auto="1"/>
        </bottom>
      </border>
      <protection locked="0" hidden="0"/>
    </dxf>
    <dxf>
      <font>
        <b val="0"/>
        <i val="0"/>
        <strike val="0"/>
        <condense val="0"/>
        <extend val="0"/>
        <outline val="0"/>
        <shadow val="0"/>
        <u val="none"/>
        <vertAlign val="baseline"/>
        <sz val="11"/>
        <color theme="1"/>
        <name val="Arial"/>
        <family val="2"/>
        <charset val="162"/>
        <scheme val="none"/>
      </font>
      <alignment horizontal="left" vertical="bottom" textRotation="0" wrapText="0" indent="0" justifyLastLine="0" shrinkToFit="0" readingOrder="0"/>
      <border diagonalUp="0" diagonalDown="0">
        <left/>
        <right/>
        <top style="hair">
          <color auto="1"/>
        </top>
        <bottom style="hair">
          <color auto="1"/>
        </bottom>
      </border>
      <protection locked="0" hidden="0"/>
    </dxf>
    <dxf>
      <font>
        <b val="0"/>
        <i val="0"/>
        <strike val="0"/>
        <condense val="0"/>
        <extend val="0"/>
        <outline val="0"/>
        <shadow val="0"/>
        <u val="none"/>
        <vertAlign val="baseline"/>
        <sz val="11"/>
        <color theme="1"/>
        <name val="Arial"/>
        <family val="2"/>
        <charset val="162"/>
        <scheme val="none"/>
      </font>
      <alignment horizontal="left" vertical="bottom" textRotation="0" wrapText="0" indent="0" justifyLastLine="0" shrinkToFit="0" readingOrder="0"/>
      <border diagonalUp="0" diagonalDown="0">
        <left/>
        <right/>
        <top style="hair">
          <color auto="1"/>
        </top>
        <bottom style="hair">
          <color auto="1"/>
        </bottom>
      </border>
      <protection locked="0" hidden="0"/>
    </dxf>
    <dxf>
      <font>
        <b val="0"/>
        <i val="0"/>
        <strike val="0"/>
        <condense val="0"/>
        <extend val="0"/>
        <outline val="0"/>
        <shadow val="0"/>
        <u val="none"/>
        <vertAlign val="baseline"/>
        <sz val="11"/>
        <color theme="1"/>
        <name val="Arial"/>
        <family val="2"/>
        <charset val="162"/>
        <scheme val="none"/>
      </font>
      <alignment horizontal="left" vertical="bottom" textRotation="0" wrapText="0" indent="0" justifyLastLine="0" shrinkToFit="0" readingOrder="0"/>
      <border diagonalUp="0" diagonalDown="0">
        <left/>
        <right/>
        <top style="hair">
          <color auto="1"/>
        </top>
        <bottom style="hair">
          <color auto="1"/>
        </bottom>
      </border>
      <protection locked="0" hidden="0"/>
    </dxf>
    <dxf>
      <font>
        <b val="0"/>
        <i val="0"/>
        <strike val="0"/>
        <condense val="0"/>
        <extend val="0"/>
        <outline val="0"/>
        <shadow val="0"/>
        <u val="none"/>
        <vertAlign val="baseline"/>
        <sz val="11"/>
        <color theme="1"/>
        <name val="Arial"/>
        <family val="2"/>
        <charset val="162"/>
        <scheme val="none"/>
      </font>
      <alignment horizontal="left" vertical="bottom" textRotation="0" wrapText="0" indent="0" justifyLastLine="0" shrinkToFit="0" readingOrder="0"/>
      <border diagonalUp="0" diagonalDown="0">
        <left/>
        <top style="hair">
          <color auto="1"/>
        </top>
        <bottom style="hair">
          <color auto="1"/>
        </bottom>
      </border>
      <protection locked="0" hidden="0"/>
    </dxf>
    <dxf>
      <font>
        <b val="0"/>
        <i val="0"/>
        <strike val="0"/>
        <condense val="0"/>
        <extend val="0"/>
        <outline val="0"/>
        <shadow val="0"/>
        <u val="none"/>
        <vertAlign val="baseline"/>
        <sz val="11"/>
        <color theme="1"/>
        <name val="Arial"/>
        <family val="2"/>
        <charset val="162"/>
        <scheme val="none"/>
      </font>
      <numFmt numFmtId="166" formatCode="_-* #,##0_-;\-* #,##0_-;_-* &quot;-&quot;??_-;_-@_-"/>
      <alignment horizontal="right" vertical="bottom" textRotation="0" wrapText="0" indent="0" justifyLastLine="0" shrinkToFit="0" readingOrder="0"/>
      <border diagonalUp="0" diagonalDown="0">
        <left/>
        <right/>
        <top style="hair">
          <color auto="1"/>
        </top>
        <bottom style="hair">
          <color auto="1"/>
        </bottom>
        <vertical/>
      </border>
    </dxf>
    <dxf>
      <border>
        <top style="hair">
          <color auto="1"/>
        </top>
      </border>
    </dxf>
    <dxf>
      <border diagonalUp="0" diagonalDown="0">
        <left style="medium">
          <color indexed="64"/>
        </left>
        <right style="medium">
          <color indexed="64"/>
        </right>
        <top style="medium">
          <color indexed="64"/>
        </top>
        <bottom style="medium">
          <color indexed="64"/>
        </bottom>
      </border>
    </dxf>
    <dxf>
      <font>
        <strike val="0"/>
        <outline val="0"/>
        <shadow val="0"/>
        <u val="none"/>
        <vertAlign val="baseline"/>
        <sz val="11"/>
        <color theme="1"/>
        <name val="Arial"/>
        <family val="2"/>
        <charset val="162"/>
        <scheme val="none"/>
      </font>
    </dxf>
    <dxf>
      <border>
        <bottom style="thin">
          <color indexed="64"/>
        </bottom>
      </border>
    </dxf>
    <dxf>
      <alignment horizontal="left" vertical="center" textRotation="0" wrapText="1" indent="0" justifyLastLine="0" shrinkToFit="0" readingOrder="0"/>
      <border diagonalUp="0" diagonalDown="0" outline="0">
        <left style="thin">
          <color indexed="64"/>
        </left>
        <right style="thin">
          <color indexed="64"/>
        </right>
        <top/>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alignment wrapText="1"/>
    </dxf>
    <dxf>
      <alignment wrapText="1"/>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alignment wrapText="1"/>
    </dxf>
    <dxf>
      <alignment wrapText="1"/>
    </dxf>
    <dxf>
      <alignment wrapText="1"/>
    </dxf>
    <dxf>
      <border>
        <top style="thin">
          <color indexed="64"/>
        </top>
        <bottom style="thin">
          <color indexed="64"/>
        </bottom>
      </border>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border>
        <vertical/>
      </border>
    </dxf>
    <dxf>
      <border>
        <vertical/>
      </border>
    </dxf>
    <dxf>
      <border>
        <vertical/>
      </border>
    </dxf>
    <dxf>
      <border>
        <top style="thin">
          <color indexed="64"/>
        </top>
        <bottom style="thin">
          <color indexed="64"/>
        </bottom>
        <vertical style="thin">
          <color indexed="64"/>
        </vertical>
        <horizontal style="thin">
          <color indexed="64"/>
        </horizontal>
      </border>
    </dxf>
    <dxf>
      <border>
        <top style="thin">
          <color indexed="64"/>
        </top>
        <bottom style="thin">
          <color indexed="64"/>
        </bottom>
        <vertical style="thin">
          <color indexed="64"/>
        </vertical>
        <horizontal style="thin">
          <color indexed="64"/>
        </horizontal>
      </border>
    </dxf>
    <dxf>
      <border>
        <top style="thin">
          <color indexed="64"/>
        </top>
        <bottom style="thin">
          <color indexed="64"/>
        </bottom>
        <vertical style="thin">
          <color indexed="64"/>
        </vertical>
        <horizontal style="thin">
          <color indexed="64"/>
        </horizontal>
      </border>
    </dxf>
    <dxf>
      <alignment horizontal="right"/>
    </dxf>
    <dxf>
      <alignment horizontal="righ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s>
  <tableStyles count="0" defaultTableStyle="TableStyleMedium2" defaultPivotStyle="PivotStyleLight16"/>
  <colors>
    <mruColors>
      <color rgb="FFCCFF99"/>
      <color rgb="FFCDEFAF"/>
      <color rgb="FFFFFFFF"/>
      <color rgb="FFFFFF99"/>
      <color rgb="FFFFCCCC"/>
      <color rgb="FFCCFFCC"/>
      <color rgb="FFE5FFE5"/>
      <color rgb="FFEFFFEF"/>
      <color rgb="FFCCECFF"/>
      <color rgb="FFD9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pivotCacheDefinition" Target="pivotCache/pivotCacheDefinition1.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857249</xdr:colOff>
      <xdr:row>0</xdr:row>
      <xdr:rowOff>95250</xdr:rowOff>
    </xdr:from>
    <xdr:to>
      <xdr:col>7</xdr:col>
      <xdr:colOff>44823</xdr:colOff>
      <xdr:row>21</xdr:row>
      <xdr:rowOff>161925</xdr:rowOff>
    </xdr:to>
    <xdr:grpSp>
      <xdr:nvGrpSpPr>
        <xdr:cNvPr id="3" name="Group 2">
          <a:extLst>
            <a:ext uri="{FF2B5EF4-FFF2-40B4-BE49-F238E27FC236}">
              <a16:creationId xmlns:a16="http://schemas.microsoft.com/office/drawing/2014/main" id="{2E7E5F78-F9FF-7C5A-54D6-5B1D06E1C3B2}"/>
            </a:ext>
          </a:extLst>
        </xdr:cNvPr>
        <xdr:cNvGrpSpPr/>
      </xdr:nvGrpSpPr>
      <xdr:grpSpPr>
        <a:xfrm>
          <a:off x="857249" y="95250"/>
          <a:ext cx="11336031" cy="3952875"/>
          <a:chOff x="-1" y="-1"/>
          <a:chExt cx="12192001" cy="5113097"/>
        </a:xfrm>
      </xdr:grpSpPr>
      <xdr:pic>
        <xdr:nvPicPr>
          <xdr:cNvPr id="4" name="Picture 3">
            <a:extLst>
              <a:ext uri="{FF2B5EF4-FFF2-40B4-BE49-F238E27FC236}">
                <a16:creationId xmlns:a16="http://schemas.microsoft.com/office/drawing/2014/main" id="{2D49EA4C-AEE0-0DC2-E455-9571B0FB604F}"/>
              </a:ext>
            </a:extLst>
          </xdr:cNvPr>
          <xdr:cNvPicPr>
            <a:picLocks noChangeAspect="1"/>
          </xdr:cNvPicPr>
        </xdr:nvPicPr>
        <xdr:blipFill rotWithShape="1">
          <a:blip xmlns:r="http://schemas.openxmlformats.org/officeDocument/2006/relationships" r:embed="rId1"/>
          <a:srcRect b="70327"/>
          <a:stretch/>
        </xdr:blipFill>
        <xdr:spPr>
          <a:xfrm>
            <a:off x="-1" y="-1"/>
            <a:ext cx="12192001" cy="5113097"/>
          </a:xfrm>
          <a:prstGeom prst="rect">
            <a:avLst/>
          </a:prstGeom>
        </xdr:spPr>
      </xdr:pic>
      <xdr:pic>
        <xdr:nvPicPr>
          <xdr:cNvPr id="5" name="Picture 4">
            <a:extLst>
              <a:ext uri="{FF2B5EF4-FFF2-40B4-BE49-F238E27FC236}">
                <a16:creationId xmlns:a16="http://schemas.microsoft.com/office/drawing/2014/main" id="{A2A5FCEB-E823-1ED7-C4D1-F6BA9189FCF7}"/>
              </a:ext>
            </a:extLst>
          </xdr:cNvPr>
          <xdr:cNvPicPr>
            <a:picLocks noChangeAspect="1"/>
          </xdr:cNvPicPr>
        </xdr:nvPicPr>
        <xdr:blipFill>
          <a:blip xmlns:r="http://schemas.openxmlformats.org/officeDocument/2006/relationships" r:embed="rId2"/>
          <a:stretch>
            <a:fillRect/>
          </a:stretch>
        </xdr:blipFill>
        <xdr:spPr>
          <a:xfrm>
            <a:off x="62734" y="196360"/>
            <a:ext cx="2242898" cy="360099"/>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14</xdr:col>
      <xdr:colOff>23810</xdr:colOff>
      <xdr:row>1</xdr:row>
      <xdr:rowOff>35721</xdr:rowOff>
    </xdr:from>
    <xdr:to>
      <xdr:col>22</xdr:col>
      <xdr:colOff>928687</xdr:colOff>
      <xdr:row>5</xdr:row>
      <xdr:rowOff>0</xdr:rowOff>
    </xdr:to>
    <xdr:sp macro="" textlink="">
      <xdr:nvSpPr>
        <xdr:cNvPr id="2" name="TextBox 1">
          <a:extLst>
            <a:ext uri="{FF2B5EF4-FFF2-40B4-BE49-F238E27FC236}">
              <a16:creationId xmlns:a16="http://schemas.microsoft.com/office/drawing/2014/main" id="{B3F673EC-812B-40AE-9337-C30DE2B027DB}"/>
            </a:ext>
          </a:extLst>
        </xdr:cNvPr>
        <xdr:cNvSpPr txBox="1"/>
      </xdr:nvSpPr>
      <xdr:spPr>
        <a:xfrm>
          <a:off x="15204279" y="35721"/>
          <a:ext cx="7810502" cy="1345404"/>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200" b="1" i="0" u="none" strike="noStrike">
              <a:solidFill>
                <a:srgbClr val="0070C0"/>
              </a:solidFill>
              <a:effectLst/>
              <a:latin typeface="+mn-lt"/>
              <a:ea typeface="+mn-ea"/>
              <a:cs typeface="+mn-cs"/>
            </a:rPr>
            <a:t>CO2 emission factors,</a:t>
          </a:r>
          <a:r>
            <a:rPr lang="nl-NL" sz="1200" b="1" i="0" u="none" strike="noStrike" baseline="0">
              <a:solidFill>
                <a:srgbClr val="0070C0"/>
              </a:solidFill>
              <a:effectLst/>
              <a:latin typeface="+mn-lt"/>
              <a:ea typeface="+mn-ea"/>
              <a:cs typeface="+mn-cs"/>
            </a:rPr>
            <a:t> </a:t>
          </a:r>
          <a:r>
            <a:rPr lang="nl-NL" sz="1200" b="0" i="1" u="none" strike="noStrike" baseline="0">
              <a:solidFill>
                <a:srgbClr val="0070C0"/>
              </a:solidFill>
              <a:effectLst/>
              <a:latin typeface="+mn-lt"/>
              <a:ea typeface="+mn-ea"/>
              <a:cs typeface="+mn-cs"/>
            </a:rPr>
            <a:t>source: www.CO2emissiefactoren.nl, 2022</a:t>
          </a:r>
          <a:endParaRPr lang="nl-NL" sz="1200" b="0">
            <a:solidFill>
              <a:srgbClr val="0070C0"/>
            </a:solidFill>
          </a:endParaRPr>
        </a:p>
        <a:p>
          <a:r>
            <a:rPr lang="nl-NL" sz="1200" b="1" i="0" u="none" strike="noStrike">
              <a:solidFill>
                <a:schemeClr val="dk1"/>
              </a:solidFill>
              <a:effectLst/>
              <a:latin typeface="+mn-lt"/>
              <a:ea typeface="+mn-ea"/>
              <a:cs typeface="+mn-cs"/>
            </a:rPr>
            <a:t>Modality:</a:t>
          </a:r>
        </a:p>
        <a:p>
          <a:r>
            <a:rPr lang="nl-NL" sz="1200" b="1" i="0" u="none" strike="noStrike">
              <a:solidFill>
                <a:schemeClr val="dk1"/>
              </a:solidFill>
              <a:effectLst/>
              <a:latin typeface="+mn-lt"/>
              <a:ea typeface="+mn-ea"/>
              <a:cs typeface="+mn-cs"/>
            </a:rPr>
            <a:t>ROAD</a:t>
          </a:r>
          <a:r>
            <a:rPr lang="nl-NL" sz="1200"/>
            <a:t> 	</a:t>
          </a:r>
          <a:r>
            <a:rPr lang="nl-NL" sz="1200" b="0" i="0" u="none" strike="noStrike">
              <a:solidFill>
                <a:schemeClr val="dk1"/>
              </a:solidFill>
              <a:effectLst/>
              <a:latin typeface="+mn-lt"/>
              <a:ea typeface="+mn-ea"/>
              <a:cs typeface="+mn-cs"/>
            </a:rPr>
            <a:t>truck/container/trailer, average </a:t>
          </a:r>
          <a:r>
            <a:rPr lang="nl-NL" sz="1200"/>
            <a:t> 			</a:t>
          </a:r>
          <a:r>
            <a:rPr lang="nl-NL" sz="1200" b="0" i="0" u="none" strike="noStrike">
              <a:solidFill>
                <a:srgbClr val="0070C0"/>
              </a:solidFill>
              <a:effectLst/>
              <a:latin typeface="+mn-lt"/>
              <a:ea typeface="+mn-ea"/>
              <a:cs typeface="+mn-cs"/>
            </a:rPr>
            <a:t>0,121</a:t>
          </a:r>
          <a:r>
            <a:rPr lang="nl-NL" sz="1200"/>
            <a:t> </a:t>
          </a:r>
          <a:r>
            <a:rPr lang="nl-NL" sz="1200">
              <a:solidFill>
                <a:srgbClr val="0070C0"/>
              </a:solidFill>
            </a:rPr>
            <a:t>kg CO2/tonkm</a:t>
          </a:r>
        </a:p>
        <a:p>
          <a:r>
            <a:rPr lang="nl-NL" sz="1200" b="1" i="0" u="none" strike="noStrike">
              <a:solidFill>
                <a:schemeClr val="dk1"/>
              </a:solidFill>
              <a:effectLst/>
              <a:latin typeface="+mn-lt"/>
              <a:ea typeface="+mn-ea"/>
              <a:cs typeface="+mn-cs"/>
            </a:rPr>
            <a:t>SHIP</a:t>
          </a:r>
          <a:r>
            <a:rPr lang="nl-NL" sz="1200" b="1"/>
            <a:t> </a:t>
          </a:r>
          <a:r>
            <a:rPr lang="nl-NL" sz="1200"/>
            <a:t>	</a:t>
          </a:r>
          <a:r>
            <a:rPr lang="nl-NL" sz="1200" b="0" i="0" u="none" strike="noStrike">
              <a:solidFill>
                <a:sysClr val="windowText" lastClr="000000"/>
              </a:solidFill>
              <a:effectLst/>
              <a:latin typeface="+mn-lt"/>
              <a:ea typeface="+mn-ea"/>
              <a:cs typeface="+mn-cs"/>
            </a:rPr>
            <a:t>sea (deep sea), average, also used for coastal, short sea, inland</a:t>
          </a:r>
          <a:r>
            <a:rPr lang="nl-NL" sz="1200"/>
            <a:t>	</a:t>
          </a:r>
          <a:r>
            <a:rPr lang="nl-NL" sz="1200" b="0" i="0" u="none" strike="noStrike">
              <a:solidFill>
                <a:srgbClr val="0070C0"/>
              </a:solidFill>
              <a:effectLst/>
              <a:latin typeface="+mn-lt"/>
              <a:ea typeface="+mn-ea"/>
              <a:cs typeface="+mn-cs"/>
            </a:rPr>
            <a:t>0,012</a:t>
          </a:r>
          <a:r>
            <a:rPr lang="nl-NL" sz="1200">
              <a:solidFill>
                <a:srgbClr val="0070C0"/>
              </a:solidFill>
            </a:rPr>
            <a:t> kg CO2/tonkm</a:t>
          </a:r>
        </a:p>
        <a:p>
          <a:r>
            <a:rPr lang="nl-NL" sz="1200" b="1" i="0" u="none" strike="noStrike">
              <a:solidFill>
                <a:schemeClr val="dk1"/>
              </a:solidFill>
              <a:effectLst/>
              <a:latin typeface="+mn-lt"/>
              <a:ea typeface="+mn-ea"/>
              <a:cs typeface="+mn-cs"/>
            </a:rPr>
            <a:t>RAIL</a:t>
          </a:r>
          <a:r>
            <a:rPr lang="nl-NL" sz="1200"/>
            <a:t> 	container, </a:t>
          </a:r>
          <a:r>
            <a:rPr lang="nl-NL" sz="1200" b="0" i="0" u="none" strike="noStrike">
              <a:solidFill>
                <a:schemeClr val="dk1"/>
              </a:solidFill>
              <a:effectLst/>
              <a:latin typeface="+mn-lt"/>
              <a:ea typeface="+mn-ea"/>
              <a:cs typeface="+mn-cs"/>
            </a:rPr>
            <a:t>average</a:t>
          </a:r>
          <a:r>
            <a:rPr lang="nl-NL" sz="1200"/>
            <a:t> 				</a:t>
          </a:r>
          <a:r>
            <a:rPr lang="nl-NL" sz="1200" b="0" i="0" u="none" strike="noStrike">
              <a:solidFill>
                <a:srgbClr val="0070C0"/>
              </a:solidFill>
              <a:effectLst/>
              <a:latin typeface="+mn-lt"/>
              <a:ea typeface="+mn-ea"/>
              <a:cs typeface="+mn-cs"/>
            </a:rPr>
            <a:t>0,01</a:t>
          </a:r>
          <a:r>
            <a:rPr lang="tr-TR" sz="1200" b="0" i="0" u="none" strike="noStrike">
              <a:solidFill>
                <a:srgbClr val="0070C0"/>
              </a:solidFill>
              <a:effectLst/>
              <a:latin typeface="+mn-lt"/>
              <a:ea typeface="+mn-ea"/>
              <a:cs typeface="+mn-cs"/>
            </a:rPr>
            <a:t>6</a:t>
          </a:r>
          <a:r>
            <a:rPr lang="nl-NL" sz="1200" b="0" i="0" u="none" strike="noStrike">
              <a:solidFill>
                <a:srgbClr val="0070C0"/>
              </a:solidFill>
              <a:effectLst/>
              <a:latin typeface="+mn-lt"/>
              <a:ea typeface="+mn-ea"/>
              <a:cs typeface="+mn-cs"/>
            </a:rPr>
            <a:t> kg CO2/tonkm</a:t>
          </a:r>
          <a:endParaRPr lang="nl-NL" sz="1200">
            <a:solidFill>
              <a:srgbClr val="0070C0"/>
            </a:solidFill>
          </a:endParaRPr>
        </a:p>
      </xdr:txBody>
    </xdr:sp>
    <xdr:clientData/>
  </xdr:twoCellAnchor>
  <xdr:twoCellAnchor editAs="oneCell">
    <xdr:from>
      <xdr:col>0</xdr:col>
      <xdr:colOff>56030</xdr:colOff>
      <xdr:row>5</xdr:row>
      <xdr:rowOff>285750</xdr:rowOff>
    </xdr:from>
    <xdr:to>
      <xdr:col>1</xdr:col>
      <xdr:colOff>565071</xdr:colOff>
      <xdr:row>8</xdr:row>
      <xdr:rowOff>65613</xdr:rowOff>
    </xdr:to>
    <xdr:pic>
      <xdr:nvPicPr>
        <xdr:cNvPr id="4" name="Picture 3">
          <a:extLst>
            <a:ext uri="{FF2B5EF4-FFF2-40B4-BE49-F238E27FC236}">
              <a16:creationId xmlns:a16="http://schemas.microsoft.com/office/drawing/2014/main" id="{3AD7074A-DC2D-B2C6-CAAA-48ECE52F5692}"/>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2766" b="10638"/>
        <a:stretch/>
      </xdr:blipFill>
      <xdr:spPr>
        <a:xfrm>
          <a:off x="56030" y="1518397"/>
          <a:ext cx="971684" cy="743569"/>
        </a:xfrm>
        <a:prstGeom prst="rect">
          <a:avLst/>
        </a:prstGeom>
      </xdr:spPr>
    </xdr:pic>
    <xdr:clientData/>
  </xdr:twoCellAnchor>
  <xdr:twoCellAnchor editAs="oneCell">
    <xdr:from>
      <xdr:col>34</xdr:col>
      <xdr:colOff>434622</xdr:colOff>
      <xdr:row>6</xdr:row>
      <xdr:rowOff>35019</xdr:rowOff>
    </xdr:from>
    <xdr:to>
      <xdr:col>34</xdr:col>
      <xdr:colOff>1022930</xdr:colOff>
      <xdr:row>6</xdr:row>
      <xdr:rowOff>630331</xdr:rowOff>
    </xdr:to>
    <xdr:pic>
      <xdr:nvPicPr>
        <xdr:cNvPr id="10" name="Picture 9">
          <a:extLst>
            <a:ext uri="{FF2B5EF4-FFF2-40B4-BE49-F238E27FC236}">
              <a16:creationId xmlns:a16="http://schemas.microsoft.com/office/drawing/2014/main" id="{ACA3DF3D-5BDE-8928-9244-B21C848C038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4711015" y="1599840"/>
          <a:ext cx="588308" cy="595312"/>
        </a:xfrm>
        <a:prstGeom prst="rect">
          <a:avLst/>
        </a:prstGeom>
      </xdr:spPr>
    </xdr:pic>
    <xdr:clientData/>
  </xdr:twoCellAnchor>
  <xdr:twoCellAnchor editAs="oneCell">
    <xdr:from>
      <xdr:col>13</xdr:col>
      <xdr:colOff>468867</xdr:colOff>
      <xdr:row>1</xdr:row>
      <xdr:rowOff>33618</xdr:rowOff>
    </xdr:from>
    <xdr:to>
      <xdr:col>13</xdr:col>
      <xdr:colOff>1868654</xdr:colOff>
      <xdr:row>5</xdr:row>
      <xdr:rowOff>240113</xdr:rowOff>
    </xdr:to>
    <xdr:pic>
      <xdr:nvPicPr>
        <xdr:cNvPr id="12" name="Picture 11">
          <a:extLst>
            <a:ext uri="{FF2B5EF4-FFF2-40B4-BE49-F238E27FC236}">
              <a16:creationId xmlns:a16="http://schemas.microsoft.com/office/drawing/2014/main" id="{CA20CAA7-C5A3-EDD5-E3BC-E8F13263EC8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3561962" y="78975"/>
          <a:ext cx="1399787" cy="14009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zlem EMNIYET | Sarp Intermodal" refreshedDate="45407.578891435187" createdVersion="8" refreshedVersion="8" minRefreshableVersion="3" recordCount="1" xr:uid="{2FF17583-8533-4E61-B216-3FAEF8A90CD9}">
  <cacheSource type="worksheet">
    <worksheetSource name="CO2_Calculator_Table"/>
  </cacheSource>
  <cacheFields count="35">
    <cacheField name="#" numFmtId="0">
      <sharedItems containsSemiMixedTypes="0" containsString="0" containsNumber="1" containsInteger="1" minValue="1" maxValue="1"/>
    </cacheField>
    <cacheField name="Referance Number_x000a_(Carrier)" numFmtId="0">
      <sharedItems containsNonDate="0" containsString="0" containsBlank="1"/>
    </cacheField>
    <cacheField name="Export / Import" numFmtId="0">
      <sharedItems/>
    </cacheField>
    <cacheField name="Carrier" numFmtId="0">
      <sharedItems/>
    </cacheField>
    <cacheField name="Loading Country" numFmtId="0">
      <sharedItems count="12">
        <s v="TURKEY"/>
        <s v="GERMANY" u="1"/>
        <s v="NETHERLANDS" u="1"/>
        <s v="TURKIYE" u="1"/>
        <s v="UNITED KINGDOM" u="1"/>
        <s v="BELGIUM" u="1"/>
        <s v="ITALY" u="1"/>
        <s v="POLONYA" u="1"/>
        <s v="POLAND" u="1"/>
        <s v="İTALYA" u="1"/>
        <s v="FRANCE" u="1"/>
        <s v="TÜRKİYE" u="1"/>
      </sharedItems>
    </cacheField>
    <cacheField name="Loading City" numFmtId="0">
      <sharedItems count="8">
        <s v="İZMİR"/>
        <s v="TEKİRDAĞ" u="1"/>
        <s v="KLEIN BERßEN" u="1"/>
        <s v="ILMENAU" u="1"/>
        <s v="STADTILM" u="1"/>
        <s v="LOHNE" u="1"/>
        <s v="VLIJMEN" u="1"/>
        <s v="MEPPEN" u="1"/>
      </sharedItems>
    </cacheField>
    <cacheField name="Unloading Country" numFmtId="0">
      <sharedItems count="19">
        <s v="SWITZERLAND"/>
        <s v="NETHERLANDS" u="1"/>
        <s v="TURKIYE" u="1"/>
        <s v="GERMANY" u="1"/>
        <s v="ITALY" u="1"/>
        <s v="BELGIUM" u="1"/>
        <s v="SLOVENIA" u="1"/>
        <s v="UNITED KINGDOM" u="1"/>
        <s v="AUSTRIA" u="1"/>
        <s v="FRANCE" u="1"/>
        <s v="FRANSA" u="1"/>
        <s v="SPAIN" u="1"/>
        <s v="Avusturya" u="1"/>
        <s v="IRLAND" u="1"/>
        <s v="IRELAND" u="1"/>
        <s v="ALMANYA" u="1"/>
        <s v="ENGLAND" u="1"/>
        <s v="TÜRKİYE" u="1"/>
        <s v="THE NETHERLANDS" u="1"/>
      </sharedItems>
    </cacheField>
    <cacheField name="Unloading City" numFmtId="0">
      <sharedItems containsMixedTypes="1" containsNumber="1" containsInteger="1" minValue="1425" maxValue="1425" count="3">
        <n v="1425"/>
        <s v="Spijkenisse" u="1"/>
        <s v="ISTANBUL" u="1"/>
      </sharedItems>
    </cacheField>
    <cacheField name="Route" numFmtId="0">
      <sharedItems count="101">
        <s v="PEN-TRI"/>
        <s v="PEN-TRI-DUI" u="1"/>
        <s v="DE49-TR34" u="1"/>
        <s v="DE98-TR34" u="1"/>
        <s v="DE99-TR34" u="1"/>
        <s v="DE32-TR34" u="1"/>
        <s v="NL52-TR34" u="1"/>
        <s v="TR01-DE60" u="1"/>
        <s v="TR01-DE56" u="1"/>
        <s v="TR33-DE56" u="1"/>
        <s v="TR01-DE69" u="1"/>
        <s v="TR01-DE67" u="1"/>
        <s v="TR01-CH68" u="1"/>
        <s v="TR01-DE04" u="1"/>
        <s v="TR01-DE10" u="1"/>
        <s v="TR01-IT44" u="1"/>
        <s v="TR01-IT21" u="1"/>
        <s v="TR01-IT59" u="1"/>
        <s v="TR01-IT12" u="1"/>
        <s v="TR01-IT13" u="1"/>
        <s v="TR01-DE50" u="1"/>
        <s v="TR01-IT20" u="1"/>
        <s v="TR01-DE08" u="1"/>
        <s v="TR01-BG36" u="1"/>
        <s v="TR01-DE40" u="1"/>
        <s v="TR01-DE87" u="1"/>
        <s v="TR33-DE87" u="1"/>
        <s v="TR01-SI42" u="1"/>
        <s v="TR01-DE65" u="1"/>
        <s v="TR01-DE95" u="1"/>
        <s v="TR01-DE80" u="1"/>
        <s v="TR01-DE32" u="1"/>
        <s v="TR01-DE89" u="1"/>
        <s v="TR01-IT43" u="1"/>
        <s v="TR16-BE36" u="1"/>
        <s v="TR16-GBDE" u="1"/>
        <s v="TR54-GBDE" u="1"/>
        <s v="GBDE-TR54" u="1"/>
        <s v="BE36-TR16" u="1"/>
        <s v="TR26-AT40" u="1"/>
        <s v="TR26-FR74" u="1"/>
        <s v="TR26-DE27" u="1"/>
        <s v="TR26-DE74" u="1"/>
        <s v="TR18-FR59 (L)" u="1"/>
        <s v="TR18-FR13" u="1"/>
        <s v="TR18-FR59" u="1"/>
        <s v="TR59-FR62" u="1"/>
        <s v="IT28-TR34" u="1"/>
        <s v="IT29-TR34" u="1"/>
        <s v="TR35-FR62" u="1"/>
        <s v="TR59-FR13" u="1"/>
        <s v="TR35-FR62 (L)" u="1"/>
        <s v="IT24-TR34" u="1"/>
        <s v="IT12-TR34" u="1"/>
        <s v="IT40-TR34" u="1"/>
        <s v="PL96-TR34 (L)" u="1"/>
        <s v="TR35-FR31" u="1"/>
        <s v="IT41-TR34" u="1"/>
        <s v="TR35-FR13" u="1"/>
        <s v="IT20-TR34" u="1"/>
        <s v="IT31-TR34" u="1"/>
        <s v="TR06-IT63" u="1"/>
        <s v="TR06-IT91" u="1"/>
        <s v="TR06-ES46" u="1"/>
        <s v="" u="1"/>
        <s v="B20-TR34" u="1"/>
        <s v="PENDİK(TR)-TRIESTE(I)-DUISBURG(D)" u="1"/>
        <s v="LAMBACH(A)-TRIESTE(I)-MERSIN(TR)" u="1"/>
        <s v="WELS(A)-TRIESTE(I)-MERSİN(TR)" u="1"/>
        <s v="TR16-IT40" u="1"/>
        <s v="YALOVA(TR)-SETE(F)" u="1"/>
        <s v="TR16-DE93" u="1"/>
        <s v="YALOVA(TR)-BARI(I)" u="1"/>
        <s v="B90-TR16" u="1"/>
        <s v="DE85-TR34" u="1"/>
        <s v="TR34-FR93" u="1"/>
        <s v="MERSİN(TR)-TRIESTE(I)-KÖLN(D)" u="1"/>
        <s v="HALKALI(TR)-KREFELD(D)" u="1"/>
        <s v="NL50-TR16" u="1"/>
        <s v="TR34-DE56" u="1"/>
        <s v="PENDİK(TR)-TRIESTE(I)-BETTEMBOURG(L)" u="1"/>
        <s v="YALOVA(TR)-SETE(F)-CALAİS()-SHEERNESS(GB)" u="1"/>
        <s v="PENDİK(TR)-TRIESTE(I)-WELS(A)" u="1"/>
        <s v="TR34-IT40" u="1"/>
        <s v="PENDİK(TR)-PATRAS(GR)" u="1"/>
        <s v="TR34-FR11" u="1"/>
        <s v="YALOVA(TR)-TRIESTE(I)-KÖLN(D)" u="1"/>
        <s v="FR75-TR41" u="1"/>
        <s v="NL78-TR16" u="1"/>
        <s v="B20-TR16" u="1"/>
        <s v="TR16-IT45" u="1"/>
        <s v="PENDİK(TR)-TRIESTE(I)-LAMBACH(A)" u="1"/>
        <s v="PENDİK(TR)-BARI(I)" u="1"/>
        <s v="MERSİN(TR)-TRIESTE(I)" u="1"/>
        <s v="HALKALI(TR)-CURTICI(RO)-LAMBACH(A)" u="1"/>
        <s v="MERSİN(TR)-TRIESTE(I)-WELS(A)" u="1"/>
        <s v="HADIMKÖY-DE74421" u="1"/>
        <s v="TR34-FR13" u="1"/>
        <s v="PENDİK(TR)-TRIESTE(I)-KÖLN(D)" u="1"/>
        <s v="MERSİN(TR)-TRIESTE(I)-LAMBACH(A)" u="1"/>
        <s v="NL53-TR16" u="1"/>
      </sharedItems>
    </cacheField>
    <cacheField name="Route Detail" numFmtId="0">
      <sharedItems/>
    </cacheField>
    <cacheField name="Taşıma Modu" numFmtId="0">
      <sharedItems/>
    </cacheField>
    <cacheField name="Realized date of loading" numFmtId="14">
      <sharedItems/>
    </cacheField>
    <cacheField name="Realized date of unloading" numFmtId="14">
      <sharedItems/>
    </cacheField>
    <cacheField name="Vehicle type- Container TEU" numFmtId="0">
      <sharedItems/>
    </cacheField>
    <cacheField name="Tonnage transported" numFmtId="165">
      <sharedItems containsSemiMixedTypes="0" containsString="0" containsNumber="1" containsInteger="1" minValue="24" maxValue="24"/>
    </cacheField>
    <cacheField name="Pre-carriage ROAD _x000a_(km)" numFmtId="166">
      <sharedItems containsSemiMixedTypes="0" containsString="0" containsNumber="1" containsInteger="1" minValue="465" maxValue="465"/>
    </cacheField>
    <cacheField name="Pre-carriage ROAD _x000a_(km, if electric)" numFmtId="166">
      <sharedItems containsSemiMixedTypes="0" containsString="0" containsNumber="1" minValue="116.25" maxValue="116.25"/>
    </cacheField>
    <cacheField name="Main carriage SHIP _x000a_(km)" numFmtId="166">
      <sharedItems containsSemiMixedTypes="0" containsString="0" containsNumber="1" containsInteger="1" minValue="2500" maxValue="2500"/>
    </cacheField>
    <cacheField name="Main carriage RAIL _x000a_(km)" numFmtId="166">
      <sharedItems containsSemiMixedTypes="0" containsString="0" containsNumber="1" containsInteger="1" minValue="0" maxValue="0"/>
    </cacheField>
    <cacheField name="On-carriage ROAD _x000a_(km)" numFmtId="166">
      <sharedItems containsSemiMixedTypes="0" containsString="0" containsNumber="1" containsInteger="1" minValue="815" maxValue="815"/>
    </cacheField>
    <cacheField name="Main carriage ROAD_x000a_(km) " numFmtId="166">
      <sharedItems containsSemiMixedTypes="0" containsString="0" containsNumber="1" containsInteger="1" minValue="2665" maxValue="2665"/>
    </cacheField>
    <cacheField name="ROAD _x000a_0,121" numFmtId="0">
      <sharedItems containsSemiMixedTypes="0" containsString="0" containsNumber="1" minValue="0.121" maxValue="0.121"/>
    </cacheField>
    <cacheField name="SHIP _x000a_0,012" numFmtId="0">
      <sharedItems containsSemiMixedTypes="0" containsString="0" containsNumber="1" minValue="1.2E-2" maxValue="1.2E-2"/>
    </cacheField>
    <cacheField name="RAIL _x000a_0,016" numFmtId="0">
      <sharedItems containsSemiMixedTypes="0" containsString="0" containsNumber="1" minValue="1.6E-2" maxValue="1.6E-2"/>
    </cacheField>
    <cacheField name="Pre-carriage ROAD_x000a_(kg CO2)" numFmtId="166">
      <sharedItems containsSemiMixedTypes="0" containsString="0" containsNumber="1" minValue="337.59" maxValue="337.59"/>
    </cacheField>
    <cacheField name="Main carriage SHIP_x000a_(kg CO2)" numFmtId="166">
      <sharedItems containsSemiMixedTypes="0" containsString="0" containsNumber="1" containsInteger="1" minValue="720" maxValue="720"/>
    </cacheField>
    <cacheField name="Main carriage RAIL_x000a_(kg CO2)" numFmtId="166">
      <sharedItems containsSemiMixedTypes="0" containsString="0" containsNumber="1" containsInteger="1" minValue="0" maxValue="0"/>
    </cacheField>
    <cacheField name="On-carriage ROAD_x000a_(kg CO2)" numFmtId="166">
      <sharedItems containsSemiMixedTypes="0" containsString="0" containsNumber="1" minValue="2366.7599999999998" maxValue="2366.7599999999998"/>
    </cacheField>
    <cacheField name="Main carriage ROAD_x000a_(kg CO2)" numFmtId="166">
      <sharedItems containsSemiMixedTypes="0" containsString="0" containsNumber="1" minValue="7739.16" maxValue="7739.16"/>
    </cacheField>
    <cacheField name="Total SHIP_x000a_(kg CO2)" numFmtId="166">
      <sharedItems containsSemiMixedTypes="0" containsString="0" containsNumber="1" containsInteger="1" minValue="720" maxValue="720"/>
    </cacheField>
    <cacheField name="Total RAIL_x000a_(kg CO2)" numFmtId="166">
      <sharedItems containsSemiMixedTypes="0" containsString="0" containsNumber="1" containsInteger="1" minValue="0" maxValue="0"/>
    </cacheField>
    <cacheField name="Total ROAD_x000a_(kg CO2)" numFmtId="166">
      <sharedItems containsSemiMixedTypes="0" containsString="0" containsNumber="1" minValue="2704.35" maxValue="2704.35"/>
    </cacheField>
    <cacheField name="Total_x000a_(kg CO2)" numFmtId="166">
      <sharedItems containsSemiMixedTypes="0" containsString="0" containsNumber="1" minValue="3424.35" maxValue="3424.35"/>
    </cacheField>
    <cacheField name="*If Full Road_x000a_(kg CO2)" numFmtId="166">
      <sharedItems containsSemiMixedTypes="0" containsString="0" containsNumber="1" minValue="7739.16" maxValue="7739.16"/>
    </cacheField>
    <cacheField name="Saved Emissions_x000a_(kg CO2)" numFmtId="166">
      <sharedItems containsSemiMixedTypes="0" containsString="0" containsNumber="1" minValue="4314.8099999999995" maxValue="4314.809999999999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n v="1"/>
    <m/>
    <s v="EXPORT"/>
    <s v="SARP INTERMODAL"/>
    <x v="0"/>
    <x v="0"/>
    <x v="0"/>
    <x v="0"/>
    <x v="0"/>
    <s v="PENDIK (TR) - TRIESTE (IT)"/>
    <e v="#N/A"/>
    <e v="#N/A"/>
    <e v="#N/A"/>
    <s v="24TON / 45HCPW BOX"/>
    <n v="24"/>
    <n v="465"/>
    <n v="116.25"/>
    <n v="2500"/>
    <n v="0"/>
    <n v="815"/>
    <n v="2665"/>
    <n v="0.121"/>
    <n v="1.2E-2"/>
    <n v="1.6E-2"/>
    <n v="337.59"/>
    <n v="720"/>
    <n v="0"/>
    <n v="2366.7599999999998"/>
    <n v="7739.16"/>
    <n v="720"/>
    <n v="0"/>
    <n v="2704.35"/>
    <n v="3424.35"/>
    <n v="7739.16"/>
    <n v="4314.80999999999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2174058-9EE4-435C-8F6E-FAF39EB90F74}" name="PivotTable2" cacheId="0" applyNumberFormats="0" applyBorderFormats="0" applyFontFormats="0" applyPatternFormats="0" applyAlignmentFormats="0" applyWidthHeightFormats="1" dataCaption="*" updatedVersion="8" minRefreshableVersion="3" itemPrintTitles="1" createdVersion="8" indent="0" compact="0" compactData="0" gridDropZones="1" multipleFieldFilters="0" chartFormat="3" rowHeaderCaption="Routes">
  <location ref="A28:H31" firstHeaderRow="1" firstDataRow="2" firstDataCol="4"/>
  <pivotFields count="35">
    <pivotField compact="0" outline="0" subtotalTop="0" showAll="0" defaultSubtotal="0"/>
    <pivotField dataField="1" compact="0" outline="0" showAll="0" defaultSubtotal="0"/>
    <pivotField compact="0" outline="0" showAll="0" defaultSubtotal="0"/>
    <pivotField compact="0" outline="0" showAll="0" defaultSubtotal="0"/>
    <pivotField axis="axisRow" compact="0" outline="0" showAll="0" defaultSubtotal="0">
      <items count="12">
        <item m="1" x="11"/>
        <item m="1" x="1"/>
        <item m="1" x="3"/>
        <item m="1" x="2"/>
        <item m="1" x="5"/>
        <item m="1" x="10"/>
        <item m="1" x="6"/>
        <item m="1" x="8"/>
        <item m="1" x="9"/>
        <item m="1" x="7"/>
        <item m="1" x="4"/>
        <item x="0"/>
      </items>
    </pivotField>
    <pivotField axis="axisRow" compact="0" outline="0" showAll="0" defaultSubtotal="0">
      <items count="8">
        <item m="1" x="3"/>
        <item m="1" x="2"/>
        <item m="1" x="5"/>
        <item m="1" x="7"/>
        <item m="1" x="4"/>
        <item m="1" x="6"/>
        <item m="1" x="1"/>
        <item x="0"/>
      </items>
    </pivotField>
    <pivotField axis="axisRow" compact="0" outline="0" showAll="0" sortType="descending" defaultSubtotal="0">
      <items count="19">
        <item m="1" x="15"/>
        <item m="1" x="16"/>
        <item m="1" x="13"/>
        <item m="1" x="18"/>
        <item m="1" x="3"/>
        <item m="1" x="14"/>
        <item m="1" x="12"/>
        <item m="1" x="8"/>
        <item m="1" x="17"/>
        <item m="1" x="2"/>
        <item m="1" x="9"/>
        <item m="1" x="4"/>
        <item m="1" x="11"/>
        <item m="1" x="10"/>
        <item m="1" x="5"/>
        <item m="1" x="7"/>
        <item x="0"/>
        <item m="1" x="6"/>
        <item m="1" x="1"/>
      </items>
      <autoSortScope>
        <pivotArea dataOnly="0" outline="0" fieldPosition="0">
          <references count="1">
            <reference field="4294967294" count="1" selected="0">
              <x v="3"/>
            </reference>
          </references>
        </pivotArea>
      </autoSortScope>
    </pivotField>
    <pivotField axis="axisRow" compact="0" outline="0" showAll="0" defaultSubtotal="0">
      <items count="3">
        <item m="1" x="2"/>
        <item m="1" x="1"/>
        <item x="0"/>
      </items>
    </pivotField>
    <pivotField compact="0" outline="0" showAll="0" sortType="descending" defaultSubtotal="0">
      <items count="101">
        <item m="1" x="64"/>
        <item m="1" x="94"/>
        <item m="1" x="77"/>
        <item m="1" x="76"/>
        <item m="1" x="92"/>
        <item m="1" x="84"/>
        <item m="1" x="80"/>
        <item m="1" x="66"/>
        <item m="1" x="98"/>
        <item m="1" x="91"/>
        <item m="1" x="82"/>
        <item m="1" x="72"/>
        <item m="1" x="70"/>
        <item m="1" x="81"/>
        <item m="1" x="86"/>
        <item m="1" x="99"/>
        <item m="1" x="93"/>
        <item m="1" x="95"/>
        <item m="1" x="68"/>
        <item m="1" x="67"/>
        <item m="1" x="96"/>
        <item m="1" x="74"/>
        <item m="1" x="97"/>
        <item m="1" x="85"/>
        <item m="1" x="79"/>
        <item m="1" x="75"/>
        <item m="1" x="83"/>
        <item m="1" x="69"/>
        <item m="1" x="90"/>
        <item m="1" x="78"/>
        <item m="1" x="65"/>
        <item m="1" x="88"/>
        <item m="1" x="100"/>
        <item m="1" x="73"/>
        <item m="1" x="87"/>
        <item m="1" x="89"/>
        <item m="1" x="71"/>
        <item m="1" x="61"/>
        <item m="1" x="62"/>
        <item m="1" x="63"/>
        <item m="1" x="52"/>
        <item m="1" x="44"/>
        <item m="1" x="57"/>
        <item m="1" x="53"/>
        <item m="1" x="55"/>
        <item m="1" x="54"/>
        <item m="1" x="47"/>
        <item m="1" x="48"/>
        <item m="1" x="43"/>
        <item m="1" x="45"/>
        <item m="1" x="50"/>
        <item m="1" x="58"/>
        <item m="1" x="56"/>
        <item m="1" x="49"/>
        <item m="1" x="51"/>
        <item m="1" x="59"/>
        <item m="1" x="46"/>
        <item m="1" x="60"/>
        <item m="1" x="39"/>
        <item m="1" x="40"/>
        <item m="1" x="41"/>
        <item m="1" x="42"/>
        <item m="1" x="34"/>
        <item m="1" x="35"/>
        <item m="1" x="36"/>
        <item m="1" x="37"/>
        <item m="1" x="38"/>
        <item m="1" x="7"/>
        <item m="1" x="8"/>
        <item m="1" x="9"/>
        <item m="1" x="10"/>
        <item m="1" x="11"/>
        <item m="1" x="12"/>
        <item m="1" x="13"/>
        <item m="1" x="14"/>
        <item m="1" x="15"/>
        <item m="1" x="16"/>
        <item m="1" x="17"/>
        <item m="1" x="18"/>
        <item m="1" x="19"/>
        <item m="1" x="20"/>
        <item m="1" x="21"/>
        <item m="1" x="22"/>
        <item m="1" x="23"/>
        <item m="1" x="24"/>
        <item m="1" x="25"/>
        <item m="1" x="26"/>
        <item m="1" x="27"/>
        <item m="1" x="28"/>
        <item m="1" x="29"/>
        <item m="1" x="30"/>
        <item m="1" x="31"/>
        <item m="1" x="32"/>
        <item m="1" x="33"/>
        <item m="1" x="2"/>
        <item m="1" x="3"/>
        <item m="1" x="4"/>
        <item m="1" x="5"/>
        <item m="1" x="6"/>
        <item m="1" x="1"/>
        <item x="0"/>
      </items>
      <autoSortScope>
        <pivotArea dataOnly="0" outline="0" fieldPosition="0">
          <references count="1">
            <reference field="4294967294" count="1" selected="0">
              <x v="3"/>
            </reference>
          </references>
        </pivotArea>
      </autoSortScope>
    </pivotField>
    <pivotField compact="0" outline="0" subtotalTop="0" showAll="0" defaultSubtotal="0"/>
    <pivotField compact="0" outline="0" subtotalTop="0" showAll="0" defaultSubtotal="0"/>
    <pivotField compact="0" numFmtId="14" outline="0" subtotalTop="0" showAll="0" defaultSubtotal="0"/>
    <pivotField compact="0" numFmtId="14" outline="0" showAll="0" defaultSubtotal="0"/>
    <pivotField compact="0" outline="0" showAll="0" defaultSubtotal="0"/>
    <pivotField compact="0" numFmtId="164" outline="0" showAll="0" defaultSubtotal="0"/>
    <pivotField compact="0" outline="0" showAll="0" defaultSubtotal="0"/>
    <pivotField compact="0" numFmtId="166" outline="0" subtotalTop="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numFmtId="164" outline="0" showAll="0" defaultSubtotal="0"/>
    <pivotField compact="0" numFmtId="164" outline="0" showAll="0" defaultSubtotal="0"/>
    <pivotField compact="0" numFmtId="164" outline="0" showAll="0" defaultSubtotal="0"/>
    <pivotField compact="0" numFmtId="164" outline="0" showAll="0" defaultSubtotal="0"/>
    <pivotField compact="0" numFmtId="164" outline="0" showAll="0" defaultSubtotal="0"/>
    <pivotField compact="0" numFmtId="164" outline="0" showAll="0" defaultSubtotal="0"/>
    <pivotField compact="0" numFmtId="164" outline="0" showAll="0" defaultSubtotal="0"/>
    <pivotField compact="0" numFmtId="164" outline="0" showAll="0" defaultSubtotal="0"/>
    <pivotField dataField="1" compact="0" numFmtId="164" outline="0" showAll="0" defaultSubtotal="0"/>
    <pivotField dataField="1" compact="0" numFmtId="165" outline="0" showAll="0" defaultSubtotal="0"/>
    <pivotField dataField="1" compact="0" numFmtId="165" outline="0" showAll="0" defaultSubtotal="0"/>
  </pivotFields>
  <rowFields count="4">
    <field x="4"/>
    <field x="5"/>
    <field x="6"/>
    <field x="7"/>
  </rowFields>
  <rowItems count="2">
    <i>
      <x v="11"/>
      <x v="7"/>
      <x v="16"/>
      <x v="2"/>
    </i>
    <i t="grand">
      <x/>
    </i>
  </rowItems>
  <colFields count="1">
    <field x="-2"/>
  </colFields>
  <colItems count="4">
    <i>
      <x/>
    </i>
    <i i="1">
      <x v="1"/>
    </i>
    <i i="2">
      <x v="2"/>
    </i>
    <i i="3">
      <x v="3"/>
    </i>
  </colItems>
  <dataFields count="4">
    <dataField name="Shipments" fld="1" subtotal="count" baseField="7" baseItem="13"/>
    <dataField name="Total Intermodal CO2 Emissions" fld="32" baseField="7" baseItem="13" numFmtId="3"/>
    <dataField name="Total Road CO2 Emissions" fld="33" baseField="7" baseItem="6" numFmtId="3"/>
    <dataField name="Saved CO2 Emissions (kg CO2)" fld="34" baseField="7" baseItem="2" numFmtId="3"/>
  </dataFields>
  <formats count="57">
    <format dxfId="96">
      <pivotArea type="all" dataOnly="0" outline="0" fieldPosition="0"/>
    </format>
    <format dxfId="95">
      <pivotArea outline="0" collapsedLevelsAreSubtotals="1" fieldPosition="0"/>
    </format>
    <format dxfId="94">
      <pivotArea field="8" type="button" dataOnly="0" labelOnly="1" outline="0"/>
    </format>
    <format dxfId="93">
      <pivotArea dataOnly="0" labelOnly="1" grandRow="1" outline="0" fieldPosition="0"/>
    </format>
    <format dxfId="92">
      <pivotArea dataOnly="0" labelOnly="1" outline="0" fieldPosition="0">
        <references count="1">
          <reference field="4294967294" count="3">
            <x v="1"/>
            <x v="2"/>
            <x v="3"/>
          </reference>
        </references>
      </pivotArea>
    </format>
    <format dxfId="91">
      <pivotArea dataOnly="0" labelOnly="1" outline="0" fieldPosition="0">
        <references count="1">
          <reference field="4294967294" count="3">
            <x v="1"/>
            <x v="2"/>
            <x v="3"/>
          </reference>
        </references>
      </pivotArea>
    </format>
    <format dxfId="90">
      <pivotArea dataOnly="0" labelOnly="1" outline="0" fieldPosition="0">
        <references count="1">
          <reference field="4294967294" count="4">
            <x v="0"/>
            <x v="1"/>
            <x v="2"/>
            <x v="3"/>
          </reference>
        </references>
      </pivotArea>
    </format>
    <format dxfId="89">
      <pivotArea field="4" type="button" dataOnly="0" labelOnly="1" outline="0" axis="axisRow" fieldPosition="0"/>
    </format>
    <format dxfId="88">
      <pivotArea field="6" type="button" dataOnly="0" labelOnly="1" outline="0" axis="axisRow" fieldPosition="2"/>
    </format>
    <format dxfId="87">
      <pivotArea dataOnly="0" labelOnly="1" outline="0" fieldPosition="0">
        <references count="1">
          <reference field="4294967294" count="4">
            <x v="0"/>
            <x v="1"/>
            <x v="2"/>
            <x v="3"/>
          </reference>
        </references>
      </pivotArea>
    </format>
    <format dxfId="86">
      <pivotArea field="4" type="button" dataOnly="0" labelOnly="1" outline="0" axis="axisRow" fieldPosition="0"/>
    </format>
    <format dxfId="85">
      <pivotArea field="6" type="button" dataOnly="0" labelOnly="1" outline="0" axis="axisRow" fieldPosition="2"/>
    </format>
    <format dxfId="84">
      <pivotArea dataOnly="0" labelOnly="1" outline="0" fieldPosition="0">
        <references count="1">
          <reference field="4294967294" count="4">
            <x v="0"/>
            <x v="1"/>
            <x v="2"/>
            <x v="3"/>
          </reference>
        </references>
      </pivotArea>
    </format>
    <format dxfId="83">
      <pivotArea type="all" dataOnly="0" outline="0" fieldPosition="0"/>
    </format>
    <format dxfId="82">
      <pivotArea outline="0" collapsedLevelsAreSubtotals="1" fieldPosition="0"/>
    </format>
    <format dxfId="81">
      <pivotArea type="origin" dataOnly="0" labelOnly="1" outline="0" fieldPosition="0"/>
    </format>
    <format dxfId="80">
      <pivotArea field="-2" type="button" dataOnly="0" labelOnly="1" outline="0" axis="axisCol" fieldPosition="0"/>
    </format>
    <format dxfId="79">
      <pivotArea type="topRight" dataOnly="0" labelOnly="1" outline="0" fieldPosition="0"/>
    </format>
    <format dxfId="78">
      <pivotArea field="4" type="button" dataOnly="0" labelOnly="1" outline="0" axis="axisRow" fieldPosition="0"/>
    </format>
    <format dxfId="77">
      <pivotArea field="6" type="button" dataOnly="0" labelOnly="1" outline="0" axis="axisRow" fieldPosition="2"/>
    </format>
    <format dxfId="76">
      <pivotArea dataOnly="0" labelOnly="1" outline="0" fieldPosition="0">
        <references count="1">
          <reference field="4" count="0"/>
        </references>
      </pivotArea>
    </format>
    <format dxfId="75">
      <pivotArea dataOnly="0" labelOnly="1" grandRow="1" outline="0" fieldPosition="0"/>
    </format>
    <format dxfId="74">
      <pivotArea dataOnly="0" labelOnly="1" outline="0" fieldPosition="0">
        <references count="1">
          <reference field="4294967294" count="4">
            <x v="0"/>
            <x v="1"/>
            <x v="2"/>
            <x v="3"/>
          </reference>
        </references>
      </pivotArea>
    </format>
    <format dxfId="73">
      <pivotArea type="all" dataOnly="0" outline="0" fieldPosition="0"/>
    </format>
    <format dxfId="72">
      <pivotArea outline="0" collapsedLevelsAreSubtotals="1" fieldPosition="0"/>
    </format>
    <format dxfId="71">
      <pivotArea type="origin" dataOnly="0" labelOnly="1" outline="0" fieldPosition="0"/>
    </format>
    <format dxfId="70">
      <pivotArea field="-2" type="button" dataOnly="0" labelOnly="1" outline="0" axis="axisCol" fieldPosition="0"/>
    </format>
    <format dxfId="69">
      <pivotArea type="topRight" dataOnly="0" labelOnly="1" outline="0" fieldPosition="0"/>
    </format>
    <format dxfId="68">
      <pivotArea field="4" type="button" dataOnly="0" labelOnly="1" outline="0" axis="axisRow" fieldPosition="0"/>
    </format>
    <format dxfId="67">
      <pivotArea field="6" type="button" dataOnly="0" labelOnly="1" outline="0" axis="axisRow" fieldPosition="2"/>
    </format>
    <format dxfId="66">
      <pivotArea dataOnly="0" labelOnly="1" outline="0" fieldPosition="0">
        <references count="1">
          <reference field="4" count="0"/>
        </references>
      </pivotArea>
    </format>
    <format dxfId="65">
      <pivotArea dataOnly="0" labelOnly="1" grandRow="1" outline="0" fieldPosition="0"/>
    </format>
    <format dxfId="64">
      <pivotArea dataOnly="0" labelOnly="1" outline="0" fieldPosition="0">
        <references count="1">
          <reference field="4294967294" count="4">
            <x v="0"/>
            <x v="1"/>
            <x v="2"/>
            <x v="3"/>
          </reference>
        </references>
      </pivotArea>
    </format>
    <format dxfId="63">
      <pivotArea dataOnly="0" labelOnly="1" outline="0" fieldPosition="0">
        <references count="1">
          <reference field="4294967294" count="4">
            <x v="0"/>
            <x v="1"/>
            <x v="2"/>
            <x v="3"/>
          </reference>
        </references>
      </pivotArea>
    </format>
    <format dxfId="62">
      <pivotArea dataOnly="0" labelOnly="1" outline="0" fieldPosition="0">
        <references count="1">
          <reference field="4294967294" count="1">
            <x v="2"/>
          </reference>
        </references>
      </pivotArea>
    </format>
    <format dxfId="61">
      <pivotArea dataOnly="0" labelOnly="1" outline="0" fieldPosition="0">
        <references count="1">
          <reference field="4294967294" count="1">
            <x v="3"/>
          </reference>
        </references>
      </pivotArea>
    </format>
    <format dxfId="60">
      <pivotArea dataOnly="0" labelOnly="1" outline="0" fieldPosition="0">
        <references count="1">
          <reference field="4294967294" count="1">
            <x v="1"/>
          </reference>
        </references>
      </pivotArea>
    </format>
    <format dxfId="59">
      <pivotArea field="4" type="button" dataOnly="0" labelOnly="1" outline="0" axis="axisRow" fieldPosition="0"/>
    </format>
    <format dxfId="58">
      <pivotArea field="5" type="button" dataOnly="0" labelOnly="1" outline="0" axis="axisRow" fieldPosition="1"/>
    </format>
    <format dxfId="57">
      <pivotArea field="6" type="button" dataOnly="0" labelOnly="1" outline="0" axis="axisRow" fieldPosition="2"/>
    </format>
    <format dxfId="56">
      <pivotArea field="7" type="button" dataOnly="0" labelOnly="1" outline="0" axis="axisRow" fieldPosition="3"/>
    </format>
    <format dxfId="55">
      <pivotArea dataOnly="0" labelOnly="1" outline="0" fieldPosition="0">
        <references count="1">
          <reference field="4294967294" count="1">
            <x v="0"/>
          </reference>
        </references>
      </pivotArea>
    </format>
    <format dxfId="54">
      <pivotArea field="6" type="button" dataOnly="0" labelOnly="1" outline="0" axis="axisRow" fieldPosition="2"/>
    </format>
    <format dxfId="53">
      <pivotArea field="7" type="button" dataOnly="0" labelOnly="1" outline="0" axis="axisRow" fieldPosition="3"/>
    </format>
    <format dxfId="52">
      <pivotArea type="origin" dataOnly="0" labelOnly="1" outline="0" fieldPosition="0"/>
    </format>
    <format dxfId="51">
      <pivotArea field="-2" type="button" dataOnly="0" labelOnly="1" outline="0" axis="axisCol" fieldPosition="0"/>
    </format>
    <format dxfId="50">
      <pivotArea type="topRight" dataOnly="0" labelOnly="1" outline="0" fieldPosition="0"/>
    </format>
    <format dxfId="49">
      <pivotArea field="4" type="button" dataOnly="0" labelOnly="1" outline="0" axis="axisRow" fieldPosition="0"/>
    </format>
    <format dxfId="48">
      <pivotArea field="5" type="button" dataOnly="0" labelOnly="1" outline="0" axis="axisRow" fieldPosition="1"/>
    </format>
    <format dxfId="47">
      <pivotArea field="6" type="button" dataOnly="0" labelOnly="1" outline="0" axis="axisRow" fieldPosition="2"/>
    </format>
    <format dxfId="46">
      <pivotArea field="7" type="button" dataOnly="0" labelOnly="1" outline="0" axis="axisRow" fieldPosition="3"/>
    </format>
    <format dxfId="45">
      <pivotArea dataOnly="0" labelOnly="1" outline="0" fieldPosition="0">
        <references count="1">
          <reference field="4294967294" count="4">
            <x v="0"/>
            <x v="1"/>
            <x v="2"/>
            <x v="3"/>
          </reference>
        </references>
      </pivotArea>
    </format>
    <format dxfId="44">
      <pivotArea outline="0" collapsedLevelsAreSubtotals="1" fieldPosition="0"/>
    </format>
    <format dxfId="43">
      <pivotArea dataOnly="0" labelOnly="1" outline="0" fieldPosition="0">
        <references count="1">
          <reference field="4" count="0"/>
        </references>
      </pivotArea>
    </format>
    <format dxfId="42">
      <pivotArea dataOnly="0" labelOnly="1" outline="0" fieldPosition="0">
        <references count="2">
          <reference field="4" count="0" selected="0"/>
          <reference field="5" count="0"/>
        </references>
      </pivotArea>
    </format>
    <format dxfId="41">
      <pivotArea dataOnly="0" labelOnly="1" outline="0" fieldPosition="0">
        <references count="3">
          <reference field="4" count="0" selected="0"/>
          <reference field="5" count="0" selected="0"/>
          <reference field="6" count="0"/>
        </references>
      </pivotArea>
    </format>
    <format dxfId="40">
      <pivotArea dataOnly="0" labelOnly="1" outline="0" fieldPosition="0">
        <references count="4">
          <reference field="4" count="0" selected="0"/>
          <reference field="5" count="0" selected="0"/>
          <reference field="6" count="0" selected="0"/>
          <reference field="7" count="0"/>
        </references>
      </pivotArea>
    </format>
  </format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2" format="3" series="1">
      <pivotArea type="data" outline="0" fieldPosition="0">
        <references count="1">
          <reference field="4294967294" count="1" selected="0">
            <x v="3"/>
          </reference>
        </references>
      </pivotArea>
    </chartFormat>
  </chartFormats>
  <pivotTableStyleInfo name="PivotStyleLigh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213C6A7-277C-4701-A4E8-885B3072AFD9}" name="CO2_Calculator_Table" displayName="CO2_Calculator_Table" ref="A9:AI39" totalsRowShown="0" headerRowDxfId="39" dataDxfId="37" headerRowBorderDxfId="38" tableBorderDxfId="36" totalsRowBorderDxfId="35">
  <autoFilter ref="A9:AI39" xr:uid="{7213C6A7-277C-4701-A4E8-885B3072AFD9}"/>
  <sortState xmlns:xlrd2="http://schemas.microsoft.com/office/spreadsheetml/2017/richdata2" ref="A10:AI10">
    <sortCondition ref="L9:L10"/>
  </sortState>
  <tableColumns count="35">
    <tableColumn id="34" xr3:uid="{22E0A7A2-78EE-430C-81FF-3D599751A532}" name="#" dataDxfId="34"/>
    <tableColumn id="1" xr3:uid="{8897852A-7310-4D9B-8A6F-9F94AA9A6C24}" name="Referance Number_x000a_(Carrier)" dataDxfId="33"/>
    <tableColumn id="2" xr3:uid="{3A042D7E-44EE-40BE-9ED0-45641728FA6F}" name="Export / Import" dataDxfId="32"/>
    <tableColumn id="3" xr3:uid="{53DC0277-EFB3-4D88-9D56-D6321AE28A03}" name="Carrier" dataDxfId="31"/>
    <tableColumn id="4" xr3:uid="{6EE948EF-336C-4902-93C9-B35ABE50589D}" name="Loading Country" dataDxfId="30"/>
    <tableColumn id="5" xr3:uid="{18EE45CB-D583-4D87-B9EF-5A6810CF9BB2}" name="Loading City" dataDxfId="29"/>
    <tableColumn id="6" xr3:uid="{118B834C-7477-4147-BBB9-AB580F2FE3E8}" name="Unloading Country" dataDxfId="28"/>
    <tableColumn id="7" xr3:uid="{9C18123A-7CE5-4125-9793-C88638CADE68}" name="Unloading City" dataDxfId="27"/>
    <tableColumn id="8" xr3:uid="{C851674B-4324-45AF-AFC5-4FDDEC1774F8}" name="Route" dataDxfId="26"/>
    <tableColumn id="31" xr3:uid="{EE066BBB-953F-4372-9E96-6B6AAD166F81}" name="Route Detail" dataDxfId="25"/>
    <tableColumn id="32" xr3:uid="{C532E536-1B81-483D-ACC1-9D547DD0EE43}" name="Taşıma Modu" dataDxfId="24">
      <calculatedColumnFormula>VLOOKUP(CO2_Calculator_Table[[#This Row],[Referance Number
(Carrier)]],#REF!,10,0)</calculatedColumnFormula>
    </tableColumn>
    <tableColumn id="35" xr3:uid="{C248E30D-EC2B-423F-8D33-731EEF9DC1D4}" name="Realized date of loading" dataDxfId="23">
      <calculatedColumnFormula>VLOOKUP(CO2_Calculator_Table[[#This Row],[Referance Number
(Carrier)]],#REF!,14,0)</calculatedColumnFormula>
    </tableColumn>
    <tableColumn id="9" xr3:uid="{75E1D199-E954-4F39-BF87-A99BF1445F32}" name="Realized date of unloading" dataDxfId="22">
      <calculatedColumnFormula>VLOOKUP(CO2_Calculator_Table[[#This Row],[Referance Number
(Carrier)]],#REF!,15,0)</calculatedColumnFormula>
    </tableColumn>
    <tableColumn id="10" xr3:uid="{97B21535-A9B0-451E-AA40-4600FC24A215}" name="Vehicle type- Container TEU" dataDxfId="21"/>
    <tableColumn id="11" xr3:uid="{0B78B23B-E3B5-4CEA-B905-7A129D3253AE}" name="Tonnage transported" dataDxfId="20"/>
    <tableColumn id="12" xr3:uid="{C7AE0A2D-3986-4750-AA79-FF1E118A712B}" name="Pre-carriage ROAD _x000a_(km)" dataDxfId="19">
      <calculatedColumnFormula>SUMIFS(ROUTES!H:H,ROUTES!B:B,CO2_Calculator_Table[[#This Row],[Route]],ROUTES!E:E,CO2_Calculator_Table[[#This Row],[Loading City]],ROUTES!G:G,CO2_Calculator_Table[[#This Row],[Unloading City]],ROUTES!C:C,CO2_Calculator_Table[[#This Row],[Route Detail]])</calculatedColumnFormula>
    </tableColumn>
    <tableColumn id="33" xr3:uid="{6FDEC931-C800-4EE4-8879-F01F3C6AD130}" name="Pre-carriage ROAD _x000a_(km, if electric)" dataDxfId="18">
      <calculatedColumnFormula>CO2_Calculator_Table[[#This Row],[Pre-carriage ROAD 
(km)]]/4</calculatedColumnFormula>
    </tableColumn>
    <tableColumn id="13" xr3:uid="{48AA9F78-08F7-418D-8B3F-4381F346FF52}" name="Main carriage SHIP _x000a_(km)" dataDxfId="17">
      <calculatedColumnFormula>SUMIFS(ROUTES!I:I,ROUTES!B:B,CO2_Calculator_Table[[#This Row],[Route]],ROUTES!E:E,CO2_Calculator_Table[[#This Row],[Loading City]],ROUTES!G:G,CO2_Calculator_Table[[#This Row],[Unloading City]],ROUTES!C:C,CO2_Calculator_Table[[#This Row],[Route Detail]])</calculatedColumnFormula>
    </tableColumn>
    <tableColumn id="14" xr3:uid="{15EECA13-8C07-427B-AC63-D41321B2D54A}" name="Main carriage RAIL _x000a_(km)" dataDxfId="16">
      <calculatedColumnFormula>SUMIFS(ROUTES!J:J,ROUTES!B:B,CO2_Calculator_Table[[#This Row],[Route]],ROUTES!E:E,CO2_Calculator_Table[[#This Row],[Loading City]],ROUTES!G:G,CO2_Calculator_Table[[#This Row],[Unloading City]],ROUTES!C:C,CO2_Calculator_Table[[#This Row],[Route Detail]])</calculatedColumnFormula>
    </tableColumn>
    <tableColumn id="15" xr3:uid="{A046136E-9A26-483D-B4D7-3F1819C0C492}" name="On-carriage ROAD _x000a_(km)" dataDxfId="15">
      <calculatedColumnFormula>SUMIFS(ROUTES!K:K,ROUTES!B:B,CO2_Calculator_Table[[#This Row],[Route]],ROUTES!E:E,CO2_Calculator_Table[[#This Row],[Loading City]],ROUTES!G:G,CO2_Calculator_Table[[#This Row],[Unloading City]],ROUTES!C:C,CO2_Calculator_Table[[#This Row],[Route Detail]])</calculatedColumnFormula>
    </tableColumn>
    <tableColumn id="16" xr3:uid="{8BE9462D-E5AD-477F-BBD2-5BEB3F20C605}" name="Main carriage ROAD_x000a_(km) " dataDxfId="14">
      <calculatedColumnFormula>SUMIFS(ROUTES!L:L,ROUTES!B:B,CO2_Calculator_Table[[#This Row],[Route]],ROUTES!E:E,CO2_Calculator_Table[[#This Row],[Loading City]],ROUTES!G:G,CO2_Calculator_Table[[#This Row],[Unloading City]],ROUTES!C:C,CO2_Calculator_Table[[#This Row],[Route Detail]])</calculatedColumnFormula>
    </tableColumn>
    <tableColumn id="17" xr3:uid="{47F1B260-2488-4F92-A192-DF9F737D75AA}" name="ROAD _x000a_0,121" dataDxfId="13">
      <calculatedColumnFormula>$V$6</calculatedColumnFormula>
    </tableColumn>
    <tableColumn id="18" xr3:uid="{E928C29D-D444-4B23-AD12-2AAF020503BD}" name="SHIP _x000a_0,012" dataDxfId="12">
      <calculatedColumnFormula>$W$6</calculatedColumnFormula>
    </tableColumn>
    <tableColumn id="19" xr3:uid="{24D26499-5F16-4965-AC44-BE28AC5A1C6A}" name="RAIL _x000a_0,016" dataDxfId="11">
      <calculatedColumnFormula>$X$6</calculatedColumnFormula>
    </tableColumn>
    <tableColumn id="20" xr3:uid="{481195D9-303B-4408-B3C7-4EE76A5B6163}" name="Pre-carriage ROAD_x000a_(kg CO2)" dataDxfId="10">
      <calculatedColumnFormula>IF(CO2_Calculator_Table[[#This Row],[Pre-carriage ROAD 
(km, if electric)]]=0,(O10*P10*V10),(O10*Q10*V10))</calculatedColumnFormula>
    </tableColumn>
    <tableColumn id="21" xr3:uid="{C374372B-873D-47A4-BF66-201490AFA9C0}" name="Main carriage SHIP_x000a_(kg CO2)" dataDxfId="9">
      <calculatedColumnFormula>O10*R10*W10</calculatedColumnFormula>
    </tableColumn>
    <tableColumn id="22" xr3:uid="{5B1307D4-3B21-4C05-9AB4-6D8E38D7ABF2}" name="Main carriage RAIL_x000a_(kg CO2)" dataDxfId="8">
      <calculatedColumnFormula>O10*S10*X10</calculatedColumnFormula>
    </tableColumn>
    <tableColumn id="23" xr3:uid="{C9FB2309-6446-4088-BFA5-7BFCEEB39E4E}" name="On-carriage ROAD_x000a_(kg CO2)" dataDxfId="7">
      <calculatedColumnFormula>O10*T10*V10</calculatedColumnFormula>
    </tableColumn>
    <tableColumn id="24" xr3:uid="{803B11C6-E503-4227-BD43-6E66DE699192}" name="Main carriage ROAD_x000a_(kg CO2)" dataDxfId="6">
      <calculatedColumnFormula>O10*U10*V10</calculatedColumnFormula>
    </tableColumn>
    <tableColumn id="25" xr3:uid="{C2125B5D-4C09-4F65-9638-7B0FCC35B421}" name="Total SHIP_x000a_(kg CO2)" dataDxfId="5">
      <calculatedColumnFormula>Z10</calculatedColumnFormula>
    </tableColumn>
    <tableColumn id="26" xr3:uid="{BD91FA68-C0A7-4106-AF9D-E746AEAAA2C8}" name="Total RAIL_x000a_(kg CO2)" dataDxfId="4">
      <calculatedColumnFormula>AA10</calculatedColumnFormula>
    </tableColumn>
    <tableColumn id="27" xr3:uid="{BDAB04FB-A7DE-44D6-A6F9-55E26274F747}" name="Total ROAD_x000a_(kg CO2)" dataDxfId="3">
      <calculatedColumnFormula>Y10+AB10</calculatedColumnFormula>
    </tableColumn>
    <tableColumn id="28" xr3:uid="{D57D6B5B-744B-47F8-A7BB-B4F0F6444369}" name="Total_x000a_(kg CO2)" dataDxfId="2">
      <calculatedColumnFormula>AD10+AE10+AF10</calculatedColumnFormula>
    </tableColumn>
    <tableColumn id="29" xr3:uid="{4B65A6ED-251D-4670-AFA6-B5B30C960AA4}" name="*If Full Road_x000a_(kg CO2)" dataDxfId="1">
      <calculatedColumnFormula>SUM(U10)*V10*O10</calculatedColumnFormula>
    </tableColumn>
    <tableColumn id="30" xr3:uid="{DC9125ED-E7F9-4FE5-A357-F82812E01745}" name="Saved Emissions_x000a_(kg CO2)" dataDxfId="0">
      <calculatedColumnFormula>AH10-AG10</calculatedColumnFormula>
    </tableColumn>
  </tableColumns>
  <tableStyleInfo name="TableStyleLight18" showFirstColumn="0" showLastColumn="0" showRowStripes="1" showColumnStripes="0"/>
</table>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omments" Target="../comments1.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2D49B-40CF-4BB7-B36D-47176628EF77}">
  <sheetPr>
    <pageSetUpPr fitToPage="1"/>
  </sheetPr>
  <dimension ref="A23:L31"/>
  <sheetViews>
    <sheetView showGridLines="0" zoomScale="70" zoomScaleNormal="70" zoomScaleSheetLayoutView="85" workbookViewId="0">
      <selection activeCell="Q23" sqref="Q23"/>
    </sheetView>
  </sheetViews>
  <sheetFormatPr defaultRowHeight="14.4" x14ac:dyDescent="0.3"/>
  <cols>
    <col min="1" max="1" width="27.109375" customWidth="1"/>
    <col min="2" max="2" width="29.109375" customWidth="1"/>
    <col min="3" max="3" width="17.5546875" customWidth="1"/>
    <col min="4" max="4" width="41.6640625" customWidth="1"/>
    <col min="5" max="5" width="25" customWidth="1"/>
    <col min="6" max="6" width="18" customWidth="1"/>
    <col min="7" max="7" width="18.5546875" customWidth="1"/>
    <col min="8" max="8" width="21.6640625" customWidth="1"/>
    <col min="9" max="9" width="10.44140625" bestFit="1" customWidth="1"/>
    <col min="10" max="10" width="29.44140625" bestFit="1" customWidth="1"/>
    <col min="11" max="11" width="23.88671875" bestFit="1" customWidth="1"/>
    <col min="12" max="13" width="19.6640625" bestFit="1" customWidth="1"/>
  </cols>
  <sheetData>
    <row r="23" spans="1:12" ht="16.5" customHeight="1" x14ac:dyDescent="0.35">
      <c r="A23" s="127" t="str">
        <f>"Geleneksel taşıma yöntemleri yerine intermodal taşımacılığı tercih ederek "&amp;TEXT(ROUND(CALCULATION!AF5,0),"#.##")&amp;" adet yetişkin kızılçam ağacı (yaklaşık 0,70 hektar orman) kurtardınız."</f>
        <v>Geleneksel taşıma yöntemleri yerine intermodal taşımacılığı tercih ederek 287 adet yetişkin kızılçam ağacı (yaklaşık 0,70 hektar orman) kurtardınız.</v>
      </c>
      <c r="B23" s="127"/>
      <c r="C23" s="127"/>
      <c r="D23" s="127"/>
      <c r="E23" s="127"/>
      <c r="F23" s="127"/>
      <c r="G23" s="127"/>
      <c r="H23" s="127"/>
    </row>
    <row r="24" spans="1:12" ht="16.5" customHeight="1" x14ac:dyDescent="0.35">
      <c r="A24" s="127" t="str">
        <f>"By choosing intermodal transportation instead of traditional transportation methods, you have saved "&amp;TEXT(ROUND(CALCULATION!AF5,0),"#.##")&amp;" adult red pine trees (0,70 hectares of forest approximately)."</f>
        <v>By choosing intermodal transportation instead of traditional transportation methods, you have saved 287 adult red pine trees (0,70 hectares of forest approximately).</v>
      </c>
      <c r="B24" s="127"/>
      <c r="C24" s="127"/>
      <c r="D24" s="127"/>
      <c r="E24" s="127"/>
      <c r="F24" s="127"/>
      <c r="G24" s="127"/>
      <c r="H24" s="127"/>
      <c r="J24" s="15"/>
      <c r="K24" s="15"/>
      <c r="L24" s="15"/>
    </row>
    <row r="27" spans="1:12" ht="15.6" x14ac:dyDescent="0.35">
      <c r="A27" s="126" t="s">
        <v>67</v>
      </c>
      <c r="B27" s="126"/>
      <c r="C27" s="126"/>
      <c r="D27" s="126"/>
      <c r="E27" s="126"/>
      <c r="F27" s="126"/>
    </row>
    <row r="28" spans="1:12" ht="15.6" x14ac:dyDescent="0.35">
      <c r="A28" s="91"/>
      <c r="B28" s="91"/>
      <c r="C28" s="91"/>
      <c r="D28" s="91"/>
      <c r="E28" s="87" t="s">
        <v>51</v>
      </c>
      <c r="F28" s="91"/>
      <c r="G28" s="91"/>
      <c r="H28" s="91"/>
    </row>
    <row r="29" spans="1:12" ht="31.2" x14ac:dyDescent="0.35">
      <c r="A29" s="87" t="s">
        <v>24</v>
      </c>
      <c r="B29" s="87" t="s">
        <v>25</v>
      </c>
      <c r="C29" s="89" t="s">
        <v>26</v>
      </c>
      <c r="D29" s="89" t="s">
        <v>27</v>
      </c>
      <c r="E29" s="88" t="s">
        <v>50</v>
      </c>
      <c r="F29" s="90" t="s">
        <v>48</v>
      </c>
      <c r="G29" s="90" t="s">
        <v>49</v>
      </c>
      <c r="H29" s="90" t="s">
        <v>79</v>
      </c>
    </row>
    <row r="30" spans="1:12" ht="15.6" x14ac:dyDescent="0.35">
      <c r="A30" s="91" t="s">
        <v>74</v>
      </c>
      <c r="B30" s="91" t="s">
        <v>76</v>
      </c>
      <c r="C30" s="91" t="s">
        <v>77</v>
      </c>
      <c r="D30" s="91">
        <v>1425</v>
      </c>
      <c r="E30" s="91"/>
      <c r="F30" s="92">
        <v>3424.35</v>
      </c>
      <c r="G30" s="92">
        <v>7739.16</v>
      </c>
      <c r="H30" s="92">
        <v>4314.8099999999995</v>
      </c>
    </row>
    <row r="31" spans="1:12" ht="15.6" x14ac:dyDescent="0.35">
      <c r="A31" s="82" t="s">
        <v>72</v>
      </c>
      <c r="B31" s="84"/>
      <c r="C31" s="84"/>
      <c r="D31" s="83"/>
      <c r="E31" s="91"/>
      <c r="F31" s="92">
        <v>3424.35</v>
      </c>
      <c r="G31" s="92">
        <v>7739.16</v>
      </c>
      <c r="H31" s="92">
        <v>4314.8099999999995</v>
      </c>
    </row>
  </sheetData>
  <mergeCells count="3">
    <mergeCell ref="A27:F27"/>
    <mergeCell ref="A23:H23"/>
    <mergeCell ref="A24:H24"/>
  </mergeCells>
  <pageMargins left="0.7" right="0.7" top="0.75" bottom="0.75" header="0.3" footer="0.3"/>
  <pageSetup paperSize="9" scale="65" orientation="landscape" r:id="rId2"/>
  <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AF47C-41BC-4C2D-B52F-37E501DC797A}">
  <sheetPr>
    <pageSetUpPr fitToPage="1"/>
  </sheetPr>
  <dimension ref="A1:AI39"/>
  <sheetViews>
    <sheetView showGridLines="0" tabSelected="1" topLeftCell="T1" zoomScale="70" zoomScaleNormal="70" zoomScaleSheetLayoutView="63" workbookViewId="0">
      <pane ySplit="9" topLeftCell="A10" activePane="bottomLeft" state="frozen"/>
      <selection pane="bottomLeft" activeCell="AD14" sqref="AD14"/>
    </sheetView>
  </sheetViews>
  <sheetFormatPr defaultColWidth="8.88671875" defaultRowHeight="14.4" x14ac:dyDescent="0.3"/>
  <cols>
    <col min="1" max="1" width="6.88671875" style="2" bestFit="1" customWidth="1"/>
    <col min="2" max="2" width="18.33203125" style="2" bestFit="1" customWidth="1"/>
    <col min="3" max="3" width="21" style="2" bestFit="1" customWidth="1"/>
    <col min="4" max="4" width="21.88671875" style="2" bestFit="1" customWidth="1"/>
    <col min="5" max="5" width="20.33203125" style="2" bestFit="1" customWidth="1"/>
    <col min="6" max="6" width="22.44140625" style="2" bestFit="1" customWidth="1"/>
    <col min="7" max="7" width="20.88671875" style="2" customWidth="1"/>
    <col min="8" max="8" width="27.33203125" style="2" bestFit="1" customWidth="1"/>
    <col min="9" max="9" width="15.88671875" style="1" bestFit="1" customWidth="1"/>
    <col min="10" max="10" width="42.6640625" style="2" customWidth="1"/>
    <col min="11" max="11" width="18.5546875" style="3" hidden="1" customWidth="1"/>
    <col min="12" max="12" width="18.5546875" style="1" customWidth="1"/>
    <col min="13" max="13" width="21.88671875" style="1" bestFit="1" customWidth="1"/>
    <col min="14" max="14" width="29" bestFit="1" customWidth="1"/>
    <col min="15" max="15" width="15.109375" style="3" bestFit="1" customWidth="1"/>
    <col min="16" max="16" width="15.88671875" style="7" customWidth="1"/>
    <col min="17" max="17" width="16.44140625" style="7" customWidth="1"/>
    <col min="18" max="21" width="15.88671875" style="7" customWidth="1"/>
    <col min="22" max="22" width="14.109375" style="7" customWidth="1"/>
    <col min="23" max="24" width="14.109375" style="3" customWidth="1"/>
    <col min="25" max="28" width="16.109375" style="3" customWidth="1"/>
    <col min="29" max="31" width="16.109375" style="5" customWidth="1"/>
    <col min="32" max="33" width="16.109375" style="1" customWidth="1"/>
    <col min="34" max="34" width="17.109375" style="1" customWidth="1"/>
    <col min="35" max="35" width="17.109375" customWidth="1"/>
  </cols>
  <sheetData>
    <row r="1" spans="1:35" ht="3.75" customHeight="1" x14ac:dyDescent="0.3">
      <c r="N1" s="3"/>
      <c r="O1" s="7"/>
      <c r="V1" s="3"/>
      <c r="AB1" s="5"/>
      <c r="AE1" s="1"/>
    </row>
    <row r="2" spans="1:35" x14ac:dyDescent="0.3">
      <c r="B2" s="134" t="s">
        <v>46</v>
      </c>
      <c r="C2" s="135"/>
      <c r="D2" s="135"/>
      <c r="E2" s="135"/>
      <c r="F2" s="135"/>
      <c r="G2" s="136"/>
      <c r="P2" s="3"/>
      <c r="Q2" s="3"/>
      <c r="R2" s="3"/>
      <c r="S2" s="3"/>
      <c r="T2" s="3"/>
      <c r="U2" s="4"/>
      <c r="V2" s="4"/>
      <c r="W2" s="4"/>
      <c r="X2" s="4"/>
      <c r="AA2" s="5"/>
      <c r="AB2" s="5"/>
      <c r="AE2" s="140" t="s">
        <v>53</v>
      </c>
      <c r="AF2" s="140" t="s">
        <v>47</v>
      </c>
    </row>
    <row r="3" spans="1:35" x14ac:dyDescent="0.3">
      <c r="A3" s="1"/>
      <c r="B3" s="137"/>
      <c r="C3" s="138"/>
      <c r="D3" s="138"/>
      <c r="E3" s="138"/>
      <c r="F3" s="138"/>
      <c r="G3" s="139"/>
      <c r="P3" s="3"/>
      <c r="Q3" s="3"/>
      <c r="R3" s="3"/>
      <c r="S3" s="3"/>
      <c r="T3" s="3"/>
      <c r="U3" s="4"/>
      <c r="V3" s="4"/>
      <c r="W3" s="4"/>
      <c r="X3" s="4"/>
      <c r="AA3" s="6"/>
      <c r="AB3" s="5"/>
      <c r="AE3" s="140"/>
      <c r="AF3" s="140"/>
    </row>
    <row r="4" spans="1:35" ht="41.4" x14ac:dyDescent="0.3">
      <c r="A4" s="1"/>
      <c r="B4" s="10" t="s">
        <v>38</v>
      </c>
      <c r="C4" s="10" t="s">
        <v>39</v>
      </c>
      <c r="D4" s="10" t="s">
        <v>40</v>
      </c>
      <c r="E4" s="17" t="s">
        <v>41</v>
      </c>
      <c r="F4" s="11" t="s">
        <v>43</v>
      </c>
      <c r="G4" s="16" t="s">
        <v>42</v>
      </c>
      <c r="P4" s="3"/>
      <c r="Q4" s="3"/>
      <c r="R4" s="3"/>
      <c r="S4" s="3"/>
      <c r="T4" s="3"/>
      <c r="U4" s="4"/>
      <c r="V4" s="4"/>
      <c r="W4" s="4"/>
      <c r="X4" s="4"/>
      <c r="AB4" s="5"/>
      <c r="AE4" s="38">
        <v>22.5</v>
      </c>
      <c r="AF4" s="38">
        <v>411.4</v>
      </c>
      <c r="AI4" s="9"/>
    </row>
    <row r="5" spans="1:35" ht="19.5" customHeight="1" x14ac:dyDescent="0.3">
      <c r="A5" s="1"/>
      <c r="B5" s="31">
        <f>SUM(AD10:AD39)/1000</f>
        <v>12.92976</v>
      </c>
      <c r="C5" s="31">
        <f>SUM(AE10:AE39)/1000</f>
        <v>1.7510400000000002</v>
      </c>
      <c r="D5" s="31">
        <f>SUM(AF10:AF39)/1000</f>
        <v>34.608419999999995</v>
      </c>
      <c r="E5" s="18">
        <f>SUM(B5:D5)</f>
        <v>49.289219999999993</v>
      </c>
      <c r="F5" s="31">
        <f>SUM(AH10:AH39)/1000</f>
        <v>167.35171199999999</v>
      </c>
      <c r="G5" s="32">
        <f>SUM(AI10:AI39)/1000</f>
        <v>118.06249199999999</v>
      </c>
      <c r="N5" s="19"/>
      <c r="P5" s="3"/>
      <c r="Q5" s="3"/>
      <c r="R5" s="3"/>
      <c r="S5" s="3"/>
      <c r="T5" s="3"/>
      <c r="U5" s="4"/>
      <c r="V5" s="4"/>
      <c r="W5" s="4"/>
      <c r="X5" s="4"/>
      <c r="AB5" s="5"/>
      <c r="AE5" s="39">
        <f>G5*1000/AE4</f>
        <v>5247.2218666666668</v>
      </c>
      <c r="AF5" s="39">
        <f>G5*1000/AF4</f>
        <v>286.9773748176957</v>
      </c>
    </row>
    <row r="6" spans="1:35" ht="25.5" customHeight="1" thickBot="1" x14ac:dyDescent="0.35">
      <c r="A6" s="1"/>
      <c r="B6" s="1"/>
      <c r="C6" s="1"/>
      <c r="D6" s="1"/>
      <c r="E6" s="1"/>
      <c r="F6" s="1"/>
      <c r="G6" s="1"/>
      <c r="N6" s="3"/>
      <c r="T6" s="3"/>
      <c r="U6" s="4"/>
      <c r="V6" s="78">
        <v>0.121</v>
      </c>
      <c r="W6" s="79">
        <v>1.2E-2</v>
      </c>
      <c r="X6" s="79">
        <v>1.6E-2</v>
      </c>
      <c r="AA6" s="5"/>
      <c r="AB6" s="5"/>
      <c r="AD6" s="1"/>
      <c r="AE6" s="39">
        <f>AE5/1600</f>
        <v>3.2795136666666669</v>
      </c>
      <c r="AF6" s="39">
        <f>AF5/1600</f>
        <v>0.17936085926105982</v>
      </c>
    </row>
    <row r="7" spans="1:35" ht="50.25" customHeight="1" thickBot="1" x14ac:dyDescent="0.35">
      <c r="A7" s="141" t="s">
        <v>36</v>
      </c>
      <c r="B7" s="142"/>
      <c r="C7" s="142"/>
      <c r="D7" s="142"/>
      <c r="E7" s="142"/>
      <c r="F7" s="142"/>
      <c r="G7" s="142"/>
      <c r="H7" s="142"/>
      <c r="I7" s="142"/>
      <c r="J7" s="142"/>
      <c r="K7" s="142"/>
      <c r="L7" s="142"/>
      <c r="M7" s="142"/>
      <c r="N7" s="142"/>
      <c r="O7" s="143"/>
      <c r="P7" s="128" t="s">
        <v>0</v>
      </c>
      <c r="Q7" s="129"/>
      <c r="R7" s="130"/>
      <c r="S7" s="130"/>
      <c r="T7" s="130"/>
      <c r="U7" s="8" t="s">
        <v>37</v>
      </c>
      <c r="V7" s="131" t="s">
        <v>31</v>
      </c>
      <c r="W7" s="132"/>
      <c r="X7" s="133"/>
      <c r="Y7" s="144" t="s">
        <v>1</v>
      </c>
      <c r="Z7" s="145"/>
      <c r="AA7" s="145"/>
      <c r="AB7" s="145"/>
      <c r="AC7" s="145"/>
      <c r="AD7" s="145"/>
      <c r="AE7" s="145"/>
      <c r="AF7" s="145"/>
      <c r="AG7" s="145"/>
      <c r="AH7" s="145"/>
      <c r="AI7" s="146"/>
    </row>
    <row r="8" spans="1:35" hidden="1" x14ac:dyDescent="0.3">
      <c r="A8" s="37" t="s">
        <v>20</v>
      </c>
      <c r="B8" s="73" t="s">
        <v>20</v>
      </c>
      <c r="C8" s="73" t="s">
        <v>20</v>
      </c>
      <c r="D8" s="73" t="s">
        <v>20</v>
      </c>
      <c r="E8" s="73" t="s">
        <v>20</v>
      </c>
      <c r="F8" s="73" t="s">
        <v>20</v>
      </c>
      <c r="G8" s="73" t="s">
        <v>20</v>
      </c>
      <c r="H8" s="73" t="s">
        <v>20</v>
      </c>
      <c r="I8" s="73"/>
      <c r="J8" s="73"/>
      <c r="K8" s="73" t="s">
        <v>20</v>
      </c>
      <c r="L8" s="75"/>
      <c r="M8" s="73" t="s">
        <v>20</v>
      </c>
      <c r="N8" s="73" t="s">
        <v>20</v>
      </c>
      <c r="O8" s="43" t="s">
        <v>20</v>
      </c>
      <c r="P8" s="37"/>
      <c r="Q8" s="73" t="s">
        <v>20</v>
      </c>
      <c r="R8" s="73" t="s">
        <v>20</v>
      </c>
      <c r="S8" s="73" t="s">
        <v>20</v>
      </c>
      <c r="T8" s="73" t="s">
        <v>20</v>
      </c>
      <c r="U8" s="36" t="s">
        <v>21</v>
      </c>
      <c r="V8" s="46" t="s">
        <v>21</v>
      </c>
      <c r="W8" s="74" t="s">
        <v>21</v>
      </c>
      <c r="X8" s="36" t="s">
        <v>22</v>
      </c>
      <c r="Y8" s="46" t="s">
        <v>22</v>
      </c>
      <c r="Z8" s="74" t="s">
        <v>22</v>
      </c>
      <c r="AA8" s="74" t="s">
        <v>22</v>
      </c>
      <c r="AB8" s="74" t="s">
        <v>22</v>
      </c>
      <c r="AC8" s="74" t="s">
        <v>22</v>
      </c>
      <c r="AD8" s="74" t="s">
        <v>22</v>
      </c>
      <c r="AE8" s="74" t="s">
        <v>22</v>
      </c>
      <c r="AF8" s="74" t="s">
        <v>22</v>
      </c>
      <c r="AG8" s="74" t="s">
        <v>22</v>
      </c>
      <c r="AH8" s="36" t="s">
        <v>22</v>
      </c>
      <c r="AI8" s="47"/>
    </row>
    <row r="9" spans="1:35" ht="41.4" x14ac:dyDescent="0.3">
      <c r="A9" s="66" t="s">
        <v>69</v>
      </c>
      <c r="B9" s="51" t="s">
        <v>35</v>
      </c>
      <c r="C9" s="51" t="s">
        <v>28</v>
      </c>
      <c r="D9" s="51" t="s">
        <v>2</v>
      </c>
      <c r="E9" s="51" t="s">
        <v>24</v>
      </c>
      <c r="F9" s="51" t="s">
        <v>25</v>
      </c>
      <c r="G9" s="51" t="s">
        <v>26</v>
      </c>
      <c r="H9" s="51" t="s">
        <v>27</v>
      </c>
      <c r="I9" s="51" t="s">
        <v>32</v>
      </c>
      <c r="J9" s="52" t="s">
        <v>65</v>
      </c>
      <c r="K9" s="52" t="s">
        <v>56</v>
      </c>
      <c r="L9" s="76" t="s">
        <v>70</v>
      </c>
      <c r="M9" s="53" t="s">
        <v>3</v>
      </c>
      <c r="N9" s="51" t="s">
        <v>4</v>
      </c>
      <c r="O9" s="54" t="s">
        <v>5</v>
      </c>
      <c r="P9" s="55" t="s">
        <v>6</v>
      </c>
      <c r="Q9" s="55" t="s">
        <v>55</v>
      </c>
      <c r="R9" s="56" t="s">
        <v>7</v>
      </c>
      <c r="S9" s="56" t="s">
        <v>8</v>
      </c>
      <c r="T9" s="56" t="s">
        <v>9</v>
      </c>
      <c r="U9" s="57" t="s">
        <v>10</v>
      </c>
      <c r="V9" s="58" t="s">
        <v>29</v>
      </c>
      <c r="W9" s="59" t="s">
        <v>30</v>
      </c>
      <c r="X9" s="60" t="s">
        <v>68</v>
      </c>
      <c r="Y9" s="61" t="s">
        <v>11</v>
      </c>
      <c r="Z9" s="62" t="s">
        <v>12</v>
      </c>
      <c r="AA9" s="62" t="s">
        <v>13</v>
      </c>
      <c r="AB9" s="62" t="s">
        <v>14</v>
      </c>
      <c r="AC9" s="62" t="s">
        <v>15</v>
      </c>
      <c r="AD9" s="63" t="s">
        <v>16</v>
      </c>
      <c r="AE9" s="63" t="s">
        <v>17</v>
      </c>
      <c r="AF9" s="63" t="s">
        <v>18</v>
      </c>
      <c r="AG9" s="64" t="s">
        <v>19</v>
      </c>
      <c r="AH9" s="65" t="s">
        <v>33</v>
      </c>
      <c r="AI9" s="67" t="s">
        <v>34</v>
      </c>
    </row>
    <row r="10" spans="1:35" ht="28.2" x14ac:dyDescent="0.3">
      <c r="A10" s="44">
        <v>1</v>
      </c>
      <c r="B10" s="30"/>
      <c r="C10" s="30" t="s">
        <v>73</v>
      </c>
      <c r="D10" s="30" t="s">
        <v>23</v>
      </c>
      <c r="E10" s="30" t="s">
        <v>74</v>
      </c>
      <c r="F10" s="30" t="s">
        <v>89</v>
      </c>
      <c r="G10" s="30" t="s">
        <v>92</v>
      </c>
      <c r="H10" s="85" t="s">
        <v>103</v>
      </c>
      <c r="I10" s="30" t="s">
        <v>113</v>
      </c>
      <c r="J10" s="86" t="s">
        <v>80</v>
      </c>
      <c r="K10" s="72" t="e">
        <f>VLOOKUP(CO2_Calculator_Table[[#This Row],[Referance Number
(Carrier)]],#REF!,10,0)</f>
        <v>#REF!</v>
      </c>
      <c r="L10" s="77" t="e">
        <f>VLOOKUP(CO2_Calculator_Table[[#This Row],[Referance Number
(Carrier)]],#REF!,14,0)</f>
        <v>#REF!</v>
      </c>
      <c r="M10" s="22" t="e">
        <f>VLOOKUP(CO2_Calculator_Table[[#This Row],[Referance Number
(Carrier)]],#REF!,15,0)</f>
        <v>#REF!</v>
      </c>
      <c r="N10" s="21" t="s">
        <v>75</v>
      </c>
      <c r="O10" s="45">
        <v>24</v>
      </c>
      <c r="P10" s="25">
        <f>SUMIFS(ROUTES!H:H,ROUTES!B:B,CO2_Calculator_Table[[#This Row],[Route]],ROUTES!E:E,CO2_Calculator_Table[[#This Row],[Loading City]],ROUTES!G:G,CO2_Calculator_Table[[#This Row],[Unloading City]],ROUTES!C:C,CO2_Calculator_Table[[#This Row],[Route Detail]])</f>
        <v>20</v>
      </c>
      <c r="Q10" s="28">
        <v>0</v>
      </c>
      <c r="R10" s="26">
        <f>SUMIFS(ROUTES!I:I,ROUTES!B:B,CO2_Calculator_Table[[#This Row],[Route]],ROUTES!E:E,CO2_Calculator_Table[[#This Row],[Loading City]],ROUTES!G:G,CO2_Calculator_Table[[#This Row],[Unloading City]],ROUTES!C:C,CO2_Calculator_Table[[#This Row],[Route Detail]])</f>
        <v>2500</v>
      </c>
      <c r="S10" s="26">
        <f>SUMIFS(ROUTES!J:J,ROUTES!B:B,CO2_Calculator_Table[[#This Row],[Route]],ROUTES!E:E,CO2_Calculator_Table[[#This Row],[Loading City]],ROUTES!G:G,CO2_Calculator_Table[[#This Row],[Unloading City]],ROUTES!C:C,CO2_Calculator_Table[[#This Row],[Route Detail]])</f>
        <v>990</v>
      </c>
      <c r="T10" s="27">
        <f>SUMIFS(ROUTES!K:K,ROUTES!B:B,CO2_Calculator_Table[[#This Row],[Route]],ROUTES!E:E,CO2_Calculator_Table[[#This Row],[Loading City]],ROUTES!G:G,CO2_Calculator_Table[[#This Row],[Unloading City]],ROUTES!C:C,CO2_Calculator_Table[[#This Row],[Route Detail]])</f>
        <v>70</v>
      </c>
      <c r="U10" s="24">
        <f>SUMIFS(ROUTES!L:L,ROUTES!B:B,CO2_Calculator_Table[[#This Row],[Route]],ROUTES!E:E,CO2_Calculator_Table[[#This Row],[Loading City]],ROUTES!G:G,CO2_Calculator_Table[[#This Row],[Unloading City]],ROUTES!C:C,CO2_Calculator_Table[[#This Row],[Route Detail]])</f>
        <v>2555</v>
      </c>
      <c r="V10" s="48">
        <f t="shared" ref="V10:V37" si="0">$V$6</f>
        <v>0.121</v>
      </c>
      <c r="W10" s="49">
        <f t="shared" ref="W10:W37" si="1">$W$6</f>
        <v>1.2E-2</v>
      </c>
      <c r="X10" s="50">
        <f t="shared" ref="X10:X37" si="2">$X$6</f>
        <v>1.6E-2</v>
      </c>
      <c r="Y10" s="25">
        <f>IF(CO2_Calculator_Table[[#This Row],[Pre-carriage ROAD 
(km, if electric)]]=0,(O10*P10*V10),(O10*Q10*V10))</f>
        <v>58.08</v>
      </c>
      <c r="Z10" s="26">
        <f t="shared" ref="Z10" si="3">O10*R10*W10</f>
        <v>720</v>
      </c>
      <c r="AA10" s="26">
        <f t="shared" ref="AA10" si="4">O10*S10*X10</f>
        <v>380.16</v>
      </c>
      <c r="AB10" s="27">
        <f t="shared" ref="AB10" si="5">O10*T10*V10</f>
        <v>203.28</v>
      </c>
      <c r="AC10" s="33">
        <f t="shared" ref="AC10" si="6">O10*U10*V10</f>
        <v>7419.7199999999993</v>
      </c>
      <c r="AD10" s="33">
        <f>Z10</f>
        <v>720</v>
      </c>
      <c r="AE10" s="33">
        <f>AA10</f>
        <v>380.16</v>
      </c>
      <c r="AF10" s="33">
        <f>Y10+AB10</f>
        <v>261.36</v>
      </c>
      <c r="AG10" s="109">
        <f>AD10+AE10+AF10</f>
        <v>1361.52</v>
      </c>
      <c r="AH10" s="34">
        <f>SUM(U10)*V10*O10</f>
        <v>7419.7199999999993</v>
      </c>
      <c r="AI10" s="29">
        <f t="shared" ref="AI10" si="7">AH10-AG10</f>
        <v>6058.1999999999989</v>
      </c>
    </row>
    <row r="11" spans="1:35" x14ac:dyDescent="0.3">
      <c r="A11" s="93">
        <v>1</v>
      </c>
      <c r="B11" s="94"/>
      <c r="C11" s="94" t="s">
        <v>73</v>
      </c>
      <c r="D11" s="94" t="s">
        <v>23</v>
      </c>
      <c r="E11" s="94" t="s">
        <v>74</v>
      </c>
      <c r="F11" s="94" t="s">
        <v>89</v>
      </c>
      <c r="G11" s="94" t="s">
        <v>93</v>
      </c>
      <c r="H11" s="94" t="s">
        <v>104</v>
      </c>
      <c r="I11" s="94" t="s">
        <v>114</v>
      </c>
      <c r="J11" s="21" t="s">
        <v>81</v>
      </c>
      <c r="K11" s="21" t="e">
        <f>VLOOKUP(CO2_Calculator_Table[[#This Row],[Referance Number
(Carrier)]],#REF!,10,0)</f>
        <v>#REF!</v>
      </c>
      <c r="L11" s="77" t="e">
        <f>VLOOKUP(CO2_Calculator_Table[[#This Row],[Referance Number
(Carrier)]],#REF!,14,0)</f>
        <v>#REF!</v>
      </c>
      <c r="M11" s="95" t="e">
        <f>VLOOKUP(CO2_Calculator_Table[[#This Row],[Referance Number
(Carrier)]],#REF!,15,0)</f>
        <v>#REF!</v>
      </c>
      <c r="N11" s="96" t="s">
        <v>75</v>
      </c>
      <c r="O11" s="97">
        <v>24</v>
      </c>
      <c r="P11" s="25">
        <f>SUMIFS(ROUTES!H:H,ROUTES!B:B,CO2_Calculator_Table[[#This Row],[Route]],ROUTES!E:E,CO2_Calculator_Table[[#This Row],[Loading City]],ROUTES!G:G,CO2_Calculator_Table[[#This Row],[Unloading City]],ROUTES!C:C,CO2_Calculator_Table[[#This Row],[Route Detail]])</f>
        <v>20</v>
      </c>
      <c r="Q11" s="28">
        <v>0</v>
      </c>
      <c r="R11" s="26">
        <f>SUMIFS(ROUTES!I:I,ROUTES!B:B,CO2_Calculator_Table[[#This Row],[Route]],ROUTES!E:E,CO2_Calculator_Table[[#This Row],[Loading City]],ROUTES!G:G,CO2_Calculator_Table[[#This Row],[Unloading City]],ROUTES!C:C,CO2_Calculator_Table[[#This Row],[Route Detail]])</f>
        <v>1450</v>
      </c>
      <c r="S11" s="26">
        <f>SUMIFS(ROUTES!J:J,ROUTES!B:B,CO2_Calculator_Table[[#This Row],[Route]],ROUTES!E:E,CO2_Calculator_Table[[#This Row],[Loading City]],ROUTES!G:G,CO2_Calculator_Table[[#This Row],[Unloading City]],ROUTES!C:C,CO2_Calculator_Table[[#This Row],[Route Detail]])</f>
        <v>0</v>
      </c>
      <c r="T11" s="27">
        <f>SUMIFS(ROUTES!K:K,ROUTES!B:B,CO2_Calculator_Table[[#This Row],[Route]],ROUTES!E:E,CO2_Calculator_Table[[#This Row],[Loading City]],ROUTES!G:G,CO2_Calculator_Table[[#This Row],[Unloading City]],ROUTES!C:C,CO2_Calculator_Table[[#This Row],[Route Detail]])</f>
        <v>200</v>
      </c>
      <c r="U11" s="24">
        <f>SUMIFS(ROUTES!L:L,ROUTES!B:B,CO2_Calculator_Table[[#This Row],[Route]],ROUTES!E:E,CO2_Calculator_Table[[#This Row],[Loading City]],ROUTES!G:G,CO2_Calculator_Table[[#This Row],[Unloading City]],ROUTES!C:C,CO2_Calculator_Table[[#This Row],[Route Detail]])</f>
        <v>1175</v>
      </c>
      <c r="V11" s="100">
        <f t="shared" si="0"/>
        <v>0.121</v>
      </c>
      <c r="W11" s="101">
        <f t="shared" si="1"/>
        <v>1.2E-2</v>
      </c>
      <c r="X11" s="102">
        <f t="shared" si="2"/>
        <v>1.6E-2</v>
      </c>
      <c r="Y11" s="98">
        <f>IF(CO2_Calculator_Table[[#This Row],[Pre-carriage ROAD 
(km, if electric)]]=0,(O11*P11*V11),(O11*Q11*V11))</f>
        <v>58.08</v>
      </c>
      <c r="Z11" s="99">
        <f t="shared" ref="Z11:Z37" si="8">O11*R11*W11</f>
        <v>417.6</v>
      </c>
      <c r="AA11" s="99">
        <f t="shared" ref="AA11:AA37" si="9">O11*S11*X11</f>
        <v>0</v>
      </c>
      <c r="AB11" s="103">
        <f t="shared" ref="AB11:AB37" si="10">O11*T11*V11</f>
        <v>580.79999999999995</v>
      </c>
      <c r="AC11" s="99">
        <f t="shared" ref="AC11:AC37" si="11">O11*U11*V11</f>
        <v>3412.2</v>
      </c>
      <c r="AD11" s="99">
        <f t="shared" ref="AD11:AD37" si="12">Z11</f>
        <v>417.6</v>
      </c>
      <c r="AE11" s="99">
        <f t="shared" ref="AE11:AE37" si="13">AA11</f>
        <v>0</v>
      </c>
      <c r="AF11" s="99">
        <f t="shared" ref="AF11:AF37" si="14">Y11+AB11</f>
        <v>638.88</v>
      </c>
      <c r="AG11" s="108">
        <f t="shared" ref="AG11:AG37" si="15">AD11+AE11+AF11</f>
        <v>1056.48</v>
      </c>
      <c r="AH11" s="104">
        <f t="shared" ref="AH11:AH37" si="16">SUM(U11)*V11*O11</f>
        <v>3412.2</v>
      </c>
      <c r="AI11" s="105">
        <f t="shared" ref="AI11:AI37" si="17">AH11-AG11</f>
        <v>2355.7199999999998</v>
      </c>
    </row>
    <row r="12" spans="1:35" x14ac:dyDescent="0.3">
      <c r="A12" s="93">
        <v>1</v>
      </c>
      <c r="B12" s="94"/>
      <c r="C12" s="94" t="s">
        <v>73</v>
      </c>
      <c r="D12" s="94" t="s">
        <v>23</v>
      </c>
      <c r="E12" s="94" t="s">
        <v>74</v>
      </c>
      <c r="F12" s="94" t="s">
        <v>89</v>
      </c>
      <c r="G12" s="94" t="s">
        <v>94</v>
      </c>
      <c r="H12" s="94" t="s">
        <v>105</v>
      </c>
      <c r="I12" s="94" t="s">
        <v>115</v>
      </c>
      <c r="J12" s="21" t="s">
        <v>82</v>
      </c>
      <c r="K12" s="21" t="e">
        <f>VLOOKUP(CO2_Calculator_Table[[#This Row],[Referance Number
(Carrier)]],#REF!,10,0)</f>
        <v>#REF!</v>
      </c>
      <c r="L12" s="77" t="e">
        <f>VLOOKUP(CO2_Calculator_Table[[#This Row],[Referance Number
(Carrier)]],#REF!,14,0)</f>
        <v>#REF!</v>
      </c>
      <c r="M12" s="95" t="e">
        <f>VLOOKUP(CO2_Calculator_Table[[#This Row],[Referance Number
(Carrier)]],#REF!,15,0)</f>
        <v>#REF!</v>
      </c>
      <c r="N12" s="96" t="s">
        <v>75</v>
      </c>
      <c r="O12" s="97">
        <v>24</v>
      </c>
      <c r="P12" s="25">
        <f>SUMIFS(ROUTES!H:H,ROUTES!B:B,CO2_Calculator_Table[[#This Row],[Route]],ROUTES!E:E,CO2_Calculator_Table[[#This Row],[Loading City]],ROUTES!G:G,CO2_Calculator_Table[[#This Row],[Unloading City]],ROUTES!C:C,CO2_Calculator_Table[[#This Row],[Route Detail]])</f>
        <v>20</v>
      </c>
      <c r="Q12" s="28">
        <v>0</v>
      </c>
      <c r="R12" s="26">
        <f>SUMIFS(ROUTES!I:I,ROUTES!B:B,CO2_Calculator_Table[[#This Row],[Route]],ROUTES!E:E,CO2_Calculator_Table[[#This Row],[Loading City]],ROUTES!G:G,CO2_Calculator_Table[[#This Row],[Unloading City]],ROUTES!C:C,CO2_Calculator_Table[[#This Row],[Route Detail]])</f>
        <v>1825</v>
      </c>
      <c r="S12" s="26">
        <f>SUMIFS(ROUTES!J:J,ROUTES!B:B,CO2_Calculator_Table[[#This Row],[Route]],ROUTES!E:E,CO2_Calculator_Table[[#This Row],[Loading City]],ROUTES!G:G,CO2_Calculator_Table[[#This Row],[Unloading City]],ROUTES!C:C,CO2_Calculator_Table[[#This Row],[Route Detail]])</f>
        <v>0</v>
      </c>
      <c r="T12" s="27">
        <f>SUMIFS(ROUTES!K:K,ROUTES!B:B,CO2_Calculator_Table[[#This Row],[Route]],ROUTES!E:E,CO2_Calculator_Table[[#This Row],[Loading City]],ROUTES!G:G,CO2_Calculator_Table[[#This Row],[Unloading City]],ROUTES!C:C,CO2_Calculator_Table[[#This Row],[Route Detail]])</f>
        <v>450</v>
      </c>
      <c r="U12" s="24">
        <f>SUMIFS(ROUTES!L:L,ROUTES!B:B,CO2_Calculator_Table[[#This Row],[Route]],ROUTES!E:E,CO2_Calculator_Table[[#This Row],[Loading City]],ROUTES!G:G,CO2_Calculator_Table[[#This Row],[Unloading City]],ROUTES!C:C,CO2_Calculator_Table[[#This Row],[Route Detail]])</f>
        <v>2370</v>
      </c>
      <c r="V12" s="100">
        <f t="shared" si="0"/>
        <v>0.121</v>
      </c>
      <c r="W12" s="101">
        <f t="shared" si="1"/>
        <v>1.2E-2</v>
      </c>
      <c r="X12" s="102">
        <f t="shared" si="2"/>
        <v>1.6E-2</v>
      </c>
      <c r="Y12" s="98">
        <f>IF(CO2_Calculator_Table[[#This Row],[Pre-carriage ROAD 
(km, if electric)]]=0,(O12*P12*V12),(O12*Q12*V12))</f>
        <v>58.08</v>
      </c>
      <c r="Z12" s="99">
        <f t="shared" si="8"/>
        <v>525.6</v>
      </c>
      <c r="AA12" s="99">
        <f t="shared" si="9"/>
        <v>0</v>
      </c>
      <c r="AB12" s="103">
        <f t="shared" si="10"/>
        <v>1306.8</v>
      </c>
      <c r="AC12" s="99">
        <f t="shared" si="11"/>
        <v>6882.48</v>
      </c>
      <c r="AD12" s="99">
        <f t="shared" si="12"/>
        <v>525.6</v>
      </c>
      <c r="AE12" s="99">
        <f t="shared" si="13"/>
        <v>0</v>
      </c>
      <c r="AF12" s="99">
        <f t="shared" si="14"/>
        <v>1364.8799999999999</v>
      </c>
      <c r="AG12" s="107">
        <f>AD12+AE12+AF12</f>
        <v>1890.48</v>
      </c>
      <c r="AH12" s="104">
        <f t="shared" si="16"/>
        <v>6882.48</v>
      </c>
      <c r="AI12" s="105">
        <f t="shared" si="17"/>
        <v>4992</v>
      </c>
    </row>
    <row r="13" spans="1:35" x14ac:dyDescent="0.3">
      <c r="A13" s="93">
        <v>1</v>
      </c>
      <c r="B13" s="94"/>
      <c r="C13" s="94" t="s">
        <v>73</v>
      </c>
      <c r="D13" s="94" t="s">
        <v>23</v>
      </c>
      <c r="E13" s="94" t="s">
        <v>74</v>
      </c>
      <c r="F13" s="94" t="s">
        <v>89</v>
      </c>
      <c r="G13" s="94" t="s">
        <v>97</v>
      </c>
      <c r="H13" s="94" t="s">
        <v>106</v>
      </c>
      <c r="I13" s="94" t="s">
        <v>116</v>
      </c>
      <c r="J13" s="21" t="s">
        <v>83</v>
      </c>
      <c r="K13" s="21" t="e">
        <f>VLOOKUP(CO2_Calculator_Table[[#This Row],[Referance Number
(Carrier)]],#REF!,10,0)</f>
        <v>#REF!</v>
      </c>
      <c r="L13" s="77" t="e">
        <f>VLOOKUP(CO2_Calculator_Table[[#This Row],[Referance Number
(Carrier)]],#REF!,14,0)</f>
        <v>#REF!</v>
      </c>
      <c r="M13" s="95" t="e">
        <f>VLOOKUP(CO2_Calculator_Table[[#This Row],[Referance Number
(Carrier)]],#REF!,15,0)</f>
        <v>#REF!</v>
      </c>
      <c r="N13" s="96" t="s">
        <v>75</v>
      </c>
      <c r="O13" s="97">
        <v>24</v>
      </c>
      <c r="P13" s="25">
        <f>SUMIFS(ROUTES!H:H,ROUTES!B:B,CO2_Calculator_Table[[#This Row],[Route]],ROUTES!E:E,CO2_Calculator_Table[[#This Row],[Loading City]],ROUTES!G:G,CO2_Calculator_Table[[#This Row],[Unloading City]],ROUTES!C:C,CO2_Calculator_Table[[#This Row],[Route Detail]])</f>
        <v>45</v>
      </c>
      <c r="Q13" s="28">
        <v>0</v>
      </c>
      <c r="R13" s="26">
        <f>SUMIFS(ROUTES!I:I,ROUTES!B:B,CO2_Calculator_Table[[#This Row],[Route]],ROUTES!E:E,CO2_Calculator_Table[[#This Row],[Loading City]],ROUTES!G:G,CO2_Calculator_Table[[#This Row],[Unloading City]],ROUTES!C:C,CO2_Calculator_Table[[#This Row],[Route Detail]])</f>
        <v>3150</v>
      </c>
      <c r="S13" s="26">
        <f>SUMIFS(ROUTES!J:J,ROUTES!B:B,CO2_Calculator_Table[[#This Row],[Route]],ROUTES!E:E,CO2_Calculator_Table[[#This Row],[Loading City]],ROUTES!G:G,CO2_Calculator_Table[[#This Row],[Unloading City]],ROUTES!C:C,CO2_Calculator_Table[[#This Row],[Route Detail]])</f>
        <v>0</v>
      </c>
      <c r="T13" s="27">
        <f>SUMIFS(ROUTES!K:K,ROUTES!B:B,CO2_Calculator_Table[[#This Row],[Route]],ROUTES!E:E,CO2_Calculator_Table[[#This Row],[Loading City]],ROUTES!G:G,CO2_Calculator_Table[[#This Row],[Unloading City]],ROUTES!C:C,CO2_Calculator_Table[[#This Row],[Route Detail]])</f>
        <v>880</v>
      </c>
      <c r="U13" s="24">
        <f>SUMIFS(ROUTES!L:L,ROUTES!B:B,CO2_Calculator_Table[[#This Row],[Route]],ROUTES!E:E,CO2_Calculator_Table[[#This Row],[Loading City]],ROUTES!G:G,CO2_Calculator_Table[[#This Row],[Unloading City]],ROUTES!C:C,CO2_Calculator_Table[[#This Row],[Route Detail]])</f>
        <v>3590</v>
      </c>
      <c r="V13" s="100">
        <f t="shared" si="0"/>
        <v>0.121</v>
      </c>
      <c r="W13" s="101">
        <f t="shared" si="1"/>
        <v>1.2E-2</v>
      </c>
      <c r="X13" s="102">
        <f t="shared" si="2"/>
        <v>1.6E-2</v>
      </c>
      <c r="Y13" s="98">
        <f>IF(CO2_Calculator_Table[[#This Row],[Pre-carriage ROAD 
(km, if electric)]]=0,(O13*P13*V13),(O13*Q13*V13))</f>
        <v>130.68</v>
      </c>
      <c r="Z13" s="99">
        <f t="shared" si="8"/>
        <v>907.2</v>
      </c>
      <c r="AA13" s="99">
        <f t="shared" si="9"/>
        <v>0</v>
      </c>
      <c r="AB13" s="103">
        <f t="shared" si="10"/>
        <v>2555.52</v>
      </c>
      <c r="AC13" s="99">
        <f t="shared" si="11"/>
        <v>10425.36</v>
      </c>
      <c r="AD13" s="99">
        <f t="shared" si="12"/>
        <v>907.2</v>
      </c>
      <c r="AE13" s="99">
        <f t="shared" si="13"/>
        <v>0</v>
      </c>
      <c r="AF13" s="99">
        <f t="shared" si="14"/>
        <v>2686.2</v>
      </c>
      <c r="AG13" s="108">
        <f t="shared" si="15"/>
        <v>3593.3999999999996</v>
      </c>
      <c r="AH13" s="104">
        <f t="shared" si="16"/>
        <v>10425.36</v>
      </c>
      <c r="AI13" s="105">
        <f t="shared" si="17"/>
        <v>6831.9600000000009</v>
      </c>
    </row>
    <row r="14" spans="1:35" x14ac:dyDescent="0.3">
      <c r="A14" s="93">
        <v>1</v>
      </c>
      <c r="B14" s="94"/>
      <c r="C14" s="94" t="s">
        <v>73</v>
      </c>
      <c r="D14" s="94" t="s">
        <v>23</v>
      </c>
      <c r="E14" s="94" t="s">
        <v>74</v>
      </c>
      <c r="F14" s="94" t="s">
        <v>89</v>
      </c>
      <c r="G14" s="94" t="s">
        <v>98</v>
      </c>
      <c r="H14" s="94" t="s">
        <v>107</v>
      </c>
      <c r="I14" s="94" t="s">
        <v>117</v>
      </c>
      <c r="J14" s="21" t="s">
        <v>80</v>
      </c>
      <c r="K14" s="21" t="e">
        <f>VLOOKUP(CO2_Calculator_Table[[#This Row],[Referance Number
(Carrier)]],#REF!,10,0)</f>
        <v>#REF!</v>
      </c>
      <c r="L14" s="77" t="e">
        <f>VLOOKUP(CO2_Calculator_Table[[#This Row],[Referance Number
(Carrier)]],#REF!,14,0)</f>
        <v>#REF!</v>
      </c>
      <c r="M14" s="95" t="e">
        <f>VLOOKUP(CO2_Calculator_Table[[#This Row],[Referance Number
(Carrier)]],#REF!,15,0)</f>
        <v>#REF!</v>
      </c>
      <c r="N14" s="96" t="s">
        <v>75</v>
      </c>
      <c r="O14" s="97">
        <v>24</v>
      </c>
      <c r="P14" s="25">
        <f>SUMIFS(ROUTES!H:H,ROUTES!B:B,CO2_Calculator_Table[[#This Row],[Route]],ROUTES!E:E,CO2_Calculator_Table[[#This Row],[Loading City]],ROUTES!G:G,CO2_Calculator_Table[[#This Row],[Unloading City]],ROUTES!C:C,CO2_Calculator_Table[[#This Row],[Route Detail]])</f>
        <v>20</v>
      </c>
      <c r="Q14" s="28">
        <v>0</v>
      </c>
      <c r="R14" s="26">
        <f>SUMIFS(ROUTES!I:I,ROUTES!B:B,CO2_Calculator_Table[[#This Row],[Route]],ROUTES!E:E,CO2_Calculator_Table[[#This Row],[Loading City]],ROUTES!G:G,CO2_Calculator_Table[[#This Row],[Unloading City]],ROUTES!C:C,CO2_Calculator_Table[[#This Row],[Route Detail]])</f>
        <v>2720</v>
      </c>
      <c r="S14" s="26">
        <f>SUMIFS(ROUTES!J:J,ROUTES!B:B,CO2_Calculator_Table[[#This Row],[Route]],ROUTES!E:E,CO2_Calculator_Table[[#This Row],[Loading City]],ROUTES!G:G,CO2_Calculator_Table[[#This Row],[Unloading City]],ROUTES!C:C,CO2_Calculator_Table[[#This Row],[Route Detail]])</f>
        <v>1190</v>
      </c>
      <c r="T14" s="27">
        <f>SUMIFS(ROUTES!K:K,ROUTES!B:B,CO2_Calculator_Table[[#This Row],[Route]],ROUTES!E:E,CO2_Calculator_Table[[#This Row],[Loading City]],ROUTES!G:G,CO2_Calculator_Table[[#This Row],[Unloading City]],ROUTES!C:C,CO2_Calculator_Table[[#This Row],[Route Detail]])</f>
        <v>540</v>
      </c>
      <c r="U14" s="24">
        <f>SUMIFS(ROUTES!L:L,ROUTES!B:B,CO2_Calculator_Table[[#This Row],[Route]],ROUTES!E:E,CO2_Calculator_Table[[#This Row],[Loading City]],ROUTES!G:G,CO2_Calculator_Table[[#This Row],[Unloading City]],ROUTES!C:C,CO2_Calculator_Table[[#This Row],[Route Detail]])</f>
        <v>3350</v>
      </c>
      <c r="V14" s="100">
        <f t="shared" si="0"/>
        <v>0.121</v>
      </c>
      <c r="W14" s="101">
        <f t="shared" si="1"/>
        <v>1.2E-2</v>
      </c>
      <c r="X14" s="102">
        <f t="shared" si="2"/>
        <v>1.6E-2</v>
      </c>
      <c r="Y14" s="98">
        <f>IF(CO2_Calculator_Table[[#This Row],[Pre-carriage ROAD 
(km, if electric)]]=0,(O14*P14*V14),(O14*Q14*V14))</f>
        <v>58.08</v>
      </c>
      <c r="Z14" s="99">
        <f t="shared" si="8"/>
        <v>783.36</v>
      </c>
      <c r="AA14" s="99">
        <f t="shared" si="9"/>
        <v>456.96000000000004</v>
      </c>
      <c r="AB14" s="103">
        <f t="shared" si="10"/>
        <v>1568.1599999999999</v>
      </c>
      <c r="AC14" s="99">
        <f t="shared" si="11"/>
        <v>9728.4</v>
      </c>
      <c r="AD14" s="99">
        <f t="shared" si="12"/>
        <v>783.36</v>
      </c>
      <c r="AE14" s="99">
        <f t="shared" si="13"/>
        <v>456.96000000000004</v>
      </c>
      <c r="AF14" s="99">
        <f t="shared" si="14"/>
        <v>1626.2399999999998</v>
      </c>
      <c r="AG14" s="108">
        <f t="shared" si="15"/>
        <v>2866.56</v>
      </c>
      <c r="AH14" s="104">
        <f t="shared" si="16"/>
        <v>9728.4</v>
      </c>
      <c r="AI14" s="105">
        <f t="shared" si="17"/>
        <v>6861.84</v>
      </c>
    </row>
    <row r="15" spans="1:35" x14ac:dyDescent="0.3">
      <c r="A15" s="93">
        <v>1</v>
      </c>
      <c r="B15" s="94"/>
      <c r="C15" s="94" t="s">
        <v>73</v>
      </c>
      <c r="D15" s="94" t="s">
        <v>23</v>
      </c>
      <c r="E15" s="94" t="s">
        <v>74</v>
      </c>
      <c r="F15" s="94" t="s">
        <v>89</v>
      </c>
      <c r="G15" s="94" t="s">
        <v>99</v>
      </c>
      <c r="H15" s="94" t="s">
        <v>108</v>
      </c>
      <c r="I15" s="94" t="s">
        <v>118</v>
      </c>
      <c r="J15" s="21" t="s">
        <v>80</v>
      </c>
      <c r="K15" s="21" t="e">
        <f>VLOOKUP(CO2_Calculator_Table[[#This Row],[Referance Number
(Carrier)]],#REF!,10,0)</f>
        <v>#REF!</v>
      </c>
      <c r="L15" s="77" t="e">
        <f>VLOOKUP(CO2_Calculator_Table[[#This Row],[Referance Number
(Carrier)]],#REF!,14,0)</f>
        <v>#REF!</v>
      </c>
      <c r="M15" s="95" t="e">
        <f>VLOOKUP(CO2_Calculator_Table[[#This Row],[Referance Number
(Carrier)]],#REF!,15,0)</f>
        <v>#REF!</v>
      </c>
      <c r="N15" s="96" t="s">
        <v>75</v>
      </c>
      <c r="O15" s="97">
        <v>24</v>
      </c>
      <c r="P15" s="25">
        <f>SUMIFS(ROUTES!H:H,ROUTES!B:B,CO2_Calculator_Table[[#This Row],[Route]],ROUTES!E:E,CO2_Calculator_Table[[#This Row],[Loading City]],ROUTES!G:G,CO2_Calculator_Table[[#This Row],[Unloading City]],ROUTES!C:C,CO2_Calculator_Table[[#This Row],[Route Detail]])</f>
        <v>20</v>
      </c>
      <c r="Q15" s="28">
        <v>0</v>
      </c>
      <c r="R15" s="26">
        <f>SUMIFS(ROUTES!I:I,ROUTES!B:B,CO2_Calculator_Table[[#This Row],[Route]],ROUTES!E:E,CO2_Calculator_Table[[#This Row],[Loading City]],ROUTES!G:G,CO2_Calculator_Table[[#This Row],[Unloading City]],ROUTES!C:C,CO2_Calculator_Table[[#This Row],[Route Detail]])</f>
        <v>2500</v>
      </c>
      <c r="S15" s="26">
        <f>SUMIFS(ROUTES!J:J,ROUTES!B:B,CO2_Calculator_Table[[#This Row],[Route]],ROUTES!E:E,CO2_Calculator_Table[[#This Row],[Loading City]],ROUTES!G:G,CO2_Calculator_Table[[#This Row],[Unloading City]],ROUTES!C:C,CO2_Calculator_Table[[#This Row],[Route Detail]])</f>
        <v>1190</v>
      </c>
      <c r="T15" s="27">
        <f>SUMIFS(ROUTES!K:K,ROUTES!B:B,CO2_Calculator_Table[[#This Row],[Route]],ROUTES!E:E,CO2_Calculator_Table[[#This Row],[Loading City]],ROUTES!G:G,CO2_Calculator_Table[[#This Row],[Unloading City]],ROUTES!C:C,CO2_Calculator_Table[[#This Row],[Route Detail]])</f>
        <v>130</v>
      </c>
      <c r="U15" s="24">
        <f>SUMIFS(ROUTES!L:L,ROUTES!B:B,CO2_Calculator_Table[[#This Row],[Route]],ROUTES!E:E,CO2_Calculator_Table[[#This Row],[Loading City]],ROUTES!G:G,CO2_Calculator_Table[[#This Row],[Unloading City]],ROUTES!C:C,CO2_Calculator_Table[[#This Row],[Route Detail]])</f>
        <v>2730</v>
      </c>
      <c r="V15" s="100">
        <f t="shared" si="0"/>
        <v>0.121</v>
      </c>
      <c r="W15" s="101">
        <f t="shared" si="1"/>
        <v>1.2E-2</v>
      </c>
      <c r="X15" s="102">
        <f t="shared" si="2"/>
        <v>1.6E-2</v>
      </c>
      <c r="Y15" s="98">
        <f>IF(CO2_Calculator_Table[[#This Row],[Pre-carriage ROAD 
(km, if electric)]]=0,(O15*P15*V15),(O15*Q15*V15))</f>
        <v>58.08</v>
      </c>
      <c r="Z15" s="99">
        <f t="shared" si="8"/>
        <v>720</v>
      </c>
      <c r="AA15" s="99">
        <f t="shared" si="9"/>
        <v>456.96000000000004</v>
      </c>
      <c r="AB15" s="103">
        <f t="shared" si="10"/>
        <v>377.52</v>
      </c>
      <c r="AC15" s="99">
        <f t="shared" si="11"/>
        <v>7927.92</v>
      </c>
      <c r="AD15" s="99">
        <f t="shared" si="12"/>
        <v>720</v>
      </c>
      <c r="AE15" s="99">
        <f t="shared" si="13"/>
        <v>456.96000000000004</v>
      </c>
      <c r="AF15" s="99">
        <f t="shared" si="14"/>
        <v>435.59999999999997</v>
      </c>
      <c r="AG15" s="108">
        <f t="shared" si="15"/>
        <v>1612.56</v>
      </c>
      <c r="AH15" s="104">
        <f t="shared" si="16"/>
        <v>7927.92</v>
      </c>
      <c r="AI15" s="105">
        <f t="shared" si="17"/>
        <v>6315.3600000000006</v>
      </c>
    </row>
    <row r="16" spans="1:35" x14ac:dyDescent="0.3">
      <c r="A16" s="93">
        <v>1</v>
      </c>
      <c r="B16" s="94"/>
      <c r="C16" s="94" t="s">
        <v>73</v>
      </c>
      <c r="D16" s="94" t="s">
        <v>23</v>
      </c>
      <c r="E16" s="94" t="s">
        <v>74</v>
      </c>
      <c r="F16" s="94" t="s">
        <v>89</v>
      </c>
      <c r="G16" s="94" t="s">
        <v>95</v>
      </c>
      <c r="H16" s="94" t="s">
        <v>109</v>
      </c>
      <c r="I16" s="94" t="s">
        <v>176</v>
      </c>
      <c r="J16" s="21" t="s">
        <v>83</v>
      </c>
      <c r="K16" s="21" t="e">
        <f>VLOOKUP(CO2_Calculator_Table[[#This Row],[Referance Number
(Carrier)]],#REF!,10,0)</f>
        <v>#REF!</v>
      </c>
      <c r="L16" s="77" t="e">
        <f>VLOOKUP(CO2_Calculator_Table[[#This Row],[Referance Number
(Carrier)]],#REF!,14,0)</f>
        <v>#REF!</v>
      </c>
      <c r="M16" s="95" t="e">
        <f>VLOOKUP(CO2_Calculator_Table[[#This Row],[Referance Number
(Carrier)]],#REF!,15,0)</f>
        <v>#REF!</v>
      </c>
      <c r="N16" s="96" t="s">
        <v>75</v>
      </c>
      <c r="O16" s="97">
        <v>24</v>
      </c>
      <c r="P16" s="25">
        <f>SUMIFS(ROUTES!H:H,ROUTES!B:B,CO2_Calculator_Table[[#This Row],[Route]],ROUTES!E:E,CO2_Calculator_Table[[#This Row],[Loading City]],ROUTES!G:G,CO2_Calculator_Table[[#This Row],[Unloading City]],ROUTES!C:C,CO2_Calculator_Table[[#This Row],[Route Detail]])</f>
        <v>45</v>
      </c>
      <c r="Q16" s="28">
        <v>0</v>
      </c>
      <c r="R16" s="26">
        <f>SUMIFS(ROUTES!I:I,ROUTES!B:B,CO2_Calculator_Table[[#This Row],[Route]],ROUTES!E:E,CO2_Calculator_Table[[#This Row],[Loading City]],ROUTES!G:G,CO2_Calculator_Table[[#This Row],[Unloading City]],ROUTES!C:C,CO2_Calculator_Table[[#This Row],[Route Detail]])</f>
        <v>3150</v>
      </c>
      <c r="S16" s="26">
        <f>SUMIFS(ROUTES!J:J,ROUTES!B:B,CO2_Calculator_Table[[#This Row],[Route]],ROUTES!E:E,CO2_Calculator_Table[[#This Row],[Loading City]],ROUTES!G:G,CO2_Calculator_Table[[#This Row],[Unloading City]],ROUTES!C:C,CO2_Calculator_Table[[#This Row],[Route Detail]])</f>
        <v>0</v>
      </c>
      <c r="T16" s="27">
        <f>SUMIFS(ROUTES!K:K,ROUTES!B:B,CO2_Calculator_Table[[#This Row],[Route]],ROUTES!E:E,CO2_Calculator_Table[[#This Row],[Loading City]],ROUTES!G:G,CO2_Calculator_Table[[#This Row],[Unloading City]],ROUTES!C:C,CO2_Calculator_Table[[#This Row],[Route Detail]])</f>
        <v>895</v>
      </c>
      <c r="U16" s="24">
        <f>SUMIFS(ROUTES!L:L,ROUTES!B:B,CO2_Calculator_Table[[#This Row],[Route]],ROUTES!E:E,CO2_Calculator_Table[[#This Row],[Loading City]],ROUTES!G:G,CO2_Calculator_Table[[#This Row],[Unloading City]],ROUTES!C:C,CO2_Calculator_Table[[#This Row],[Route Detail]])</f>
        <v>2800</v>
      </c>
      <c r="V16" s="100">
        <f t="shared" si="0"/>
        <v>0.121</v>
      </c>
      <c r="W16" s="101">
        <f t="shared" si="1"/>
        <v>1.2E-2</v>
      </c>
      <c r="X16" s="102">
        <f t="shared" si="2"/>
        <v>1.6E-2</v>
      </c>
      <c r="Y16" s="98">
        <f>IF(CO2_Calculator_Table[[#This Row],[Pre-carriage ROAD 
(km, if electric)]]=0,(O16*P16*V16),(O16*Q16*V16))</f>
        <v>130.68</v>
      </c>
      <c r="Z16" s="99">
        <f t="shared" si="8"/>
        <v>907.2</v>
      </c>
      <c r="AA16" s="99">
        <f t="shared" si="9"/>
        <v>0</v>
      </c>
      <c r="AB16" s="103">
        <f t="shared" si="10"/>
        <v>2599.08</v>
      </c>
      <c r="AC16" s="99">
        <f t="shared" si="11"/>
        <v>8131.2</v>
      </c>
      <c r="AD16" s="99">
        <f t="shared" si="12"/>
        <v>907.2</v>
      </c>
      <c r="AE16" s="99">
        <f t="shared" si="13"/>
        <v>0</v>
      </c>
      <c r="AF16" s="99">
        <f t="shared" si="14"/>
        <v>2729.7599999999998</v>
      </c>
      <c r="AG16" s="108">
        <f t="shared" si="15"/>
        <v>3636.96</v>
      </c>
      <c r="AH16" s="104">
        <f t="shared" si="16"/>
        <v>8131.2000000000007</v>
      </c>
      <c r="AI16" s="105">
        <f t="shared" si="17"/>
        <v>4494.2400000000007</v>
      </c>
    </row>
    <row r="17" spans="1:35" x14ac:dyDescent="0.3">
      <c r="A17" s="93">
        <v>1</v>
      </c>
      <c r="B17" s="94"/>
      <c r="C17" s="94" t="s">
        <v>73</v>
      </c>
      <c r="D17" s="94" t="s">
        <v>23</v>
      </c>
      <c r="E17" s="94" t="s">
        <v>74</v>
      </c>
      <c r="F17" s="94" t="s">
        <v>89</v>
      </c>
      <c r="G17" s="94" t="s">
        <v>100</v>
      </c>
      <c r="H17" s="94" t="s">
        <v>110</v>
      </c>
      <c r="I17" s="94" t="s">
        <v>119</v>
      </c>
      <c r="J17" s="21" t="s">
        <v>78</v>
      </c>
      <c r="K17" s="21" t="e">
        <f>VLOOKUP(CO2_Calculator_Table[[#This Row],[Referance Number
(Carrier)]],#REF!,10,0)</f>
        <v>#REF!</v>
      </c>
      <c r="L17" s="77" t="e">
        <f>VLOOKUP(CO2_Calculator_Table[[#This Row],[Referance Number
(Carrier)]],#REF!,14,0)</f>
        <v>#REF!</v>
      </c>
      <c r="M17" s="95" t="e">
        <f>VLOOKUP(CO2_Calculator_Table[[#This Row],[Referance Number
(Carrier)]],#REF!,15,0)</f>
        <v>#REF!</v>
      </c>
      <c r="N17" s="96" t="s">
        <v>75</v>
      </c>
      <c r="O17" s="97">
        <v>24</v>
      </c>
      <c r="P17" s="25">
        <f>SUMIFS(ROUTES!H:H,ROUTES!B:B,CO2_Calculator_Table[[#This Row],[Route]],ROUTES!E:E,CO2_Calculator_Table[[#This Row],[Loading City]],ROUTES!G:G,CO2_Calculator_Table[[#This Row],[Unloading City]],ROUTES!C:C,CO2_Calculator_Table[[#This Row],[Route Detail]])</f>
        <v>20</v>
      </c>
      <c r="Q17" s="28">
        <v>0</v>
      </c>
      <c r="R17" s="26">
        <f>SUMIFS(ROUTES!I:I,ROUTES!B:B,CO2_Calculator_Table[[#This Row],[Route]],ROUTES!E:E,CO2_Calculator_Table[[#This Row],[Loading City]],ROUTES!G:G,CO2_Calculator_Table[[#This Row],[Unloading City]],ROUTES!C:C,CO2_Calculator_Table[[#This Row],[Route Detail]])</f>
        <v>2500</v>
      </c>
      <c r="S17" s="26">
        <f>SUMIFS(ROUTES!J:J,ROUTES!B:B,CO2_Calculator_Table[[#This Row],[Route]],ROUTES!E:E,CO2_Calculator_Table[[#This Row],[Loading City]],ROUTES!G:G,CO2_Calculator_Table[[#This Row],[Unloading City]],ROUTES!C:C,CO2_Calculator_Table[[#This Row],[Route Detail]])</f>
        <v>0</v>
      </c>
      <c r="T17" s="27">
        <f>SUMIFS(ROUTES!K:K,ROUTES!B:B,CO2_Calculator_Table[[#This Row],[Route]],ROUTES!E:E,CO2_Calculator_Table[[#This Row],[Loading City]],ROUTES!G:G,CO2_Calculator_Table[[#This Row],[Unloading City]],ROUTES!C:C,CO2_Calculator_Table[[#This Row],[Route Detail]])</f>
        <v>235</v>
      </c>
      <c r="U17" s="24">
        <f>SUMIFS(ROUTES!L:L,ROUTES!B:B,CO2_Calculator_Table[[#This Row],[Route]],ROUTES!E:E,CO2_Calculator_Table[[#This Row],[Loading City]],ROUTES!G:G,CO2_Calculator_Table[[#This Row],[Unloading City]],ROUTES!C:C,CO2_Calculator_Table[[#This Row],[Route Detail]])</f>
        <v>1420</v>
      </c>
      <c r="V17" s="100">
        <f t="shared" si="0"/>
        <v>0.121</v>
      </c>
      <c r="W17" s="101">
        <f t="shared" si="1"/>
        <v>1.2E-2</v>
      </c>
      <c r="X17" s="102">
        <f t="shared" si="2"/>
        <v>1.6E-2</v>
      </c>
      <c r="Y17" s="98">
        <f>IF(CO2_Calculator_Table[[#This Row],[Pre-carriage ROAD 
(km, if electric)]]=0,(O17*P17*V17),(O17*Q17*V17))</f>
        <v>58.08</v>
      </c>
      <c r="Z17" s="99">
        <f t="shared" si="8"/>
        <v>720</v>
      </c>
      <c r="AA17" s="99">
        <f t="shared" si="9"/>
        <v>0</v>
      </c>
      <c r="AB17" s="103">
        <f t="shared" si="10"/>
        <v>682.43999999999994</v>
      </c>
      <c r="AC17" s="99">
        <f t="shared" si="11"/>
        <v>4123.68</v>
      </c>
      <c r="AD17" s="99">
        <f t="shared" si="12"/>
        <v>720</v>
      </c>
      <c r="AE17" s="99">
        <f t="shared" si="13"/>
        <v>0</v>
      </c>
      <c r="AF17" s="99">
        <f t="shared" si="14"/>
        <v>740.52</v>
      </c>
      <c r="AG17" s="108">
        <f t="shared" si="15"/>
        <v>1460.52</v>
      </c>
      <c r="AH17" s="104">
        <f t="shared" si="16"/>
        <v>4123.68</v>
      </c>
      <c r="AI17" s="105">
        <f t="shared" si="17"/>
        <v>2663.1600000000003</v>
      </c>
    </row>
    <row r="18" spans="1:35" x14ac:dyDescent="0.3">
      <c r="A18" s="93">
        <v>1</v>
      </c>
      <c r="B18" s="94"/>
      <c r="C18" s="94" t="s">
        <v>73</v>
      </c>
      <c r="D18" s="94" t="s">
        <v>23</v>
      </c>
      <c r="E18" s="94" t="s">
        <v>74</v>
      </c>
      <c r="F18" s="94" t="s">
        <v>89</v>
      </c>
      <c r="G18" s="94" t="s">
        <v>101</v>
      </c>
      <c r="H18" s="94" t="s">
        <v>110</v>
      </c>
      <c r="I18" s="94" t="s">
        <v>120</v>
      </c>
      <c r="J18" s="21" t="s">
        <v>78</v>
      </c>
      <c r="K18" s="21" t="e">
        <f>VLOOKUP(CO2_Calculator_Table[[#This Row],[Referance Number
(Carrier)]],#REF!,10,0)</f>
        <v>#REF!</v>
      </c>
      <c r="L18" s="77" t="e">
        <f>VLOOKUP(CO2_Calculator_Table[[#This Row],[Referance Number
(Carrier)]],#REF!,14,0)</f>
        <v>#REF!</v>
      </c>
      <c r="M18" s="95" t="e">
        <f>VLOOKUP(CO2_Calculator_Table[[#This Row],[Referance Number
(Carrier)]],#REF!,15,0)</f>
        <v>#REF!</v>
      </c>
      <c r="N18" s="96" t="s">
        <v>75</v>
      </c>
      <c r="O18" s="97">
        <v>24</v>
      </c>
      <c r="P18" s="25">
        <f>SUMIFS(ROUTES!H:H,ROUTES!B:B,CO2_Calculator_Table[[#This Row],[Route]],ROUTES!E:E,CO2_Calculator_Table[[#This Row],[Loading City]],ROUTES!G:G,CO2_Calculator_Table[[#This Row],[Unloading City]],ROUTES!C:C,CO2_Calculator_Table[[#This Row],[Route Detail]])</f>
        <v>20</v>
      </c>
      <c r="Q18" s="28">
        <v>0</v>
      </c>
      <c r="R18" s="26">
        <f>SUMIFS(ROUTES!I:I,ROUTES!B:B,CO2_Calculator_Table[[#This Row],[Route]],ROUTES!E:E,CO2_Calculator_Table[[#This Row],[Loading City]],ROUTES!G:G,CO2_Calculator_Table[[#This Row],[Unloading City]],ROUTES!C:C,CO2_Calculator_Table[[#This Row],[Route Detail]])</f>
        <v>2500</v>
      </c>
      <c r="S18" s="26">
        <f>SUMIFS(ROUTES!J:J,ROUTES!B:B,CO2_Calculator_Table[[#This Row],[Route]],ROUTES!E:E,CO2_Calculator_Table[[#This Row],[Loading City]],ROUTES!G:G,CO2_Calculator_Table[[#This Row],[Unloading City]],ROUTES!C:C,CO2_Calculator_Table[[#This Row],[Route Detail]])</f>
        <v>0</v>
      </c>
      <c r="T18" s="27">
        <f>SUMIFS(ROUTES!K:K,ROUTES!B:B,CO2_Calculator_Table[[#This Row],[Route]],ROUTES!E:E,CO2_Calculator_Table[[#This Row],[Loading City]],ROUTES!G:G,CO2_Calculator_Table[[#This Row],[Unloading City]],ROUTES!C:C,CO2_Calculator_Table[[#This Row],[Route Detail]])</f>
        <v>100</v>
      </c>
      <c r="U18" s="24">
        <f>SUMIFS(ROUTES!L:L,ROUTES!B:B,CO2_Calculator_Table[[#This Row],[Route]],ROUTES!E:E,CO2_Calculator_Table[[#This Row],[Loading City]],ROUTES!G:G,CO2_Calculator_Table[[#This Row],[Unloading City]],ROUTES!C:C,CO2_Calculator_Table[[#This Row],[Route Detail]])</f>
        <v>1560</v>
      </c>
      <c r="V18" s="100">
        <f t="shared" si="0"/>
        <v>0.121</v>
      </c>
      <c r="W18" s="101">
        <f t="shared" si="1"/>
        <v>1.2E-2</v>
      </c>
      <c r="X18" s="102">
        <f t="shared" si="2"/>
        <v>1.6E-2</v>
      </c>
      <c r="Y18" s="98">
        <f>IF(CO2_Calculator_Table[[#This Row],[Pre-carriage ROAD 
(km, if electric)]]=0,(O18*P18*V18),(O18*Q18*V18))</f>
        <v>58.08</v>
      </c>
      <c r="Z18" s="99">
        <f t="shared" si="8"/>
        <v>720</v>
      </c>
      <c r="AA18" s="99">
        <f t="shared" si="9"/>
        <v>0</v>
      </c>
      <c r="AB18" s="103">
        <f t="shared" si="10"/>
        <v>290.39999999999998</v>
      </c>
      <c r="AC18" s="99">
        <f t="shared" si="11"/>
        <v>4530.24</v>
      </c>
      <c r="AD18" s="99">
        <f t="shared" si="12"/>
        <v>720</v>
      </c>
      <c r="AE18" s="99">
        <f t="shared" si="13"/>
        <v>0</v>
      </c>
      <c r="AF18" s="99">
        <f t="shared" si="14"/>
        <v>348.47999999999996</v>
      </c>
      <c r="AG18" s="108">
        <f t="shared" si="15"/>
        <v>1068.48</v>
      </c>
      <c r="AH18" s="104">
        <f t="shared" si="16"/>
        <v>4530.24</v>
      </c>
      <c r="AI18" s="105">
        <f t="shared" si="17"/>
        <v>3461.7599999999998</v>
      </c>
    </row>
    <row r="19" spans="1:35" x14ac:dyDescent="0.3">
      <c r="A19" s="93">
        <v>1</v>
      </c>
      <c r="B19" s="94"/>
      <c r="C19" s="94" t="s">
        <v>73</v>
      </c>
      <c r="D19" s="94" t="s">
        <v>23</v>
      </c>
      <c r="E19" s="94" t="s">
        <v>74</v>
      </c>
      <c r="F19" s="94" t="s">
        <v>89</v>
      </c>
      <c r="G19" s="94" t="s">
        <v>102</v>
      </c>
      <c r="H19" s="94" t="s">
        <v>111</v>
      </c>
      <c r="I19" s="94" t="s">
        <v>121</v>
      </c>
      <c r="J19" s="21" t="s">
        <v>80</v>
      </c>
      <c r="K19" s="21" t="e">
        <f>VLOOKUP(CO2_Calculator_Table[[#This Row],[Referance Number
(Carrier)]],#REF!,10,0)</f>
        <v>#REF!</v>
      </c>
      <c r="L19" s="77" t="e">
        <f>VLOOKUP(CO2_Calculator_Table[[#This Row],[Referance Number
(Carrier)]],#REF!,14,0)</f>
        <v>#REF!</v>
      </c>
      <c r="M19" s="95" t="e">
        <f>VLOOKUP(CO2_Calculator_Table[[#This Row],[Referance Number
(Carrier)]],#REF!,15,0)</f>
        <v>#REF!</v>
      </c>
      <c r="N19" s="96" t="s">
        <v>75</v>
      </c>
      <c r="O19" s="97">
        <v>24</v>
      </c>
      <c r="P19" s="25">
        <f>SUMIFS(ROUTES!H:H,ROUTES!B:B,CO2_Calculator_Table[[#This Row],[Route]],ROUTES!E:E,CO2_Calculator_Table[[#This Row],[Loading City]],ROUTES!G:G,CO2_Calculator_Table[[#This Row],[Unloading City]],ROUTES!C:C,CO2_Calculator_Table[[#This Row],[Route Detail]])</f>
        <v>20</v>
      </c>
      <c r="Q19" s="28">
        <v>0</v>
      </c>
      <c r="R19" s="26">
        <f>SUMIFS(ROUTES!I:I,ROUTES!B:B,CO2_Calculator_Table[[#This Row],[Route]],ROUTES!E:E,CO2_Calculator_Table[[#This Row],[Loading City]],ROUTES!G:G,CO2_Calculator_Table[[#This Row],[Unloading City]],ROUTES!C:C,CO2_Calculator_Table[[#This Row],[Route Detail]])</f>
        <v>2500</v>
      </c>
      <c r="S19" s="26">
        <f>SUMIFS(ROUTES!J:J,ROUTES!B:B,CO2_Calculator_Table[[#This Row],[Route]],ROUTES!E:E,CO2_Calculator_Table[[#This Row],[Loading City]],ROUTES!G:G,CO2_Calculator_Table[[#This Row],[Unloading City]],ROUTES!C:C,CO2_Calculator_Table[[#This Row],[Route Detail]])</f>
        <v>1190</v>
      </c>
      <c r="T19" s="27">
        <f>SUMIFS(ROUTES!K:K,ROUTES!B:B,CO2_Calculator_Table[[#This Row],[Route]],ROUTES!E:E,CO2_Calculator_Table[[#This Row],[Loading City]],ROUTES!G:G,CO2_Calculator_Table[[#This Row],[Unloading City]],ROUTES!C:C,CO2_Calculator_Table[[#This Row],[Route Detail]])</f>
        <v>200</v>
      </c>
      <c r="U19" s="24">
        <f>SUMIFS(ROUTES!L:L,ROUTES!B:B,CO2_Calculator_Table[[#This Row],[Route]],ROUTES!E:E,CO2_Calculator_Table[[#This Row],[Loading City]],ROUTES!G:G,CO2_Calculator_Table[[#This Row],[Unloading City]],ROUTES!C:C,CO2_Calculator_Table[[#This Row],[Route Detail]])</f>
        <v>2760</v>
      </c>
      <c r="V19" s="100">
        <f t="shared" si="0"/>
        <v>0.121</v>
      </c>
      <c r="W19" s="101">
        <f t="shared" si="1"/>
        <v>1.2E-2</v>
      </c>
      <c r="X19" s="102">
        <f t="shared" si="2"/>
        <v>1.6E-2</v>
      </c>
      <c r="Y19" s="98">
        <f>IF(CO2_Calculator_Table[[#This Row],[Pre-carriage ROAD 
(km, if electric)]]=0,(O19*P19*V19),(O19*Q19*V19))</f>
        <v>58.08</v>
      </c>
      <c r="Z19" s="99">
        <f>O19*R19*W19</f>
        <v>720</v>
      </c>
      <c r="AA19" s="99">
        <f>O19*S19*X19</f>
        <v>456.96000000000004</v>
      </c>
      <c r="AB19" s="103">
        <f t="shared" si="10"/>
        <v>580.79999999999995</v>
      </c>
      <c r="AC19" s="99">
        <f t="shared" si="11"/>
        <v>8015.04</v>
      </c>
      <c r="AD19" s="99">
        <f>Z19</f>
        <v>720</v>
      </c>
      <c r="AE19" s="99">
        <f t="shared" si="13"/>
        <v>456.96000000000004</v>
      </c>
      <c r="AF19" s="99">
        <f t="shared" si="14"/>
        <v>638.88</v>
      </c>
      <c r="AG19" s="108">
        <f t="shared" si="15"/>
        <v>1815.8400000000001</v>
      </c>
      <c r="AH19" s="104">
        <f t="shared" si="16"/>
        <v>8015.0399999999991</v>
      </c>
      <c r="AI19" s="105">
        <f t="shared" si="17"/>
        <v>6199.1999999999989</v>
      </c>
    </row>
    <row r="20" spans="1:35" x14ac:dyDescent="0.3">
      <c r="A20" s="93">
        <v>1</v>
      </c>
      <c r="B20" s="94"/>
      <c r="C20" s="94" t="s">
        <v>73</v>
      </c>
      <c r="D20" s="94" t="s">
        <v>23</v>
      </c>
      <c r="E20" s="94" t="s">
        <v>87</v>
      </c>
      <c r="F20" s="94" t="s">
        <v>90</v>
      </c>
      <c r="G20" s="94" t="s">
        <v>96</v>
      </c>
      <c r="H20" s="94" t="s">
        <v>112</v>
      </c>
      <c r="I20" s="94" t="s">
        <v>122</v>
      </c>
      <c r="J20" s="21" t="s">
        <v>84</v>
      </c>
      <c r="K20" s="21" t="e">
        <f>VLOOKUP(CO2_Calculator_Table[[#This Row],[Referance Number
(Carrier)]],#REF!,10,0)</f>
        <v>#REF!</v>
      </c>
      <c r="L20" s="77" t="e">
        <f>VLOOKUP(CO2_Calculator_Table[[#This Row],[Referance Number
(Carrier)]],#REF!,14,0)</f>
        <v>#REF!</v>
      </c>
      <c r="M20" s="95" t="e">
        <f>VLOOKUP(CO2_Calculator_Table[[#This Row],[Referance Number
(Carrier)]],#REF!,15,0)</f>
        <v>#REF!</v>
      </c>
      <c r="N20" s="96" t="s">
        <v>75</v>
      </c>
      <c r="O20" s="97">
        <v>24</v>
      </c>
      <c r="P20" s="25">
        <f>SUMIFS(ROUTES!H:H,ROUTES!B:B,CO2_Calculator_Table[[#This Row],[Route]],ROUTES!E:E,CO2_Calculator_Table[[#This Row],[Loading City]],ROUTES!G:G,CO2_Calculator_Table[[#This Row],[Unloading City]],ROUTES!C:C,CO2_Calculator_Table[[#This Row],[Route Detail]])</f>
        <v>220</v>
      </c>
      <c r="Q20" s="28">
        <v>0</v>
      </c>
      <c r="R20" s="26">
        <f>SUMIFS(ROUTES!I:I,ROUTES!B:B,CO2_Calculator_Table[[#This Row],[Route]],ROUTES!E:E,CO2_Calculator_Table[[#This Row],[Loading City]],ROUTES!G:G,CO2_Calculator_Table[[#This Row],[Unloading City]],ROUTES!C:C,CO2_Calculator_Table[[#This Row],[Route Detail]])</f>
        <v>1450</v>
      </c>
      <c r="S20" s="26">
        <f>SUMIFS(ROUTES!J:J,ROUTES!B:B,CO2_Calculator_Table[[#This Row],[Route]],ROUTES!E:E,CO2_Calculator_Table[[#This Row],[Loading City]],ROUTES!G:G,CO2_Calculator_Table[[#This Row],[Unloading City]],ROUTES!C:C,CO2_Calculator_Table[[#This Row],[Route Detail]])</f>
        <v>0</v>
      </c>
      <c r="T20" s="27">
        <f>SUMIFS(ROUTES!K:K,ROUTES!B:B,CO2_Calculator_Table[[#This Row],[Route]],ROUTES!E:E,CO2_Calculator_Table[[#This Row],[Loading City]],ROUTES!G:G,CO2_Calculator_Table[[#This Row],[Unloading City]],ROUTES!C:C,CO2_Calculator_Table[[#This Row],[Route Detail]])</f>
        <v>20</v>
      </c>
      <c r="U20" s="24">
        <f>SUMIFS(ROUTES!L:L,ROUTES!B:B,CO2_Calculator_Table[[#This Row],[Route]],ROUTES!E:E,CO2_Calculator_Table[[#This Row],[Loading City]],ROUTES!G:G,CO2_Calculator_Table[[#This Row],[Unloading City]],ROUTES!C:C,CO2_Calculator_Table[[#This Row],[Route Detail]])</f>
        <v>1175</v>
      </c>
      <c r="V20" s="100">
        <f t="shared" si="0"/>
        <v>0.121</v>
      </c>
      <c r="W20" s="101">
        <f t="shared" si="1"/>
        <v>1.2E-2</v>
      </c>
      <c r="X20" s="102">
        <f t="shared" si="2"/>
        <v>1.6E-2</v>
      </c>
      <c r="Y20" s="98">
        <f>IF(CO2_Calculator_Table[[#This Row],[Pre-carriage ROAD 
(km, if electric)]]=0,(O20*P20*V20),(O20*Q20*V20))</f>
        <v>638.88</v>
      </c>
      <c r="Z20" s="99">
        <f t="shared" si="8"/>
        <v>417.6</v>
      </c>
      <c r="AA20" s="99">
        <f t="shared" si="9"/>
        <v>0</v>
      </c>
      <c r="AB20" s="103">
        <f t="shared" si="10"/>
        <v>58.08</v>
      </c>
      <c r="AC20" s="99">
        <f t="shared" si="11"/>
        <v>3412.2</v>
      </c>
      <c r="AD20" s="99">
        <f t="shared" si="12"/>
        <v>417.6</v>
      </c>
      <c r="AE20" s="99">
        <f t="shared" si="13"/>
        <v>0</v>
      </c>
      <c r="AF20" s="99">
        <f t="shared" si="14"/>
        <v>696.96</v>
      </c>
      <c r="AG20" s="108">
        <f t="shared" si="15"/>
        <v>1114.56</v>
      </c>
      <c r="AH20" s="104">
        <f t="shared" si="16"/>
        <v>3412.2</v>
      </c>
      <c r="AI20" s="105">
        <f t="shared" si="17"/>
        <v>2297.64</v>
      </c>
    </row>
    <row r="21" spans="1:35" x14ac:dyDescent="0.3">
      <c r="A21" s="93">
        <v>1</v>
      </c>
      <c r="B21" s="94"/>
      <c r="C21" s="94" t="s">
        <v>73</v>
      </c>
      <c r="D21" s="94" t="s">
        <v>23</v>
      </c>
      <c r="E21" s="94" t="s">
        <v>88</v>
      </c>
      <c r="F21" s="94" t="s">
        <v>91</v>
      </c>
      <c r="G21" s="94" t="s">
        <v>96</v>
      </c>
      <c r="H21" s="94" t="s">
        <v>112</v>
      </c>
      <c r="I21" s="94" t="s">
        <v>123</v>
      </c>
      <c r="J21" s="21" t="s">
        <v>85</v>
      </c>
      <c r="K21" s="21" t="e">
        <f>VLOOKUP(CO2_Calculator_Table[[#This Row],[Referance Number
(Carrier)]],#REF!,10,0)</f>
        <v>#REF!</v>
      </c>
      <c r="L21" s="77" t="e">
        <f>VLOOKUP(CO2_Calculator_Table[[#This Row],[Referance Number
(Carrier)]],#REF!,14,0)</f>
        <v>#REF!</v>
      </c>
      <c r="M21" s="95" t="e">
        <f>VLOOKUP(CO2_Calculator_Table[[#This Row],[Referance Number
(Carrier)]],#REF!,15,0)</f>
        <v>#REF!</v>
      </c>
      <c r="N21" s="96" t="s">
        <v>75</v>
      </c>
      <c r="O21" s="97">
        <v>24</v>
      </c>
      <c r="P21" s="25">
        <f>SUMIFS(ROUTES!H:H,ROUTES!B:B,CO2_Calculator_Table[[#This Row],[Route]],ROUTES!E:E,CO2_Calculator_Table[[#This Row],[Loading City]],ROUTES!G:G,CO2_Calculator_Table[[#This Row],[Unloading City]],ROUTES!C:C,CO2_Calculator_Table[[#This Row],[Route Detail]])</f>
        <v>450</v>
      </c>
      <c r="Q21" s="28">
        <v>0</v>
      </c>
      <c r="R21" s="26">
        <f>SUMIFS(ROUTES!I:I,ROUTES!B:B,CO2_Calculator_Table[[#This Row],[Route]],ROUTES!E:E,CO2_Calculator_Table[[#This Row],[Loading City]],ROUTES!G:G,CO2_Calculator_Table[[#This Row],[Unloading City]],ROUTES!C:C,CO2_Calculator_Table[[#This Row],[Route Detail]])</f>
        <v>1825</v>
      </c>
      <c r="S21" s="26">
        <f>SUMIFS(ROUTES!J:J,ROUTES!B:B,CO2_Calculator_Table[[#This Row],[Route]],ROUTES!E:E,CO2_Calculator_Table[[#This Row],[Loading City]],ROUTES!G:G,CO2_Calculator_Table[[#This Row],[Unloading City]],ROUTES!C:C,CO2_Calculator_Table[[#This Row],[Route Detail]])</f>
        <v>0</v>
      </c>
      <c r="T21" s="27">
        <f>SUMIFS(ROUTES!K:K,ROUTES!B:B,CO2_Calculator_Table[[#This Row],[Route]],ROUTES!E:E,CO2_Calculator_Table[[#This Row],[Loading City]],ROUTES!G:G,CO2_Calculator_Table[[#This Row],[Unloading City]],ROUTES!C:C,CO2_Calculator_Table[[#This Row],[Route Detail]])</f>
        <v>20</v>
      </c>
      <c r="U21" s="24">
        <f>SUMIFS(ROUTES!L:L,ROUTES!B:B,CO2_Calculator_Table[[#This Row],[Route]],ROUTES!E:E,CO2_Calculator_Table[[#This Row],[Loading City]],ROUTES!G:G,CO2_Calculator_Table[[#This Row],[Unloading City]],ROUTES!C:C,CO2_Calculator_Table[[#This Row],[Route Detail]])</f>
        <v>2375</v>
      </c>
      <c r="V21" s="100">
        <f t="shared" si="0"/>
        <v>0.121</v>
      </c>
      <c r="W21" s="101">
        <f t="shared" si="1"/>
        <v>1.2E-2</v>
      </c>
      <c r="X21" s="102">
        <f t="shared" si="2"/>
        <v>1.6E-2</v>
      </c>
      <c r="Y21" s="98">
        <f>IF(CO2_Calculator_Table[[#This Row],[Pre-carriage ROAD 
(km, if electric)]]=0,(O21*P21*V21),(O21*Q21*V21))</f>
        <v>1306.8</v>
      </c>
      <c r="Z21" s="99">
        <f t="shared" si="8"/>
        <v>525.6</v>
      </c>
      <c r="AA21" s="99">
        <f t="shared" si="9"/>
        <v>0</v>
      </c>
      <c r="AB21" s="103">
        <f t="shared" si="10"/>
        <v>58.08</v>
      </c>
      <c r="AC21" s="99">
        <f t="shared" si="11"/>
        <v>6897</v>
      </c>
      <c r="AD21" s="99">
        <f t="shared" si="12"/>
        <v>525.6</v>
      </c>
      <c r="AE21" s="99">
        <f t="shared" si="13"/>
        <v>0</v>
      </c>
      <c r="AF21" s="99">
        <f t="shared" si="14"/>
        <v>1364.8799999999999</v>
      </c>
      <c r="AG21" s="108">
        <f t="shared" si="15"/>
        <v>1890.48</v>
      </c>
      <c r="AH21" s="104">
        <f t="shared" si="16"/>
        <v>6897</v>
      </c>
      <c r="AI21" s="105">
        <f t="shared" si="17"/>
        <v>5006.5200000000004</v>
      </c>
    </row>
    <row r="22" spans="1:35" x14ac:dyDescent="0.3">
      <c r="A22" s="93">
        <v>1</v>
      </c>
      <c r="B22" s="94"/>
      <c r="C22" s="94" t="s">
        <v>73</v>
      </c>
      <c r="D22" s="94" t="s">
        <v>23</v>
      </c>
      <c r="E22" s="94" t="s">
        <v>88</v>
      </c>
      <c r="F22" s="94" t="s">
        <v>91</v>
      </c>
      <c r="G22" s="94" t="s">
        <v>93</v>
      </c>
      <c r="H22" s="94" t="s">
        <v>104</v>
      </c>
      <c r="I22" s="94" t="s">
        <v>124</v>
      </c>
      <c r="J22" s="21" t="s">
        <v>86</v>
      </c>
      <c r="K22" s="21" t="e">
        <f>VLOOKUP(CO2_Calculator_Table[[#This Row],[Referance Number
(Carrier)]],#REF!,10,0)</f>
        <v>#REF!</v>
      </c>
      <c r="L22" s="77" t="e">
        <f>VLOOKUP(CO2_Calculator_Table[[#This Row],[Referance Number
(Carrier)]],#REF!,14,0)</f>
        <v>#REF!</v>
      </c>
      <c r="M22" s="95" t="e">
        <f>VLOOKUP(CO2_Calculator_Table[[#This Row],[Referance Number
(Carrier)]],#REF!,15,0)</f>
        <v>#REF!</v>
      </c>
      <c r="N22" s="96" t="s">
        <v>75</v>
      </c>
      <c r="O22" s="97">
        <v>24</v>
      </c>
      <c r="P22" s="25">
        <f>SUMIFS(ROUTES!H:H,ROUTES!B:B,CO2_Calculator_Table[[#This Row],[Route]],ROUTES!E:E,CO2_Calculator_Table[[#This Row],[Loading City]],ROUTES!G:G,CO2_Calculator_Table[[#This Row],[Unloading City]],ROUTES!C:C,CO2_Calculator_Table[[#This Row],[Route Detail]])</f>
        <v>745</v>
      </c>
      <c r="Q22" s="28">
        <v>0</v>
      </c>
      <c r="R22" s="26">
        <f>SUMIFS(ROUTES!I:I,ROUTES!B:B,CO2_Calculator_Table[[#This Row],[Route]],ROUTES!E:E,CO2_Calculator_Table[[#This Row],[Loading City]],ROUTES!G:G,CO2_Calculator_Table[[#This Row],[Unloading City]],ROUTES!C:C,CO2_Calculator_Table[[#This Row],[Route Detail]])</f>
        <v>1225</v>
      </c>
      <c r="S22" s="26">
        <f>SUMIFS(ROUTES!J:J,ROUTES!B:B,CO2_Calculator_Table[[#This Row],[Route]],ROUTES!E:E,CO2_Calculator_Table[[#This Row],[Loading City]],ROUTES!G:G,CO2_Calculator_Table[[#This Row],[Unloading City]],ROUTES!C:C,CO2_Calculator_Table[[#This Row],[Route Detail]])</f>
        <v>0</v>
      </c>
      <c r="T22" s="27">
        <f>SUMIFS(ROUTES!K:K,ROUTES!B:B,CO2_Calculator_Table[[#This Row],[Route]],ROUTES!E:E,CO2_Calculator_Table[[#This Row],[Loading City]],ROUTES!G:G,CO2_Calculator_Table[[#This Row],[Unloading City]],ROUTES!C:C,CO2_Calculator_Table[[#This Row],[Route Detail]])</f>
        <v>200</v>
      </c>
      <c r="U22" s="24">
        <f>SUMIFS(ROUTES!L:L,ROUTES!B:B,CO2_Calculator_Table[[#This Row],[Route]],ROUTES!E:E,CO2_Calculator_Table[[#This Row],[Loading City]],ROUTES!G:G,CO2_Calculator_Table[[#This Row],[Unloading City]],ROUTES!C:C,CO2_Calculator_Table[[#This Row],[Route Detail]])</f>
        <v>2450</v>
      </c>
      <c r="V22" s="100">
        <f t="shared" si="0"/>
        <v>0.121</v>
      </c>
      <c r="W22" s="101">
        <f t="shared" si="1"/>
        <v>1.2E-2</v>
      </c>
      <c r="X22" s="102">
        <f t="shared" si="2"/>
        <v>1.6E-2</v>
      </c>
      <c r="Y22" s="98">
        <f>IF(CO2_Calculator_Table[[#This Row],[Pre-carriage ROAD 
(km, if electric)]]=0,(O22*P22*V22),(O22*Q22*V22))</f>
        <v>2163.48</v>
      </c>
      <c r="Z22" s="99">
        <f t="shared" si="8"/>
        <v>352.8</v>
      </c>
      <c r="AA22" s="99">
        <f t="shared" si="9"/>
        <v>0</v>
      </c>
      <c r="AB22" s="103">
        <f t="shared" si="10"/>
        <v>580.79999999999995</v>
      </c>
      <c r="AC22" s="99">
        <f t="shared" si="11"/>
        <v>7114.8</v>
      </c>
      <c r="AD22" s="99">
        <f t="shared" si="12"/>
        <v>352.8</v>
      </c>
      <c r="AE22" s="99">
        <f t="shared" si="13"/>
        <v>0</v>
      </c>
      <c r="AF22" s="99">
        <f t="shared" si="14"/>
        <v>2744.2799999999997</v>
      </c>
      <c r="AG22" s="108">
        <f t="shared" si="15"/>
        <v>3097.08</v>
      </c>
      <c r="AH22" s="104">
        <f t="shared" si="16"/>
        <v>7114.7999999999993</v>
      </c>
      <c r="AI22" s="105">
        <f t="shared" si="17"/>
        <v>4017.7199999999993</v>
      </c>
    </row>
    <row r="23" spans="1:35" x14ac:dyDescent="0.3">
      <c r="A23" s="93"/>
      <c r="B23" s="94"/>
      <c r="C23" s="94"/>
      <c r="D23" s="94"/>
      <c r="E23" s="94" t="s">
        <v>74</v>
      </c>
      <c r="F23" s="94" t="s">
        <v>125</v>
      </c>
      <c r="G23" s="94" t="s">
        <v>126</v>
      </c>
      <c r="H23" s="94" t="s">
        <v>127</v>
      </c>
      <c r="I23" s="94" t="s">
        <v>128</v>
      </c>
      <c r="J23" s="21" t="s">
        <v>78</v>
      </c>
      <c r="K23" s="21"/>
      <c r="L23" s="77"/>
      <c r="M23" s="95"/>
      <c r="N23" s="96" t="s">
        <v>75</v>
      </c>
      <c r="O23" s="97">
        <v>24</v>
      </c>
      <c r="P23" s="25">
        <f>SUMIFS(ROUTES!H:H,ROUTES!B:B,CO2_Calculator_Table[[#This Row],[Route]],ROUTES!E:E,CO2_Calculator_Table[[#This Row],[Loading City]],ROUTES!G:G,CO2_Calculator_Table[[#This Row],[Unloading City]],ROUTES!C:C,CO2_Calculator_Table[[#This Row],[Route Detail]])</f>
        <v>20</v>
      </c>
      <c r="Q23" s="28">
        <v>0</v>
      </c>
      <c r="R23" s="26">
        <f>SUMIFS(ROUTES!I:I,ROUTES!B:B,CO2_Calculator_Table[[#This Row],[Route]],ROUTES!E:E,CO2_Calculator_Table[[#This Row],[Loading City]],ROUTES!G:G,CO2_Calculator_Table[[#This Row],[Unloading City]],ROUTES!C:C,CO2_Calculator_Table[[#This Row],[Route Detail]])</f>
        <v>2500</v>
      </c>
      <c r="S23" s="26">
        <f>SUMIFS(ROUTES!J:J,ROUTES!B:B,CO2_Calculator_Table[[#This Row],[Route]],ROUTES!E:E,CO2_Calculator_Table[[#This Row],[Loading City]],ROUTES!G:G,CO2_Calculator_Table[[#This Row],[Unloading City]],ROUTES!C:C,CO2_Calculator_Table[[#This Row],[Route Detail]])</f>
        <v>0</v>
      </c>
      <c r="T23" s="27">
        <f>SUMIFS(ROUTES!K:K,ROUTES!B:B,CO2_Calculator_Table[[#This Row],[Route]],ROUTES!E:E,CO2_Calculator_Table[[#This Row],[Loading City]],ROUTES!G:G,CO2_Calculator_Table[[#This Row],[Unloading City]],ROUTES!C:C,CO2_Calculator_Table[[#This Row],[Route Detail]])</f>
        <v>1690</v>
      </c>
      <c r="U23" s="24">
        <f>SUMIFS(ROUTES!L:L,ROUTES!B:B,CO2_Calculator_Table[[#This Row],[Route]],ROUTES!E:E,CO2_Calculator_Table[[#This Row],[Loading City]],ROUTES!G:G,CO2_Calculator_Table[[#This Row],[Unloading City]],ROUTES!C:C,CO2_Calculator_Table[[#This Row],[Route Detail]])</f>
        <v>2725</v>
      </c>
      <c r="V23" s="100">
        <f t="shared" si="0"/>
        <v>0.121</v>
      </c>
      <c r="W23" s="101">
        <f t="shared" si="1"/>
        <v>1.2E-2</v>
      </c>
      <c r="X23" s="102">
        <f t="shared" si="2"/>
        <v>1.6E-2</v>
      </c>
      <c r="Y23" s="98">
        <f>IF(CO2_Calculator_Table[[#This Row],[Pre-carriage ROAD 
(km, if electric)]]=0,(O23*P23*V23),(O23*Q23*V23))</f>
        <v>58.08</v>
      </c>
      <c r="Z23" s="99">
        <f t="shared" si="8"/>
        <v>720</v>
      </c>
      <c r="AA23" s="99">
        <f t="shared" si="9"/>
        <v>0</v>
      </c>
      <c r="AB23" s="103">
        <f t="shared" si="10"/>
        <v>4907.76</v>
      </c>
      <c r="AC23" s="99">
        <f t="shared" si="11"/>
        <v>7913.4</v>
      </c>
      <c r="AD23" s="99">
        <f t="shared" si="12"/>
        <v>720</v>
      </c>
      <c r="AE23" s="99">
        <f t="shared" si="13"/>
        <v>0</v>
      </c>
      <c r="AF23" s="99">
        <f t="shared" si="14"/>
        <v>4965.84</v>
      </c>
      <c r="AG23" s="108">
        <f t="shared" si="15"/>
        <v>5685.84</v>
      </c>
      <c r="AH23" s="104">
        <f t="shared" si="16"/>
        <v>7913.4</v>
      </c>
      <c r="AI23" s="105">
        <f t="shared" si="17"/>
        <v>2227.5599999999995</v>
      </c>
    </row>
    <row r="24" spans="1:35" x14ac:dyDescent="0.3">
      <c r="A24" s="93"/>
      <c r="B24" s="94"/>
      <c r="C24" s="94"/>
      <c r="D24" s="94"/>
      <c r="E24" s="94" t="s">
        <v>74</v>
      </c>
      <c r="F24" s="94" t="s">
        <v>125</v>
      </c>
      <c r="G24" s="94" t="s">
        <v>130</v>
      </c>
      <c r="H24" s="94" t="s">
        <v>129</v>
      </c>
      <c r="I24" s="94" t="s">
        <v>131</v>
      </c>
      <c r="J24" s="21" t="s">
        <v>78</v>
      </c>
      <c r="K24" s="21"/>
      <c r="L24" s="77"/>
      <c r="M24" s="95"/>
      <c r="N24" s="96" t="s">
        <v>75</v>
      </c>
      <c r="O24" s="97">
        <v>24</v>
      </c>
      <c r="P24" s="25">
        <f>SUMIFS(ROUTES!H:H,ROUTES!B:B,CO2_Calculator_Table[[#This Row],[Route]],ROUTES!E:E,CO2_Calculator_Table[[#This Row],[Loading City]],ROUTES!G:G,CO2_Calculator_Table[[#This Row],[Unloading City]],ROUTES!C:C,CO2_Calculator_Table[[#This Row],[Route Detail]])</f>
        <v>20</v>
      </c>
      <c r="Q24" s="28">
        <v>0</v>
      </c>
      <c r="R24" s="26">
        <f>SUMIFS(ROUTES!I:I,ROUTES!B:B,CO2_Calculator_Table[[#This Row],[Route]],ROUTES!E:E,CO2_Calculator_Table[[#This Row],[Loading City]],ROUTES!G:G,CO2_Calculator_Table[[#This Row],[Unloading City]],ROUTES!C:C,CO2_Calculator_Table[[#This Row],[Route Detail]])</f>
        <v>2500</v>
      </c>
      <c r="S24" s="26">
        <f>SUMIFS(ROUTES!J:J,ROUTES!B:B,CO2_Calculator_Table[[#This Row],[Route]],ROUTES!E:E,CO2_Calculator_Table[[#This Row],[Loading City]],ROUTES!G:G,CO2_Calculator_Table[[#This Row],[Unloading City]],ROUTES!C:C,CO2_Calculator_Table[[#This Row],[Route Detail]])</f>
        <v>0</v>
      </c>
      <c r="T24" s="27">
        <f>SUMIFS(ROUTES!K:K,ROUTES!B:B,CO2_Calculator_Table[[#This Row],[Route]],ROUTES!E:E,CO2_Calculator_Table[[#This Row],[Loading City]],ROUTES!G:G,CO2_Calculator_Table[[#This Row],[Unloading City]],ROUTES!C:C,CO2_Calculator_Table[[#This Row],[Route Detail]])</f>
        <v>930</v>
      </c>
      <c r="U24" s="24">
        <f>SUMIFS(ROUTES!L:L,ROUTES!B:B,CO2_Calculator_Table[[#This Row],[Route]],ROUTES!E:E,CO2_Calculator_Table[[#This Row],[Loading City]],ROUTES!G:G,CO2_Calculator_Table[[#This Row],[Unloading City]],ROUTES!C:C,CO2_Calculator_Table[[#This Row],[Route Detail]])</f>
        <v>2200</v>
      </c>
      <c r="V24" s="100">
        <f t="shared" si="0"/>
        <v>0.121</v>
      </c>
      <c r="W24" s="101">
        <f t="shared" si="1"/>
        <v>1.2E-2</v>
      </c>
      <c r="X24" s="102">
        <f t="shared" si="2"/>
        <v>1.6E-2</v>
      </c>
      <c r="Y24" s="98">
        <f>IF(CO2_Calculator_Table[[#This Row],[Pre-carriage ROAD 
(km, if electric)]]=0,(O24*P24*V24),(O24*Q24*V24))</f>
        <v>58.08</v>
      </c>
      <c r="Z24" s="99">
        <f t="shared" si="8"/>
        <v>720</v>
      </c>
      <c r="AA24" s="99">
        <f t="shared" si="9"/>
        <v>0</v>
      </c>
      <c r="AB24" s="103">
        <f t="shared" si="10"/>
        <v>2700.72</v>
      </c>
      <c r="AC24" s="99">
        <f t="shared" si="11"/>
        <v>6388.8</v>
      </c>
      <c r="AD24" s="99">
        <f t="shared" si="12"/>
        <v>720</v>
      </c>
      <c r="AE24" s="99">
        <f t="shared" si="13"/>
        <v>0</v>
      </c>
      <c r="AF24" s="99">
        <f t="shared" si="14"/>
        <v>2758.7999999999997</v>
      </c>
      <c r="AG24" s="108">
        <f t="shared" si="15"/>
        <v>3478.7999999999997</v>
      </c>
      <c r="AH24" s="104">
        <f t="shared" si="16"/>
        <v>6388.7999999999993</v>
      </c>
      <c r="AI24" s="105">
        <f t="shared" si="17"/>
        <v>2909.9999999999995</v>
      </c>
    </row>
    <row r="25" spans="1:35" x14ac:dyDescent="0.3">
      <c r="A25" s="93"/>
      <c r="B25" s="94"/>
      <c r="C25" s="94"/>
      <c r="D25" s="94"/>
      <c r="E25" s="94" t="s">
        <v>130</v>
      </c>
      <c r="F25" s="94" t="s">
        <v>132</v>
      </c>
      <c r="G25" s="94" t="s">
        <v>74</v>
      </c>
      <c r="H25" s="94" t="s">
        <v>125</v>
      </c>
      <c r="I25" s="94" t="s">
        <v>134</v>
      </c>
      <c r="J25" s="21" t="s">
        <v>133</v>
      </c>
      <c r="K25" s="21"/>
      <c r="L25" s="77"/>
      <c r="M25" s="95"/>
      <c r="N25" s="96" t="s">
        <v>75</v>
      </c>
      <c r="O25" s="97">
        <v>24</v>
      </c>
      <c r="P25" s="25">
        <f>SUMIFS(ROUTES!H:H,ROUTES!B:B,CO2_Calculator_Table[[#This Row],[Route]],ROUTES!E:E,CO2_Calculator_Table[[#This Row],[Loading City]],ROUTES!G:G,CO2_Calculator_Table[[#This Row],[Unloading City]],ROUTES!C:C,CO2_Calculator_Table[[#This Row],[Route Detail]])</f>
        <v>870</v>
      </c>
      <c r="Q25" s="28">
        <v>0</v>
      </c>
      <c r="R25" s="26">
        <f>SUMIFS(ROUTES!I:I,ROUTES!B:B,CO2_Calculator_Table[[#This Row],[Route]],ROUTES!E:E,CO2_Calculator_Table[[#This Row],[Loading City]],ROUTES!G:G,CO2_Calculator_Table[[#This Row],[Unloading City]],ROUTES!C:C,CO2_Calculator_Table[[#This Row],[Route Detail]])</f>
        <v>2500</v>
      </c>
      <c r="S25" s="26">
        <f>SUMIFS(ROUTES!J:J,ROUTES!B:B,CO2_Calculator_Table[[#This Row],[Route]],ROUTES!E:E,CO2_Calculator_Table[[#This Row],[Loading City]],ROUTES!G:G,CO2_Calculator_Table[[#This Row],[Unloading City]],ROUTES!C:C,CO2_Calculator_Table[[#This Row],[Route Detail]])</f>
        <v>0</v>
      </c>
      <c r="T25" s="27">
        <f>SUMIFS(ROUTES!K:K,ROUTES!B:B,CO2_Calculator_Table[[#This Row],[Route]],ROUTES!E:E,CO2_Calculator_Table[[#This Row],[Loading City]],ROUTES!G:G,CO2_Calculator_Table[[#This Row],[Unloading City]],ROUTES!C:C,CO2_Calculator_Table[[#This Row],[Route Detail]])</f>
        <v>20</v>
      </c>
      <c r="U25" s="24">
        <f>SUMIFS(ROUTES!L:L,ROUTES!B:B,CO2_Calculator_Table[[#This Row],[Route]],ROUTES!E:E,CO2_Calculator_Table[[#This Row],[Loading City]],ROUTES!G:G,CO2_Calculator_Table[[#This Row],[Unloading City]],ROUTES!C:C,CO2_Calculator_Table[[#This Row],[Route Detail]])</f>
        <v>1975</v>
      </c>
      <c r="V25" s="100">
        <f t="shared" si="0"/>
        <v>0.121</v>
      </c>
      <c r="W25" s="101">
        <f t="shared" si="1"/>
        <v>1.2E-2</v>
      </c>
      <c r="X25" s="102">
        <f t="shared" si="2"/>
        <v>1.6E-2</v>
      </c>
      <c r="Y25" s="98">
        <f>IF(CO2_Calculator_Table[[#This Row],[Pre-carriage ROAD 
(km, if electric)]]=0,(O25*P25*V25),(O25*Q25*V25))</f>
        <v>2526.48</v>
      </c>
      <c r="Z25" s="99">
        <f t="shared" si="8"/>
        <v>720</v>
      </c>
      <c r="AA25" s="99">
        <f t="shared" si="9"/>
        <v>0</v>
      </c>
      <c r="AB25" s="103">
        <f t="shared" si="10"/>
        <v>58.08</v>
      </c>
      <c r="AC25" s="99">
        <f t="shared" si="11"/>
        <v>5735.4</v>
      </c>
      <c r="AD25" s="99">
        <f t="shared" si="12"/>
        <v>720</v>
      </c>
      <c r="AE25" s="99">
        <f t="shared" si="13"/>
        <v>0</v>
      </c>
      <c r="AF25" s="99">
        <f t="shared" si="14"/>
        <v>2584.56</v>
      </c>
      <c r="AG25" s="108">
        <f t="shared" si="15"/>
        <v>3304.56</v>
      </c>
      <c r="AH25" s="104">
        <f t="shared" si="16"/>
        <v>5735.4</v>
      </c>
      <c r="AI25" s="105">
        <f t="shared" si="17"/>
        <v>2430.8399999999997</v>
      </c>
    </row>
    <row r="26" spans="1:35" x14ac:dyDescent="0.3">
      <c r="A26" s="93"/>
      <c r="B26" s="94"/>
      <c r="C26" s="94"/>
      <c r="D26" s="94"/>
      <c r="E26" s="94" t="s">
        <v>130</v>
      </c>
      <c r="F26" s="94" t="s">
        <v>132</v>
      </c>
      <c r="G26" s="94" t="s">
        <v>74</v>
      </c>
      <c r="H26" s="94" t="s">
        <v>135</v>
      </c>
      <c r="I26" s="94" t="s">
        <v>136</v>
      </c>
      <c r="J26" s="21" t="s">
        <v>133</v>
      </c>
      <c r="K26" s="21"/>
      <c r="L26" s="77"/>
      <c r="M26" s="95"/>
      <c r="N26" s="96" t="s">
        <v>75</v>
      </c>
      <c r="O26" s="97">
        <v>24</v>
      </c>
      <c r="P26" s="25">
        <f>SUMIFS(ROUTES!H:H,ROUTES!B:B,CO2_Calculator_Table[[#This Row],[Route]],ROUTES!E:E,CO2_Calculator_Table[[#This Row],[Loading City]],ROUTES!G:G,CO2_Calculator_Table[[#This Row],[Unloading City]],ROUTES!C:C,CO2_Calculator_Table[[#This Row],[Route Detail]])</f>
        <v>870</v>
      </c>
      <c r="Q26" s="28">
        <v>0</v>
      </c>
      <c r="R26" s="26">
        <f>SUMIFS(ROUTES!I:I,ROUTES!B:B,CO2_Calculator_Table[[#This Row],[Route]],ROUTES!E:E,CO2_Calculator_Table[[#This Row],[Loading City]],ROUTES!G:G,CO2_Calculator_Table[[#This Row],[Unloading City]],ROUTES!C:C,CO2_Calculator_Table[[#This Row],[Route Detail]])</f>
        <v>2500</v>
      </c>
      <c r="S26" s="26">
        <f>SUMIFS(ROUTES!J:J,ROUTES!B:B,CO2_Calculator_Table[[#This Row],[Route]],ROUTES!E:E,CO2_Calculator_Table[[#This Row],[Loading City]],ROUTES!G:G,CO2_Calculator_Table[[#This Row],[Unloading City]],ROUTES!C:C,CO2_Calculator_Table[[#This Row],[Route Detail]])</f>
        <v>0</v>
      </c>
      <c r="T26" s="27">
        <f>SUMIFS(ROUTES!K:K,ROUTES!B:B,CO2_Calculator_Table[[#This Row],[Route]],ROUTES!E:E,CO2_Calculator_Table[[#This Row],[Loading City]],ROUTES!G:G,CO2_Calculator_Table[[#This Row],[Unloading City]],ROUTES!C:C,CO2_Calculator_Table[[#This Row],[Route Detail]])</f>
        <v>15</v>
      </c>
      <c r="U26" s="24">
        <f>SUMIFS(ROUTES!L:L,ROUTES!B:B,CO2_Calculator_Table[[#This Row],[Route]],ROUTES!E:E,CO2_Calculator_Table[[#This Row],[Loading City]],ROUTES!G:G,CO2_Calculator_Table[[#This Row],[Unloading City]],ROUTES!C:C,CO2_Calculator_Table[[#This Row],[Route Detail]])</f>
        <v>1955</v>
      </c>
      <c r="V26" s="100">
        <f t="shared" si="0"/>
        <v>0.121</v>
      </c>
      <c r="W26" s="101">
        <f t="shared" si="1"/>
        <v>1.2E-2</v>
      </c>
      <c r="X26" s="102">
        <f t="shared" si="2"/>
        <v>1.6E-2</v>
      </c>
      <c r="Y26" s="98">
        <f>IF(CO2_Calculator_Table[[#This Row],[Pre-carriage ROAD 
(km, if electric)]]=0,(O26*P26*V26),(O26*Q26*V26))</f>
        <v>2526.48</v>
      </c>
      <c r="Z26" s="99">
        <f t="shared" si="8"/>
        <v>720</v>
      </c>
      <c r="AA26" s="99">
        <f t="shared" si="9"/>
        <v>0</v>
      </c>
      <c r="AB26" s="103">
        <f t="shared" si="10"/>
        <v>43.56</v>
      </c>
      <c r="AC26" s="99">
        <f t="shared" si="11"/>
        <v>5677.32</v>
      </c>
      <c r="AD26" s="99">
        <f t="shared" si="12"/>
        <v>720</v>
      </c>
      <c r="AE26" s="99">
        <f t="shared" si="13"/>
        <v>0</v>
      </c>
      <c r="AF26" s="99">
        <f t="shared" si="14"/>
        <v>2570.04</v>
      </c>
      <c r="AG26" s="108">
        <f t="shared" si="15"/>
        <v>3290.04</v>
      </c>
      <c r="AH26" s="104">
        <f t="shared" si="16"/>
        <v>5677.32</v>
      </c>
      <c r="AI26" s="105">
        <f t="shared" si="17"/>
        <v>2387.2799999999997</v>
      </c>
    </row>
    <row r="27" spans="1:35" x14ac:dyDescent="0.3">
      <c r="A27" s="93"/>
      <c r="B27" s="94"/>
      <c r="C27" s="94"/>
      <c r="D27" s="94"/>
      <c r="E27" s="94" t="s">
        <v>130</v>
      </c>
      <c r="F27" s="94" t="s">
        <v>137</v>
      </c>
      <c r="G27" s="94" t="s">
        <v>74</v>
      </c>
      <c r="H27" s="94" t="s">
        <v>125</v>
      </c>
      <c r="I27" s="94" t="s">
        <v>138</v>
      </c>
      <c r="J27" s="21" t="s">
        <v>133</v>
      </c>
      <c r="K27" s="21"/>
      <c r="L27" s="77"/>
      <c r="M27" s="95"/>
      <c r="N27" s="96" t="s">
        <v>75</v>
      </c>
      <c r="O27" s="97">
        <v>24</v>
      </c>
      <c r="P27" s="25">
        <f>SUMIFS(ROUTES!H:H,ROUTES!B:B,CO2_Calculator_Table[[#This Row],[Route]],ROUTES!E:E,CO2_Calculator_Table[[#This Row],[Loading City]],ROUTES!G:G,CO2_Calculator_Table[[#This Row],[Unloading City]],ROUTES!C:C,CO2_Calculator_Table[[#This Row],[Route Detail]])</f>
        <v>1010</v>
      </c>
      <c r="Q27" s="28">
        <v>0</v>
      </c>
      <c r="R27" s="26">
        <f>SUMIFS(ROUTES!I:I,ROUTES!B:B,CO2_Calculator_Table[[#This Row],[Route]],ROUTES!E:E,CO2_Calculator_Table[[#This Row],[Loading City]],ROUTES!G:G,CO2_Calculator_Table[[#This Row],[Unloading City]],ROUTES!C:C,CO2_Calculator_Table[[#This Row],[Route Detail]])</f>
        <v>2500</v>
      </c>
      <c r="S27" s="26">
        <f>SUMIFS(ROUTES!J:J,ROUTES!B:B,CO2_Calculator_Table[[#This Row],[Route]],ROUTES!E:E,CO2_Calculator_Table[[#This Row],[Loading City]],ROUTES!G:G,CO2_Calculator_Table[[#This Row],[Unloading City]],ROUTES!C:C,CO2_Calculator_Table[[#This Row],[Route Detail]])</f>
        <v>0</v>
      </c>
      <c r="T27" s="27">
        <f>SUMIFS(ROUTES!K:K,ROUTES!B:B,CO2_Calculator_Table[[#This Row],[Route]],ROUTES!E:E,CO2_Calculator_Table[[#This Row],[Loading City]],ROUTES!G:G,CO2_Calculator_Table[[#This Row],[Unloading City]],ROUTES!C:C,CO2_Calculator_Table[[#This Row],[Route Detail]])</f>
        <v>20</v>
      </c>
      <c r="U27" s="24">
        <f>SUMIFS(ROUTES!L:L,ROUTES!B:B,CO2_Calculator_Table[[#This Row],[Route]],ROUTES!E:E,CO2_Calculator_Table[[#This Row],[Loading City]],ROUTES!G:G,CO2_Calculator_Table[[#This Row],[Unloading City]],ROUTES!C:C,CO2_Calculator_Table[[#This Row],[Route Detail]])</f>
        <v>2120</v>
      </c>
      <c r="V27" s="100">
        <f t="shared" si="0"/>
        <v>0.121</v>
      </c>
      <c r="W27" s="101">
        <f t="shared" si="1"/>
        <v>1.2E-2</v>
      </c>
      <c r="X27" s="102">
        <f t="shared" si="2"/>
        <v>1.6E-2</v>
      </c>
      <c r="Y27" s="98">
        <f>IF(CO2_Calculator_Table[[#This Row],[Pre-carriage ROAD 
(km, if electric)]]=0,(O27*P27*V27),(O27*Q27*V27))</f>
        <v>2933.04</v>
      </c>
      <c r="Z27" s="99">
        <f t="shared" si="8"/>
        <v>720</v>
      </c>
      <c r="AA27" s="99">
        <f t="shared" si="9"/>
        <v>0</v>
      </c>
      <c r="AB27" s="103">
        <f t="shared" si="10"/>
        <v>58.08</v>
      </c>
      <c r="AC27" s="99">
        <f t="shared" si="11"/>
        <v>6156.48</v>
      </c>
      <c r="AD27" s="99">
        <f t="shared" si="12"/>
        <v>720</v>
      </c>
      <c r="AE27" s="99">
        <f t="shared" si="13"/>
        <v>0</v>
      </c>
      <c r="AF27" s="99">
        <f t="shared" si="14"/>
        <v>2991.12</v>
      </c>
      <c r="AG27" s="108">
        <f t="shared" si="15"/>
        <v>3711.12</v>
      </c>
      <c r="AH27" s="104">
        <f t="shared" si="16"/>
        <v>6156.48</v>
      </c>
      <c r="AI27" s="105">
        <f t="shared" si="17"/>
        <v>2445.3599999999997</v>
      </c>
    </row>
    <row r="28" spans="1:35" x14ac:dyDescent="0.3">
      <c r="A28" s="93"/>
      <c r="B28" s="94"/>
      <c r="C28" s="94"/>
      <c r="D28" s="94"/>
      <c r="E28" t="s">
        <v>74</v>
      </c>
      <c r="F28" t="s">
        <v>125</v>
      </c>
      <c r="G28" s="94" t="s">
        <v>139</v>
      </c>
      <c r="H28" s="94" t="s">
        <v>140</v>
      </c>
      <c r="I28" s="94" t="s">
        <v>142</v>
      </c>
      <c r="J28" s="21" t="s">
        <v>141</v>
      </c>
      <c r="K28" s="21"/>
      <c r="L28" s="77"/>
      <c r="M28" s="95"/>
      <c r="N28" s="96" t="s">
        <v>75</v>
      </c>
      <c r="O28" s="97">
        <v>24</v>
      </c>
      <c r="P28" s="25">
        <f>SUMIFS(ROUTES!H:H,ROUTES!B:B,CO2_Calculator_Table[[#This Row],[Route]],ROUTES!E:E,CO2_Calculator_Table[[#This Row],[Loading City]],ROUTES!G:G,CO2_Calculator_Table[[#This Row],[Unloading City]],ROUTES!C:C,CO2_Calculator_Table[[#This Row],[Route Detail]])</f>
        <v>0</v>
      </c>
      <c r="Q28" s="28">
        <v>0</v>
      </c>
      <c r="R28" s="26">
        <f>SUMIFS(ROUTES!I:I,ROUTES!B:B,CO2_Calculator_Table[[#This Row],[Route]],ROUTES!E:E,CO2_Calculator_Table[[#This Row],[Loading City]],ROUTES!G:G,CO2_Calculator_Table[[#This Row],[Unloading City]],ROUTES!C:C,CO2_Calculator_Table[[#This Row],[Route Detail]])</f>
        <v>0</v>
      </c>
      <c r="S28" s="26">
        <f>SUMIFS(ROUTES!J:J,ROUTES!B:B,CO2_Calculator_Table[[#This Row],[Route]],ROUTES!E:E,CO2_Calculator_Table[[#This Row],[Loading City]],ROUTES!G:G,CO2_Calculator_Table[[#This Row],[Unloading City]],ROUTES!C:C,CO2_Calculator_Table[[#This Row],[Route Detail]])</f>
        <v>0</v>
      </c>
      <c r="T28" s="27">
        <f>SUMIFS(ROUTES!K:K,ROUTES!B:B,CO2_Calculator_Table[[#This Row],[Route]],ROUTES!E:E,CO2_Calculator_Table[[#This Row],[Loading City]],ROUTES!G:G,CO2_Calculator_Table[[#This Row],[Unloading City]],ROUTES!C:C,CO2_Calculator_Table[[#This Row],[Route Detail]])</f>
        <v>0</v>
      </c>
      <c r="U28" s="24">
        <f>SUMIFS(ROUTES!L:L,ROUTES!B:B,CO2_Calculator_Table[[#This Row],[Route]],ROUTES!E:E,CO2_Calculator_Table[[#This Row],[Loading City]],ROUTES!G:G,CO2_Calculator_Table[[#This Row],[Unloading City]],ROUTES!C:C,CO2_Calculator_Table[[#This Row],[Route Detail]])</f>
        <v>1240</v>
      </c>
      <c r="V28" s="100">
        <f t="shared" si="0"/>
        <v>0.121</v>
      </c>
      <c r="W28" s="101">
        <f t="shared" si="1"/>
        <v>1.2E-2</v>
      </c>
      <c r="X28" s="102">
        <f t="shared" si="2"/>
        <v>1.6E-2</v>
      </c>
      <c r="Y28" s="98">
        <f>IF(CO2_Calculator_Table[[#This Row],[Pre-carriage ROAD 
(km, if electric)]]=0,(O28*P28*V28),(O28*Q28*V28))</f>
        <v>0</v>
      </c>
      <c r="Z28" s="99">
        <f t="shared" si="8"/>
        <v>0</v>
      </c>
      <c r="AA28" s="99">
        <f t="shared" si="9"/>
        <v>0</v>
      </c>
      <c r="AB28" s="103">
        <f t="shared" si="10"/>
        <v>0</v>
      </c>
      <c r="AC28" s="99">
        <f t="shared" si="11"/>
        <v>3600.96</v>
      </c>
      <c r="AD28" s="99">
        <f t="shared" si="12"/>
        <v>0</v>
      </c>
      <c r="AE28" s="99">
        <f t="shared" si="13"/>
        <v>0</v>
      </c>
      <c r="AF28" s="99">
        <f t="shared" si="14"/>
        <v>0</v>
      </c>
      <c r="AG28" s="108">
        <f t="shared" si="15"/>
        <v>0</v>
      </c>
      <c r="AH28" s="104">
        <f t="shared" si="16"/>
        <v>3600.96</v>
      </c>
      <c r="AI28" s="105">
        <f t="shared" si="17"/>
        <v>3600.96</v>
      </c>
    </row>
    <row r="29" spans="1:35" x14ac:dyDescent="0.3">
      <c r="A29" s="93"/>
      <c r="B29" s="94"/>
      <c r="C29" s="94"/>
      <c r="D29" s="94"/>
      <c r="E29" s="94" t="s">
        <v>74</v>
      </c>
      <c r="F29" s="94" t="s">
        <v>125</v>
      </c>
      <c r="G29" s="94" t="s">
        <v>143</v>
      </c>
      <c r="H29" s="94" t="s">
        <v>144</v>
      </c>
      <c r="I29" s="94" t="s">
        <v>145</v>
      </c>
      <c r="J29" s="21" t="s">
        <v>141</v>
      </c>
      <c r="K29" s="21"/>
      <c r="L29" s="77"/>
      <c r="M29" s="95"/>
      <c r="N29" s="96" t="s">
        <v>75</v>
      </c>
      <c r="O29" s="97">
        <v>24</v>
      </c>
      <c r="P29" s="25">
        <f>SUMIFS(ROUTES!H:H,ROUTES!B:B,CO2_Calculator_Table[[#This Row],[Route]],ROUTES!E:E,CO2_Calculator_Table[[#This Row],[Loading City]],ROUTES!G:G,CO2_Calculator_Table[[#This Row],[Unloading City]],ROUTES!C:C,CO2_Calculator_Table[[#This Row],[Route Detail]])</f>
        <v>0</v>
      </c>
      <c r="Q29" s="28">
        <v>0</v>
      </c>
      <c r="R29" s="26">
        <f>SUMIFS(ROUTES!I:I,ROUTES!B:B,CO2_Calculator_Table[[#This Row],[Route]],ROUTES!E:E,CO2_Calculator_Table[[#This Row],[Loading City]],ROUTES!G:G,CO2_Calculator_Table[[#This Row],[Unloading City]],ROUTES!C:C,CO2_Calculator_Table[[#This Row],[Route Detail]])</f>
        <v>0</v>
      </c>
      <c r="S29" s="26">
        <f>SUMIFS(ROUTES!J:J,ROUTES!B:B,CO2_Calculator_Table[[#This Row],[Route]],ROUTES!E:E,CO2_Calculator_Table[[#This Row],[Loading City]],ROUTES!G:G,CO2_Calculator_Table[[#This Row],[Unloading City]],ROUTES!C:C,CO2_Calculator_Table[[#This Row],[Route Detail]])</f>
        <v>0</v>
      </c>
      <c r="T29" s="27">
        <f>SUMIFS(ROUTES!K:K,ROUTES!B:B,CO2_Calculator_Table[[#This Row],[Route]],ROUTES!E:E,CO2_Calculator_Table[[#This Row],[Loading City]],ROUTES!G:G,CO2_Calculator_Table[[#This Row],[Unloading City]],ROUTES!C:C,CO2_Calculator_Table[[#This Row],[Route Detail]])</f>
        <v>0</v>
      </c>
      <c r="U29" s="24">
        <f>SUMIFS(ROUTES!L:L,ROUTES!B:B,CO2_Calculator_Table[[#This Row],[Route]],ROUTES!E:E,CO2_Calculator_Table[[#This Row],[Loading City]],ROUTES!G:G,CO2_Calculator_Table[[#This Row],[Unloading City]],ROUTES!C:C,CO2_Calculator_Table[[#This Row],[Route Detail]])</f>
        <v>625</v>
      </c>
      <c r="V29" s="100">
        <f t="shared" si="0"/>
        <v>0.121</v>
      </c>
      <c r="W29" s="101">
        <f t="shared" si="1"/>
        <v>1.2E-2</v>
      </c>
      <c r="X29" s="102">
        <f t="shared" si="2"/>
        <v>1.6E-2</v>
      </c>
      <c r="Y29" s="98">
        <f>IF(CO2_Calculator_Table[[#This Row],[Pre-carriage ROAD 
(km, if electric)]]=0,(O29*P29*V29),(O29*Q29*V29))</f>
        <v>0</v>
      </c>
      <c r="Z29" s="99">
        <f t="shared" si="8"/>
        <v>0</v>
      </c>
      <c r="AA29" s="99">
        <f t="shared" si="9"/>
        <v>0</v>
      </c>
      <c r="AB29" s="103">
        <f t="shared" si="10"/>
        <v>0</v>
      </c>
      <c r="AC29" s="99">
        <f t="shared" si="11"/>
        <v>1815</v>
      </c>
      <c r="AD29" s="99">
        <f t="shared" si="12"/>
        <v>0</v>
      </c>
      <c r="AE29" s="99">
        <f t="shared" si="13"/>
        <v>0</v>
      </c>
      <c r="AF29" s="99">
        <f t="shared" si="14"/>
        <v>0</v>
      </c>
      <c r="AG29" s="108">
        <f t="shared" si="15"/>
        <v>0</v>
      </c>
      <c r="AH29" s="104">
        <f t="shared" si="16"/>
        <v>1815</v>
      </c>
      <c r="AI29" s="105">
        <f t="shared" si="17"/>
        <v>1815</v>
      </c>
    </row>
    <row r="30" spans="1:35" x14ac:dyDescent="0.3">
      <c r="A30" s="93"/>
      <c r="B30" s="94"/>
      <c r="C30" s="94"/>
      <c r="D30" s="94"/>
      <c r="E30" s="94" t="s">
        <v>146</v>
      </c>
      <c r="F30" s="94" t="s">
        <v>147</v>
      </c>
      <c r="G30" s="94" t="s">
        <v>148</v>
      </c>
      <c r="H30" s="94" t="s">
        <v>149</v>
      </c>
      <c r="I30" s="94" t="s">
        <v>150</v>
      </c>
      <c r="J30" s="21" t="s">
        <v>141</v>
      </c>
      <c r="K30" s="21"/>
      <c r="L30" s="77"/>
      <c r="M30" s="95"/>
      <c r="N30" s="96" t="s">
        <v>75</v>
      </c>
      <c r="O30" s="97">
        <v>24</v>
      </c>
      <c r="P30" s="25">
        <f>SUMIFS(ROUTES!H:H,ROUTES!B:B,CO2_Calculator_Table[[#This Row],[Route]],ROUTES!E:E,CO2_Calculator_Table[[#This Row],[Loading City]],ROUTES!G:G,CO2_Calculator_Table[[#This Row],[Unloading City]],ROUTES!C:C,CO2_Calculator_Table[[#This Row],[Route Detail]])</f>
        <v>0</v>
      </c>
      <c r="Q30" s="28">
        <v>0</v>
      </c>
      <c r="R30" s="26">
        <f>SUMIFS(ROUTES!I:I,ROUTES!B:B,CO2_Calculator_Table[[#This Row],[Route]],ROUTES!E:E,CO2_Calculator_Table[[#This Row],[Loading City]],ROUTES!G:G,CO2_Calculator_Table[[#This Row],[Unloading City]],ROUTES!C:C,CO2_Calculator_Table[[#This Row],[Route Detail]])</f>
        <v>0</v>
      </c>
      <c r="S30" s="26">
        <f>SUMIFS(ROUTES!J:J,ROUTES!B:B,CO2_Calculator_Table[[#This Row],[Route]],ROUTES!E:E,CO2_Calculator_Table[[#This Row],[Loading City]],ROUTES!G:G,CO2_Calculator_Table[[#This Row],[Unloading City]],ROUTES!C:C,CO2_Calculator_Table[[#This Row],[Route Detail]])</f>
        <v>0</v>
      </c>
      <c r="T30" s="27">
        <f>SUMIFS(ROUTES!K:K,ROUTES!B:B,CO2_Calculator_Table[[#This Row],[Route]],ROUTES!E:E,CO2_Calculator_Table[[#This Row],[Loading City]],ROUTES!G:G,CO2_Calculator_Table[[#This Row],[Unloading City]],ROUTES!C:C,CO2_Calculator_Table[[#This Row],[Route Detail]])</f>
        <v>0</v>
      </c>
      <c r="U30" s="24">
        <f>SUMIFS(ROUTES!L:L,ROUTES!B:B,CO2_Calculator_Table[[#This Row],[Route]],ROUTES!E:E,CO2_Calculator_Table[[#This Row],[Loading City]],ROUTES!G:G,CO2_Calculator_Table[[#This Row],[Unloading City]],ROUTES!C:C,CO2_Calculator_Table[[#This Row],[Route Detail]])</f>
        <v>945</v>
      </c>
      <c r="V30" s="100">
        <f t="shared" si="0"/>
        <v>0.121</v>
      </c>
      <c r="W30" s="101">
        <f t="shared" si="1"/>
        <v>1.2E-2</v>
      </c>
      <c r="X30" s="102">
        <f t="shared" si="2"/>
        <v>1.6E-2</v>
      </c>
      <c r="Y30" s="98">
        <f>IF(CO2_Calculator_Table[[#This Row],[Pre-carriage ROAD 
(km, if electric)]]=0,(O30*P30*V30),(O30*Q30*V30))</f>
        <v>0</v>
      </c>
      <c r="Z30" s="99">
        <f t="shared" si="8"/>
        <v>0</v>
      </c>
      <c r="AA30" s="99">
        <f t="shared" si="9"/>
        <v>0</v>
      </c>
      <c r="AB30" s="103">
        <f t="shared" si="10"/>
        <v>0</v>
      </c>
      <c r="AC30" s="99">
        <f t="shared" si="11"/>
        <v>2744.2799999999997</v>
      </c>
      <c r="AD30" s="99">
        <f t="shared" si="12"/>
        <v>0</v>
      </c>
      <c r="AE30" s="99">
        <f t="shared" si="13"/>
        <v>0</v>
      </c>
      <c r="AF30" s="99">
        <f t="shared" si="14"/>
        <v>0</v>
      </c>
      <c r="AG30" s="108">
        <f t="shared" si="15"/>
        <v>0</v>
      </c>
      <c r="AH30" s="104">
        <f t="shared" si="16"/>
        <v>2744.2799999999997</v>
      </c>
      <c r="AI30" s="105">
        <f t="shared" si="17"/>
        <v>2744.2799999999997</v>
      </c>
    </row>
    <row r="31" spans="1:35" x14ac:dyDescent="0.3">
      <c r="A31" s="93"/>
      <c r="B31" s="94"/>
      <c r="C31" s="94"/>
      <c r="D31" s="94"/>
      <c r="E31" s="94" t="s">
        <v>146</v>
      </c>
      <c r="F31" s="94" t="s">
        <v>147</v>
      </c>
      <c r="G31" s="94" t="s">
        <v>151</v>
      </c>
      <c r="H31" s="94" t="s">
        <v>152</v>
      </c>
      <c r="I31" s="94" t="s">
        <v>153</v>
      </c>
      <c r="J31" s="21" t="s">
        <v>141</v>
      </c>
      <c r="K31" s="21"/>
      <c r="L31" s="77"/>
      <c r="M31" s="95"/>
      <c r="N31" s="96" t="s">
        <v>75</v>
      </c>
      <c r="O31" s="97">
        <v>24</v>
      </c>
      <c r="P31" s="25">
        <f>SUMIFS(ROUTES!H:H,ROUTES!B:B,CO2_Calculator_Table[[#This Row],[Route]],ROUTES!E:E,CO2_Calculator_Table[[#This Row],[Loading City]],ROUTES!G:G,CO2_Calculator_Table[[#This Row],[Unloading City]],ROUTES!C:C,CO2_Calculator_Table[[#This Row],[Route Detail]])</f>
        <v>0</v>
      </c>
      <c r="Q31" s="28">
        <v>0</v>
      </c>
      <c r="R31" s="26">
        <f>SUMIFS(ROUTES!I:I,ROUTES!B:B,CO2_Calculator_Table[[#This Row],[Route]],ROUTES!E:E,CO2_Calculator_Table[[#This Row],[Loading City]],ROUTES!G:G,CO2_Calculator_Table[[#This Row],[Unloading City]],ROUTES!C:C,CO2_Calculator_Table[[#This Row],[Route Detail]])</f>
        <v>0</v>
      </c>
      <c r="S31" s="26">
        <f>SUMIFS(ROUTES!J:J,ROUTES!B:B,CO2_Calculator_Table[[#This Row],[Route]],ROUTES!E:E,CO2_Calculator_Table[[#This Row],[Loading City]],ROUTES!G:G,CO2_Calculator_Table[[#This Row],[Unloading City]],ROUTES!C:C,CO2_Calculator_Table[[#This Row],[Route Detail]])</f>
        <v>0</v>
      </c>
      <c r="T31" s="27">
        <f>SUMIFS(ROUTES!K:K,ROUTES!B:B,CO2_Calculator_Table[[#This Row],[Route]],ROUTES!E:E,CO2_Calculator_Table[[#This Row],[Loading City]],ROUTES!G:G,CO2_Calculator_Table[[#This Row],[Unloading City]],ROUTES!C:C,CO2_Calculator_Table[[#This Row],[Route Detail]])</f>
        <v>0</v>
      </c>
      <c r="U31" s="24">
        <f>SUMIFS(ROUTES!L:L,ROUTES!B:B,CO2_Calculator_Table[[#This Row],[Route]],ROUTES!E:E,CO2_Calculator_Table[[#This Row],[Loading City]],ROUTES!G:G,CO2_Calculator_Table[[#This Row],[Unloading City]],ROUTES!C:C,CO2_Calculator_Table[[#This Row],[Route Detail]])</f>
        <v>870</v>
      </c>
      <c r="V31" s="100">
        <f t="shared" si="0"/>
        <v>0.121</v>
      </c>
      <c r="W31" s="101">
        <f t="shared" si="1"/>
        <v>1.2E-2</v>
      </c>
      <c r="X31" s="102">
        <f t="shared" si="2"/>
        <v>1.6E-2</v>
      </c>
      <c r="Y31" s="98">
        <f>IF(CO2_Calculator_Table[[#This Row],[Pre-carriage ROAD 
(km, if electric)]]=0,(O31*P31*V31),(O31*Q31*V31))</f>
        <v>0</v>
      </c>
      <c r="Z31" s="99">
        <f t="shared" si="8"/>
        <v>0</v>
      </c>
      <c r="AA31" s="99">
        <f t="shared" si="9"/>
        <v>0</v>
      </c>
      <c r="AB31" s="103">
        <f t="shared" si="10"/>
        <v>0</v>
      </c>
      <c r="AC31" s="99">
        <f t="shared" si="11"/>
        <v>2526.48</v>
      </c>
      <c r="AD31" s="99">
        <f t="shared" si="12"/>
        <v>0</v>
      </c>
      <c r="AE31" s="99">
        <f t="shared" si="13"/>
        <v>0</v>
      </c>
      <c r="AF31" s="99">
        <f t="shared" si="14"/>
        <v>0</v>
      </c>
      <c r="AG31" s="108">
        <f t="shared" si="15"/>
        <v>0</v>
      </c>
      <c r="AH31" s="104">
        <f t="shared" si="16"/>
        <v>2526.48</v>
      </c>
      <c r="AI31" s="105">
        <f t="shared" si="17"/>
        <v>2526.48</v>
      </c>
    </row>
    <row r="32" spans="1:35" x14ac:dyDescent="0.3">
      <c r="A32" s="93"/>
      <c r="B32" s="94"/>
      <c r="C32" s="94"/>
      <c r="D32" s="94"/>
      <c r="E32" s="94" t="s">
        <v>146</v>
      </c>
      <c r="F32" s="94" t="s">
        <v>147</v>
      </c>
      <c r="G32" s="94" t="s">
        <v>154</v>
      </c>
      <c r="H32" s="94" t="s">
        <v>155</v>
      </c>
      <c r="I32" s="94" t="s">
        <v>156</v>
      </c>
      <c r="J32" s="21" t="s">
        <v>141</v>
      </c>
      <c r="K32" s="21"/>
      <c r="L32" s="77"/>
      <c r="M32" s="95"/>
      <c r="N32" s="96" t="s">
        <v>75</v>
      </c>
      <c r="O32" s="97">
        <v>24</v>
      </c>
      <c r="P32" s="25">
        <f>SUMIFS(ROUTES!H:H,ROUTES!B:B,CO2_Calculator_Table[[#This Row],[Route]],ROUTES!E:E,CO2_Calculator_Table[[#This Row],[Loading City]],ROUTES!G:G,CO2_Calculator_Table[[#This Row],[Unloading City]],ROUTES!C:C,CO2_Calculator_Table[[#This Row],[Route Detail]])</f>
        <v>0</v>
      </c>
      <c r="Q32" s="28">
        <v>0</v>
      </c>
      <c r="R32" s="26">
        <f>SUMIFS(ROUTES!I:I,ROUTES!B:B,CO2_Calculator_Table[[#This Row],[Route]],ROUTES!E:E,CO2_Calculator_Table[[#This Row],[Loading City]],ROUTES!G:G,CO2_Calculator_Table[[#This Row],[Unloading City]],ROUTES!C:C,CO2_Calculator_Table[[#This Row],[Route Detail]])</f>
        <v>0</v>
      </c>
      <c r="S32" s="26">
        <f>SUMIFS(ROUTES!J:J,ROUTES!B:B,CO2_Calculator_Table[[#This Row],[Route]],ROUTES!E:E,CO2_Calculator_Table[[#This Row],[Loading City]],ROUTES!G:G,CO2_Calculator_Table[[#This Row],[Unloading City]],ROUTES!C:C,CO2_Calculator_Table[[#This Row],[Route Detail]])</f>
        <v>0</v>
      </c>
      <c r="T32" s="27">
        <f>SUMIFS(ROUTES!K:K,ROUTES!B:B,CO2_Calculator_Table[[#This Row],[Route]],ROUTES!E:E,CO2_Calculator_Table[[#This Row],[Loading City]],ROUTES!G:G,CO2_Calculator_Table[[#This Row],[Unloading City]],ROUTES!C:C,CO2_Calculator_Table[[#This Row],[Route Detail]])</f>
        <v>0</v>
      </c>
      <c r="U32" s="24">
        <f>SUMIFS(ROUTES!L:L,ROUTES!B:B,CO2_Calculator_Table[[#This Row],[Route]],ROUTES!E:E,CO2_Calculator_Table[[#This Row],[Loading City]],ROUTES!G:G,CO2_Calculator_Table[[#This Row],[Unloading City]],ROUTES!C:C,CO2_Calculator_Table[[#This Row],[Route Detail]])</f>
        <v>1240</v>
      </c>
      <c r="V32" s="100">
        <f t="shared" si="0"/>
        <v>0.121</v>
      </c>
      <c r="W32" s="101">
        <f t="shared" si="1"/>
        <v>1.2E-2</v>
      </c>
      <c r="X32" s="102">
        <f t="shared" si="2"/>
        <v>1.6E-2</v>
      </c>
      <c r="Y32" s="98">
        <f>IF(CO2_Calculator_Table[[#This Row],[Pre-carriage ROAD 
(km, if electric)]]=0,(O32*P32*V32),(O32*Q32*V32))</f>
        <v>0</v>
      </c>
      <c r="Z32" s="99">
        <f t="shared" si="8"/>
        <v>0</v>
      </c>
      <c r="AA32" s="99">
        <f t="shared" si="9"/>
        <v>0</v>
      </c>
      <c r="AB32" s="103">
        <f t="shared" si="10"/>
        <v>0</v>
      </c>
      <c r="AC32" s="99">
        <f t="shared" si="11"/>
        <v>3600.96</v>
      </c>
      <c r="AD32" s="99">
        <f t="shared" si="12"/>
        <v>0</v>
      </c>
      <c r="AE32" s="99">
        <f t="shared" si="13"/>
        <v>0</v>
      </c>
      <c r="AF32" s="99">
        <f t="shared" si="14"/>
        <v>0</v>
      </c>
      <c r="AG32" s="108">
        <f t="shared" si="15"/>
        <v>0</v>
      </c>
      <c r="AH32" s="104">
        <f t="shared" si="16"/>
        <v>3600.96</v>
      </c>
      <c r="AI32" s="105">
        <f t="shared" si="17"/>
        <v>3600.96</v>
      </c>
    </row>
    <row r="33" spans="1:35" x14ac:dyDescent="0.3">
      <c r="A33" s="93" t="s">
        <v>157</v>
      </c>
      <c r="B33" s="94"/>
      <c r="C33" s="94"/>
      <c r="D33" s="94"/>
      <c r="E33" s="94" t="s">
        <v>146</v>
      </c>
      <c r="F33" s="94" t="s">
        <v>147</v>
      </c>
      <c r="G33" s="94" t="s">
        <v>158</v>
      </c>
      <c r="H33" s="94" t="s">
        <v>159</v>
      </c>
      <c r="I33" s="94" t="s">
        <v>160</v>
      </c>
      <c r="J33" s="21" t="s">
        <v>141</v>
      </c>
      <c r="K33" s="21"/>
      <c r="L33" s="77"/>
      <c r="M33" s="95"/>
      <c r="N33" s="96" t="s">
        <v>75</v>
      </c>
      <c r="O33" s="97">
        <v>24</v>
      </c>
      <c r="P33" s="25">
        <f>SUMIFS(ROUTES!H:H,ROUTES!B:B,CO2_Calculator_Table[[#This Row],[Route]],ROUTES!E:E,CO2_Calculator_Table[[#This Row],[Loading City]],ROUTES!G:G,CO2_Calculator_Table[[#This Row],[Unloading City]],ROUTES!C:C,CO2_Calculator_Table[[#This Row],[Route Detail]])</f>
        <v>0</v>
      </c>
      <c r="Q33" s="28">
        <v>0</v>
      </c>
      <c r="R33" s="26">
        <f>SUMIFS(ROUTES!I:I,ROUTES!B:B,CO2_Calculator_Table[[#This Row],[Route]],ROUTES!E:E,CO2_Calculator_Table[[#This Row],[Loading City]],ROUTES!G:G,CO2_Calculator_Table[[#This Row],[Unloading City]],ROUTES!C:C,CO2_Calculator_Table[[#This Row],[Route Detail]])</f>
        <v>0</v>
      </c>
      <c r="S33" s="26">
        <f>SUMIFS(ROUTES!J:J,ROUTES!B:B,CO2_Calculator_Table[[#This Row],[Route]],ROUTES!E:E,CO2_Calculator_Table[[#This Row],[Loading City]],ROUTES!G:G,CO2_Calculator_Table[[#This Row],[Unloading City]],ROUTES!C:C,CO2_Calculator_Table[[#This Row],[Route Detail]])</f>
        <v>0</v>
      </c>
      <c r="T33" s="27">
        <f>SUMIFS(ROUTES!K:K,ROUTES!B:B,CO2_Calculator_Table[[#This Row],[Route]],ROUTES!E:E,CO2_Calculator_Table[[#This Row],[Loading City]],ROUTES!G:G,CO2_Calculator_Table[[#This Row],[Unloading City]],ROUTES!C:C,CO2_Calculator_Table[[#This Row],[Route Detail]])</f>
        <v>0</v>
      </c>
      <c r="U33" s="24">
        <f>SUMIFS(ROUTES!L:L,ROUTES!B:B,CO2_Calculator_Table[[#This Row],[Route]],ROUTES!E:E,CO2_Calculator_Table[[#This Row],[Loading City]],ROUTES!G:G,CO2_Calculator_Table[[#This Row],[Unloading City]],ROUTES!C:C,CO2_Calculator_Table[[#This Row],[Route Detail]])</f>
        <v>730</v>
      </c>
      <c r="V33" s="100">
        <f t="shared" si="0"/>
        <v>0.121</v>
      </c>
      <c r="W33" s="101">
        <f t="shared" si="1"/>
        <v>1.2E-2</v>
      </c>
      <c r="X33" s="102">
        <f t="shared" si="2"/>
        <v>1.6E-2</v>
      </c>
      <c r="Y33" s="98">
        <f>IF(CO2_Calculator_Table[[#This Row],[Pre-carriage ROAD 
(km, if electric)]]=0,(O33*P33*V33),(O33*Q33*V33))</f>
        <v>0</v>
      </c>
      <c r="Z33" s="99">
        <f t="shared" si="8"/>
        <v>0</v>
      </c>
      <c r="AA33" s="99">
        <f t="shared" si="9"/>
        <v>0</v>
      </c>
      <c r="AB33" s="103">
        <f t="shared" si="10"/>
        <v>0</v>
      </c>
      <c r="AC33" s="99">
        <f t="shared" si="11"/>
        <v>2119.92</v>
      </c>
      <c r="AD33" s="99">
        <f t="shared" si="12"/>
        <v>0</v>
      </c>
      <c r="AE33" s="99">
        <f t="shared" si="13"/>
        <v>0</v>
      </c>
      <c r="AF33" s="99">
        <f t="shared" si="14"/>
        <v>0</v>
      </c>
      <c r="AG33" s="108">
        <f t="shared" si="15"/>
        <v>0</v>
      </c>
      <c r="AH33" s="104">
        <f t="shared" si="16"/>
        <v>2119.92</v>
      </c>
      <c r="AI33" s="105">
        <f t="shared" si="17"/>
        <v>2119.92</v>
      </c>
    </row>
    <row r="34" spans="1:35" x14ac:dyDescent="0.3">
      <c r="A34" s="93"/>
      <c r="B34" s="94"/>
      <c r="C34" s="94"/>
      <c r="D34" s="94"/>
      <c r="E34" s="94" t="s">
        <v>146</v>
      </c>
      <c r="F34" s="94" t="s">
        <v>147</v>
      </c>
      <c r="G34" s="94" t="s">
        <v>161</v>
      </c>
      <c r="H34" s="94" t="s">
        <v>162</v>
      </c>
      <c r="I34" s="94" t="s">
        <v>163</v>
      </c>
      <c r="J34" s="21" t="s">
        <v>141</v>
      </c>
      <c r="K34" s="21"/>
      <c r="L34" s="77"/>
      <c r="M34" s="95"/>
      <c r="N34" s="96" t="s">
        <v>75</v>
      </c>
      <c r="O34" s="97">
        <v>24</v>
      </c>
      <c r="P34" s="25">
        <f>SUMIFS(ROUTES!H:H,ROUTES!B:B,CO2_Calculator_Table[[#This Row],[Route]],ROUTES!E:E,CO2_Calculator_Table[[#This Row],[Loading City]],ROUTES!G:G,CO2_Calculator_Table[[#This Row],[Unloading City]],ROUTES!C:C,CO2_Calculator_Table[[#This Row],[Route Detail]])</f>
        <v>0</v>
      </c>
      <c r="Q34" s="28">
        <v>0</v>
      </c>
      <c r="R34" s="26">
        <f>SUMIFS(ROUTES!I:I,ROUTES!B:B,CO2_Calculator_Table[[#This Row],[Route]],ROUTES!E:E,CO2_Calculator_Table[[#This Row],[Loading City]],ROUTES!G:G,CO2_Calculator_Table[[#This Row],[Unloading City]],ROUTES!C:C,CO2_Calculator_Table[[#This Row],[Route Detail]])</f>
        <v>0</v>
      </c>
      <c r="S34" s="26">
        <f>SUMIFS(ROUTES!J:J,ROUTES!B:B,CO2_Calculator_Table[[#This Row],[Route]],ROUTES!E:E,CO2_Calculator_Table[[#This Row],[Loading City]],ROUTES!G:G,CO2_Calculator_Table[[#This Row],[Unloading City]],ROUTES!C:C,CO2_Calculator_Table[[#This Row],[Route Detail]])</f>
        <v>0</v>
      </c>
      <c r="T34" s="27">
        <f>SUMIFS(ROUTES!K:K,ROUTES!B:B,CO2_Calculator_Table[[#This Row],[Route]],ROUTES!E:E,CO2_Calculator_Table[[#This Row],[Loading City]],ROUTES!G:G,CO2_Calculator_Table[[#This Row],[Unloading City]],ROUTES!C:C,CO2_Calculator_Table[[#This Row],[Route Detail]])</f>
        <v>0</v>
      </c>
      <c r="U34" s="24">
        <f>SUMIFS(ROUTES!L:L,ROUTES!B:B,CO2_Calculator_Table[[#This Row],[Route]],ROUTES!E:E,CO2_Calculator_Table[[#This Row],[Loading City]],ROUTES!G:G,CO2_Calculator_Table[[#This Row],[Unloading City]],ROUTES!C:C,CO2_Calculator_Table[[#This Row],[Route Detail]])</f>
        <v>1040</v>
      </c>
      <c r="V34" s="100">
        <f t="shared" si="0"/>
        <v>0.121</v>
      </c>
      <c r="W34" s="101">
        <f t="shared" si="1"/>
        <v>1.2E-2</v>
      </c>
      <c r="X34" s="102">
        <f t="shared" si="2"/>
        <v>1.6E-2</v>
      </c>
      <c r="Y34" s="98">
        <f>IF(CO2_Calculator_Table[[#This Row],[Pre-carriage ROAD 
(km, if electric)]]=0,(O34*P34*V34),(O34*Q34*V34))</f>
        <v>0</v>
      </c>
      <c r="Z34" s="99">
        <f t="shared" si="8"/>
        <v>0</v>
      </c>
      <c r="AA34" s="99">
        <f t="shared" si="9"/>
        <v>0</v>
      </c>
      <c r="AB34" s="103">
        <f t="shared" si="10"/>
        <v>0</v>
      </c>
      <c r="AC34" s="99">
        <f t="shared" si="11"/>
        <v>3020.16</v>
      </c>
      <c r="AD34" s="99">
        <f t="shared" si="12"/>
        <v>0</v>
      </c>
      <c r="AE34" s="99">
        <f t="shared" si="13"/>
        <v>0</v>
      </c>
      <c r="AF34" s="99">
        <f t="shared" si="14"/>
        <v>0</v>
      </c>
      <c r="AG34" s="108">
        <f t="shared" si="15"/>
        <v>0</v>
      </c>
      <c r="AH34" s="104">
        <f t="shared" si="16"/>
        <v>3020.16</v>
      </c>
      <c r="AI34" s="105">
        <f t="shared" si="17"/>
        <v>3020.16</v>
      </c>
    </row>
    <row r="35" spans="1:35" x14ac:dyDescent="0.3">
      <c r="A35" s="93"/>
      <c r="B35" s="94"/>
      <c r="C35" s="94"/>
      <c r="D35" s="94"/>
      <c r="E35" s="94" t="s">
        <v>164</v>
      </c>
      <c r="F35" s="94" t="s">
        <v>165</v>
      </c>
      <c r="G35" s="94" t="s">
        <v>158</v>
      </c>
      <c r="H35" s="94" t="s">
        <v>159</v>
      </c>
      <c r="I35" s="94" t="s">
        <v>166</v>
      </c>
      <c r="J35" s="21" t="s">
        <v>141</v>
      </c>
      <c r="K35" s="21"/>
      <c r="L35" s="77"/>
      <c r="M35" s="95"/>
      <c r="N35" s="96" t="s">
        <v>75</v>
      </c>
      <c r="O35" s="97">
        <v>24</v>
      </c>
      <c r="P35" s="25">
        <f>SUMIFS(ROUTES!H:H,ROUTES!B:B,CO2_Calculator_Table[[#This Row],[Route]],ROUTES!E:E,CO2_Calculator_Table[[#This Row],[Loading City]],ROUTES!G:G,CO2_Calculator_Table[[#This Row],[Unloading City]],ROUTES!C:C,CO2_Calculator_Table[[#This Row],[Route Detail]])</f>
        <v>0</v>
      </c>
      <c r="Q35" s="28">
        <v>0</v>
      </c>
      <c r="R35" s="26">
        <f>SUMIFS(ROUTES!I:I,ROUTES!B:B,CO2_Calculator_Table[[#This Row],[Route]],ROUTES!E:E,CO2_Calculator_Table[[#This Row],[Loading City]],ROUTES!G:G,CO2_Calculator_Table[[#This Row],[Unloading City]],ROUTES!C:C,CO2_Calculator_Table[[#This Row],[Route Detail]])</f>
        <v>0</v>
      </c>
      <c r="S35" s="26">
        <f>SUMIFS(ROUTES!J:J,ROUTES!B:B,CO2_Calculator_Table[[#This Row],[Route]],ROUTES!E:E,CO2_Calculator_Table[[#This Row],[Loading City]],ROUTES!G:G,CO2_Calculator_Table[[#This Row],[Unloading City]],ROUTES!C:C,CO2_Calculator_Table[[#This Row],[Route Detail]])</f>
        <v>0</v>
      </c>
      <c r="T35" s="27">
        <f>SUMIFS(ROUTES!K:K,ROUTES!B:B,CO2_Calculator_Table[[#This Row],[Route]],ROUTES!E:E,CO2_Calculator_Table[[#This Row],[Loading City]],ROUTES!G:G,CO2_Calculator_Table[[#This Row],[Unloading City]],ROUTES!C:C,CO2_Calculator_Table[[#This Row],[Route Detail]])</f>
        <v>0</v>
      </c>
      <c r="U35" s="24">
        <f>SUMIFS(ROUTES!L:L,ROUTES!B:B,CO2_Calculator_Table[[#This Row],[Route]],ROUTES!E:E,CO2_Calculator_Table[[#This Row],[Loading City]],ROUTES!G:G,CO2_Calculator_Table[[#This Row],[Unloading City]],ROUTES!C:C,CO2_Calculator_Table[[#This Row],[Route Detail]])</f>
        <v>1390</v>
      </c>
      <c r="V35" s="100">
        <f t="shared" si="0"/>
        <v>0.121</v>
      </c>
      <c r="W35" s="101">
        <f t="shared" si="1"/>
        <v>1.2E-2</v>
      </c>
      <c r="X35" s="102">
        <f t="shared" si="2"/>
        <v>1.6E-2</v>
      </c>
      <c r="Y35" s="98">
        <f>IF(CO2_Calculator_Table[[#This Row],[Pre-carriage ROAD 
(km, if electric)]]=0,(O35*P35*V35),(O35*Q35*V35))</f>
        <v>0</v>
      </c>
      <c r="Z35" s="99">
        <f t="shared" si="8"/>
        <v>0</v>
      </c>
      <c r="AA35" s="99">
        <f t="shared" si="9"/>
        <v>0</v>
      </c>
      <c r="AB35" s="103">
        <f t="shared" si="10"/>
        <v>0</v>
      </c>
      <c r="AC35" s="99">
        <f t="shared" si="11"/>
        <v>4036.56</v>
      </c>
      <c r="AD35" s="99">
        <f t="shared" si="12"/>
        <v>0</v>
      </c>
      <c r="AE35" s="99">
        <f t="shared" si="13"/>
        <v>0</v>
      </c>
      <c r="AF35" s="99">
        <f t="shared" si="14"/>
        <v>0</v>
      </c>
      <c r="AG35" s="108">
        <f t="shared" si="15"/>
        <v>0</v>
      </c>
      <c r="AH35" s="104">
        <f t="shared" si="16"/>
        <v>4036.56</v>
      </c>
      <c r="AI35" s="105">
        <f t="shared" si="17"/>
        <v>4036.56</v>
      </c>
    </row>
    <row r="36" spans="1:35" x14ac:dyDescent="0.3">
      <c r="A36" s="93"/>
      <c r="B36" s="94"/>
      <c r="C36" s="94"/>
      <c r="D36" s="94"/>
      <c r="E36" s="94" t="s">
        <v>167</v>
      </c>
      <c r="F36" s="94" t="s">
        <v>168</v>
      </c>
      <c r="G36" s="94" t="s">
        <v>158</v>
      </c>
      <c r="H36" s="94" t="s">
        <v>159</v>
      </c>
      <c r="I36" s="94" t="s">
        <v>169</v>
      </c>
      <c r="J36" s="21" t="s">
        <v>141</v>
      </c>
      <c r="K36" s="21"/>
      <c r="L36" s="77"/>
      <c r="M36" s="95"/>
      <c r="N36" s="96" t="s">
        <v>75</v>
      </c>
      <c r="O36" s="97">
        <v>24</v>
      </c>
      <c r="P36" s="25">
        <f>SUMIFS(ROUTES!H:H,ROUTES!B:B,CO2_Calculator_Table[[#This Row],[Route]],ROUTES!E:E,CO2_Calculator_Table[[#This Row],[Loading City]],ROUTES!G:G,CO2_Calculator_Table[[#This Row],[Unloading City]],ROUTES!C:C,CO2_Calculator_Table[[#This Row],[Route Detail]])</f>
        <v>0</v>
      </c>
      <c r="Q36" s="28">
        <v>0</v>
      </c>
      <c r="R36" s="26">
        <f>SUMIFS(ROUTES!I:I,ROUTES!B:B,CO2_Calculator_Table[[#This Row],[Route]],ROUTES!E:E,CO2_Calculator_Table[[#This Row],[Loading City]],ROUTES!G:G,CO2_Calculator_Table[[#This Row],[Unloading City]],ROUTES!C:C,CO2_Calculator_Table[[#This Row],[Route Detail]])</f>
        <v>0</v>
      </c>
      <c r="S36" s="26">
        <f>SUMIFS(ROUTES!J:J,ROUTES!B:B,CO2_Calculator_Table[[#This Row],[Route]],ROUTES!E:E,CO2_Calculator_Table[[#This Row],[Loading City]],ROUTES!G:G,CO2_Calculator_Table[[#This Row],[Unloading City]],ROUTES!C:C,CO2_Calculator_Table[[#This Row],[Route Detail]])</f>
        <v>0</v>
      </c>
      <c r="T36" s="27">
        <f>SUMIFS(ROUTES!K:K,ROUTES!B:B,CO2_Calculator_Table[[#This Row],[Route]],ROUTES!E:E,CO2_Calculator_Table[[#This Row],[Loading City]],ROUTES!G:G,CO2_Calculator_Table[[#This Row],[Unloading City]],ROUTES!C:C,CO2_Calculator_Table[[#This Row],[Route Detail]])</f>
        <v>0</v>
      </c>
      <c r="U36" s="24">
        <f>SUMIFS(ROUTES!L:L,ROUTES!B:B,CO2_Calculator_Table[[#This Row],[Route]],ROUTES!E:E,CO2_Calculator_Table[[#This Row],[Loading City]],ROUTES!G:G,CO2_Calculator_Table[[#This Row],[Unloading City]],ROUTES!C:C,CO2_Calculator_Table[[#This Row],[Route Detail]])</f>
        <v>1210</v>
      </c>
      <c r="V36" s="100">
        <f t="shared" si="0"/>
        <v>0.121</v>
      </c>
      <c r="W36" s="101">
        <f t="shared" si="1"/>
        <v>1.2E-2</v>
      </c>
      <c r="X36" s="102">
        <f t="shared" si="2"/>
        <v>1.6E-2</v>
      </c>
      <c r="Y36" s="98">
        <f>IF(CO2_Calculator_Table[[#This Row],[Pre-carriage ROAD 
(km, if electric)]]=0,(O36*P36*V36),(O36*Q36*V36))</f>
        <v>0</v>
      </c>
      <c r="Z36" s="99">
        <f t="shared" si="8"/>
        <v>0</v>
      </c>
      <c r="AA36" s="99">
        <f t="shared" si="9"/>
        <v>0</v>
      </c>
      <c r="AB36" s="103">
        <f t="shared" si="10"/>
        <v>0</v>
      </c>
      <c r="AC36" s="99">
        <f t="shared" si="11"/>
        <v>3513.8399999999997</v>
      </c>
      <c r="AD36" s="99">
        <f t="shared" si="12"/>
        <v>0</v>
      </c>
      <c r="AE36" s="99">
        <f t="shared" si="13"/>
        <v>0</v>
      </c>
      <c r="AF36" s="99">
        <f t="shared" si="14"/>
        <v>0</v>
      </c>
      <c r="AG36" s="108">
        <f t="shared" si="15"/>
        <v>0</v>
      </c>
      <c r="AH36" s="104">
        <f t="shared" si="16"/>
        <v>3513.84</v>
      </c>
      <c r="AI36" s="105">
        <f t="shared" si="17"/>
        <v>3513.84</v>
      </c>
    </row>
    <row r="37" spans="1:35" x14ac:dyDescent="0.3">
      <c r="A37" s="93"/>
      <c r="B37" s="94"/>
      <c r="C37" s="94"/>
      <c r="D37" s="94"/>
      <c r="E37" s="94" t="s">
        <v>164</v>
      </c>
      <c r="F37" s="94" t="s">
        <v>170</v>
      </c>
      <c r="G37" s="94" t="s">
        <v>158</v>
      </c>
      <c r="H37" s="94" t="s">
        <v>159</v>
      </c>
      <c r="I37" s="94" t="s">
        <v>171</v>
      </c>
      <c r="J37" s="21" t="s">
        <v>141</v>
      </c>
      <c r="K37" s="21"/>
      <c r="L37" s="77"/>
      <c r="M37" s="95"/>
      <c r="N37" s="96" t="s">
        <v>75</v>
      </c>
      <c r="O37" s="97">
        <v>24</v>
      </c>
      <c r="P37" s="25">
        <f>SUMIFS(ROUTES!H:H,ROUTES!B:B,CO2_Calculator_Table[[#This Row],[Route]],ROUTES!E:E,CO2_Calculator_Table[[#This Row],[Loading City]],ROUTES!G:G,CO2_Calculator_Table[[#This Row],[Unloading City]],ROUTES!C:C,CO2_Calculator_Table[[#This Row],[Route Detail]])</f>
        <v>0</v>
      </c>
      <c r="Q37" s="28">
        <v>0</v>
      </c>
      <c r="R37" s="26">
        <f>SUMIFS(ROUTES!I:I,ROUTES!B:B,CO2_Calculator_Table[[#This Row],[Route]],ROUTES!E:E,CO2_Calculator_Table[[#This Row],[Loading City]],ROUTES!G:G,CO2_Calculator_Table[[#This Row],[Unloading City]],ROUTES!C:C,CO2_Calculator_Table[[#This Row],[Route Detail]])</f>
        <v>0</v>
      </c>
      <c r="S37" s="26">
        <f>SUMIFS(ROUTES!J:J,ROUTES!B:B,CO2_Calculator_Table[[#This Row],[Route]],ROUTES!E:E,CO2_Calculator_Table[[#This Row],[Loading City]],ROUTES!G:G,CO2_Calculator_Table[[#This Row],[Unloading City]],ROUTES!C:C,CO2_Calculator_Table[[#This Row],[Route Detail]])</f>
        <v>0</v>
      </c>
      <c r="T37" s="27">
        <f>SUMIFS(ROUTES!K:K,ROUTES!B:B,CO2_Calculator_Table[[#This Row],[Route]],ROUTES!E:E,CO2_Calculator_Table[[#This Row],[Loading City]],ROUTES!G:G,CO2_Calculator_Table[[#This Row],[Unloading City]],ROUTES!C:C,CO2_Calculator_Table[[#This Row],[Route Detail]])</f>
        <v>0</v>
      </c>
      <c r="U37" s="24">
        <f>SUMIFS(ROUTES!L:L,ROUTES!B:B,CO2_Calculator_Table[[#This Row],[Route]],ROUTES!E:E,CO2_Calculator_Table[[#This Row],[Loading City]],ROUTES!G:G,CO2_Calculator_Table[[#This Row],[Unloading City]],ROUTES!C:C,CO2_Calculator_Table[[#This Row],[Route Detail]])</f>
        <v>1530</v>
      </c>
      <c r="V37" s="100">
        <f t="shared" si="0"/>
        <v>0.121</v>
      </c>
      <c r="W37" s="101">
        <f t="shared" si="1"/>
        <v>1.2E-2</v>
      </c>
      <c r="X37" s="102">
        <f t="shared" si="2"/>
        <v>1.6E-2</v>
      </c>
      <c r="Y37" s="98">
        <f>IF(CO2_Calculator_Table[[#This Row],[Pre-carriage ROAD 
(km, if electric)]]=0,(O37*P37*V37),(O37*Q37*V37))</f>
        <v>0</v>
      </c>
      <c r="Z37" s="99">
        <f t="shared" si="8"/>
        <v>0</v>
      </c>
      <c r="AA37" s="99">
        <f t="shared" si="9"/>
        <v>0</v>
      </c>
      <c r="AB37" s="103">
        <f t="shared" si="10"/>
        <v>0</v>
      </c>
      <c r="AC37" s="99">
        <f t="shared" si="11"/>
        <v>4443.12</v>
      </c>
      <c r="AD37" s="99">
        <f t="shared" si="12"/>
        <v>0</v>
      </c>
      <c r="AE37" s="99">
        <f t="shared" si="13"/>
        <v>0</v>
      </c>
      <c r="AF37" s="99">
        <f t="shared" si="14"/>
        <v>0</v>
      </c>
      <c r="AG37" s="108">
        <f t="shared" si="15"/>
        <v>0</v>
      </c>
      <c r="AH37" s="104">
        <f t="shared" si="16"/>
        <v>4443.12</v>
      </c>
      <c r="AI37" s="105">
        <f t="shared" si="17"/>
        <v>4443.12</v>
      </c>
    </row>
    <row r="38" spans="1:35" x14ac:dyDescent="0.3">
      <c r="A38" s="112"/>
      <c r="B38" s="30"/>
      <c r="C38" s="30"/>
      <c r="D38" s="30"/>
      <c r="E38" s="30" t="s">
        <v>74</v>
      </c>
      <c r="F38" s="30" t="s">
        <v>89</v>
      </c>
      <c r="G38" s="30" t="s">
        <v>95</v>
      </c>
      <c r="H38" s="30" t="s">
        <v>109</v>
      </c>
      <c r="I38" s="30" t="s">
        <v>174</v>
      </c>
      <c r="J38" s="72" t="s">
        <v>83</v>
      </c>
      <c r="K38" s="72" t="e">
        <f>VLOOKUP(CO2_Calculator_Table[[#This Row],[Referance Number
(Carrier)]],#REF!,10,0)</f>
        <v>#REF!</v>
      </c>
      <c r="L38" s="113" t="e">
        <f>VLOOKUP(CO2_Calculator_Table[[#This Row],[Referance Number
(Carrier)]],#REF!,14,0)</f>
        <v>#REF!</v>
      </c>
      <c r="M38" s="114" t="e">
        <f>VLOOKUP(CO2_Calculator_Table[[#This Row],[Referance Number
(Carrier)]],#REF!,15,0)</f>
        <v>#REF!</v>
      </c>
      <c r="N38" s="115"/>
      <c r="O38" s="116">
        <v>24</v>
      </c>
      <c r="P38" s="117">
        <f>SUMIFS(ROUTES!H:H,ROUTES!B:B,CO2_Calculator_Table[[#This Row],[Route]],ROUTES!E:E,CO2_Calculator_Table[[#This Row],[Loading City]],ROUTES!G:G,CO2_Calculator_Table[[#This Row],[Unloading City]],ROUTES!C:C,CO2_Calculator_Table[[#This Row],[Route Detail]])</f>
        <v>50</v>
      </c>
      <c r="Q38" s="111">
        <f>CO2_Calculator_Table[[#This Row],[Pre-carriage ROAD 
(km)]]/4</f>
        <v>12.5</v>
      </c>
      <c r="R38" s="118">
        <f>SUMIFS(ROUTES!I:I,ROUTES!B:B,CO2_Calculator_Table[[#This Row],[Route]],ROUTES!E:E,CO2_Calculator_Table[[#This Row],[Loading City]],ROUTES!G:G,CO2_Calculator_Table[[#This Row],[Unloading City]],ROUTES!C:C,CO2_Calculator_Table[[#This Row],[Route Detail]])</f>
        <v>3100</v>
      </c>
      <c r="S38" s="118">
        <f>SUMIFS(ROUTES!J:J,ROUTES!B:B,CO2_Calculator_Table[[#This Row],[Route]],ROUTES!E:E,CO2_Calculator_Table[[#This Row],[Loading City]],ROUTES!G:G,CO2_Calculator_Table[[#This Row],[Unloading City]],ROUTES!C:C,CO2_Calculator_Table[[#This Row],[Route Detail]])</f>
        <v>0</v>
      </c>
      <c r="T38" s="118">
        <f>SUMIFS(ROUTES!K:K,ROUTES!B:B,CO2_Calculator_Table[[#This Row],[Route]],ROUTES!E:E,CO2_Calculator_Table[[#This Row],[Loading City]],ROUTES!G:G,CO2_Calculator_Table[[#This Row],[Unloading City]],ROUTES!C:C,CO2_Calculator_Table[[#This Row],[Route Detail]])</f>
        <v>835</v>
      </c>
      <c r="U38" s="118">
        <f>SUMIFS(ROUTES!L:L,ROUTES!B:B,CO2_Calculator_Table[[#This Row],[Route]],ROUTES!E:E,CO2_Calculator_Table[[#This Row],[Loading City]],ROUTES!G:G,CO2_Calculator_Table[[#This Row],[Unloading City]],ROUTES!C:C,CO2_Calculator_Table[[#This Row],[Route Detail]])</f>
        <v>2793</v>
      </c>
      <c r="V38" s="119">
        <f>$V$6</f>
        <v>0.121</v>
      </c>
      <c r="W38" s="120">
        <f>$W$6</f>
        <v>1.2E-2</v>
      </c>
      <c r="X38" s="121">
        <f>$X$6</f>
        <v>1.6E-2</v>
      </c>
      <c r="Y38" s="117">
        <f>IF(CO2_Calculator_Table[[#This Row],[Pre-carriage ROAD 
(km, if electric)]]=0,(O38*P38*V38),(O38*Q38*V38))</f>
        <v>36.299999999999997</v>
      </c>
      <c r="Z38" s="118">
        <f>O38*R38*W38</f>
        <v>892.80000000000007</v>
      </c>
      <c r="AA38" s="118">
        <f>O38*S38*X38</f>
        <v>0</v>
      </c>
      <c r="AB38" s="122">
        <f>O38*T38*V38</f>
        <v>2424.84</v>
      </c>
      <c r="AC38" s="118">
        <f>O38*U38*V38</f>
        <v>8110.8719999999994</v>
      </c>
      <c r="AD38" s="118">
        <f>Z38</f>
        <v>892.80000000000007</v>
      </c>
      <c r="AE38" s="118">
        <f>AA38</f>
        <v>0</v>
      </c>
      <c r="AF38" s="118">
        <f>Y38+AB38</f>
        <v>2461.1400000000003</v>
      </c>
      <c r="AG38" s="118">
        <f>AD38+AE38+AF38</f>
        <v>3353.9400000000005</v>
      </c>
      <c r="AH38" s="123">
        <f>SUM(U38)*V38*O38</f>
        <v>8110.8719999999994</v>
      </c>
      <c r="AI38" s="124">
        <f>AH38-AG38</f>
        <v>4756.9319999999989</v>
      </c>
    </row>
    <row r="39" spans="1:35" x14ac:dyDescent="0.3">
      <c r="A39" s="112"/>
      <c r="B39" s="30"/>
      <c r="C39" s="30"/>
      <c r="D39" s="30"/>
      <c r="E39" s="30" t="s">
        <v>74</v>
      </c>
      <c r="F39" s="30" t="s">
        <v>89</v>
      </c>
      <c r="G39" s="30" t="s">
        <v>102</v>
      </c>
      <c r="H39" s="30">
        <v>9130</v>
      </c>
      <c r="I39" s="30" t="s">
        <v>175</v>
      </c>
      <c r="J39" s="72" t="s">
        <v>80</v>
      </c>
      <c r="K39" s="72" t="e">
        <f>VLOOKUP(CO2_Calculator_Table[[#This Row],[Referance Number
(Carrier)]],#REF!,10,0)</f>
        <v>#REF!</v>
      </c>
      <c r="L39" s="113" t="e">
        <f>VLOOKUP(CO2_Calculator_Table[[#This Row],[Referance Number
(Carrier)]],#REF!,14,0)</f>
        <v>#REF!</v>
      </c>
      <c r="M39" s="114" t="e">
        <f>VLOOKUP(CO2_Calculator_Table[[#This Row],[Referance Number
(Carrier)]],#REF!,15,0)</f>
        <v>#REF!</v>
      </c>
      <c r="N39" s="115"/>
      <c r="O39" s="116">
        <v>24</v>
      </c>
      <c r="P39" s="117">
        <f>SUMIFS(ROUTES!H:H,ROUTES!B:B,CO2_Calculator_Table[[#This Row],[Route]],ROUTES!E:E,CO2_Calculator_Table[[#This Row],[Loading City]],ROUTES!G:G,CO2_Calculator_Table[[#This Row],[Unloading City]],ROUTES!C:C,CO2_Calculator_Table[[#This Row],[Route Detail]])</f>
        <v>0</v>
      </c>
      <c r="Q39" s="111">
        <f>CO2_Calculator_Table[[#This Row],[Pre-carriage ROAD 
(km)]]/4</f>
        <v>0</v>
      </c>
      <c r="R39" s="118">
        <f>SUMIFS(ROUTES!I:I,ROUTES!B:B,CO2_Calculator_Table[[#This Row],[Route]],ROUTES!E:E,CO2_Calculator_Table[[#This Row],[Loading City]],ROUTES!G:G,CO2_Calculator_Table[[#This Row],[Unloading City]],ROUTES!C:C,CO2_Calculator_Table[[#This Row],[Route Detail]])</f>
        <v>0</v>
      </c>
      <c r="S39" s="118">
        <f>SUMIFS(ROUTES!J:J,ROUTES!B:B,CO2_Calculator_Table[[#This Row],[Route]],ROUTES!E:E,CO2_Calculator_Table[[#This Row],[Loading City]],ROUTES!G:G,CO2_Calculator_Table[[#This Row],[Unloading City]],ROUTES!C:C,CO2_Calculator_Table[[#This Row],[Route Detail]])</f>
        <v>0</v>
      </c>
      <c r="T39" s="118">
        <f>SUMIFS(ROUTES!K:K,ROUTES!B:B,CO2_Calculator_Table[[#This Row],[Route]],ROUTES!E:E,CO2_Calculator_Table[[#This Row],[Loading City]],ROUTES!G:G,CO2_Calculator_Table[[#This Row],[Unloading City]],ROUTES!C:C,CO2_Calculator_Table[[#This Row],[Route Detail]])</f>
        <v>0</v>
      </c>
      <c r="U39" s="118">
        <f>SUMIFS(ROUTES!L:L,ROUTES!B:B,CO2_Calculator_Table[[#This Row],[Route]],ROUTES!E:E,CO2_Calculator_Table[[#This Row],[Loading City]],ROUTES!G:G,CO2_Calculator_Table[[#This Row],[Unloading City]],ROUTES!C:C,CO2_Calculator_Table[[#This Row],[Route Detail]])</f>
        <v>2730</v>
      </c>
      <c r="V39" s="119">
        <f>$V$6</f>
        <v>0.121</v>
      </c>
      <c r="W39" s="120">
        <f>$W$6</f>
        <v>1.2E-2</v>
      </c>
      <c r="X39" s="121">
        <f>$X$6</f>
        <v>1.6E-2</v>
      </c>
      <c r="Y39" s="117">
        <f>IF(CO2_Calculator_Table[[#This Row],[Pre-carriage ROAD 
(km, if electric)]]=0,(O39*P39*V39),(O39*Q39*V39))</f>
        <v>0</v>
      </c>
      <c r="Z39" s="118">
        <f>O39*R39*W39</f>
        <v>0</v>
      </c>
      <c r="AA39" s="118">
        <f>O39*S39*X39</f>
        <v>0</v>
      </c>
      <c r="AB39" s="122">
        <f>O39*T39*V39</f>
        <v>0</v>
      </c>
      <c r="AC39" s="118">
        <f>O39*U39*V39</f>
        <v>7927.92</v>
      </c>
      <c r="AD39" s="118">
        <f>Z39</f>
        <v>0</v>
      </c>
      <c r="AE39" s="118">
        <f>AA39</f>
        <v>0</v>
      </c>
      <c r="AF39" s="118">
        <f>Y39+AB39</f>
        <v>0</v>
      </c>
      <c r="AG39" s="118">
        <f>AD39+AE39+AF39</f>
        <v>0</v>
      </c>
      <c r="AH39" s="123">
        <f>SUM(U39)*V39*O39</f>
        <v>7927.92</v>
      </c>
      <c r="AI39" s="124">
        <f>AH39-AG39</f>
        <v>7927.92</v>
      </c>
    </row>
  </sheetData>
  <mergeCells count="7">
    <mergeCell ref="P7:T7"/>
    <mergeCell ref="V7:X7"/>
    <mergeCell ref="B2:G3"/>
    <mergeCell ref="AE2:AE3"/>
    <mergeCell ref="AF2:AF3"/>
    <mergeCell ref="A7:O7"/>
    <mergeCell ref="Y7:AI7"/>
  </mergeCells>
  <conditionalFormatting sqref="AI10:AI39">
    <cfRule type="dataBar" priority="102">
      <dataBar>
        <cfvo type="min"/>
        <cfvo type="max"/>
        <color rgb="FF63C384"/>
      </dataBar>
      <extLst>
        <ext xmlns:x14="http://schemas.microsoft.com/office/spreadsheetml/2009/9/main" uri="{B025F937-C7B1-47D3-B67F-A62EFF666E3E}">
          <x14:id>{DD61A9FA-1AC5-4FAE-8029-A120CFCEC820}</x14:id>
        </ext>
      </extLst>
    </cfRule>
  </conditionalFormatting>
  <pageMargins left="0.23622047244094491" right="0.23622047244094491" top="0.74803149606299213" bottom="0.74803149606299213" header="0.31496062992125984" footer="0.31496062992125984"/>
  <pageSetup paperSize="8" scale="33" fitToHeight="0" orientation="landscape" r:id="rId1"/>
  <headerFooter>
    <oddFooter>&amp;L&amp;1#&amp;"Calibri,Regular"&amp;8&amp;K000000Classification: Internal&amp;R&amp;F
&amp;A</oddFooter>
  </headerFooter>
  <drawing r:id="rId2"/>
  <legacyDrawing r:id="rId3"/>
  <tableParts count="1">
    <tablePart r:id="rId4"/>
  </tableParts>
  <extLst>
    <ext xmlns:x14="http://schemas.microsoft.com/office/spreadsheetml/2009/9/main" uri="{78C0D931-6437-407d-A8EE-F0AAD7539E65}">
      <x14:conditionalFormattings>
        <x14:conditionalFormatting xmlns:xm="http://schemas.microsoft.com/office/excel/2006/main">
          <x14:cfRule type="dataBar" id="{DD61A9FA-1AC5-4FAE-8029-A120CFCEC820}">
            <x14:dataBar minLength="0" maxLength="100" gradient="0">
              <x14:cfvo type="autoMin"/>
              <x14:cfvo type="autoMax"/>
              <x14:negativeFillColor rgb="FFFF0000"/>
              <x14:axisColor rgb="FF000000"/>
            </x14:dataBar>
          </x14:cfRule>
          <xm:sqref>AI10:AI39</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FB7C1-DFC2-4A98-B2A1-4478DC818D96}">
  <dimension ref="B1:T100"/>
  <sheetViews>
    <sheetView showGridLines="0" topLeftCell="D1" workbookViewId="0">
      <pane ySplit="1" topLeftCell="A2" activePane="bottomLeft" state="frozen"/>
      <selection activeCell="B1" sqref="B1"/>
      <selection pane="bottomLeft" activeCell="M14" sqref="M14"/>
    </sheetView>
  </sheetViews>
  <sheetFormatPr defaultRowHeight="14.4" x14ac:dyDescent="0.3"/>
  <cols>
    <col min="1" max="1" width="1.33203125" customWidth="1"/>
    <col min="2" max="2" width="22" customWidth="1"/>
    <col min="3" max="3" width="35.5546875" bestFit="1" customWidth="1"/>
    <col min="4" max="4" width="19.6640625" customWidth="1"/>
    <col min="5" max="5" width="16.6640625" customWidth="1"/>
    <col min="6" max="6" width="18" customWidth="1"/>
    <col min="7" max="7" width="22.33203125" bestFit="1" customWidth="1"/>
    <col min="8" max="12" width="14" style="20" customWidth="1"/>
    <col min="19" max="19" width="13.33203125" bestFit="1" customWidth="1"/>
    <col min="20" max="20" width="9.5546875" style="20" bestFit="1" customWidth="1"/>
  </cols>
  <sheetData>
    <row r="1" spans="2:20" ht="43.2" x14ac:dyDescent="0.3">
      <c r="B1" s="13" t="s">
        <v>45</v>
      </c>
      <c r="C1" s="13" t="s">
        <v>64</v>
      </c>
      <c r="D1" s="14" t="s">
        <v>24</v>
      </c>
      <c r="E1" s="14" t="s">
        <v>25</v>
      </c>
      <c r="F1" s="14" t="s">
        <v>26</v>
      </c>
      <c r="G1" s="14" t="s">
        <v>27</v>
      </c>
      <c r="H1" s="40" t="s">
        <v>62</v>
      </c>
      <c r="I1" s="41" t="s">
        <v>7</v>
      </c>
      <c r="J1" s="41" t="s">
        <v>8</v>
      </c>
      <c r="K1" s="40" t="s">
        <v>63</v>
      </c>
      <c r="L1" s="23" t="s">
        <v>52</v>
      </c>
      <c r="M1" s="12" t="s">
        <v>44</v>
      </c>
    </row>
    <row r="2" spans="2:20" x14ac:dyDescent="0.3">
      <c r="B2" s="106" t="s">
        <v>113</v>
      </c>
      <c r="C2" t="s">
        <v>80</v>
      </c>
      <c r="D2" t="s">
        <v>74</v>
      </c>
      <c r="E2" t="s">
        <v>89</v>
      </c>
      <c r="F2" t="s">
        <v>92</v>
      </c>
      <c r="G2" t="s">
        <v>103</v>
      </c>
      <c r="H2" s="20">
        <v>20</v>
      </c>
      <c r="I2" s="20">
        <v>2500</v>
      </c>
      <c r="J2" s="20">
        <v>990</v>
      </c>
      <c r="K2" s="20">
        <v>70</v>
      </c>
      <c r="L2" s="20">
        <v>2555</v>
      </c>
      <c r="S2" t="s">
        <v>61</v>
      </c>
      <c r="T2" s="20">
        <v>420</v>
      </c>
    </row>
    <row r="3" spans="2:20" x14ac:dyDescent="0.3">
      <c r="B3" s="106" t="s">
        <v>114</v>
      </c>
      <c r="C3" t="s">
        <v>81</v>
      </c>
      <c r="D3" t="s">
        <v>74</v>
      </c>
      <c r="E3" t="s">
        <v>89</v>
      </c>
      <c r="F3" t="s">
        <v>93</v>
      </c>
      <c r="G3" t="s">
        <v>104</v>
      </c>
      <c r="H3" s="20">
        <v>20</v>
      </c>
      <c r="I3" s="20">
        <v>1450</v>
      </c>
      <c r="J3" s="20">
        <v>0</v>
      </c>
      <c r="K3" s="20">
        <v>200</v>
      </c>
      <c r="L3" s="20">
        <v>1175</v>
      </c>
      <c r="S3" t="s">
        <v>60</v>
      </c>
      <c r="T3" s="20">
        <v>380</v>
      </c>
    </row>
    <row r="4" spans="2:20" x14ac:dyDescent="0.3">
      <c r="B4" s="106" t="s">
        <v>115</v>
      </c>
      <c r="C4" t="s">
        <v>82</v>
      </c>
      <c r="D4" t="s">
        <v>74</v>
      </c>
      <c r="E4" t="s">
        <v>89</v>
      </c>
      <c r="F4" t="s">
        <v>94</v>
      </c>
      <c r="G4" t="s">
        <v>105</v>
      </c>
      <c r="H4" s="20">
        <v>20</v>
      </c>
      <c r="I4" s="20">
        <v>1825</v>
      </c>
      <c r="J4" s="20">
        <v>0</v>
      </c>
      <c r="K4" s="20">
        <v>450</v>
      </c>
      <c r="L4" s="20">
        <v>2370</v>
      </c>
      <c r="S4" t="s">
        <v>59</v>
      </c>
      <c r="T4" s="20">
        <v>950</v>
      </c>
    </row>
    <row r="5" spans="2:20" x14ac:dyDescent="0.3">
      <c r="B5" s="106" t="s">
        <v>116</v>
      </c>
      <c r="C5" t="s">
        <v>83</v>
      </c>
      <c r="D5" t="s">
        <v>74</v>
      </c>
      <c r="E5" t="s">
        <v>89</v>
      </c>
      <c r="F5" t="s">
        <v>97</v>
      </c>
      <c r="G5" t="s">
        <v>106</v>
      </c>
      <c r="H5" s="20">
        <v>45</v>
      </c>
      <c r="I5" s="20">
        <v>3150</v>
      </c>
      <c r="J5" s="20">
        <v>0</v>
      </c>
      <c r="K5" s="20">
        <v>880</v>
      </c>
      <c r="L5" s="20">
        <v>3590</v>
      </c>
      <c r="S5" t="s">
        <v>58</v>
      </c>
      <c r="T5" s="20">
        <v>1020</v>
      </c>
    </row>
    <row r="6" spans="2:20" x14ac:dyDescent="0.3">
      <c r="B6" s="106" t="s">
        <v>117</v>
      </c>
      <c r="C6" t="s">
        <v>80</v>
      </c>
      <c r="D6" t="s">
        <v>74</v>
      </c>
      <c r="E6" t="s">
        <v>89</v>
      </c>
      <c r="F6" t="s">
        <v>98</v>
      </c>
      <c r="G6" t="s">
        <v>107</v>
      </c>
      <c r="H6" s="20">
        <v>20</v>
      </c>
      <c r="I6" s="20">
        <f>2500+220</f>
        <v>2720</v>
      </c>
      <c r="J6" s="20">
        <v>1190</v>
      </c>
      <c r="K6" s="20">
        <f>265+275</f>
        <v>540</v>
      </c>
      <c r="L6" s="20">
        <v>3350</v>
      </c>
    </row>
    <row r="7" spans="2:20" x14ac:dyDescent="0.3">
      <c r="B7" s="106" t="s">
        <v>118</v>
      </c>
      <c r="C7" t="s">
        <v>80</v>
      </c>
      <c r="D7" t="s">
        <v>74</v>
      </c>
      <c r="E7" t="s">
        <v>89</v>
      </c>
      <c r="F7" t="s">
        <v>99</v>
      </c>
      <c r="G7" t="s">
        <v>108</v>
      </c>
      <c r="H7" s="20">
        <v>20</v>
      </c>
      <c r="I7" s="20">
        <v>2500</v>
      </c>
      <c r="J7" s="20">
        <v>1190</v>
      </c>
      <c r="K7" s="20">
        <v>130</v>
      </c>
      <c r="L7" s="20">
        <v>2730</v>
      </c>
    </row>
    <row r="8" spans="2:20" x14ac:dyDescent="0.3">
      <c r="B8" s="106" t="s">
        <v>176</v>
      </c>
      <c r="C8" t="s">
        <v>83</v>
      </c>
      <c r="D8" t="s">
        <v>74</v>
      </c>
      <c r="E8" t="s">
        <v>89</v>
      </c>
      <c r="F8" t="s">
        <v>95</v>
      </c>
      <c r="G8" t="s">
        <v>109</v>
      </c>
      <c r="H8" s="20">
        <v>45</v>
      </c>
      <c r="I8" s="20">
        <v>3150</v>
      </c>
      <c r="J8" s="20" t="s">
        <v>141</v>
      </c>
      <c r="K8" s="20">
        <v>895</v>
      </c>
      <c r="L8" s="20">
        <v>2800</v>
      </c>
    </row>
    <row r="9" spans="2:20" x14ac:dyDescent="0.3">
      <c r="B9" s="106" t="s">
        <v>119</v>
      </c>
      <c r="C9" t="s">
        <v>78</v>
      </c>
      <c r="D9" t="s">
        <v>74</v>
      </c>
      <c r="E9" t="s">
        <v>89</v>
      </c>
      <c r="F9" t="s">
        <v>100</v>
      </c>
      <c r="G9" t="s">
        <v>110</v>
      </c>
      <c r="H9" s="20">
        <v>20</v>
      </c>
      <c r="I9" s="20">
        <v>2500</v>
      </c>
      <c r="J9" s="20">
        <v>0</v>
      </c>
      <c r="K9" s="20">
        <v>235</v>
      </c>
      <c r="L9" s="20">
        <v>1420</v>
      </c>
      <c r="S9" t="s">
        <v>57</v>
      </c>
      <c r="T9" s="20">
        <v>2500</v>
      </c>
    </row>
    <row r="10" spans="2:20" x14ac:dyDescent="0.3">
      <c r="B10" s="106" t="s">
        <v>120</v>
      </c>
      <c r="C10" t="s">
        <v>78</v>
      </c>
      <c r="D10" t="s">
        <v>74</v>
      </c>
      <c r="E10" t="s">
        <v>89</v>
      </c>
      <c r="F10" t="s">
        <v>101</v>
      </c>
      <c r="G10" t="s">
        <v>110</v>
      </c>
      <c r="H10" s="20">
        <v>20</v>
      </c>
      <c r="I10" s="20">
        <v>2500</v>
      </c>
      <c r="J10" s="20">
        <v>0</v>
      </c>
      <c r="K10" s="20">
        <v>100</v>
      </c>
      <c r="L10" s="20">
        <v>1560</v>
      </c>
      <c r="S10" t="s">
        <v>54</v>
      </c>
      <c r="T10" s="20">
        <v>3100</v>
      </c>
    </row>
    <row r="11" spans="2:20" x14ac:dyDescent="0.3">
      <c r="B11" s="106" t="s">
        <v>121</v>
      </c>
      <c r="C11" s="69" t="s">
        <v>80</v>
      </c>
      <c r="D11" t="s">
        <v>74</v>
      </c>
      <c r="E11" t="s">
        <v>89</v>
      </c>
      <c r="F11" s="69" t="s">
        <v>102</v>
      </c>
      <c r="G11" s="69" t="s">
        <v>111</v>
      </c>
      <c r="H11" s="20">
        <v>20</v>
      </c>
      <c r="I11" s="20">
        <v>2500</v>
      </c>
      <c r="J11" s="20">
        <v>1190</v>
      </c>
      <c r="K11" s="70">
        <v>200</v>
      </c>
      <c r="L11" s="70">
        <v>2760</v>
      </c>
      <c r="S11" t="s">
        <v>66</v>
      </c>
      <c r="T11" s="20">
        <v>1755</v>
      </c>
    </row>
    <row r="12" spans="2:20" x14ac:dyDescent="0.3">
      <c r="B12" s="106" t="s">
        <v>122</v>
      </c>
      <c r="C12" t="s">
        <v>84</v>
      </c>
      <c r="D12" t="s">
        <v>87</v>
      </c>
      <c r="E12" t="s">
        <v>90</v>
      </c>
      <c r="F12" t="s">
        <v>96</v>
      </c>
      <c r="G12" t="s">
        <v>112</v>
      </c>
      <c r="H12" s="20">
        <v>220</v>
      </c>
      <c r="I12" s="20">
        <v>1450</v>
      </c>
      <c r="J12" s="20">
        <v>0</v>
      </c>
      <c r="K12" s="20">
        <v>20</v>
      </c>
      <c r="L12" s="20">
        <v>1175</v>
      </c>
    </row>
    <row r="13" spans="2:20" x14ac:dyDescent="0.3">
      <c r="B13" s="106" t="s">
        <v>123</v>
      </c>
      <c r="C13" t="s">
        <v>85</v>
      </c>
      <c r="D13" t="s">
        <v>88</v>
      </c>
      <c r="E13" t="s">
        <v>91</v>
      </c>
      <c r="F13" t="s">
        <v>96</v>
      </c>
      <c r="G13" t="s">
        <v>112</v>
      </c>
      <c r="H13" s="20">
        <v>450</v>
      </c>
      <c r="I13" s="20">
        <v>1825</v>
      </c>
      <c r="J13" s="20">
        <v>0</v>
      </c>
      <c r="K13" s="20">
        <v>20</v>
      </c>
      <c r="L13" s="20">
        <v>2375</v>
      </c>
      <c r="S13" t="s">
        <v>71</v>
      </c>
      <c r="T13" s="20">
        <v>2750</v>
      </c>
    </row>
    <row r="14" spans="2:20" x14ac:dyDescent="0.3">
      <c r="B14" s="106" t="s">
        <v>124</v>
      </c>
      <c r="C14" t="s">
        <v>86</v>
      </c>
      <c r="D14" t="s">
        <v>88</v>
      </c>
      <c r="E14" t="s">
        <v>91</v>
      </c>
      <c r="F14" t="s">
        <v>93</v>
      </c>
      <c r="G14" t="s">
        <v>104</v>
      </c>
      <c r="H14" s="71">
        <v>745</v>
      </c>
      <c r="I14" s="71">
        <v>1225</v>
      </c>
      <c r="J14" s="20">
        <v>0</v>
      </c>
      <c r="K14" s="71">
        <v>200</v>
      </c>
      <c r="L14" s="71">
        <v>2450</v>
      </c>
      <c r="S14" t="s">
        <v>177</v>
      </c>
      <c r="T14" s="20">
        <v>1400</v>
      </c>
    </row>
    <row r="15" spans="2:20" x14ac:dyDescent="0.3">
      <c r="B15" t="s">
        <v>128</v>
      </c>
      <c r="C15" t="s">
        <v>78</v>
      </c>
      <c r="D15" t="s">
        <v>74</v>
      </c>
      <c r="E15" t="s">
        <v>125</v>
      </c>
      <c r="F15" t="s">
        <v>126</v>
      </c>
      <c r="G15" t="s">
        <v>127</v>
      </c>
      <c r="H15" s="20">
        <v>20</v>
      </c>
      <c r="I15" s="20">
        <v>2500</v>
      </c>
      <c r="K15" s="20">
        <v>1690</v>
      </c>
      <c r="L15" s="20">
        <v>2725</v>
      </c>
      <c r="T15"/>
    </row>
    <row r="16" spans="2:20" x14ac:dyDescent="0.3">
      <c r="B16" t="s">
        <v>131</v>
      </c>
      <c r="C16" t="s">
        <v>78</v>
      </c>
      <c r="D16" t="s">
        <v>74</v>
      </c>
      <c r="E16" t="s">
        <v>125</v>
      </c>
      <c r="F16" t="s">
        <v>130</v>
      </c>
      <c r="G16" t="s">
        <v>129</v>
      </c>
      <c r="H16" s="20">
        <v>20</v>
      </c>
      <c r="I16" s="20">
        <v>2500</v>
      </c>
      <c r="K16" s="20">
        <v>930</v>
      </c>
      <c r="L16" s="20">
        <v>2200</v>
      </c>
      <c r="S16" t="s">
        <v>172</v>
      </c>
      <c r="T16" t="s">
        <v>173</v>
      </c>
    </row>
    <row r="17" spans="2:20" x14ac:dyDescent="0.3">
      <c r="B17" t="s">
        <v>134</v>
      </c>
      <c r="C17" t="s">
        <v>133</v>
      </c>
      <c r="D17" t="s">
        <v>130</v>
      </c>
      <c r="E17" t="s">
        <v>132</v>
      </c>
      <c r="F17" t="s">
        <v>74</v>
      </c>
      <c r="G17" t="s">
        <v>125</v>
      </c>
      <c r="H17" s="20">
        <v>870</v>
      </c>
      <c r="I17" s="20">
        <v>2500</v>
      </c>
      <c r="K17" s="20">
        <v>20</v>
      </c>
      <c r="L17" s="20">
        <v>1975</v>
      </c>
      <c r="S17" t="s">
        <v>178</v>
      </c>
      <c r="T17">
        <v>2050</v>
      </c>
    </row>
    <row r="18" spans="2:20" x14ac:dyDescent="0.3">
      <c r="B18" t="s">
        <v>136</v>
      </c>
      <c r="C18" t="s">
        <v>133</v>
      </c>
      <c r="D18" t="s">
        <v>130</v>
      </c>
      <c r="E18" t="s">
        <v>132</v>
      </c>
      <c r="F18" t="s">
        <v>74</v>
      </c>
      <c r="G18" t="s">
        <v>135</v>
      </c>
      <c r="H18" s="20">
        <v>870</v>
      </c>
      <c r="I18" s="20">
        <v>2500</v>
      </c>
      <c r="K18" s="20">
        <v>15</v>
      </c>
      <c r="L18" s="20">
        <v>1955</v>
      </c>
    </row>
    <row r="19" spans="2:20" x14ac:dyDescent="0.3">
      <c r="B19" t="s">
        <v>138</v>
      </c>
      <c r="C19" t="s">
        <v>133</v>
      </c>
      <c r="D19" t="s">
        <v>130</v>
      </c>
      <c r="E19" t="s">
        <v>137</v>
      </c>
      <c r="F19" t="s">
        <v>74</v>
      </c>
      <c r="G19" t="s">
        <v>125</v>
      </c>
      <c r="H19" s="20">
        <v>1010</v>
      </c>
      <c r="I19" s="20">
        <v>2500</v>
      </c>
      <c r="K19" s="20">
        <v>20</v>
      </c>
      <c r="L19" s="20">
        <v>2120</v>
      </c>
      <c r="P19" t="str">
        <f>Q19&amp;"-"&amp;R19&amp;"-"&amp;S19&amp;"-"&amp;T19&amp;"-"&amp;U19</f>
        <v>----</v>
      </c>
    </row>
    <row r="20" spans="2:20" x14ac:dyDescent="0.3">
      <c r="B20" t="s">
        <v>142</v>
      </c>
      <c r="C20" t="s">
        <v>141</v>
      </c>
      <c r="D20" t="s">
        <v>74</v>
      </c>
      <c r="E20" t="s">
        <v>125</v>
      </c>
      <c r="F20" t="s">
        <v>139</v>
      </c>
      <c r="G20" t="s">
        <v>140</v>
      </c>
      <c r="L20" s="20">
        <v>1240</v>
      </c>
    </row>
    <row r="21" spans="2:20" x14ac:dyDescent="0.3">
      <c r="B21" t="s">
        <v>145</v>
      </c>
      <c r="C21" t="s">
        <v>141</v>
      </c>
      <c r="D21" t="s">
        <v>74</v>
      </c>
      <c r="E21" t="s">
        <v>125</v>
      </c>
      <c r="F21" t="s">
        <v>143</v>
      </c>
      <c r="G21" t="s">
        <v>144</v>
      </c>
      <c r="L21" s="20">
        <v>625</v>
      </c>
    </row>
    <row r="22" spans="2:20" x14ac:dyDescent="0.3">
      <c r="B22" t="s">
        <v>150</v>
      </c>
      <c r="C22" t="s">
        <v>141</v>
      </c>
      <c r="D22" t="s">
        <v>146</v>
      </c>
      <c r="E22" t="s">
        <v>147</v>
      </c>
      <c r="F22" t="s">
        <v>148</v>
      </c>
      <c r="G22" s="35" t="s">
        <v>149</v>
      </c>
      <c r="L22" s="20">
        <v>945</v>
      </c>
      <c r="R22">
        <v>465</v>
      </c>
    </row>
    <row r="23" spans="2:20" x14ac:dyDescent="0.3">
      <c r="B23" t="s">
        <v>153</v>
      </c>
      <c r="C23" t="s">
        <v>141</v>
      </c>
      <c r="D23" t="s">
        <v>146</v>
      </c>
      <c r="E23" t="s">
        <v>147</v>
      </c>
      <c r="F23" t="s">
        <v>151</v>
      </c>
      <c r="G23" s="35" t="s">
        <v>152</v>
      </c>
      <c r="L23" s="20">
        <v>870</v>
      </c>
    </row>
    <row r="24" spans="2:20" x14ac:dyDescent="0.3">
      <c r="B24" t="str">
        <f t="shared" ref="B24:B29" si="0">C24&amp;"-"&amp;D24&amp;"-"&amp;E24&amp;"-"&amp;F24&amp;"-"&amp;G24</f>
        <v>--Turkey-Gebze-Montenegro-Kotor</v>
      </c>
      <c r="C24" t="s">
        <v>141</v>
      </c>
      <c r="D24" t="s">
        <v>146</v>
      </c>
      <c r="E24" t="s">
        <v>147</v>
      </c>
      <c r="F24" s="35" t="s">
        <v>154</v>
      </c>
      <c r="G24" s="20" t="s">
        <v>155</v>
      </c>
      <c r="L24" s="20">
        <v>1240</v>
      </c>
    </row>
    <row r="25" spans="2:20" x14ac:dyDescent="0.3">
      <c r="B25" t="str">
        <f t="shared" si="0"/>
        <v>--Turkey-Gebze-Romania-Joita</v>
      </c>
      <c r="C25" t="s">
        <v>141</v>
      </c>
      <c r="D25" t="s">
        <v>146</v>
      </c>
      <c r="E25" t="s">
        <v>147</v>
      </c>
      <c r="F25" t="s">
        <v>158</v>
      </c>
      <c r="G25" s="42" t="s">
        <v>159</v>
      </c>
      <c r="L25" s="20">
        <v>730</v>
      </c>
    </row>
    <row r="26" spans="2:20" x14ac:dyDescent="0.3">
      <c r="B26" t="str">
        <f t="shared" si="0"/>
        <v>--Turkey-Gebze-Serbia-Zemun</v>
      </c>
      <c r="C26" t="s">
        <v>141</v>
      </c>
      <c r="D26" t="s">
        <v>146</v>
      </c>
      <c r="E26" t="s">
        <v>147</v>
      </c>
      <c r="F26" t="s">
        <v>161</v>
      </c>
      <c r="G26" s="42" t="s">
        <v>162</v>
      </c>
      <c r="L26" s="20">
        <v>1040</v>
      </c>
    </row>
    <row r="27" spans="2:20" x14ac:dyDescent="0.3">
      <c r="B27" t="str">
        <f t="shared" si="0"/>
        <v>--Poland-Swidnica-Romania-Joita</v>
      </c>
      <c r="C27" t="s">
        <v>141</v>
      </c>
      <c r="D27" t="s">
        <v>164</v>
      </c>
      <c r="E27" t="s">
        <v>165</v>
      </c>
      <c r="F27" t="s">
        <v>158</v>
      </c>
      <c r="G27" t="s">
        <v>159</v>
      </c>
      <c r="L27" s="20">
        <v>1390</v>
      </c>
    </row>
    <row r="28" spans="2:20" x14ac:dyDescent="0.3">
      <c r="B28" t="str">
        <f t="shared" si="0"/>
        <v>--Greece-Pireas-Romania-Joita</v>
      </c>
      <c r="C28" t="s">
        <v>141</v>
      </c>
      <c r="D28" t="s">
        <v>167</v>
      </c>
      <c r="E28" t="s">
        <v>168</v>
      </c>
      <c r="F28" t="s">
        <v>158</v>
      </c>
      <c r="G28" t="s">
        <v>159</v>
      </c>
      <c r="L28" s="20">
        <v>1210</v>
      </c>
    </row>
    <row r="29" spans="2:20" x14ac:dyDescent="0.3">
      <c r="B29" t="str">
        <f t="shared" si="0"/>
        <v>--Poland-Wroclaw-Romania-Joita</v>
      </c>
      <c r="C29" t="s">
        <v>141</v>
      </c>
      <c r="D29" t="s">
        <v>164</v>
      </c>
      <c r="E29" t="s">
        <v>170</v>
      </c>
      <c r="F29" t="s">
        <v>158</v>
      </c>
      <c r="G29" t="s">
        <v>159</v>
      </c>
      <c r="L29" s="20">
        <v>1530</v>
      </c>
    </row>
    <row r="30" spans="2:20" x14ac:dyDescent="0.3">
      <c r="B30" s="69" t="s">
        <v>174</v>
      </c>
      <c r="C30" s="110" t="s">
        <v>83</v>
      </c>
      <c r="D30" s="69" t="s">
        <v>74</v>
      </c>
      <c r="E30" s="69" t="s">
        <v>89</v>
      </c>
      <c r="F30" s="69" t="s">
        <v>95</v>
      </c>
      <c r="G30" s="68" t="s">
        <v>109</v>
      </c>
      <c r="H30" s="70">
        <v>50</v>
      </c>
      <c r="I30" s="70">
        <v>3100</v>
      </c>
      <c r="J30" s="70">
        <v>0</v>
      </c>
      <c r="K30" s="70">
        <v>835</v>
      </c>
      <c r="L30" s="70">
        <v>2793</v>
      </c>
    </row>
    <row r="31" spans="2:20" x14ac:dyDescent="0.3">
      <c r="B31" s="69" t="s">
        <v>175</v>
      </c>
      <c r="C31" s="69" t="s">
        <v>80</v>
      </c>
      <c r="D31" s="69" t="s">
        <v>74</v>
      </c>
      <c r="E31" s="69" t="s">
        <v>89</v>
      </c>
      <c r="F31" s="69" t="s">
        <v>102</v>
      </c>
      <c r="G31" s="68">
        <v>9130</v>
      </c>
      <c r="H31" s="70"/>
      <c r="I31" s="70"/>
      <c r="J31" s="70"/>
      <c r="K31" s="70"/>
      <c r="L31" s="70">
        <v>2730</v>
      </c>
    </row>
    <row r="32" spans="2:20" x14ac:dyDescent="0.3">
      <c r="C32" s="125"/>
      <c r="G32" s="35"/>
      <c r="H32" s="80"/>
      <c r="I32" s="80"/>
      <c r="J32" s="80"/>
      <c r="K32" s="80"/>
      <c r="L32" s="80"/>
    </row>
    <row r="33" spans="2:12" x14ac:dyDescent="0.3">
      <c r="H33" s="81"/>
      <c r="I33" s="81"/>
      <c r="J33" s="81"/>
      <c r="K33" s="81"/>
      <c r="L33" s="81"/>
    </row>
    <row r="40" spans="2:12" x14ac:dyDescent="0.3">
      <c r="B40" s="35"/>
    </row>
    <row r="41" spans="2:12" x14ac:dyDescent="0.3">
      <c r="B41" s="35"/>
    </row>
    <row r="42" spans="2:12" x14ac:dyDescent="0.3">
      <c r="B42" s="35"/>
    </row>
    <row r="43" spans="2:12" x14ac:dyDescent="0.3">
      <c r="B43" s="35"/>
    </row>
    <row r="44" spans="2:12" x14ac:dyDescent="0.3">
      <c r="B44" s="35"/>
    </row>
    <row r="45" spans="2:12" x14ac:dyDescent="0.3">
      <c r="B45" s="35"/>
    </row>
    <row r="46" spans="2:12" x14ac:dyDescent="0.3">
      <c r="B46" s="35"/>
    </row>
    <row r="47" spans="2:12" x14ac:dyDescent="0.3">
      <c r="B47" s="68"/>
      <c r="C47" s="69"/>
      <c r="D47" s="69"/>
      <c r="E47" s="69"/>
      <c r="F47" s="69"/>
      <c r="G47" s="69"/>
      <c r="H47" s="70"/>
      <c r="I47" s="70"/>
      <c r="J47" s="70"/>
      <c r="K47" s="70"/>
      <c r="L47" s="70"/>
    </row>
    <row r="48" spans="2:12" x14ac:dyDescent="0.3">
      <c r="B48" s="35"/>
    </row>
    <row r="49" spans="2:12" x14ac:dyDescent="0.3">
      <c r="B49" s="35"/>
    </row>
    <row r="50" spans="2:12" x14ac:dyDescent="0.3">
      <c r="B50" s="35"/>
    </row>
    <row r="51" spans="2:12" x14ac:dyDescent="0.3">
      <c r="B51" s="35"/>
    </row>
    <row r="52" spans="2:12" x14ac:dyDescent="0.3">
      <c r="B52" s="35"/>
    </row>
    <row r="53" spans="2:12" x14ac:dyDescent="0.3">
      <c r="B53" s="35"/>
      <c r="H53" s="80"/>
      <c r="I53" s="80"/>
      <c r="J53" s="80"/>
      <c r="K53" s="80"/>
      <c r="L53" s="80"/>
    </row>
    <row r="54" spans="2:12" x14ac:dyDescent="0.3">
      <c r="B54" s="35"/>
    </row>
    <row r="61" spans="2:12" x14ac:dyDescent="0.3">
      <c r="B61" s="69"/>
      <c r="C61" s="69"/>
      <c r="D61" s="69"/>
      <c r="E61" s="69"/>
      <c r="F61" s="69"/>
      <c r="G61" s="69"/>
      <c r="H61" s="70"/>
      <c r="I61" s="70"/>
      <c r="J61" s="70"/>
      <c r="K61" s="70"/>
      <c r="L61" s="70"/>
    </row>
    <row r="71" spans="8:12" x14ac:dyDescent="0.3">
      <c r="H71" s="80"/>
      <c r="I71" s="80"/>
      <c r="J71" s="80"/>
      <c r="K71" s="80"/>
      <c r="L71" s="80"/>
    </row>
    <row r="90" spans="8:12" x14ac:dyDescent="0.3">
      <c r="H90" s="80"/>
      <c r="I90" s="80"/>
      <c r="J90" s="80"/>
      <c r="K90" s="80"/>
      <c r="L90" s="80"/>
    </row>
    <row r="100" spans="2:12" x14ac:dyDescent="0.3">
      <c r="B100" s="69"/>
      <c r="C100" s="69"/>
      <c r="D100" s="69"/>
      <c r="E100" s="69"/>
      <c r="F100" s="69"/>
      <c r="G100" s="69"/>
      <c r="H100" s="70"/>
      <c r="I100" s="70"/>
      <c r="J100" s="70"/>
      <c r="K100" s="70"/>
      <c r="L100" s="70"/>
    </row>
  </sheetData>
  <autoFilter ref="B1:M30" xr:uid="{DF1FB7C1-DFC2-4A98-B2A1-4478DC818D96}"/>
  <sortState xmlns:xlrd2="http://schemas.microsoft.com/office/spreadsheetml/2017/richdata2" ref="C101:L122">
    <sortCondition ref="C101:C122"/>
  </sortState>
  <pageMargins left="0.7" right="0.7" top="0.75" bottom="0.75" header="0.3" footer="0.3"/>
  <pageSetup paperSize="9"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BAF9D1BBCB497419F499287C18E9CC4" ma:contentTypeVersion="2" ma:contentTypeDescription="Create a new document." ma:contentTypeScope="" ma:versionID="5ca1a7a00ff07c60007aa1dcec517e08">
  <xsd:schema xmlns:xsd="http://www.w3.org/2001/XMLSchema" xmlns:xs="http://www.w3.org/2001/XMLSchema" xmlns:p="http://schemas.microsoft.com/office/2006/metadata/properties" xmlns:ns2="c8b7e922-6689-4b23-a91d-05a1f5d9eb98" targetNamespace="http://schemas.microsoft.com/office/2006/metadata/properties" ma:root="true" ma:fieldsID="e3e6ecc7bdbd2a2b8e6e4499d6242d90" ns2:_="">
    <xsd:import namespace="c8b7e922-6689-4b23-a91d-05a1f5d9eb98"/>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8b7e922-6689-4b23-a91d-05a1f5d9eb9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DF6A5C0-F6F0-48ED-A349-E4BD106F2F6B}">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9C26C881-F574-409D-9EAA-221DA0E5FEF5}">
  <ds:schemaRefs>
    <ds:schemaRef ds:uri="http://schemas.microsoft.com/sharepoint/v3/contenttype/forms"/>
  </ds:schemaRefs>
</ds:datastoreItem>
</file>

<file path=customXml/itemProps3.xml><?xml version="1.0" encoding="utf-8"?>
<ds:datastoreItem xmlns:ds="http://schemas.openxmlformats.org/officeDocument/2006/customXml" ds:itemID="{DB4A9AF0-4B0C-442F-BD41-F615734C84C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8b7e922-6689-4b23-a91d-05a1f5d9eb9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Çalışma Sayfaları</vt:lpstr>
      </vt:variant>
      <vt:variant>
        <vt:i4>3</vt:i4>
      </vt:variant>
      <vt:variant>
        <vt:lpstr>Adlandırılmış Aralıklar</vt:lpstr>
      </vt:variant>
      <vt:variant>
        <vt:i4>3</vt:i4>
      </vt:variant>
    </vt:vector>
  </HeadingPairs>
  <TitlesOfParts>
    <vt:vector size="6" baseType="lpstr">
      <vt:lpstr>SUMMARY</vt:lpstr>
      <vt:lpstr>CALCULATION</vt:lpstr>
      <vt:lpstr>ROUTES</vt:lpstr>
      <vt:lpstr>CALCULATION!Yazdırma_Alanı</vt:lpstr>
      <vt:lpstr>SUMMARY!Yazdırma_Alanı</vt:lpstr>
      <vt:lpstr>CALCULATION!Yazdırma_Başlıkları</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Buğra Han ÇETİNER</dc:creator>
  <cp:keywords/>
  <dc:description/>
  <cp:lastModifiedBy>Atalay SENOL | Talay Logistics</cp:lastModifiedBy>
  <cp:revision/>
  <cp:lastPrinted>2024-04-25T10:59:21Z</cp:lastPrinted>
  <dcterms:created xsi:type="dcterms:W3CDTF">2020-04-21T07:25:24Z</dcterms:created>
  <dcterms:modified xsi:type="dcterms:W3CDTF">2026-08-06T12:21:00Z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0x0101006BAF9D1BBCB497419F499287C18E9CC4</vt:lpwstr>
  </property>
  <property fmtid="{D5CDD505-2E9C-101B-9397-08002B2CF9AE}" pid="3" name="MSIP_Label_a40ff457-2133-44b5-a8f3-957e5eb54e11_Enabled">
    <vt:lpwstr>true</vt:lpwstr>
  </property>
  <property fmtid="{D5CDD505-2E9C-101B-9397-08002B2CF9AE}" pid="4" name="MSIP_Label_a40ff457-2133-44b5-a8f3-957e5eb54e11_SetDate">
    <vt:lpwstr>2022-12-15T12:54:59Z</vt:lpwstr>
  </property>
  <property fmtid="{D5CDD505-2E9C-101B-9397-08002B2CF9AE}" pid="5" name="MSIP_Label_a40ff457-2133-44b5-a8f3-957e5eb54e11_Method">
    <vt:lpwstr>Standard</vt:lpwstr>
  </property>
  <property fmtid="{D5CDD505-2E9C-101B-9397-08002B2CF9AE}" pid="6" name="MSIP_Label_a40ff457-2133-44b5-a8f3-957e5eb54e11_Name">
    <vt:lpwstr>Internal</vt:lpwstr>
  </property>
  <property fmtid="{D5CDD505-2E9C-101B-9397-08002B2CF9AE}" pid="7" name="MSIP_Label_a40ff457-2133-44b5-a8f3-957e5eb54e11_SiteId">
    <vt:lpwstr>66984d9a-b5aa-41d9-9cf6-12cbc4d18e7b</vt:lpwstr>
  </property>
  <property fmtid="{D5CDD505-2E9C-101B-9397-08002B2CF9AE}" pid="8" name="MSIP_Label_a40ff457-2133-44b5-a8f3-957e5eb54e11_ActionId">
    <vt:lpwstr>ca7796bf-fc0e-4b96-9e5f-df4be32fb26e</vt:lpwstr>
  </property>
  <property fmtid="{D5CDD505-2E9C-101B-9397-08002B2CF9AE}" pid="9" name="MSIP_Label_a40ff457-2133-44b5-a8f3-957e5eb54e11_ContentBits">
    <vt:lpwstr>2</vt:lpwstr>
  </property>
</Properties>
</file>