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ink/ink1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08\"/>
    </mc:Choice>
  </mc:AlternateContent>
  <xr:revisionPtr revIDLastSave="0" documentId="13_ncr:1_{BCDABF64-C55F-4589-82AD-8080E8B4068A}" xr6:coauthVersionLast="47" xr6:coauthVersionMax="47" xr10:uidLastSave="{00000000-0000-0000-0000-000000000000}"/>
  <bookViews>
    <workbookView xWindow="-98" yWindow="-98" windowWidth="16276" windowHeight="10440" xr2:uid="{E164BBA1-2B9F-423B-A762-52BC62F43C76}"/>
  </bookViews>
  <sheets>
    <sheet name="PMT Example" sheetId="11" r:id="rId1"/>
    <sheet name="IPMT PPMT example" sheetId="12" r:id="rId2"/>
    <sheet name="Amortization" sheetId="5" r:id="rId3"/>
    <sheet name="NPER Example" sheetId="13" r:id="rId4"/>
    <sheet name="PV Example" sheetId="14" r:id="rId5"/>
    <sheet name="Nominal effective" sheetId="7" r:id="rId6"/>
    <sheet name="FV Lump Sum Fixed" sheetId="15" r:id="rId7"/>
    <sheet name="FV Lump Sum Variable" sheetId="9" r:id="rId8"/>
    <sheet name="FV Regular" sheetId="8" r:id="rId9"/>
    <sheet name="Future Value Schedule" sheetId="10" r:id="rId10"/>
    <sheet name="Investment Goal" sheetId="16" r:id="rId11"/>
    <sheet name="NPV" sheetId="17" r:id="rId12"/>
    <sheet name="XNPV" sheetId="18" r:id="rId13"/>
    <sheet name="IRR" sheetId="19" r:id="rId14"/>
    <sheet name="XIRR" sheetId="20" r:id="rId15"/>
    <sheet name="MIRR" sheetId="21" r:id="rId16"/>
    <sheet name="SLN" sheetId="22" r:id="rId17"/>
    <sheet name="Stocks" sheetId="26" r:id="rId18"/>
    <sheet name="Currency" sheetId="27" r:id="rId19"/>
    <sheet name="Stock History" sheetId="28" r:id="rId20"/>
    <sheet name="Stock chart" sheetId="30" r:id="rId21"/>
    <sheet name="TREND GROWTH" sheetId="31" r:id="rId22"/>
    <sheet name="Seasonal Data" sheetId="32" r:id="rId23"/>
    <sheet name="Forecast Sheet" sheetId="3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31" l="1" a="1"/>
  <c r="D14" i="31" s="1"/>
  <c r="C14" i="31" a="1"/>
  <c r="C14" i="31" s="1"/>
  <c r="G2" i="26" a="1"/>
  <c r="G2" i="26" s="1"/>
  <c r="F2" i="26" a="1"/>
  <c r="F2" i="26" s="1"/>
  <c r="E2" i="26" a="1"/>
  <c r="E2" i="26" s="1"/>
  <c r="D2" i="26" a="1"/>
  <c r="D2" i="26" s="1"/>
  <c r="C2" i="26" a="1"/>
  <c r="C2" i="26" s="1"/>
  <c r="B2" i="26" a="1"/>
  <c r="B2" i="26" s="1"/>
  <c r="B7" i="22"/>
  <c r="C7" i="22"/>
  <c r="D7" i="22"/>
  <c r="E7" i="22"/>
  <c r="F7" i="22"/>
  <c r="C6" i="21"/>
  <c r="C4" i="20"/>
  <c r="C4" i="19"/>
  <c r="C5" i="18"/>
  <c r="C5" i="17"/>
  <c r="F5" i="16"/>
  <c r="F4" i="16"/>
  <c r="F3" i="16"/>
  <c r="F2" i="16"/>
  <c r="F1" i="16"/>
  <c r="C8" i="10"/>
  <c r="C9" i="10"/>
  <c r="C18" i="10"/>
  <c r="C7" i="10"/>
  <c r="F1" i="8"/>
  <c r="F1" i="9"/>
  <c r="F2" i="15"/>
  <c r="F1" i="15"/>
  <c r="F1" i="14"/>
  <c r="F1" i="13"/>
  <c r="F4" i="12"/>
  <c r="F3" i="12"/>
  <c r="F2" i="12"/>
  <c r="F1" i="12"/>
  <c r="F3" i="11"/>
  <c r="F2" i="11"/>
  <c r="F1" i="11"/>
  <c r="C15" i="34"/>
  <c r="C19" i="34"/>
  <c r="C16" i="34"/>
  <c r="C20" i="34"/>
  <c r="C14" i="34"/>
  <c r="C17" i="34"/>
  <c r="C21" i="34"/>
  <c r="C18" i="34"/>
  <c r="E1" i="27" a="1"/>
  <c r="H1" i="27" a="1"/>
  <c r="H1" i="27" l="1"/>
  <c r="E1" i="27"/>
  <c r="D18" i="34"/>
  <c r="D19" i="34"/>
  <c r="E18" i="34"/>
  <c r="E17" i="34"/>
  <c r="E19" i="34"/>
  <c r="D21" i="34"/>
  <c r="D14" i="34"/>
  <c r="D16" i="34"/>
  <c r="D15" i="34"/>
  <c r="E20" i="34"/>
  <c r="E21" i="34"/>
  <c r="E14" i="34"/>
  <c r="E16" i="34"/>
  <c r="E15" i="34"/>
  <c r="D17" i="34"/>
  <c r="D20" i="34"/>
  <c r="B2" i="27" l="1" a="1"/>
  <c r="B2" i="27" s="1"/>
  <c r="B7" i="26" a="1"/>
  <c r="B7" i="26" s="1"/>
  <c r="B8" i="10"/>
  <c r="B9" i="10"/>
  <c r="B10" i="10"/>
  <c r="C10" i="10" s="1"/>
  <c r="B11" i="10"/>
  <c r="C11" i="10" s="1"/>
  <c r="B12" i="10"/>
  <c r="C12" i="10" s="1"/>
  <c r="B13" i="10"/>
  <c r="C13" i="10" s="1"/>
  <c r="B14" i="10"/>
  <c r="C14" i="10" s="1"/>
  <c r="B15" i="10"/>
  <c r="C15" i="10" s="1"/>
  <c r="B16" i="10"/>
  <c r="C16" i="10" s="1"/>
  <c r="B17" i="10"/>
  <c r="C17" i="10" s="1"/>
  <c r="B18" i="10"/>
  <c r="B7" i="10"/>
  <c r="A2" i="7"/>
  <c r="A1" i="7"/>
  <c r="C4" i="5"/>
  <c r="C3" i="5"/>
  <c r="D3" i="5"/>
  <c r="E3" i="5"/>
  <c r="E4" i="5"/>
  <c r="F3" i="5"/>
  <c r="A1" i="28" a="1"/>
  <c r="B20" i="10" l="1"/>
  <c r="A1" i="28"/>
  <c r="D4" i="5"/>
  <c r="F4" i="5"/>
  <c r="D5" i="5" l="1"/>
  <c r="E5" i="5"/>
  <c r="F5" i="5" s="1"/>
  <c r="C5" i="5"/>
  <c r="E6" i="5" l="1"/>
  <c r="F6" i="5" s="1"/>
  <c r="C6" i="5"/>
  <c r="D6" i="5"/>
  <c r="C7" i="5" l="1"/>
  <c r="D7" i="5"/>
  <c r="E7" i="5"/>
  <c r="F7" i="5" s="1"/>
  <c r="C8" i="5" l="1"/>
  <c r="D8" i="5"/>
  <c r="E8" i="5"/>
  <c r="F8" i="5" s="1"/>
  <c r="D9" i="5" l="1"/>
  <c r="E9" i="5"/>
  <c r="F9" i="5" s="1"/>
  <c r="C9" i="5"/>
  <c r="E10" i="5" l="1"/>
  <c r="F10" i="5" s="1"/>
  <c r="C10" i="5"/>
  <c r="D10" i="5"/>
  <c r="C11" i="5" l="1"/>
  <c r="D11" i="5"/>
  <c r="E11" i="5"/>
  <c r="F11" i="5" s="1"/>
  <c r="C12" i="5" l="1"/>
  <c r="D12" i="5"/>
  <c r="E12" i="5"/>
  <c r="F12" i="5" s="1"/>
  <c r="D13" i="5" l="1"/>
  <c r="E13" i="5"/>
  <c r="F13" i="5" s="1"/>
  <c r="C13" i="5"/>
  <c r="E14" i="5" l="1"/>
  <c r="F14" i="5" s="1"/>
  <c r="C14" i="5"/>
  <c r="D1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0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</futureMetadata>
  <cellMetadata count="1">
    <bk>
      <rc t="1" v="0"/>
    </bk>
  </cellMetadata>
  <valueMetadata count="3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</valueMetadata>
</metadata>
</file>

<file path=xl/sharedStrings.xml><?xml version="1.0" encoding="utf-8"?>
<sst xmlns="http://schemas.openxmlformats.org/spreadsheetml/2006/main" count="144" uniqueCount="99">
  <si>
    <t>Month</t>
  </si>
  <si>
    <t>Balance</t>
  </si>
  <si>
    <t>Annual Rate</t>
  </si>
  <si>
    <t>Cumulative Deposit</t>
  </si>
  <si>
    <t>Monthly Deposit:</t>
  </si>
  <si>
    <t>Annual Rate:</t>
  </si>
  <si>
    <t>Compounding Periods:</t>
  </si>
  <si>
    <t>Future Value:</t>
  </si>
  <si>
    <t>Principal:</t>
  </si>
  <si>
    <t>Loan Amount:</t>
  </si>
  <si>
    <t>Interest Rate (annual):</t>
  </si>
  <si>
    <t>Months:</t>
  </si>
  <si>
    <t>End of month payments:</t>
  </si>
  <si>
    <t>Future Value (balloon):</t>
  </si>
  <si>
    <t>End of month (balloon):</t>
  </si>
  <si>
    <t>Start of month (balloon):</t>
  </si>
  <si>
    <t>Months 4-6 interest:</t>
  </si>
  <si>
    <t>Month 6 interest:</t>
  </si>
  <si>
    <t>Month 6 principal:</t>
  </si>
  <si>
    <t>Months 4-6 principal:</t>
  </si>
  <si>
    <t>Number of periods:</t>
  </si>
  <si>
    <t>Monthly Payment:</t>
  </si>
  <si>
    <t>Monthly Payment</t>
  </si>
  <si>
    <t>Periods (years):</t>
  </si>
  <si>
    <t>Initial Deposit:</t>
  </si>
  <si>
    <t>FV (annual compounding):</t>
  </si>
  <si>
    <t>FV (continuous compounding):</t>
  </si>
  <si>
    <t>Year 3 Rate:</t>
  </si>
  <si>
    <t>Year 1 Rate:</t>
  </si>
  <si>
    <t>Year 2 Rate:</t>
  </si>
  <si>
    <t>Future value:</t>
  </si>
  <si>
    <t>Payment Periods:</t>
  </si>
  <si>
    <t>Number Periods:</t>
  </si>
  <si>
    <t>Monthly Rate:</t>
  </si>
  <si>
    <t>Type:</t>
  </si>
  <si>
    <t>Year:</t>
  </si>
  <si>
    <t>Net cash flow:</t>
  </si>
  <si>
    <t>Discount rate:</t>
  </si>
  <si>
    <t>Net present value:</t>
  </si>
  <si>
    <t>Date:</t>
  </si>
  <si>
    <t>Internal rate of return:</t>
  </si>
  <si>
    <t>Finance rate:</t>
  </si>
  <si>
    <t>Reinvestment rate:</t>
  </si>
  <si>
    <t>MIRR:</t>
  </si>
  <si>
    <t>Initial cost:</t>
  </si>
  <si>
    <t>Salvage value:</t>
  </si>
  <si>
    <t>Life (years):</t>
  </si>
  <si>
    <t>Period:</t>
  </si>
  <si>
    <t>Depreciation (SLN):</t>
  </si>
  <si>
    <t>Price</t>
  </si>
  <si>
    <t>Name</t>
  </si>
  <si>
    <t>Column1</t>
  </si>
  <si>
    <t>Date</t>
  </si>
  <si>
    <t>Volume</t>
  </si>
  <si>
    <t>Open</t>
  </si>
  <si>
    <t>High</t>
  </si>
  <si>
    <t>Low</t>
  </si>
  <si>
    <t>Close</t>
  </si>
  <si>
    <t>Sales</t>
  </si>
  <si>
    <t>Showing 1,2,3,11,12</t>
  </si>
  <si>
    <t>Forecast(Sales)</t>
  </si>
  <si>
    <t>Lower Confidence Bound(Sales)</t>
  </si>
  <si>
    <t>Upper Confidence Bound(Sales)</t>
  </si>
  <si>
    <t>=PMT(B1/12, B2, B3)</t>
  </si>
  <si>
    <t>=PMT(B1/12, B2, B3, B4)</t>
  </si>
  <si>
    <t>=PMT(B1/12, B2, B3, B4, 1)</t>
  </si>
  <si>
    <t xml:space="preserve"> =IPMT(B1/12, 6, B2, B3)</t>
  </si>
  <si>
    <t>=PPMT(B1/12, 6, B2, B3)</t>
  </si>
  <si>
    <t>=CUMIPMT(B1/12, B2, B3, 4, 6, 0)</t>
  </si>
  <si>
    <t>=CUMPRINC(B1/12, B2, B3, 4, 6, 0)</t>
  </si>
  <si>
    <t>Interest Payment</t>
  </si>
  <si>
    <t>Principal Payment</t>
  </si>
  <si>
    <t>=NPER(B1/12, B2, B3)</t>
  </si>
  <si>
    <t>=PV(B1/12, B2, B3)</t>
  </si>
  <si>
    <t>=FV(B1 ,B2, 0, B3)</t>
  </si>
  <si>
    <t>=-B3*EXP(B1*B2)</t>
  </si>
  <si>
    <t>=FVSCHEDULE(-B1,B2:B4)</t>
  </si>
  <si>
    <t>=FV(B1/12, B2, B3, 0, 1)</t>
  </si>
  <si>
    <t>Interest Earned per Month</t>
  </si>
  <si>
    <t>=NPER(B1/12, B3, B4, B5, B6)</t>
  </si>
  <si>
    <t>=PV(B1/12, B2, B3, B5, B6)</t>
  </si>
  <si>
    <t>=PMT(B1/12, B2, B4, B5, B6)</t>
  </si>
  <si>
    <t>=RATE(B2, B3, B4, B5, B6)</t>
  </si>
  <si>
    <t>=12*RATE(B2, B3, B4, B5, B6)</t>
  </si>
  <si>
    <t>=NPV(B4, B2:F2)</t>
  </si>
  <si>
    <t>=XNPV(B4, B2:F2, B1:F1)</t>
  </si>
  <si>
    <t>=IRR(B2:F2)</t>
  </si>
  <si>
    <t>=XIRR(B2:F2, B1:F1)</t>
  </si>
  <si>
    <t>=MIRR(B2:F2, B4,B5)</t>
  </si>
  <si>
    <t>=SLN(B1, B2, B3)</t>
  </si>
  <si>
    <t>Country/region</t>
  </si>
  <si>
    <t>Ticker symbol</t>
  </si>
  <si>
    <t>52 week low</t>
  </si>
  <si>
    <t>52 week high</t>
  </si>
  <si>
    <t>Instrument type</t>
  </si>
  <si>
    <t>Linear growth forecast =TREND(B2:B13,A2:A13,A14:A16)</t>
  </si>
  <si>
    <t>Exponential growth forecast =GROWTH(B2:B13,A2:A13,A14:A16)</t>
  </si>
  <si>
    <t>Actual sales</t>
  </si>
  <si>
    <t>Period (quarters)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</si>
</sst>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_([$$-409]* #,##0.00_);_([$$-409]* \(#,##0.00\);_([$$-409]* &quot;-&quot;??_);_(@_)"/>
    <numFmt numFmtId="166" formatCode="_([$€-2]\ * #,##0.00_);_([$€-2]\ * \(#,##0.00\);_([$€-2]\ * &quot;-&quot;??_);_(@_)"/>
    <numFmt numFmtId="167" formatCode="m/d;@"/>
    <numFmt numFmtId="168" formatCode="d\-mmm\-yyyy"/>
    <numFmt numFmtId="169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6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8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horizontal="left"/>
    </xf>
    <xf numFmtId="0" fontId="0" fillId="0" borderId="1" xfId="0" applyBorder="1"/>
    <xf numFmtId="9" fontId="0" fillId="0" borderId="0" xfId="0" quotePrefix="1" applyNumberFormat="1"/>
    <xf numFmtId="168" fontId="0" fillId="0" borderId="0" xfId="0" applyNumberFormat="1"/>
    <xf numFmtId="10" fontId="0" fillId="0" borderId="0" xfId="0" quotePrefix="1" applyNumberFormat="1"/>
    <xf numFmtId="169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167" formatCode="m/d;@"/>
    </dxf>
    <dxf>
      <numFmt numFmtId="166" formatCode="_([$€-2]\ * #,##0.00_);_([$€-2]\ * \(#,##0.00\);_([$€-2]\ * &quot;-&quot;??_);_(@_)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ichStyles" Target="richData/rich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Array" Target="richData/rdarray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Relationship Id="rId35" Type="http://schemas.microsoft.com/office/2017/06/relationships/rdRichValueTypes" Target="richData/rdRichValueTyp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High-Low-Close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'Stock chart'!$D$1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chart'!$D$2:$D$6</c:f>
              <c:numCache>
                <c:formatCode>_(* #,##0.00_);_(* \(#,##0.00\);_(* "-"??_);_(@_)</c:formatCode>
                <c:ptCount val="5"/>
                <c:pt idx="0">
                  <c:v>744.6</c:v>
                </c:pt>
                <c:pt idx="1">
                  <c:v>740.4</c:v>
                </c:pt>
                <c:pt idx="2">
                  <c:v>722.4</c:v>
                </c:pt>
                <c:pt idx="3">
                  <c:v>720.8</c:v>
                </c:pt>
                <c:pt idx="4">
                  <c:v>711.2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3-470D-A2CD-6EDA07C1AB14}"/>
            </c:ext>
          </c:extLst>
        </c:ser>
        <c:ser>
          <c:idx val="1"/>
          <c:order val="1"/>
          <c:tx>
            <c:strRef>
              <c:f>'Stock chart'!$E$1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chart'!$E$2:$E$6</c:f>
              <c:numCache>
                <c:formatCode>_(* #,##0.00_);_(* \(#,##0.00\);_(* "-"??_);_(@_)</c:formatCode>
                <c:ptCount val="5"/>
                <c:pt idx="0" formatCode="General">
                  <c:v>735</c:v>
                </c:pt>
                <c:pt idx="1">
                  <c:v>722.6</c:v>
                </c:pt>
                <c:pt idx="2">
                  <c:v>709.2</c:v>
                </c:pt>
                <c:pt idx="3">
                  <c:v>702.64850000000001</c:v>
                </c:pt>
                <c:pt idx="4">
                  <c:v>696.8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3-470D-A2CD-6EDA07C1AB14}"/>
            </c:ext>
          </c:extLst>
        </c:ser>
        <c:ser>
          <c:idx val="2"/>
          <c:order val="2"/>
          <c:tx>
            <c:strRef>
              <c:f>'Stock chart'!$F$1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50800">
                <a:solidFill>
                  <a:schemeClr val="accent3"/>
                </a:solidFill>
              </a:ln>
              <a:effectLst/>
            </c:spPr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chart'!$F$2:$F$6</c:f>
              <c:numCache>
                <c:formatCode>General</c:formatCode>
                <c:ptCount val="5"/>
                <c:pt idx="0" formatCode="_(* #,##0.00_);_(* \(#,##0.00\);_(* &quot;-&quot;??_);_(@_)">
                  <c:v>738</c:v>
                </c:pt>
                <c:pt idx="1">
                  <c:v>726.2</c:v>
                </c:pt>
                <c:pt idx="2">
                  <c:v>718</c:v>
                </c:pt>
                <c:pt idx="3">
                  <c:v>715</c:v>
                </c:pt>
                <c:pt idx="4">
                  <c:v>705.4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3-470D-A2CD-6EDA07C1A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755979024"/>
        <c:axId val="755969456"/>
      </c:stockChart>
      <c:dateAx>
        <c:axId val="75597902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69456"/>
        <c:crosses val="autoZero"/>
        <c:auto val="1"/>
        <c:lblOffset val="100"/>
        <c:baseTimeUnit val="days"/>
      </c:dateAx>
      <c:valAx>
        <c:axId val="755969456"/>
        <c:scaling>
          <c:orientation val="minMax"/>
          <c:min val="6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7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Open-High-Low-Close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'Stock chart'!$C$1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chart'!$C$2:$C$6</c:f>
              <c:numCache>
                <c:formatCode>General</c:formatCode>
                <c:ptCount val="5"/>
                <c:pt idx="0">
                  <c:v>741.4</c:v>
                </c:pt>
                <c:pt idx="1">
                  <c:v>737.2</c:v>
                </c:pt>
                <c:pt idx="2" formatCode="_(* #,##0.00_);_(* \(#,##0.00\);_(* &quot;-&quot;??_);_(@_)">
                  <c:v>721.2</c:v>
                </c:pt>
                <c:pt idx="3">
                  <c:v>710.4</c:v>
                </c:pt>
                <c:pt idx="4">
                  <c:v>707.6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7-4741-AE56-4060BB1BC052}"/>
            </c:ext>
          </c:extLst>
        </c:ser>
        <c:ser>
          <c:idx val="1"/>
          <c:order val="1"/>
          <c:tx>
            <c:strRef>
              <c:f>'Stock chart'!$D$1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chart'!$D$2:$D$6</c:f>
              <c:numCache>
                <c:formatCode>_(* #,##0.00_);_(* \(#,##0.00\);_(* "-"??_);_(@_)</c:formatCode>
                <c:ptCount val="5"/>
                <c:pt idx="0">
                  <c:v>744.6</c:v>
                </c:pt>
                <c:pt idx="1">
                  <c:v>740.4</c:v>
                </c:pt>
                <c:pt idx="2">
                  <c:v>722.4</c:v>
                </c:pt>
                <c:pt idx="3">
                  <c:v>720.8</c:v>
                </c:pt>
                <c:pt idx="4">
                  <c:v>711.2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7-4741-AE56-4060BB1BC052}"/>
            </c:ext>
          </c:extLst>
        </c:ser>
        <c:ser>
          <c:idx val="2"/>
          <c:order val="2"/>
          <c:tx>
            <c:strRef>
              <c:f>'Stock chart'!$E$1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chart'!$E$2:$E$6</c:f>
              <c:numCache>
                <c:formatCode>_(* #,##0.00_);_(* \(#,##0.00\);_(* "-"??_);_(@_)</c:formatCode>
                <c:ptCount val="5"/>
                <c:pt idx="0" formatCode="General">
                  <c:v>735</c:v>
                </c:pt>
                <c:pt idx="1">
                  <c:v>722.6</c:v>
                </c:pt>
                <c:pt idx="2">
                  <c:v>709.2</c:v>
                </c:pt>
                <c:pt idx="3">
                  <c:v>702.64850000000001</c:v>
                </c:pt>
                <c:pt idx="4">
                  <c:v>696.8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7-4741-AE56-4060BB1BC052}"/>
            </c:ext>
          </c:extLst>
        </c:ser>
        <c:ser>
          <c:idx val="3"/>
          <c:order val="3"/>
          <c:tx>
            <c:strRef>
              <c:f>'Stock chart'!$F$1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chart'!$F$2:$F$6</c:f>
              <c:numCache>
                <c:formatCode>General</c:formatCode>
                <c:ptCount val="5"/>
                <c:pt idx="0" formatCode="_(* #,##0.00_);_(* \(#,##0.00\);_(* &quot;-&quot;??_);_(@_)">
                  <c:v>738</c:v>
                </c:pt>
                <c:pt idx="1">
                  <c:v>726.2</c:v>
                </c:pt>
                <c:pt idx="2">
                  <c:v>718</c:v>
                </c:pt>
                <c:pt idx="3">
                  <c:v>715</c:v>
                </c:pt>
                <c:pt idx="4">
                  <c:v>705.4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7-4741-AE56-4060BB1BC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657827360"/>
        <c:axId val="657825696"/>
      </c:stockChart>
      <c:dateAx>
        <c:axId val="6578273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25696"/>
        <c:crosses val="autoZero"/>
        <c:auto val="1"/>
        <c:lblOffset val="100"/>
        <c:baseTimeUnit val="days"/>
      </c:dateAx>
      <c:valAx>
        <c:axId val="6578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2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Volume-High-Low-Close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chart'!$B$1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chart'!$B$2:$B$6</c:f>
              <c:numCache>
                <c:formatCode>General</c:formatCode>
                <c:ptCount val="5"/>
                <c:pt idx="0">
                  <c:v>829392</c:v>
                </c:pt>
                <c:pt idx="1">
                  <c:v>318448</c:v>
                </c:pt>
                <c:pt idx="2">
                  <c:v>979724</c:v>
                </c:pt>
                <c:pt idx="3">
                  <c:v>159992</c:v>
                </c:pt>
                <c:pt idx="4">
                  <c:v>894777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4-48C0-B507-71D8172FF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5974448"/>
        <c:axId val="755977360"/>
      </c:barChart>
      <c:stockChart>
        <c:ser>
          <c:idx val="1"/>
          <c:order val="1"/>
          <c:tx>
            <c:strRef>
              <c:f>'Stock chart'!$D$1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chart'!$D$2:$D$6</c:f>
              <c:numCache>
                <c:formatCode>_(* #,##0.00_);_(* \(#,##0.00\);_(* "-"??_);_(@_)</c:formatCode>
                <c:ptCount val="5"/>
                <c:pt idx="0">
                  <c:v>744.6</c:v>
                </c:pt>
                <c:pt idx="1">
                  <c:v>740.4</c:v>
                </c:pt>
                <c:pt idx="2">
                  <c:v>722.4</c:v>
                </c:pt>
                <c:pt idx="3">
                  <c:v>720.8</c:v>
                </c:pt>
                <c:pt idx="4">
                  <c:v>711.2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E4-48C0-B507-71D8172FFCB7}"/>
            </c:ext>
          </c:extLst>
        </c:ser>
        <c:ser>
          <c:idx val="2"/>
          <c:order val="2"/>
          <c:tx>
            <c:strRef>
              <c:f>'Stock chart'!$E$1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chart'!$E$2:$E$6</c:f>
              <c:numCache>
                <c:formatCode>_(* #,##0.00_);_(* \(#,##0.00\);_(* "-"??_);_(@_)</c:formatCode>
                <c:ptCount val="5"/>
                <c:pt idx="0" formatCode="General">
                  <c:v>735</c:v>
                </c:pt>
                <c:pt idx="1">
                  <c:v>722.6</c:v>
                </c:pt>
                <c:pt idx="2">
                  <c:v>709.2</c:v>
                </c:pt>
                <c:pt idx="3">
                  <c:v>702.64850000000001</c:v>
                </c:pt>
                <c:pt idx="4">
                  <c:v>696.8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E4-48C0-B507-71D8172FFCB7}"/>
            </c:ext>
          </c:extLst>
        </c:ser>
        <c:ser>
          <c:idx val="3"/>
          <c:order val="3"/>
          <c:tx>
            <c:strRef>
              <c:f>'Stock chart'!$F$1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50800">
                <a:solidFill>
                  <a:schemeClr val="accent3"/>
                </a:solidFill>
              </a:ln>
              <a:effectLst/>
            </c:spPr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chart'!$F$2:$F$6</c:f>
              <c:numCache>
                <c:formatCode>General</c:formatCode>
                <c:ptCount val="5"/>
                <c:pt idx="0" formatCode="_(* #,##0.00_);_(* \(#,##0.00\);_(* &quot;-&quot;??_);_(@_)">
                  <c:v>738</c:v>
                </c:pt>
                <c:pt idx="1">
                  <c:v>726.2</c:v>
                </c:pt>
                <c:pt idx="2">
                  <c:v>718</c:v>
                </c:pt>
                <c:pt idx="3">
                  <c:v>715</c:v>
                </c:pt>
                <c:pt idx="4">
                  <c:v>705.4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E4-48C0-B507-71D8172FF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755965296"/>
        <c:axId val="755985680"/>
      </c:stockChart>
      <c:dateAx>
        <c:axId val="75597444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77360"/>
        <c:crosses val="autoZero"/>
        <c:auto val="1"/>
        <c:lblOffset val="100"/>
        <c:baseTimeUnit val="days"/>
      </c:dateAx>
      <c:valAx>
        <c:axId val="755977360"/>
        <c:scaling>
          <c:orientation val="minMax"/>
          <c:max val="3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74448"/>
        <c:crosses val="autoZero"/>
        <c:crossBetween val="between"/>
      </c:valAx>
      <c:valAx>
        <c:axId val="7559856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65296"/>
        <c:crosses val="max"/>
        <c:crossBetween val="between"/>
      </c:valAx>
      <c:dateAx>
        <c:axId val="755965296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7559856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Volume-Open-High-Low-Close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chart'!$B$1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chart'!$B$2:$B$6</c:f>
              <c:numCache>
                <c:formatCode>General</c:formatCode>
                <c:ptCount val="5"/>
                <c:pt idx="0">
                  <c:v>829392</c:v>
                </c:pt>
                <c:pt idx="1">
                  <c:v>318448</c:v>
                </c:pt>
                <c:pt idx="2">
                  <c:v>979724</c:v>
                </c:pt>
                <c:pt idx="3">
                  <c:v>159992</c:v>
                </c:pt>
                <c:pt idx="4">
                  <c:v>894777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8-4C02-B59D-EE8276A73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5963632"/>
        <c:axId val="755982768"/>
      </c:barChart>
      <c:stockChart>
        <c:ser>
          <c:idx val="1"/>
          <c:order val="1"/>
          <c:tx>
            <c:strRef>
              <c:f>'Stock chart'!$C$1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chart'!$C$2:$C$6</c:f>
              <c:numCache>
                <c:formatCode>General</c:formatCode>
                <c:ptCount val="5"/>
                <c:pt idx="0">
                  <c:v>741.4</c:v>
                </c:pt>
                <c:pt idx="1">
                  <c:v>737.2</c:v>
                </c:pt>
                <c:pt idx="2" formatCode="_(* #,##0.00_);_(* \(#,##0.00\);_(* &quot;-&quot;??_);_(@_)">
                  <c:v>721.2</c:v>
                </c:pt>
                <c:pt idx="3">
                  <c:v>710.4</c:v>
                </c:pt>
                <c:pt idx="4">
                  <c:v>707.6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88-4C02-B59D-EE8276A731AB}"/>
            </c:ext>
          </c:extLst>
        </c:ser>
        <c:ser>
          <c:idx val="2"/>
          <c:order val="2"/>
          <c:tx>
            <c:strRef>
              <c:f>'Stock chart'!$D$1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chart'!$D$2:$D$6</c:f>
              <c:numCache>
                <c:formatCode>_(* #,##0.00_);_(* \(#,##0.00\);_(* "-"??_);_(@_)</c:formatCode>
                <c:ptCount val="5"/>
                <c:pt idx="0">
                  <c:v>744.6</c:v>
                </c:pt>
                <c:pt idx="1">
                  <c:v>740.4</c:v>
                </c:pt>
                <c:pt idx="2">
                  <c:v>722.4</c:v>
                </c:pt>
                <c:pt idx="3">
                  <c:v>720.8</c:v>
                </c:pt>
                <c:pt idx="4">
                  <c:v>711.2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88-4C02-B59D-EE8276A731AB}"/>
            </c:ext>
          </c:extLst>
        </c:ser>
        <c:ser>
          <c:idx val="3"/>
          <c:order val="3"/>
          <c:tx>
            <c:strRef>
              <c:f>'Stock chart'!$E$1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chart'!$E$2:$E$6</c:f>
              <c:numCache>
                <c:formatCode>_(* #,##0.00_);_(* \(#,##0.00\);_(* "-"??_);_(@_)</c:formatCode>
                <c:ptCount val="5"/>
                <c:pt idx="0" formatCode="General">
                  <c:v>735</c:v>
                </c:pt>
                <c:pt idx="1">
                  <c:v>722.6</c:v>
                </c:pt>
                <c:pt idx="2">
                  <c:v>709.2</c:v>
                </c:pt>
                <c:pt idx="3">
                  <c:v>702.64850000000001</c:v>
                </c:pt>
                <c:pt idx="4">
                  <c:v>696.8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88-4C02-B59D-EE8276A731AB}"/>
            </c:ext>
          </c:extLst>
        </c:ser>
        <c:ser>
          <c:idx val="4"/>
          <c:order val="4"/>
          <c:tx>
            <c:strRef>
              <c:f>'Stock chart'!$F$1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chart'!$A$2:$A$6</c:f>
              <c:numCache>
                <c:formatCode>m/d;@</c:formatCode>
                <c:ptCount val="5"/>
                <c:pt idx="0">
                  <c:v>44977</c:v>
                </c:pt>
                <c:pt idx="1">
                  <c:v>44978</c:v>
                </c:pt>
                <c:pt idx="2">
                  <c:v>44979</c:v>
                </c:pt>
                <c:pt idx="3">
                  <c:v>44980</c:v>
                </c:pt>
                <c:pt idx="4">
                  <c:v>44981</c:v>
                </c:pt>
              </c:numCache>
            </c:numRef>
          </c:cat>
          <c:val>
            <c:numRef>
              <c:f>'Stock chart'!$F$2:$F$6</c:f>
              <c:numCache>
                <c:formatCode>General</c:formatCode>
                <c:ptCount val="5"/>
                <c:pt idx="0" formatCode="_(* #,##0.00_);_(* \(#,##0.00\);_(* &quot;-&quot;??_);_(@_)">
                  <c:v>738</c:v>
                </c:pt>
                <c:pt idx="1">
                  <c:v>726.2</c:v>
                </c:pt>
                <c:pt idx="2">
                  <c:v>718</c:v>
                </c:pt>
                <c:pt idx="3">
                  <c:v>715</c:v>
                </c:pt>
                <c:pt idx="4">
                  <c:v>705.4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88-4C02-B59D-EE8276A73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55984016"/>
        <c:axId val="755976112"/>
      </c:stockChart>
      <c:dateAx>
        <c:axId val="75596363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82768"/>
        <c:crosses val="autoZero"/>
        <c:auto val="1"/>
        <c:lblOffset val="100"/>
        <c:baseTimeUnit val="days"/>
      </c:dateAx>
      <c:valAx>
        <c:axId val="755982768"/>
        <c:scaling>
          <c:orientation val="minMax"/>
          <c:max val="3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63632"/>
        <c:crosses val="autoZero"/>
        <c:crossBetween val="between"/>
      </c:valAx>
      <c:valAx>
        <c:axId val="7559761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84016"/>
        <c:crosses val="max"/>
        <c:crossBetween val="between"/>
      </c:valAx>
      <c:dateAx>
        <c:axId val="755984016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75597611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Sheet'!$B$1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Sheet'!$B$2:$B$21</c:f>
              <c:numCache>
                <c:formatCode>General</c:formatCode>
                <c:ptCount val="20"/>
                <c:pt idx="0">
                  <c:v>78000</c:v>
                </c:pt>
                <c:pt idx="1">
                  <c:v>60000</c:v>
                </c:pt>
                <c:pt idx="2">
                  <c:v>45000</c:v>
                </c:pt>
                <c:pt idx="3">
                  <c:v>80000</c:v>
                </c:pt>
                <c:pt idx="4">
                  <c:v>75000</c:v>
                </c:pt>
                <c:pt idx="5">
                  <c:v>70000</c:v>
                </c:pt>
                <c:pt idx="6">
                  <c:v>50000</c:v>
                </c:pt>
                <c:pt idx="7">
                  <c:v>90000</c:v>
                </c:pt>
                <c:pt idx="8">
                  <c:v>80000</c:v>
                </c:pt>
                <c:pt idx="9">
                  <c:v>52000</c:v>
                </c:pt>
                <c:pt idx="10">
                  <c:v>60000</c:v>
                </c:pt>
                <c:pt idx="11">
                  <c:v>115000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8-40F4-BD4A-21010E4D1298}"/>
            </c:ext>
          </c:extLst>
        </c:ser>
        <c:ser>
          <c:idx val="1"/>
          <c:order val="1"/>
          <c:tx>
            <c:strRef>
              <c:f>'Forecast Sheet'!$C$1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Sheet'!$A$2:$A$21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'Forecast Sheet'!$C$2:$C$21</c:f>
              <c:numCache>
                <c:formatCode>General</c:formatCode>
                <c:ptCount val="20"/>
                <c:pt idx="11">
                  <c:v>115000</c:v>
                </c:pt>
                <c:pt idx="12">
                  <c:v>97957.208139179435</c:v>
                </c:pt>
                <c:pt idx="13">
                  <c:v>87940.997425046648</c:v>
                </c:pt>
                <c:pt idx="14">
                  <c:v>70760.550261559067</c:v>
                </c:pt>
                <c:pt idx="15">
                  <c:v>109737.57978940511</c:v>
                </c:pt>
                <c:pt idx="16">
                  <c:v>104463.02939237008</c:v>
                </c:pt>
                <c:pt idx="17">
                  <c:v>94446.81867823728</c:v>
                </c:pt>
                <c:pt idx="18">
                  <c:v>77266.371514749713</c:v>
                </c:pt>
                <c:pt idx="19">
                  <c:v>116243.40104259577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8-40F4-BD4A-21010E4D1298}"/>
            </c:ext>
          </c:extLst>
        </c:ser>
        <c:ser>
          <c:idx val="2"/>
          <c:order val="2"/>
          <c:tx>
            <c:strRef>
              <c:f>'Forecast Sheet'!$D$1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'Forecast Sheet'!$D$2:$D$21</c:f>
              <c:numCache>
                <c:formatCode>General</c:formatCode>
                <c:ptCount val="20"/>
                <c:pt idx="11" formatCode="0.00">
                  <c:v>115000</c:v>
                </c:pt>
                <c:pt idx="12" formatCode="0.00">
                  <c:v>77340.873847918716</c:v>
                </c:pt>
                <c:pt idx="13" formatCode="0.00">
                  <c:v>64872.765673925329</c:v>
                </c:pt>
                <c:pt idx="14" formatCode="0.00">
                  <c:v>45468.643432621109</c:v>
                </c:pt>
                <c:pt idx="15" formatCode="0.00">
                  <c:v>82394.46741286316</c:v>
                </c:pt>
                <c:pt idx="16" formatCode="0.00">
                  <c:v>75197.527432336414</c:v>
                </c:pt>
                <c:pt idx="17" formatCode="0.00">
                  <c:v>63377.647213435266</c:v>
                </c:pt>
                <c:pt idx="18" formatCode="0.00">
                  <c:v>44486.075837048382</c:v>
                </c:pt>
                <c:pt idx="19" formatCode="0.00">
                  <c:v>81830.706253259879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A8-40F4-BD4A-21010E4D1298}"/>
            </c:ext>
          </c:extLst>
        </c:ser>
        <c:ser>
          <c:idx val="3"/>
          <c:order val="3"/>
          <c:tx>
            <c:strRef>
              <c:f>'Forecast Sheet'!$E$1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'Forecast Sheet'!$E$2:$E$21</c:f>
              <c:numCache>
                <c:formatCode>General</c:formatCode>
                <c:ptCount val="20"/>
                <c:pt idx="11" formatCode="0.00">
                  <c:v>115000</c:v>
                </c:pt>
                <c:pt idx="12" formatCode="0.00">
                  <c:v>118573.54243044015</c:v>
                </c:pt>
                <c:pt idx="13" formatCode="0.00">
                  <c:v>111009.22917616797</c:v>
                </c:pt>
                <c:pt idx="14" formatCode="0.00">
                  <c:v>96052.457090497017</c:v>
                </c:pt>
                <c:pt idx="15" formatCode="0.00">
                  <c:v>137080.69216594705</c:v>
                </c:pt>
                <c:pt idx="16" formatCode="0.00">
                  <c:v>133728.53135240375</c:v>
                </c:pt>
                <c:pt idx="17" formatCode="0.00">
                  <c:v>125515.99014303929</c:v>
                </c:pt>
                <c:pt idx="18" formatCode="0.00">
                  <c:v>110046.66719245104</c:v>
                </c:pt>
                <c:pt idx="19" formatCode="0.00">
                  <c:v>150656.09583193166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A8-40F4-BD4A-21010E4D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754448"/>
        <c:axId val="1065756112"/>
      </c:lineChart>
      <c:catAx>
        <c:axId val="106575444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56112"/>
        <c:crosses val="autoZero"/>
        <c:auto val="1"/>
        <c:lblAlgn val="ctr"/>
        <c:lblOffset val="100"/>
        <c:noMultiLvlLbl val="0"/>
      </c:catAx>
      <c:valAx>
        <c:axId val="10657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5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ustomXml" Target="../ink/ink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254791</xdr:colOff>
      <xdr:row>7</xdr:row>
      <xdr:rowOff>88105</xdr:rowOff>
    </xdr:from>
    <xdr:to>
      <xdr:col>6</xdr:col>
      <xdr:colOff>109536</xdr:colOff>
      <xdr:row>18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493D6D-275E-CB8B-91DC-5A9F14283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150018</xdr:colOff>
      <xdr:row>7</xdr:row>
      <xdr:rowOff>88105</xdr:rowOff>
    </xdr:from>
    <xdr:to>
      <xdr:col>11</xdr:col>
      <xdr:colOff>20478</xdr:colOff>
      <xdr:row>18</xdr:row>
      <xdr:rowOff>154780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246B9A-C1AB-E264-7D8B-5E08CCAE1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254791</xdr:colOff>
      <xdr:row>19</xdr:row>
      <xdr:rowOff>7130</xdr:rowOff>
    </xdr:from>
    <xdr:to>
      <xdr:col>6</xdr:col>
      <xdr:colOff>106201</xdr:colOff>
      <xdr:row>30</xdr:row>
      <xdr:rowOff>73805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24D797-5814-6E77-BC05-D993A23C5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150018</xdr:colOff>
      <xdr:row>19</xdr:row>
      <xdr:rowOff>7130</xdr:rowOff>
    </xdr:from>
    <xdr:to>
      <xdr:col>11</xdr:col>
      <xdr:colOff>20478</xdr:colOff>
      <xdr:row>30</xdr:row>
      <xdr:rowOff>73805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CAF15A-DB43-21ED-2105-C952BAD8A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483210</xdr:colOff>
      <xdr:row>5</xdr:row>
      <xdr:rowOff>173685</xdr:rowOff>
    </xdr:from>
    <xdr:to>
      <xdr:col>6</xdr:col>
      <xdr:colOff>483570</xdr:colOff>
      <xdr:row>5</xdr:row>
      <xdr:rowOff>174045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B8B4139-4959-359A-A1A5-4D3757FAAD48}"/>
                </a:ext>
              </a:extLst>
            </xdr14:cNvPr>
            <xdr14:cNvContentPartPr/>
          </xdr14:nvContentPartPr>
          <xdr14:nvPr macro=""/>
          <xdr14:xfrm>
            <a:off x="3740760" y="10785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B8B4139-4959-359A-A1A5-4D3757FAAD4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704760" y="104256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557212</xdr:colOff>
      <xdr:row>1</xdr:row>
      <xdr:rowOff>57151</xdr:rowOff>
    </xdr:from>
    <xdr:to>
      <xdr:col>4</xdr:col>
      <xdr:colOff>1514475</xdr:colOff>
      <xdr:row>11</xdr:row>
      <xdr:rowOff>80964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2CDD53-6DC3-A2DC-4739-40D5BF120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06T09:17:54.726"/>
    </inkml:context>
    <inkml:brush xml:id="br0">
      <inkml:brushProperty name="width" value="0.2" units="cm"/>
      <inkml:brushProperty name="height" value="0.2" units="cm"/>
    </inkml:brush>
  </inkml:definitions>
  <inkml:trace contextRef="#ctx0" brushRef="#br0">0 0 0 0 0,'0'0'64'0'0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3">
  <a r="1" c="5">
    <v t="i">0</v>
    <v t="i">1</v>
    <v t="i">2</v>
    <v t="i">5</v>
    <v t="i">6</v>
  </a>
  <a r="1" c="5">
    <v>0.93340000000000001</v>
    <v>0.93210000000000004</v>
    <v>0.92920000000000003</v>
    <v>0.92849999999999999</v>
    <v>0.92959999999999998</v>
  </a>
  <a r="1" c="5">
    <v>2.75</v>
    <v>2.75</v>
    <v>2.75</v>
    <v>-99999901</v>
    <v>2.75</v>
  </a>
</arrayData>
</file>

<file path=xl/richData/rdrichvalue.xml><?xml version="1.0" encoding="utf-8"?>
<rvData xmlns="http://schemas.microsoft.com/office/spreadsheetml/2017/richdata" count="36">
  <rv s="0">
    <v>https://www.bing.com/financeapi/forcetrigger?t=a33k6h&amp;q=S%26P+500+INDEX&amp;form=skydnc</v>
    <v>Learn more on Bing</v>
  </rv>
  <rv s="1">
    <v>en-US</v>
    <v>a33k6h</v>
    <v>268435456</v>
    <v>1</v>
    <v>Powered by Refinitiv</v>
    <v>0</v>
    <v>S&amp;P 500 INDEX</v>
    <v>2</v>
    <v>3</v>
    <v>Finance</v>
    <v>4</v>
    <v>5264.85</v>
    <v>4098.92</v>
    <v>6.96</v>
    <v>1.343E-3</v>
    <v>US</v>
    <v>5200.2299999999996</v>
    <v>Index</v>
    <v>0</v>
    <v>5178.96</v>
    <v>S&amp;P 500 INDEX</v>
    <v>5187.2</v>
    <v>5180.74</v>
    <v>5187.7</v>
    <v>INX</v>
    <v>S&amp;P 500 INDEX</v>
  </rv>
  <rv s="2">
    <v>1</v>
  </rv>
  <rv s="3">
    <v>en-US</v>
    <v>avyn9c</v>
    <v>268435456</v>
    <v>1</v>
    <v>Powered by Refinitiv</v>
    <v>5</v>
    <v>USD/EUR</v>
    <v>6</v>
    <v>7</v>
    <v>Finance</v>
    <v>8</v>
    <v>0.95699999999999996</v>
    <v>0.88670000000000004</v>
    <v>1.4E-3</v>
    <v>1.5060000000000002E-3</v>
    <v>EUR</v>
    <v>USD</v>
    <v>0.93149999999999999</v>
    <v>Currency Pair</v>
    <v>45420.34951388889</v>
    <v>0.92969999999999997</v>
    <v>US Dollar/Euro FX Cross Rate</v>
    <v>0.92969999999999997</v>
    <v>0.92959999999999998</v>
    <v>0.93100000000000005</v>
    <v>USDEUR</v>
    <v>USD/EUR</v>
  </rv>
  <rv s="2">
    <v>3</v>
  </rv>
  <rv s="4">
    <fb>45413</fb>
    <v>9</v>
  </rv>
  <rv s="4">
    <fb>0.93340000000000001</fb>
    <v>10</v>
  </rv>
  <rv s="4">
    <fb>2.75</fb>
    <v>11</v>
  </rv>
  <rv s="4">
    <fb>45414</fb>
    <v>9</v>
  </rv>
  <rv s="4">
    <fb>0.93210000000000004</fb>
    <v>10</v>
  </rv>
  <rv s="4">
    <fb>45415</fb>
    <v>9</v>
  </rv>
  <rv s="4">
    <fb>0.92920000000000003</fb>
    <v>10</v>
  </rv>
  <rv s="4">
    <fb>45418</fb>
    <v>9</v>
  </rv>
  <rv s="4">
    <fb>0.92849999999999999</fb>
    <v>10</v>
  </rv>
  <rv s="5">
    <fb t="e">#N/A</fb>
    <v>6</v>
    <v>4</v>
  </rv>
  <rv s="4">
    <fb>45419</fb>
    <v>9</v>
  </rv>
  <rv s="4">
    <fb>0.92959999999999998</fb>
    <v>10</v>
  </rv>
  <rv s="3">
    <v>en-US</v>
    <v>avyu4c</v>
    <v>268435456</v>
    <v>1</v>
    <v>Powered by Refinitiv</v>
    <v>5</v>
    <v>USD/GBP</v>
    <v>6</v>
    <v>12</v>
    <v>Finance</v>
    <v>8</v>
    <v>0.83069999999999999</v>
    <v>0.76060000000000005</v>
    <v>2.3999999999999998E-3</v>
    <v>3.0020000000000003E-3</v>
    <v>GBP</v>
    <v>USD</v>
    <v>0.80200000000000005</v>
    <v>Currency Pair</v>
    <v>45420.349490740744</v>
    <v>0.79869999999999997</v>
    <v>US Dollar/UK Pound Sterling FX Cross Rate</v>
    <v>0.79949999999999999</v>
    <v>0.7994</v>
    <v>0.80179999999999996</v>
    <v>USDGBP</v>
    <v>USD/GBP</v>
  </rv>
  <rv s="2">
    <v>17</v>
  </rv>
  <rv s="4">
    <fb>744.6</fb>
    <v>11</v>
  </rv>
  <rv s="4">
    <fb>738</fb>
    <v>11</v>
  </rv>
  <rv s="4">
    <fb>44978</fb>
    <v>9</v>
  </rv>
  <rv s="4">
    <fb>740.4</fb>
    <v>11</v>
  </rv>
  <rv s="4">
    <fb>722.6</fb>
    <v>11</v>
  </rv>
  <rv s="4">
    <fb>44979</fb>
    <v>9</v>
  </rv>
  <rv s="4">
    <fb>721.2</fb>
    <v>11</v>
  </rv>
  <rv s="4">
    <fb>722.4</fb>
    <v>11</v>
  </rv>
  <rv s="4">
    <fb>709.2</fb>
    <v>11</v>
  </rv>
  <rv s="4">
    <fb>44980</fb>
    <v>9</v>
  </rv>
  <rv s="4">
    <fb>720.8</fb>
    <v>11</v>
  </rv>
  <rv s="4">
    <fb>702.64850000000001</fb>
    <v>11</v>
  </rv>
  <rv s="4">
    <fb>44981</fb>
    <v>9</v>
  </rv>
  <rv s="4">
    <fb>711.2</fb>
    <v>11</v>
  </rv>
  <rv s="4">
    <fb>696.8</fb>
    <v>11</v>
  </rv>
  <rv s="6">
    <v>13</v>
    <v>USD/EUR</v>
    <v>Daily</v>
    <v>45413</v>
    <v>45420</v>
    <v>0</v>
    <v>1</v>
    <v>638506368000000000,638507530913952538,0</v>
    <v>0</v>
    <v>avyn9c</v>
    <v>USDEUR</v>
    <v>1</v>
  </rv>
  <rv s="6">
    <v>14</v>
    <v>INX</v>
    <v>Daily</v>
    <v>45413</v>
    <v>45420</v>
    <v>0</v>
    <v>1</v>
    <v>638506368000000000,638507530913952334,0</v>
    <v>0</v>
    <v>b1i4ar</v>
    <v>XLON:INX</v>
    <v>2</v>
  </rv>
</rvData>
</file>

<file path=xl/richData/rdrichvaluestructure.xml><?xml version="1.0" encoding="utf-8"?>
<rvStructures xmlns="http://schemas.microsoft.com/office/spreadsheetml/2017/richdata" count="7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ountry/region" t="s"/>
    <k n="High"/>
    <k n="Instrument type" t="s"/>
    <k n="LearnMoreOnLink" t="r"/>
    <k n="Low"/>
    <k n="Name" t="s"/>
    <k n="Open"/>
    <k n="Previous close"/>
    <k n="Price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2"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_SubLabel</v>
      <v t="s">Change</v>
      <v t="s">Change (%)</v>
      <v t="s">Country/region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LearnMoreOnLink</v>
      <v t="s">%ProviderInfo</v>
    </a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1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1</v>
      <v>1</v>
      <v>1</v>
      <v>4</v>
    </spb>
    <spb s="4">
      <v>from previous close</v>
      <v>from previous close</v>
    </spb>
    <spb s="5">
      <v>1</v>
      <v>Name</v>
    </spb>
    <spb s="6">
      <v>1</v>
      <v>1</v>
    </spb>
    <spb s="7">
      <v>5</v>
      <v>5</v>
      <v>2</v>
      <v>5</v>
      <v>5</v>
      <v>5</v>
      <v>3</v>
      <v>5</v>
      <v>5</v>
      <v>5</v>
      <v>6</v>
      <v>4</v>
    </spb>
    <spb s="8">
      <v>GMT</v>
    </spb>
    <spb s="9">
      <v>7</v>
    </spb>
    <spb s="9">
      <v>5</v>
    </spb>
    <spb s="9">
      <v>8</v>
    </spb>
    <spb s="7">
      <v>9</v>
      <v>9</v>
      <v>2</v>
      <v>9</v>
      <v>9</v>
      <v>9</v>
      <v>3</v>
      <v>9</v>
      <v>9</v>
      <v>9</v>
      <v>6</v>
      <v>4</v>
    </spb>
    <spb s="10">
      <v>7</v>
      <v>5</v>
    </spb>
    <spb s="10">
      <v>7</v>
      <v>8</v>
    </spb>
  </spbData>
</supportingPropertyBags>
</file>

<file path=xl/richData/rdsupportingpropertybagstructure.xml><?xml version="1.0" encoding="utf-8"?>
<spbStructures xmlns="http://schemas.microsoft.com/office/spreadsheetml/2017/richdata2" count="11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`%EntityServiceId" t="i"/>
  </s>
  <s>
    <k n="Change" t="s"/>
    <k n="Change (%)" t="s"/>
  </s>
  <s>
    <k n="^Order" t="spba"/>
    <k n="TitleProperty" t="s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19" formatCode="m/d/yyyy"/>
    </x:dxf>
    <x:dxf>
      <x:numFmt numFmtId="35" formatCode="_(* #,##0.00_);_(* \(#,##0.00\);_(* &quot;-&quot;??_);_(@_)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0">
      <rpv i="0">0.00</rpv>
    </rSty>
    <rSty dxfid="1">
      <rpv i="0">_([$€-x-euro2] * #,##0.00_);_([$€-x-euro2] * (#,##0.00);_([$€-x-euro2] * "-"??_);_(@_)</rpv>
    </rSty>
    <rSty dxfid="2"/>
    <rSty dxfid="4"/>
    <rSty dxfid="5">
      <rpv i="0">_(* #,##0.00_);_(* (#,##0.00);_(* "-"??_);_(@_)</rpv>
    </rSty>
    <rSty dxfid="1">
      <rpv i="0">_-[$£-en-GB]* #,##0.00_-;-[$£-en-GB]* #,##0.00_-;_-[$£-en-GB]* "-"??_-;_-@_-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7A3C98-1F97-4A72-9907-B3F0FEB72D87}" name="Table2" displayName="Table2" ref="A6:B7" totalsRowShown="0">
  <autoFilter ref="A6:B7" xr:uid="{717A3C98-1F97-4A72-9907-B3F0FEB72D87}"/>
  <tableColumns count="2">
    <tableColumn id="1" xr3:uid="{703BD886-CD12-4B0D-9DD1-4A793091A5EE}" name="Name"/>
    <tableColumn id="2" xr3:uid="{0FFA89F4-7B18-4B61-B3B2-38F643E7888B}" name="Price" dataDxfId="8">
      <calculatedColumnFormula array="1">_FV(Table2[[#This Row],[Name]],"Price")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E1493-FF1F-45CD-B35C-75A1D2A701D4}" name="Table4" displayName="Table4" ref="A1:G2" totalsRowShown="0">
  <autoFilter ref="A1:G2" xr:uid="{660E1493-FF1F-45CD-B35C-75A1D2A701D4}"/>
  <tableColumns count="7">
    <tableColumn id="1" xr3:uid="{B9ADC2EF-E0BF-4514-86E2-D5231D7D1191}" name="Name"/>
    <tableColumn id="8" xr3:uid="{8B30528E-BCCF-410D-9CE8-3153DD72F7B8}" name="Country/region">
      <calculatedColumnFormula array="1">_FV(Table4[[#This Row],[Name]],"Country/region",TRUE)</calculatedColumnFormula>
    </tableColumn>
    <tableColumn id="9" xr3:uid="{3DE450A7-9FF4-4B1C-841D-7758474099C7}" name="Instrument type">
      <calculatedColumnFormula array="1">_FV(Table4[[#This Row],[Name]],"Instrument type",TRUE)</calculatedColumnFormula>
    </tableColumn>
    <tableColumn id="11" xr3:uid="{355F66FA-20EF-4004-9CFC-95D7CF307DAC}" name="Price" dataDxfId="7">
      <calculatedColumnFormula array="1">_FV(Table4[[#This Row],[Name]],"Price")</calculatedColumnFormula>
    </tableColumn>
    <tableColumn id="12" xr3:uid="{3EC3F2CE-98D3-4E93-BE0A-D931A286E00B}" name="52 week high" dataDxfId="6">
      <calculatedColumnFormula array="1">_FV(Table4[[#This Row],[Name]],"52 week high",TRUE)</calculatedColumnFormula>
    </tableColumn>
    <tableColumn id="13" xr3:uid="{10C66653-14D1-468F-84E0-2B92909141BF}" name="52 week low" dataDxfId="5">
      <calculatedColumnFormula array="1">_FV(Table4[[#This Row],[Name]],"52 week low",TRUE)</calculatedColumnFormula>
    </tableColumn>
    <tableColumn id="14" xr3:uid="{ABF4DEFF-7875-45BE-A1FB-C23165E01633}" name="Ticker symbol" dataDxfId="4">
      <calculatedColumnFormula array="1">_FV(Table4[[#This Row],[Name]],"Ticker symbol",TRUE)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AA221B-B049-41C4-8774-0801C8DB6F68}" name="Table3" displayName="Table3" ref="A1:B2" totalsRowShown="0">
  <autoFilter ref="A1:B2" xr:uid="{94AA221B-B049-41C4-8774-0801C8DB6F68}"/>
  <tableColumns count="2">
    <tableColumn id="1" xr3:uid="{F1345157-A9DA-4F13-B82D-9FF2FFCF7832}" name="Name"/>
    <tableColumn id="2" xr3:uid="{64054FB8-DE6C-4022-931A-F5F51522E832}" name="Price" dataDxfId="3">
      <calculatedColumnFormula array="1">_FV(Table3[[#This Row],[Name]],"Price")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ACB15-6AE9-4691-9358-CD5A2ED2FF2E}" name="Table5" displayName="Table5" ref="A6:A7" totalsRowShown="0">
  <autoFilter ref="A6:A7" xr:uid="{B85ACB15-6AE9-4691-9358-CD5A2ED2FF2E}"/>
  <tableColumns count="1">
    <tableColumn id="1" xr3:uid="{1D66065B-6458-4B5F-A044-6396E2B9659D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58BA4-6BE1-4321-80D7-52BCAAD232FB}" name="Table1" displayName="Table1" ref="A1:F6" totalsRowShown="0">
  <autoFilter ref="A1:F6" xr:uid="{A3B58BA4-6BE1-4321-80D7-52BCAAD232FB}"/>
  <tableColumns count="6">
    <tableColumn id="1" xr3:uid="{C935D3B9-B10F-4BD9-9942-53580624DA69}" name="Date" dataDxfId="2"/>
    <tableColumn id="2" xr3:uid="{D53226AA-32EC-4E7B-AB91-F19AA897BC8F}" name="Volume"/>
    <tableColumn id="3" xr3:uid="{CC3EEC17-1A82-4A4A-9C1E-514FEE9BCCB9}" name="Open"/>
    <tableColumn id="4" xr3:uid="{BA4C5D4B-C85E-4705-ABD8-D3815CE88924}" name="High"/>
    <tableColumn id="5" xr3:uid="{63E02075-0513-4CE7-886B-F9FC4ADF168A}" name="Low"/>
    <tableColumn id="6" xr3:uid="{2B4E0101-73A8-4275-8613-B92EC3167CC0}" name="Clos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4ADD69-BD0D-40C2-9C40-2CA98DF8E862}" name="Table8" displayName="Table8" ref="A1:E21" totalsRowShown="0">
  <autoFilter ref="A1:E21" xr:uid="{1F4ADD69-BD0D-40C2-9C40-2CA98DF8E862}"/>
  <tableColumns count="5">
    <tableColumn id="1" xr3:uid="{6FA3E35A-ACDC-45EF-8DD6-8A8214552969}" name="Period (quarters)"/>
    <tableColumn id="2" xr3:uid="{6C1678F8-C735-41F0-840A-BE0C2CFD9272}" name="Sales"/>
    <tableColumn id="3" xr3:uid="{0B9B142F-2DF4-4E6A-8AF5-A82449427467}" name="Forecast(Sales)">
      <calculatedColumnFormula>_xlfn.FORECAST.ETS(A2,$B$2:$B$13,$A$2:$A$13,1,1)</calculatedColumnFormula>
    </tableColumn>
    <tableColumn id="4" xr3:uid="{11017580-BD1C-4CDB-85ED-75309680199B}" name="Lower Confidence Bound(Sales)" dataDxfId="1">
      <calculatedColumnFormula>C2-_xlfn.FORECAST.ETS.CONFINT(A2,$B$2:$B$13,$A$2:$A$13,0.95,1,1)</calculatedColumnFormula>
    </tableColumn>
    <tableColumn id="5" xr3:uid="{BA87A7E8-FFF8-4FF8-A325-32644E8B4A63}" name="Upper Confidence Bound(Sales)" dataDxfId="0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DD1A-90F6-40AC-8B45-C88635BEDFE9}">
  <dimension ref="A1:F4"/>
  <sheetViews>
    <sheetView tabSelected="1" workbookViewId="0">
      <selection activeCell="M17" sqref="M17"/>
    </sheetView>
  </sheetViews>
  <sheetFormatPr defaultRowHeight="14.25" x14ac:dyDescent="0.45"/>
  <cols>
    <col min="1" max="1" width="18.9296875" bestFit="1" customWidth="1"/>
    <col min="2" max="2" width="9.265625" bestFit="1" customWidth="1"/>
    <col min="3" max="3" width="2.1328125" customWidth="1"/>
    <col min="4" max="4" width="21.46484375" customWidth="1"/>
    <col min="5" max="5" width="22.3984375" bestFit="1" customWidth="1"/>
    <col min="6" max="6" width="8.19921875" customWidth="1"/>
  </cols>
  <sheetData>
    <row r="1" spans="1:6" x14ac:dyDescent="0.45">
      <c r="A1" t="s">
        <v>10</v>
      </c>
      <c r="B1" s="2">
        <v>0.1</v>
      </c>
      <c r="D1" t="s">
        <v>12</v>
      </c>
      <c r="E1" s="10" t="s">
        <v>63</v>
      </c>
      <c r="F1" s="4">
        <f>PMT(B1/12,B2,B3)</f>
        <v>-439.57943615004797</v>
      </c>
    </row>
    <row r="2" spans="1:6" x14ac:dyDescent="0.45">
      <c r="A2" t="s">
        <v>11</v>
      </c>
      <c r="B2">
        <v>12</v>
      </c>
      <c r="D2" t="s">
        <v>14</v>
      </c>
      <c r="E2" s="10" t="s">
        <v>64</v>
      </c>
      <c r="F2" s="4">
        <f>PMT(B1/12,B2,B3,B4)</f>
        <v>-359.99688225337172</v>
      </c>
    </row>
    <row r="3" spans="1:6" x14ac:dyDescent="0.45">
      <c r="A3" t="s">
        <v>9</v>
      </c>
      <c r="B3" s="4">
        <v>5000</v>
      </c>
      <c r="D3" t="s">
        <v>15</v>
      </c>
      <c r="E3" s="10" t="s">
        <v>65</v>
      </c>
      <c r="F3" s="4">
        <f>PMT(B1/12,B2,B3,B4,1)</f>
        <v>-357.02170140830253</v>
      </c>
    </row>
    <row r="4" spans="1:6" x14ac:dyDescent="0.45">
      <c r="A4" t="s">
        <v>13</v>
      </c>
      <c r="B4" s="4">
        <v>-1000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3505-78A8-4499-B20C-4DC80D813BA2}">
  <dimension ref="A1:F4"/>
  <sheetViews>
    <sheetView workbookViewId="0">
      <selection activeCell="L18" sqref="L18"/>
    </sheetView>
  </sheetViews>
  <sheetFormatPr defaultRowHeight="14.25" x14ac:dyDescent="0.45"/>
  <cols>
    <col min="1" max="1" width="18.53125" bestFit="1" customWidth="1"/>
    <col min="2" max="2" width="8.6640625" bestFit="1" customWidth="1"/>
    <col min="3" max="3" width="1.46484375" customWidth="1"/>
    <col min="4" max="4" width="18.46484375" customWidth="1"/>
    <col min="5" max="5" width="28.46484375" bestFit="1" customWidth="1"/>
    <col min="6" max="6" width="10.33203125" customWidth="1"/>
  </cols>
  <sheetData>
    <row r="1" spans="1:6" x14ac:dyDescent="0.45">
      <c r="A1" t="s">
        <v>10</v>
      </c>
      <c r="B1" s="2">
        <v>0.1</v>
      </c>
      <c r="D1" t="s">
        <v>17</v>
      </c>
      <c r="E1" s="10" t="s">
        <v>66</v>
      </c>
      <c r="F1" s="4">
        <f>IPMT(B1/12,6,B2,B3)</f>
        <v>-24.808327279392415</v>
      </c>
    </row>
    <row r="2" spans="1:6" x14ac:dyDescent="0.45">
      <c r="A2" t="s">
        <v>11</v>
      </c>
      <c r="B2">
        <v>12</v>
      </c>
      <c r="D2" t="s">
        <v>18</v>
      </c>
      <c r="E2" s="10" t="s">
        <v>67</v>
      </c>
      <c r="F2" s="4">
        <f>PPMT(B1/12,6,B2,B3)</f>
        <v>-414.77110887065555</v>
      </c>
    </row>
    <row r="3" spans="1:6" x14ac:dyDescent="0.45">
      <c r="A3" t="s">
        <v>9</v>
      </c>
      <c r="B3" s="4">
        <v>5000</v>
      </c>
      <c r="D3" t="s">
        <v>16</v>
      </c>
      <c r="E3" s="11" t="s">
        <v>68</v>
      </c>
      <c r="F3" s="4">
        <f>CUMIPMT(B1/12,B2,B3,4,6,0)</f>
        <v>-84.680233625020946</v>
      </c>
    </row>
    <row r="4" spans="1:6" x14ac:dyDescent="0.45">
      <c r="D4" t="s">
        <v>19</v>
      </c>
      <c r="E4" s="11" t="s">
        <v>69</v>
      </c>
      <c r="F4" s="4">
        <f>CUMPRINC(B1/12,B2,B3,4,6,0)</f>
        <v>-1234.058074825123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5820-824A-42C1-AF2A-4AAD21A5CECF}">
  <dimension ref="A1:H24"/>
  <sheetViews>
    <sheetView workbookViewId="0">
      <selection activeCell="H24" sqref="H24"/>
    </sheetView>
  </sheetViews>
  <sheetFormatPr defaultRowHeight="14.25" x14ac:dyDescent="0.45"/>
  <cols>
    <col min="1" max="1" width="3.06640625" bestFit="1" customWidth="1"/>
    <col min="2" max="2" width="5.19921875" bestFit="1" customWidth="1"/>
    <col min="3" max="3" width="12.6640625" bestFit="1" customWidth="1"/>
    <col min="4" max="4" width="13.59765625" bestFit="1" customWidth="1"/>
    <col min="5" max="5" width="13.86328125" bestFit="1" customWidth="1"/>
    <col min="6" max="6" width="9.265625" bestFit="1" customWidth="1"/>
    <col min="7" max="7" width="10.9296875" customWidth="1"/>
  </cols>
  <sheetData>
    <row r="1" spans="1:6" x14ac:dyDescent="0.45">
      <c r="A1" s="12" t="s">
        <v>0</v>
      </c>
      <c r="B1" s="12" t="s">
        <v>2</v>
      </c>
      <c r="C1" s="12" t="s">
        <v>22</v>
      </c>
      <c r="D1" s="12" t="s">
        <v>70</v>
      </c>
      <c r="E1" s="12" t="s">
        <v>71</v>
      </c>
      <c r="F1" s="12" t="s">
        <v>1</v>
      </c>
    </row>
    <row r="2" spans="1:6" x14ac:dyDescent="0.45">
      <c r="A2">
        <v>0</v>
      </c>
      <c r="F2" s="1">
        <v>5000</v>
      </c>
    </row>
    <row r="3" spans="1:6" x14ac:dyDescent="0.45">
      <c r="A3">
        <v>1</v>
      </c>
      <c r="B3" s="2">
        <v>0.12</v>
      </c>
      <c r="C3" s="4">
        <f>PMT(B3/12,$A$14-A2,F2)</f>
        <v>-444.24394339170846</v>
      </c>
      <c r="D3" s="4">
        <f>IPMT(B3/12,1,$A$14-A2,F2)</f>
        <v>-50</v>
      </c>
      <c r="E3" s="4">
        <f>PPMT(B3/12,1,$A$14-A2,F2)</f>
        <v>-394.24394339170846</v>
      </c>
      <c r="F3" s="1">
        <f>F2+E3</f>
        <v>4605.7560566082911</v>
      </c>
    </row>
    <row r="4" spans="1:6" x14ac:dyDescent="0.45">
      <c r="A4">
        <v>2</v>
      </c>
      <c r="B4" s="2">
        <v>0.12</v>
      </c>
      <c r="C4" s="4">
        <f>PMT(B4/12,$A$14-A3,F3)</f>
        <v>-444.2439433917084</v>
      </c>
      <c r="D4" s="4">
        <f t="shared" ref="D4:D13" si="0">IPMT(B4/12,1,$A$14-A3,F3)</f>
        <v>-46.057560566082913</v>
      </c>
      <c r="E4" s="4">
        <f t="shared" ref="E4:E13" si="1">PPMT(B4/12,1,$A$14-A3,F3)</f>
        <v>-398.18638282562551</v>
      </c>
      <c r="F4" s="1">
        <f t="shared" ref="F4:F13" si="2">F3+E4</f>
        <v>4207.5696737826656</v>
      </c>
    </row>
    <row r="5" spans="1:6" x14ac:dyDescent="0.45">
      <c r="A5">
        <v>3</v>
      </c>
      <c r="B5" s="2">
        <v>0.12</v>
      </c>
      <c r="C5" s="4">
        <f t="shared" ref="C5:C13" si="3">PMT(B5/12,$A$14-A4,F4)</f>
        <v>-444.24394339170846</v>
      </c>
      <c r="D5" s="4">
        <f t="shared" si="0"/>
        <v>-42.075696737826654</v>
      </c>
      <c r="E5" s="4">
        <f t="shared" si="1"/>
        <v>-402.16824665388179</v>
      </c>
      <c r="F5" s="1">
        <f t="shared" si="2"/>
        <v>3805.4014271287838</v>
      </c>
    </row>
    <row r="6" spans="1:6" x14ac:dyDescent="0.45">
      <c r="A6">
        <v>4</v>
      </c>
      <c r="B6" s="2">
        <v>0.06</v>
      </c>
      <c r="C6" s="4">
        <f t="shared" si="3"/>
        <v>-433.46323272808507</v>
      </c>
      <c r="D6" s="4">
        <f t="shared" si="0"/>
        <v>-19.02700713564392</v>
      </c>
      <c r="E6" s="4">
        <f t="shared" si="1"/>
        <v>-414.43622559244113</v>
      </c>
      <c r="F6" s="1">
        <f t="shared" si="2"/>
        <v>3390.9652015363426</v>
      </c>
    </row>
    <row r="7" spans="1:6" x14ac:dyDescent="0.45">
      <c r="A7">
        <v>5</v>
      </c>
      <c r="B7" s="2">
        <v>0.12</v>
      </c>
      <c r="C7" s="4">
        <f t="shared" si="3"/>
        <v>-443.16623249750432</v>
      </c>
      <c r="D7" s="4">
        <f t="shared" si="0"/>
        <v>-33.909652015363427</v>
      </c>
      <c r="E7" s="4">
        <f t="shared" si="1"/>
        <v>-409.25658048214086</v>
      </c>
      <c r="F7" s="1">
        <f t="shared" si="2"/>
        <v>2981.708621054202</v>
      </c>
    </row>
    <row r="8" spans="1:6" x14ac:dyDescent="0.45">
      <c r="A8">
        <v>6</v>
      </c>
      <c r="B8" s="2">
        <v>0.14000000000000001</v>
      </c>
      <c r="C8" s="4">
        <f t="shared" si="3"/>
        <v>-446.06697435246832</v>
      </c>
      <c r="D8" s="4">
        <f t="shared" si="0"/>
        <v>-34.78660057896569</v>
      </c>
      <c r="E8" s="4">
        <f t="shared" si="1"/>
        <v>-411.28037377350262</v>
      </c>
      <c r="F8" s="1">
        <f t="shared" si="2"/>
        <v>2570.4282472806995</v>
      </c>
    </row>
    <row r="9" spans="1:6" x14ac:dyDescent="0.45">
      <c r="A9">
        <v>7</v>
      </c>
      <c r="B9" s="2">
        <v>0.1</v>
      </c>
      <c r="C9" s="4">
        <f t="shared" si="3"/>
        <v>-440.9862537575039</v>
      </c>
      <c r="D9" s="4">
        <f t="shared" si="0"/>
        <v>-21.420235394005829</v>
      </c>
      <c r="E9" s="4">
        <f t="shared" si="1"/>
        <v>-419.56601836349807</v>
      </c>
      <c r="F9" s="1">
        <f t="shared" si="2"/>
        <v>2150.8622289172013</v>
      </c>
    </row>
    <row r="10" spans="1:6" x14ac:dyDescent="0.45">
      <c r="A10">
        <v>8</v>
      </c>
      <c r="B10" s="2">
        <v>0.08</v>
      </c>
      <c r="C10" s="4">
        <f t="shared" si="3"/>
        <v>-438.81400462590744</v>
      </c>
      <c r="D10" s="4">
        <f t="shared" si="0"/>
        <v>-14.339081526114676</v>
      </c>
      <c r="E10" s="4">
        <f t="shared" si="1"/>
        <v>-424.47492309979276</v>
      </c>
      <c r="F10" s="1">
        <f t="shared" si="2"/>
        <v>1726.3873058174086</v>
      </c>
    </row>
    <row r="11" spans="1:6" x14ac:dyDescent="0.45">
      <c r="A11">
        <v>9</v>
      </c>
      <c r="B11" s="2">
        <v>0.1</v>
      </c>
      <c r="C11" s="4">
        <f t="shared" si="3"/>
        <v>-440.62573603745199</v>
      </c>
      <c r="D11" s="4">
        <f t="shared" si="0"/>
        <v>-14.386560881811738</v>
      </c>
      <c r="E11" s="4">
        <f t="shared" si="1"/>
        <v>-426.23917515564017</v>
      </c>
      <c r="F11" s="1">
        <f t="shared" si="2"/>
        <v>1300.1481306617684</v>
      </c>
    </row>
    <row r="12" spans="1:6" x14ac:dyDescent="0.45">
      <c r="A12">
        <v>10</v>
      </c>
      <c r="B12" s="2">
        <v>7.0000000000000007E-2</v>
      </c>
      <c r="C12" s="4">
        <f t="shared" si="3"/>
        <v>-438.44864458780245</v>
      </c>
      <c r="D12" s="4">
        <f t="shared" si="0"/>
        <v>-7.5841974288603158</v>
      </c>
      <c r="E12" s="4">
        <f t="shared" si="1"/>
        <v>-430.86444715894214</v>
      </c>
      <c r="F12" s="1">
        <f t="shared" si="2"/>
        <v>869.28368350282631</v>
      </c>
    </row>
    <row r="13" spans="1:6" x14ac:dyDescent="0.45">
      <c r="A13">
        <v>11</v>
      </c>
      <c r="B13" s="2">
        <v>7.0000000000000007E-2</v>
      </c>
      <c r="C13" s="4">
        <f t="shared" si="3"/>
        <v>-438.44864458780262</v>
      </c>
      <c r="D13" s="4">
        <f t="shared" si="0"/>
        <v>-5.0708214870998214</v>
      </c>
      <c r="E13" s="4">
        <f t="shared" si="1"/>
        <v>-433.37782310070281</v>
      </c>
      <c r="F13" s="1">
        <f t="shared" si="2"/>
        <v>435.90586040212349</v>
      </c>
    </row>
    <row r="14" spans="1:6" x14ac:dyDescent="0.45">
      <c r="A14">
        <v>12</v>
      </c>
      <c r="B14" s="2">
        <v>7.0000000000000007E-2</v>
      </c>
      <c r="C14" s="4">
        <f>PMT(B14/12,$A$14-A13,F13)</f>
        <v>-438.44864458780245</v>
      </c>
      <c r="D14" s="4">
        <f>IPMT(B14/12,1,$A$14-A13,F13)</f>
        <v>-2.5427841856790536</v>
      </c>
      <c r="E14" s="4">
        <f>PPMT(B14/12,1,$A$14-A13,F13)</f>
        <v>-435.90586040212338</v>
      </c>
      <c r="F14" s="1">
        <f>F13+E14</f>
        <v>0</v>
      </c>
    </row>
    <row r="24" spans="8:8" x14ac:dyDescent="0.45">
      <c r="H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4073-F95B-45BC-8052-6798AEEFCEC6}">
  <dimension ref="A1:F3"/>
  <sheetViews>
    <sheetView workbookViewId="0">
      <selection activeCell="L23" sqref="L23"/>
    </sheetView>
  </sheetViews>
  <sheetFormatPr defaultRowHeight="14.25" x14ac:dyDescent="0.45"/>
  <cols>
    <col min="1" max="1" width="18.53125" bestFit="1" customWidth="1"/>
    <col min="2" max="2" width="8.6640625" bestFit="1" customWidth="1"/>
    <col min="3" max="3" width="2.6640625" customWidth="1"/>
    <col min="4" max="4" width="16.06640625" bestFit="1" customWidth="1"/>
    <col min="5" max="5" width="18.06640625" bestFit="1" customWidth="1"/>
    <col min="6" max="6" width="7.796875" customWidth="1"/>
  </cols>
  <sheetData>
    <row r="1" spans="1:6" x14ac:dyDescent="0.45">
      <c r="A1" t="s">
        <v>10</v>
      </c>
      <c r="B1" s="2">
        <v>0.1</v>
      </c>
      <c r="D1" t="s">
        <v>20</v>
      </c>
      <c r="E1" s="11" t="s">
        <v>72</v>
      </c>
      <c r="F1">
        <f>NPER(B1/12, B2, B3)</f>
        <v>18.018470532422008</v>
      </c>
    </row>
    <row r="2" spans="1:6" x14ac:dyDescent="0.45">
      <c r="A2" t="s">
        <v>22</v>
      </c>
      <c r="B2" s="4">
        <v>-300</v>
      </c>
    </row>
    <row r="3" spans="1:6" x14ac:dyDescent="0.45">
      <c r="A3" t="s">
        <v>9</v>
      </c>
      <c r="B3" s="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EC7C-4817-402E-9FB2-E89160C29655}">
  <dimension ref="A1:F3"/>
  <sheetViews>
    <sheetView workbookViewId="0">
      <selection activeCell="M17" sqref="M17"/>
    </sheetView>
  </sheetViews>
  <sheetFormatPr defaultRowHeight="14.25" x14ac:dyDescent="0.45"/>
  <cols>
    <col min="1" max="1" width="18.53125" bestFit="1" customWidth="1"/>
    <col min="2" max="2" width="7.796875" bestFit="1" customWidth="1"/>
    <col min="3" max="3" width="2.265625" customWidth="1"/>
    <col min="4" max="4" width="9.06640625" customWidth="1"/>
    <col min="5" max="5" width="18.53125" customWidth="1"/>
    <col min="6" max="6" width="9.265625" bestFit="1" customWidth="1"/>
  </cols>
  <sheetData>
    <row r="1" spans="1:6" x14ac:dyDescent="0.45">
      <c r="A1" t="s">
        <v>10</v>
      </c>
      <c r="B1" s="2">
        <v>0.1</v>
      </c>
      <c r="D1" t="s">
        <v>8</v>
      </c>
      <c r="E1" s="10" t="s">
        <v>73</v>
      </c>
      <c r="F1" s="1">
        <f>PV(B1/12,B2,B3)</f>
        <v>5687.2542125620048</v>
      </c>
    </row>
    <row r="2" spans="1:6" x14ac:dyDescent="0.45">
      <c r="A2" t="s">
        <v>11</v>
      </c>
      <c r="B2">
        <v>12</v>
      </c>
    </row>
    <row r="3" spans="1:6" x14ac:dyDescent="0.45">
      <c r="A3" t="s">
        <v>21</v>
      </c>
      <c r="B3" s="4">
        <v>-500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5E3-8CD6-4745-A0F4-F2285964C202}">
  <dimension ref="A1:A19"/>
  <sheetViews>
    <sheetView workbookViewId="0">
      <selection activeCell="C5" sqref="C1:C5"/>
    </sheetView>
  </sheetViews>
  <sheetFormatPr defaultRowHeight="14.25" x14ac:dyDescent="0.45"/>
  <cols>
    <col min="1" max="1" width="14.53125" customWidth="1"/>
    <col min="2" max="2" width="9.86328125" bestFit="1" customWidth="1"/>
  </cols>
  <sheetData>
    <row r="1" spans="1:1" x14ac:dyDescent="0.45">
      <c r="A1">
        <f>EFFECT(0.1,4)</f>
        <v>0.10381289062499977</v>
      </c>
    </row>
    <row r="2" spans="1:1" x14ac:dyDescent="0.45">
      <c r="A2">
        <f>NOMINAL(0.1236,2)</f>
        <v>0.12000000000000011</v>
      </c>
    </row>
    <row r="13" spans="1:1" x14ac:dyDescent="0.45">
      <c r="A13" s="1"/>
    </row>
    <row r="19" spans="1:1" x14ac:dyDescent="0.45">
      <c r="A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2052-CBF6-4920-B0F6-79D48E9AE797}">
  <dimension ref="A1:F3"/>
  <sheetViews>
    <sheetView workbookViewId="0">
      <selection activeCell="J20" sqref="J20"/>
    </sheetView>
  </sheetViews>
  <sheetFormatPr defaultRowHeight="14.25" x14ac:dyDescent="0.45"/>
  <cols>
    <col min="1" max="1" width="18.53125" bestFit="1" customWidth="1"/>
    <col min="2" max="2" width="9.265625" bestFit="1" customWidth="1"/>
    <col min="3" max="3" width="3" customWidth="1"/>
    <col min="4" max="4" width="25" bestFit="1" customWidth="1"/>
    <col min="5" max="5" width="15.19921875" customWidth="1"/>
    <col min="6" max="6" width="10" customWidth="1"/>
  </cols>
  <sheetData>
    <row r="1" spans="1:6" x14ac:dyDescent="0.45">
      <c r="A1" t="s">
        <v>10</v>
      </c>
      <c r="B1" s="2">
        <v>7.0000000000000007E-2</v>
      </c>
      <c r="D1" t="s">
        <v>25</v>
      </c>
      <c r="E1" s="10" t="s">
        <v>74</v>
      </c>
      <c r="F1" s="4">
        <f>FV(B1,B2,0,B3)</f>
        <v>5724.5</v>
      </c>
    </row>
    <row r="2" spans="1:6" x14ac:dyDescent="0.45">
      <c r="A2" t="s">
        <v>23</v>
      </c>
      <c r="B2">
        <v>2</v>
      </c>
      <c r="D2" t="s">
        <v>26</v>
      </c>
      <c r="E2" s="11" t="s">
        <v>75</v>
      </c>
      <c r="F2" s="4">
        <f>-B3*EXP(B1*B2)</f>
        <v>5751.3689942861365</v>
      </c>
    </row>
    <row r="3" spans="1:6" x14ac:dyDescent="0.45">
      <c r="A3" t="s">
        <v>24</v>
      </c>
      <c r="B3" s="4">
        <v>-5000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B900-B8AF-4925-BB28-8756CE8F89F0}">
  <dimension ref="A1:F7"/>
  <sheetViews>
    <sheetView workbookViewId="0">
      <selection activeCell="L19" sqref="L19"/>
    </sheetView>
  </sheetViews>
  <sheetFormatPr defaultRowHeight="14.25" x14ac:dyDescent="0.45"/>
  <cols>
    <col min="1" max="1" width="12.9296875" customWidth="1"/>
    <col min="2" max="2" width="10.19921875" customWidth="1"/>
    <col min="3" max="3" width="2.73046875" customWidth="1"/>
    <col min="4" max="4" width="11.06640625" bestFit="1" customWidth="1"/>
    <col min="5" max="5" width="21.73046875" customWidth="1"/>
    <col min="6" max="6" width="9.86328125" customWidth="1"/>
  </cols>
  <sheetData>
    <row r="1" spans="1:6" x14ac:dyDescent="0.45">
      <c r="A1" t="s">
        <v>24</v>
      </c>
      <c r="B1" s="4">
        <v>-5000</v>
      </c>
      <c r="C1" s="1"/>
      <c r="D1" t="s">
        <v>30</v>
      </c>
      <c r="E1" s="11" t="s">
        <v>76</v>
      </c>
      <c r="F1" s="4">
        <f>FVSCHEDULE(-B1,B2:B4)</f>
        <v>5729.85</v>
      </c>
    </row>
    <row r="2" spans="1:6" x14ac:dyDescent="0.45">
      <c r="A2" t="s">
        <v>28</v>
      </c>
      <c r="B2" s="2">
        <v>7.0000000000000007E-2</v>
      </c>
      <c r="C2" s="2"/>
      <c r="D2" s="2"/>
    </row>
    <row r="3" spans="1:6" x14ac:dyDescent="0.45">
      <c r="A3" t="s">
        <v>29</v>
      </c>
      <c r="B3" s="2">
        <v>0.02</v>
      </c>
      <c r="C3" s="2"/>
      <c r="D3" s="2"/>
    </row>
    <row r="4" spans="1:6" x14ac:dyDescent="0.45">
      <c r="A4" t="s">
        <v>27</v>
      </c>
      <c r="B4" s="2">
        <v>0.05</v>
      </c>
      <c r="C4" s="2"/>
      <c r="D4" s="2"/>
    </row>
    <row r="6" spans="1:6" x14ac:dyDescent="0.45">
      <c r="A6" s="1"/>
      <c r="B6" s="1"/>
      <c r="C6" s="1"/>
    </row>
    <row r="7" spans="1:6" x14ac:dyDescent="0.45">
      <c r="A7" s="1"/>
      <c r="B7" s="1"/>
      <c r="C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9BD-3BA1-4DD3-B5EF-D505DE9D9144}">
  <dimension ref="A1:F7"/>
  <sheetViews>
    <sheetView workbookViewId="0">
      <selection activeCell="K15" sqref="K15"/>
    </sheetView>
  </sheetViews>
  <sheetFormatPr defaultRowHeight="14.25" x14ac:dyDescent="0.45"/>
  <cols>
    <col min="1" max="1" width="18.59765625" bestFit="1" customWidth="1"/>
    <col min="2" max="2" width="7.796875" bestFit="1" customWidth="1"/>
    <col min="3" max="3" width="2.73046875" customWidth="1"/>
    <col min="4" max="4" width="11.06640625" bestFit="1" customWidth="1"/>
    <col min="5" max="5" width="19.59765625" bestFit="1" customWidth="1"/>
    <col min="6" max="6" width="10.33203125" customWidth="1"/>
  </cols>
  <sheetData>
    <row r="1" spans="1:6" x14ac:dyDescent="0.45">
      <c r="A1" t="s">
        <v>5</v>
      </c>
      <c r="B1" s="3">
        <v>7.0000000000000007E-2</v>
      </c>
      <c r="D1" t="s">
        <v>30</v>
      </c>
      <c r="E1" s="10" t="s">
        <v>77</v>
      </c>
      <c r="F1" s="1">
        <f>FV(B1/12, B2, B3, 0, 1)</f>
        <v>3739.4626111490024</v>
      </c>
    </row>
    <row r="2" spans="1:6" x14ac:dyDescent="0.45">
      <c r="A2" t="s">
        <v>31</v>
      </c>
      <c r="B2">
        <v>12</v>
      </c>
    </row>
    <row r="3" spans="1:6" x14ac:dyDescent="0.45">
      <c r="A3" t="s">
        <v>4</v>
      </c>
      <c r="B3" s="4">
        <v>-300</v>
      </c>
    </row>
    <row r="4" spans="1:6" x14ac:dyDescent="0.45">
      <c r="A4" t="s">
        <v>6</v>
      </c>
      <c r="B4">
        <v>12</v>
      </c>
    </row>
    <row r="6" spans="1:6" x14ac:dyDescent="0.45">
      <c r="A6" s="1"/>
    </row>
    <row r="7" spans="1:6" x14ac:dyDescent="0.45">
      <c r="A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06AC-84C2-45A7-89E8-7331F105ADF1}">
  <dimension ref="A1:C20"/>
  <sheetViews>
    <sheetView workbookViewId="0">
      <selection activeCell="G34" sqref="G34"/>
    </sheetView>
  </sheetViews>
  <sheetFormatPr defaultRowHeight="14.25" x14ac:dyDescent="0.45"/>
  <cols>
    <col min="1" max="1" width="18.59765625" bestFit="1" customWidth="1"/>
    <col min="2" max="2" width="9.33203125" customWidth="1"/>
    <col min="3" max="3" width="11.265625" customWidth="1"/>
  </cols>
  <sheetData>
    <row r="1" spans="1:3" x14ac:dyDescent="0.45">
      <c r="A1" t="s">
        <v>5</v>
      </c>
      <c r="B1" s="3">
        <v>7.0000000000000007E-2</v>
      </c>
    </row>
    <row r="2" spans="1:3" x14ac:dyDescent="0.45">
      <c r="A2" t="s">
        <v>31</v>
      </c>
      <c r="B2">
        <v>12</v>
      </c>
    </row>
    <row r="3" spans="1:3" x14ac:dyDescent="0.45">
      <c r="A3" t="s">
        <v>4</v>
      </c>
      <c r="B3" s="4">
        <v>-300</v>
      </c>
    </row>
    <row r="4" spans="1:3" x14ac:dyDescent="0.45">
      <c r="A4" t="s">
        <v>6</v>
      </c>
      <c r="B4">
        <v>1</v>
      </c>
    </row>
    <row r="6" spans="1:3" x14ac:dyDescent="0.45">
      <c r="A6" s="13" t="s">
        <v>0</v>
      </c>
      <c r="B6" s="13" t="s">
        <v>3</v>
      </c>
      <c r="C6" s="13" t="s">
        <v>78</v>
      </c>
    </row>
    <row r="7" spans="1:3" x14ac:dyDescent="0.45">
      <c r="A7">
        <v>1</v>
      </c>
      <c r="B7">
        <f>A7*$B$3</f>
        <v>-300</v>
      </c>
      <c r="C7">
        <f>B7*$B$1/$B$2</f>
        <v>-1.7500000000000002</v>
      </c>
    </row>
    <row r="8" spans="1:3" x14ac:dyDescent="0.45">
      <c r="A8">
        <v>2</v>
      </c>
      <c r="B8">
        <f t="shared" ref="B8:B18" si="0">A8*$B$3</f>
        <v>-600</v>
      </c>
      <c r="C8">
        <f t="shared" ref="C8:C18" si="1">B8*$B$1/$B$2</f>
        <v>-3.5000000000000004</v>
      </c>
    </row>
    <row r="9" spans="1:3" x14ac:dyDescent="0.45">
      <c r="A9">
        <v>3</v>
      </c>
      <c r="B9">
        <f t="shared" si="0"/>
        <v>-900</v>
      </c>
      <c r="C9">
        <f t="shared" si="1"/>
        <v>-5.2500000000000009</v>
      </c>
    </row>
    <row r="10" spans="1:3" hidden="1" x14ac:dyDescent="0.45">
      <c r="A10">
        <v>4</v>
      </c>
      <c r="B10">
        <f t="shared" si="0"/>
        <v>-1200</v>
      </c>
      <c r="C10">
        <f t="shared" si="1"/>
        <v>-7.0000000000000009</v>
      </c>
    </row>
    <row r="11" spans="1:3" hidden="1" x14ac:dyDescent="0.45">
      <c r="A11">
        <v>5</v>
      </c>
      <c r="B11">
        <f t="shared" si="0"/>
        <v>-1500</v>
      </c>
      <c r="C11">
        <f t="shared" si="1"/>
        <v>-8.7500000000000018</v>
      </c>
    </row>
    <row r="12" spans="1:3" hidden="1" x14ac:dyDescent="0.45">
      <c r="A12">
        <v>6</v>
      </c>
      <c r="B12">
        <f t="shared" si="0"/>
        <v>-1800</v>
      </c>
      <c r="C12">
        <f t="shared" si="1"/>
        <v>-10.500000000000002</v>
      </c>
    </row>
    <row r="13" spans="1:3" hidden="1" x14ac:dyDescent="0.45">
      <c r="A13">
        <v>7</v>
      </c>
      <c r="B13">
        <f t="shared" si="0"/>
        <v>-2100</v>
      </c>
      <c r="C13">
        <f t="shared" si="1"/>
        <v>-12.25</v>
      </c>
    </row>
    <row r="14" spans="1:3" hidden="1" x14ac:dyDescent="0.45">
      <c r="A14">
        <v>8</v>
      </c>
      <c r="B14">
        <f t="shared" si="0"/>
        <v>-2400</v>
      </c>
      <c r="C14">
        <f t="shared" si="1"/>
        <v>-14.000000000000002</v>
      </c>
    </row>
    <row r="15" spans="1:3" hidden="1" x14ac:dyDescent="0.45">
      <c r="A15">
        <v>9</v>
      </c>
      <c r="B15">
        <f t="shared" si="0"/>
        <v>-2700</v>
      </c>
      <c r="C15">
        <f t="shared" si="1"/>
        <v>-15.750000000000002</v>
      </c>
    </row>
    <row r="16" spans="1:3" hidden="1" x14ac:dyDescent="0.45">
      <c r="A16">
        <v>10</v>
      </c>
      <c r="B16">
        <f t="shared" si="0"/>
        <v>-3000</v>
      </c>
      <c r="C16">
        <f t="shared" si="1"/>
        <v>-17.500000000000004</v>
      </c>
    </row>
    <row r="17" spans="1:3" hidden="1" x14ac:dyDescent="0.45">
      <c r="A17">
        <v>11</v>
      </c>
      <c r="B17">
        <f t="shared" si="0"/>
        <v>-3300</v>
      </c>
      <c r="C17">
        <f t="shared" si="1"/>
        <v>-19.250000000000004</v>
      </c>
    </row>
    <row r="18" spans="1:3" x14ac:dyDescent="0.45">
      <c r="A18">
        <v>12</v>
      </c>
      <c r="B18">
        <f t="shared" si="0"/>
        <v>-3600</v>
      </c>
      <c r="C18">
        <f t="shared" si="1"/>
        <v>-21.000000000000004</v>
      </c>
    </row>
    <row r="20" spans="1:3" x14ac:dyDescent="0.45">
      <c r="A20" t="s">
        <v>7</v>
      </c>
      <c r="B20">
        <f>-SUM(C7:C18, B18)</f>
        <v>3736.5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B30D-558C-4130-8789-A521DFDF54EB}">
  <dimension ref="A1:F6"/>
  <sheetViews>
    <sheetView workbookViewId="0">
      <selection activeCell="K21" sqref="K21"/>
    </sheetView>
  </sheetViews>
  <sheetFormatPr defaultRowHeight="14.25" x14ac:dyDescent="0.45"/>
  <cols>
    <col min="1" max="1" width="18.53125" bestFit="1" customWidth="1"/>
    <col min="2" max="2" width="9.6640625" bestFit="1" customWidth="1"/>
    <col min="3" max="3" width="3.265625" customWidth="1"/>
    <col min="4" max="4" width="15.33203125" customWidth="1"/>
    <col min="5" max="5" width="25.19921875" customWidth="1"/>
    <col min="6" max="6" width="10.06640625" customWidth="1"/>
  </cols>
  <sheetData>
    <row r="1" spans="1:6" x14ac:dyDescent="0.45">
      <c r="A1" t="s">
        <v>10</v>
      </c>
      <c r="B1" s="2">
        <v>0.05</v>
      </c>
      <c r="D1" t="s">
        <v>32</v>
      </c>
      <c r="E1" s="11" t="s">
        <v>79</v>
      </c>
      <c r="F1">
        <f>NPER(B1/12,B3,B4,B5,B6)</f>
        <v>67.191579541208043</v>
      </c>
    </row>
    <row r="2" spans="1:6" x14ac:dyDescent="0.45">
      <c r="A2" t="s">
        <v>11</v>
      </c>
      <c r="B2">
        <v>60</v>
      </c>
      <c r="D2" t="s">
        <v>24</v>
      </c>
      <c r="E2" s="10" t="s">
        <v>80</v>
      </c>
      <c r="F2" s="4">
        <f>PV(B1/12,B2,B3,B5,B6)</f>
        <v>-4672.8624507150143</v>
      </c>
    </row>
    <row r="3" spans="1:6" x14ac:dyDescent="0.45">
      <c r="A3" t="s">
        <v>4</v>
      </c>
      <c r="B3" s="4">
        <v>-500</v>
      </c>
      <c r="D3" t="s">
        <v>4</v>
      </c>
      <c r="E3" s="10" t="s">
        <v>81</v>
      </c>
      <c r="F3" s="4">
        <f>PMT(B1/12,B2,B4,B5,B6)</f>
        <v>-569.31144544975973</v>
      </c>
    </row>
    <row r="4" spans="1:6" x14ac:dyDescent="0.45">
      <c r="A4" t="s">
        <v>24</v>
      </c>
      <c r="B4" s="4">
        <v>-1000</v>
      </c>
      <c r="D4" t="s">
        <v>33</v>
      </c>
      <c r="E4" s="14" t="s">
        <v>82</v>
      </c>
      <c r="F4" s="3">
        <f>RATE(B2,B3,B4,B5,B6)</f>
        <v>8.0573412892141691E-3</v>
      </c>
    </row>
    <row r="5" spans="1:6" x14ac:dyDescent="0.45">
      <c r="A5" t="s">
        <v>7</v>
      </c>
      <c r="B5" s="4">
        <v>40000</v>
      </c>
      <c r="D5" t="s">
        <v>5</v>
      </c>
      <c r="E5" s="11" t="s">
        <v>83</v>
      </c>
      <c r="F5" s="3">
        <f>12*RATE(B2,B3,B4,B5,B6)</f>
        <v>9.6688095470570029E-2</v>
      </c>
    </row>
    <row r="6" spans="1:6" x14ac:dyDescent="0.45">
      <c r="A6" t="s">
        <v>34</v>
      </c>
      <c r="B6">
        <v>0</v>
      </c>
      <c r="E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7C-9F85-4193-949F-56E07B255DC0}">
  <dimension ref="A1:F7"/>
  <sheetViews>
    <sheetView workbookViewId="0">
      <selection activeCell="M24" sqref="M24"/>
    </sheetView>
  </sheetViews>
  <sheetFormatPr defaultRowHeight="14.25" x14ac:dyDescent="0.45"/>
  <cols>
    <col min="1" max="1" width="15.9296875" customWidth="1"/>
    <col min="2" max="2" width="13.73046875" bestFit="1" customWidth="1"/>
    <col min="3" max="3" width="10.3984375" customWidth="1"/>
    <col min="4" max="4" width="9.9296875" customWidth="1"/>
    <col min="5" max="5" width="10.9296875" customWidth="1"/>
    <col min="6" max="6" width="10.73046875" customWidth="1"/>
  </cols>
  <sheetData>
    <row r="1" spans="1:6" x14ac:dyDescent="0.45">
      <c r="A1" t="s">
        <v>35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 t="s">
        <v>36</v>
      </c>
      <c r="B2" s="4">
        <v>-20000</v>
      </c>
      <c r="C2" s="4">
        <v>-5000</v>
      </c>
      <c r="D2" s="4">
        <v>2000</v>
      </c>
      <c r="E2" s="4">
        <v>15000</v>
      </c>
      <c r="F2" s="4">
        <v>25000</v>
      </c>
    </row>
    <row r="4" spans="1:6" x14ac:dyDescent="0.45">
      <c r="A4" t="s">
        <v>37</v>
      </c>
      <c r="B4" s="2">
        <v>0.1</v>
      </c>
    </row>
    <row r="5" spans="1:6" x14ac:dyDescent="0.45">
      <c r="A5" t="s">
        <v>38</v>
      </c>
      <c r="B5" s="10" t="s">
        <v>84</v>
      </c>
      <c r="C5" s="1">
        <f>NPV(B4, B2:F2)</f>
        <v>4956.8149219812249</v>
      </c>
    </row>
    <row r="7" spans="1:6" x14ac:dyDescent="0.45">
      <c r="B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B094-05D5-4883-B0CF-4601B1222673}">
  <dimension ref="A1:F7"/>
  <sheetViews>
    <sheetView workbookViewId="0">
      <selection activeCell="K22" sqref="K22"/>
    </sheetView>
  </sheetViews>
  <sheetFormatPr defaultRowHeight="14.25" x14ac:dyDescent="0.45"/>
  <cols>
    <col min="1" max="1" width="15.73046875" customWidth="1"/>
    <col min="2" max="2" width="20.19921875" bestFit="1" customWidth="1"/>
    <col min="3" max="3" width="12.33203125" customWidth="1"/>
    <col min="4" max="4" width="12" customWidth="1"/>
    <col min="5" max="5" width="11.53125" customWidth="1"/>
    <col min="6" max="6" width="12.73046875" customWidth="1"/>
  </cols>
  <sheetData>
    <row r="1" spans="1:6" x14ac:dyDescent="0.45">
      <c r="A1" t="s">
        <v>39</v>
      </c>
      <c r="B1" s="15">
        <v>45013</v>
      </c>
      <c r="C1" s="15">
        <v>45153</v>
      </c>
      <c r="D1" s="15">
        <v>45399</v>
      </c>
      <c r="E1" s="15">
        <v>45473</v>
      </c>
      <c r="F1" s="15">
        <v>45793</v>
      </c>
    </row>
    <row r="2" spans="1:6" x14ac:dyDescent="0.45">
      <c r="A2" t="s">
        <v>36</v>
      </c>
      <c r="B2" s="4">
        <v>-20000</v>
      </c>
      <c r="C2" s="4">
        <v>-5000</v>
      </c>
      <c r="D2" s="4">
        <v>2000</v>
      </c>
      <c r="E2" s="4">
        <v>15000</v>
      </c>
      <c r="F2" s="4">
        <v>25000</v>
      </c>
    </row>
    <row r="4" spans="1:6" x14ac:dyDescent="0.45">
      <c r="A4" t="s">
        <v>37</v>
      </c>
      <c r="B4" s="2">
        <v>0.1</v>
      </c>
    </row>
    <row r="5" spans="1:6" x14ac:dyDescent="0.45">
      <c r="A5" t="s">
        <v>38</v>
      </c>
      <c r="B5" s="10" t="s">
        <v>85</v>
      </c>
      <c r="C5" s="4">
        <f>XNPV(B4,B2:F2,B1:F1)</f>
        <v>10683.130134362997</v>
      </c>
    </row>
    <row r="7" spans="1:6" x14ac:dyDescent="0.45">
      <c r="B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9E50-A87D-4C99-BF7D-0BEA6A751E6E}">
  <dimension ref="A1:F6"/>
  <sheetViews>
    <sheetView workbookViewId="0">
      <selection activeCell="M26" sqref="M26"/>
    </sheetView>
  </sheetViews>
  <sheetFormatPr defaultRowHeight="14.25" x14ac:dyDescent="0.45"/>
  <cols>
    <col min="1" max="1" width="18.6640625" bestFit="1" customWidth="1"/>
    <col min="2" max="2" width="10.265625" bestFit="1" customWidth="1"/>
    <col min="3" max="3" width="10.59765625" customWidth="1"/>
    <col min="4" max="4" width="9.9296875" customWidth="1"/>
    <col min="5" max="5" width="10.796875" customWidth="1"/>
    <col min="6" max="6" width="10.3984375" customWidth="1"/>
  </cols>
  <sheetData>
    <row r="1" spans="1:6" x14ac:dyDescent="0.45">
      <c r="A1" t="s">
        <v>35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 t="s">
        <v>36</v>
      </c>
      <c r="B2" s="4">
        <v>-20000</v>
      </c>
      <c r="C2" s="4">
        <v>-5000</v>
      </c>
      <c r="D2" s="4">
        <v>2000</v>
      </c>
      <c r="E2" s="4">
        <v>15000</v>
      </c>
      <c r="F2" s="4">
        <v>25000</v>
      </c>
    </row>
    <row r="4" spans="1:6" x14ac:dyDescent="0.45">
      <c r="A4" t="s">
        <v>40</v>
      </c>
      <c r="B4" s="16" t="s">
        <v>86</v>
      </c>
      <c r="C4" s="3">
        <f>IRR(B2:F2)</f>
        <v>0.16846154026105298</v>
      </c>
    </row>
    <row r="6" spans="1:6" x14ac:dyDescent="0.45">
      <c r="B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9156-565E-4149-AF1B-1A3E32FC91CB}">
  <dimension ref="A1:F6"/>
  <sheetViews>
    <sheetView workbookViewId="0">
      <selection activeCell="K25" sqref="K25"/>
    </sheetView>
  </sheetViews>
  <sheetFormatPr defaultRowHeight="14.25" x14ac:dyDescent="0.45"/>
  <cols>
    <col min="1" max="1" width="19.1328125" customWidth="1"/>
    <col min="2" max="2" width="16.3984375" bestFit="1" customWidth="1"/>
    <col min="3" max="3" width="12.33203125" customWidth="1"/>
    <col min="4" max="4" width="12.53125" customWidth="1"/>
    <col min="5" max="5" width="12.1328125" customWidth="1"/>
    <col min="6" max="6" width="13" customWidth="1"/>
  </cols>
  <sheetData>
    <row r="1" spans="1:6" x14ac:dyDescent="0.45">
      <c r="A1" t="s">
        <v>39</v>
      </c>
      <c r="B1" s="17">
        <v>45013</v>
      </c>
      <c r="C1" s="17">
        <v>45153</v>
      </c>
      <c r="D1" s="17">
        <v>45399</v>
      </c>
      <c r="E1" s="17">
        <v>45473</v>
      </c>
      <c r="F1" s="17">
        <v>45793</v>
      </c>
    </row>
    <row r="2" spans="1:6" x14ac:dyDescent="0.45">
      <c r="A2" t="s">
        <v>36</v>
      </c>
      <c r="B2" s="4">
        <v>-20000</v>
      </c>
      <c r="C2" s="4">
        <v>-5000</v>
      </c>
      <c r="D2" s="4">
        <v>2000</v>
      </c>
      <c r="E2" s="4">
        <v>15000</v>
      </c>
      <c r="F2" s="4">
        <v>19000</v>
      </c>
    </row>
    <row r="4" spans="1:6" x14ac:dyDescent="0.45">
      <c r="A4" t="s">
        <v>40</v>
      </c>
      <c r="B4" s="16" t="s">
        <v>87</v>
      </c>
      <c r="C4" s="3">
        <f>XIRR(B2:F2,B1:F1)</f>
        <v>0.25339544415473936</v>
      </c>
    </row>
    <row r="6" spans="1:6" x14ac:dyDescent="0.45">
      <c r="B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68F8-9B13-4820-8AF9-137936236B96}">
  <dimension ref="A1:F8"/>
  <sheetViews>
    <sheetView workbookViewId="0">
      <selection activeCell="L10" sqref="L10"/>
    </sheetView>
  </sheetViews>
  <sheetFormatPr defaultRowHeight="14.25" x14ac:dyDescent="0.45"/>
  <cols>
    <col min="1" max="1" width="15.796875" bestFit="1" customWidth="1"/>
    <col min="2" max="2" width="17.265625" bestFit="1" customWidth="1"/>
    <col min="3" max="3" width="10.73046875" customWidth="1"/>
    <col min="4" max="4" width="9.796875" customWidth="1"/>
    <col min="5" max="5" width="11.06640625" customWidth="1"/>
    <col min="6" max="6" width="11.33203125" customWidth="1"/>
  </cols>
  <sheetData>
    <row r="1" spans="1:6" x14ac:dyDescent="0.45">
      <c r="A1" t="s">
        <v>35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 t="s">
        <v>36</v>
      </c>
      <c r="B2" s="4">
        <v>-20000</v>
      </c>
      <c r="C2" s="4">
        <v>-5000</v>
      </c>
      <c r="D2" s="4">
        <v>2000</v>
      </c>
      <c r="E2" s="4">
        <v>15000</v>
      </c>
      <c r="F2" s="4">
        <v>25000</v>
      </c>
    </row>
    <row r="3" spans="1:6" x14ac:dyDescent="0.45">
      <c r="B3" s="4"/>
      <c r="C3" s="4"/>
      <c r="D3" s="4"/>
      <c r="E3" s="4"/>
      <c r="F3" s="4"/>
    </row>
    <row r="4" spans="1:6" x14ac:dyDescent="0.45">
      <c r="A4" t="s">
        <v>41</v>
      </c>
      <c r="B4" s="2">
        <v>0.1</v>
      </c>
      <c r="C4" s="4"/>
      <c r="D4" s="4"/>
      <c r="E4" s="4"/>
      <c r="F4" s="4"/>
    </row>
    <row r="5" spans="1:6" x14ac:dyDescent="0.45">
      <c r="A5" t="s">
        <v>42</v>
      </c>
      <c r="B5" s="2">
        <v>0.12</v>
      </c>
    </row>
    <row r="6" spans="1:6" x14ac:dyDescent="0.45">
      <c r="A6" t="s">
        <v>43</v>
      </c>
      <c r="B6" s="16" t="s">
        <v>88</v>
      </c>
      <c r="C6" s="3">
        <f>MIRR(B2:F2,B4,B5)</f>
        <v>0.15912354418884189</v>
      </c>
    </row>
    <row r="8" spans="1:6" x14ac:dyDescent="0.45">
      <c r="B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C412-0D86-4731-AECC-3694674504C4}">
  <dimension ref="A1:F7"/>
  <sheetViews>
    <sheetView workbookViewId="0">
      <selection activeCell="K20" sqref="K20"/>
    </sheetView>
  </sheetViews>
  <sheetFormatPr defaultRowHeight="14.25" x14ac:dyDescent="0.45"/>
  <cols>
    <col min="1" max="1" width="16" bestFit="1" customWidth="1"/>
    <col min="2" max="6" width="13.9296875" bestFit="1" customWidth="1"/>
  </cols>
  <sheetData>
    <row r="1" spans="1:6" x14ac:dyDescent="0.45">
      <c r="A1" t="s">
        <v>44</v>
      </c>
      <c r="B1" s="5">
        <v>6000</v>
      </c>
    </row>
    <row r="2" spans="1:6" x14ac:dyDescent="0.45">
      <c r="A2" t="s">
        <v>45</v>
      </c>
      <c r="B2" s="5">
        <v>200</v>
      </c>
    </row>
    <row r="3" spans="1:6" x14ac:dyDescent="0.45">
      <c r="A3" t="s">
        <v>46</v>
      </c>
      <c r="B3">
        <v>5</v>
      </c>
    </row>
    <row r="5" spans="1:6" x14ac:dyDescent="0.45">
      <c r="A5" t="s">
        <v>47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45">
      <c r="A6" t="s">
        <v>48</v>
      </c>
      <c r="B6" s="10" t="s">
        <v>89</v>
      </c>
      <c r="C6" s="10" t="s">
        <v>89</v>
      </c>
      <c r="D6" s="10" t="s">
        <v>89</v>
      </c>
      <c r="E6" s="10" t="s">
        <v>89</v>
      </c>
      <c r="F6" s="10" t="s">
        <v>89</v>
      </c>
    </row>
    <row r="7" spans="1:6" x14ac:dyDescent="0.45">
      <c r="B7" s="1">
        <f>SLN($B$1,$B$2,$B$3)</f>
        <v>1160</v>
      </c>
      <c r="C7" s="1">
        <f t="shared" ref="C7:F7" si="0">SLN($B$1,$B$2,$B$3)</f>
        <v>1160</v>
      </c>
      <c r="D7" s="1">
        <f t="shared" si="0"/>
        <v>1160</v>
      </c>
      <c r="E7" s="1">
        <f t="shared" si="0"/>
        <v>1160</v>
      </c>
      <c r="F7" s="1">
        <f t="shared" si="0"/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2231-ABC2-4359-88B0-547289777313}">
  <dimension ref="A1:G7"/>
  <sheetViews>
    <sheetView workbookViewId="0">
      <selection activeCell="A2" sqref="A2"/>
    </sheetView>
  </sheetViews>
  <sheetFormatPr defaultRowHeight="14.25" x14ac:dyDescent="0.45"/>
  <cols>
    <col min="1" max="1" width="14.796875" bestFit="1" customWidth="1"/>
    <col min="2" max="2" width="15.46484375" bestFit="1" customWidth="1"/>
    <col min="3" max="3" width="16.265625" bestFit="1" customWidth="1"/>
    <col min="4" max="4" width="9.86328125" bestFit="1" customWidth="1"/>
    <col min="5" max="5" width="13.796875" bestFit="1" customWidth="1"/>
    <col min="6" max="6" width="13.265625" bestFit="1" customWidth="1"/>
  </cols>
  <sheetData>
    <row r="1" spans="1:7" x14ac:dyDescent="0.45">
      <c r="A1" t="s">
        <v>50</v>
      </c>
      <c r="B1" t="s">
        <v>90</v>
      </c>
      <c r="C1" t="s">
        <v>94</v>
      </c>
      <c r="D1" t="s">
        <v>49</v>
      </c>
      <c r="E1" t="s">
        <v>93</v>
      </c>
      <c r="F1" t="s">
        <v>92</v>
      </c>
      <c r="G1" t="s">
        <v>91</v>
      </c>
    </row>
    <row r="2" spans="1:7" x14ac:dyDescent="0.45">
      <c r="A2" t="e" vm="1">
        <v>#VALUE!</v>
      </c>
      <c r="B2" t="str" cm="1">
        <f t="array" ref="B2">_FV(Table4[[#This Row],[Name]],"Country/region",TRUE)</f>
        <v>US</v>
      </c>
      <c r="C2" t="str" cm="1">
        <f t="array" ref="C2">_FV(Table4[[#This Row],[Name]],"Instrument type",TRUE)</f>
        <v>Index</v>
      </c>
      <c r="D2" s="4" cm="1">
        <f t="array" ref="D2">_FV(Table4[[#This Row],[Name]],"Price")</f>
        <v>5187.7</v>
      </c>
      <c r="E2" s="4" cm="1">
        <f t="array" ref="E2">_FV(Table4[[#This Row],[Name]],"52 week high",TRUE)</f>
        <v>5264.85</v>
      </c>
      <c r="F2" s="4" cm="1">
        <f t="array" ref="F2">_FV(Table4[[#This Row],[Name]],"52 week low",TRUE)</f>
        <v>4098.92</v>
      </c>
      <c r="G2" s="4" t="str" cm="1">
        <f t="array" ref="G2">_FV(Table4[[#This Row],[Name]],"Ticker symbol",TRUE)</f>
        <v>INX</v>
      </c>
    </row>
    <row r="6" spans="1:7" x14ac:dyDescent="0.45">
      <c r="A6" t="s">
        <v>50</v>
      </c>
      <c r="B6" t="s">
        <v>49</v>
      </c>
    </row>
    <row r="7" spans="1:7" x14ac:dyDescent="0.45">
      <c r="A7" t="e" vm="1">
        <v>#VALUE!</v>
      </c>
      <c r="B7" s="6" cm="1">
        <f t="array" ref="B7">_FV(Table2[[#This Row],[Name]],"Price")</f>
        <v>5187.7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FE59-E5E1-4AA6-96B4-469C8EAF79A0}">
  <dimension ref="A1:I7"/>
  <sheetViews>
    <sheetView workbookViewId="0">
      <selection activeCell="H1" sqref="H1"/>
    </sheetView>
  </sheetViews>
  <sheetFormatPr defaultRowHeight="14.25" x14ac:dyDescent="0.45"/>
  <cols>
    <col min="1" max="1" width="10.06640625" bestFit="1" customWidth="1"/>
    <col min="2" max="2" width="6.86328125" bestFit="1" customWidth="1"/>
  </cols>
  <sheetData>
    <row r="1" spans="1:9" x14ac:dyDescent="0.45">
      <c r="A1" t="s">
        <v>50</v>
      </c>
      <c r="B1" t="s">
        <v>49</v>
      </c>
      <c r="E1" t="str" cm="1">
        <f t="array" aca="1" ref="E1:F6" ca="1">_xlfn.STOCKHISTORY("USD/EUR", TODAY()-7, TODAY())</f>
        <v>Date</v>
      </c>
      <c r="F1" t="str">
        <f ca="1"/>
        <v>Close</v>
      </c>
      <c r="H1" t="str" cm="1">
        <f t="array" aca="1" ref="H1:I6" ca="1">_xlfn.STOCKHISTORY("INX", TODAY()-7, TODAY())</f>
        <v>Date</v>
      </c>
      <c r="I1" t="str">
        <f ca="1"/>
        <v>Close</v>
      </c>
    </row>
    <row r="2" spans="1:9" x14ac:dyDescent="0.45">
      <c r="A2" t="e" vm="2">
        <v>#VALUE!</v>
      </c>
      <c r="B2" s="7" cm="1">
        <f t="array" ref="B2">_FV(Table3[[#This Row],[Name]],"Price")</f>
        <v>0.93100000000000005</v>
      </c>
      <c r="E2" vm="3">
        <f ca="1"/>
        <v>45413</v>
      </c>
      <c r="F2" vm="4">
        <f ca="1"/>
        <v>0.93340000000000001</v>
      </c>
      <c r="H2" vm="3">
        <f ca="1"/>
        <v>45413</v>
      </c>
      <c r="I2" vm="5">
        <f ca="1"/>
        <v>2.75</v>
      </c>
    </row>
    <row r="3" spans="1:9" x14ac:dyDescent="0.45">
      <c r="E3" vm="6">
        <f ca="1"/>
        <v>45414</v>
      </c>
      <c r="F3" vm="7">
        <f ca="1"/>
        <v>0.93210000000000004</v>
      </c>
      <c r="H3" vm="6">
        <f ca="1"/>
        <v>45414</v>
      </c>
      <c r="I3" vm="5">
        <f ca="1"/>
        <v>2.75</v>
      </c>
    </row>
    <row r="4" spans="1:9" x14ac:dyDescent="0.45">
      <c r="E4" vm="8">
        <f ca="1"/>
        <v>45415</v>
      </c>
      <c r="F4" vm="9">
        <f ca="1"/>
        <v>0.92920000000000003</v>
      </c>
      <c r="H4" vm="8">
        <f ca="1"/>
        <v>45415</v>
      </c>
      <c r="I4" vm="5">
        <f ca="1"/>
        <v>2.75</v>
      </c>
    </row>
    <row r="5" spans="1:9" x14ac:dyDescent="0.45">
      <c r="E5" vm="10">
        <f ca="1"/>
        <v>45418</v>
      </c>
      <c r="F5" vm="11">
        <f ca="1"/>
        <v>0.92849999999999999</v>
      </c>
      <c r="H5" vm="10">
        <f ca="1"/>
        <v>45418</v>
      </c>
      <c r="I5" t="e" vm="12">
        <f ca="1"/>
        <v>#N/A</v>
      </c>
    </row>
    <row r="6" spans="1:9" x14ac:dyDescent="0.45">
      <c r="A6" t="s">
        <v>51</v>
      </c>
      <c r="E6" vm="13">
        <f ca="1"/>
        <v>45419</v>
      </c>
      <c r="F6" vm="14">
        <f ca="1"/>
        <v>0.92959999999999998</v>
      </c>
      <c r="H6" vm="13">
        <f ca="1"/>
        <v>45419</v>
      </c>
      <c r="I6" vm="5">
        <f ca="1"/>
        <v>2.75</v>
      </c>
    </row>
    <row r="7" spans="1:9" x14ac:dyDescent="0.45">
      <c r="A7" t="e" vm="15">
        <v>#VALUE!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B8F3-B944-47F1-B554-F9D4D1AD5AD1}">
  <dimension ref="A1:B6"/>
  <sheetViews>
    <sheetView workbookViewId="0"/>
  </sheetViews>
  <sheetFormatPr defaultRowHeight="14.25" x14ac:dyDescent="0.45"/>
  <sheetData>
    <row r="1" spans="1:2" x14ac:dyDescent="0.45">
      <c r="A1" t="str" cm="1">
        <f t="array" aca="1" ref="A1:B6" ca="1">_xlfn.STOCKHISTORY("USD/EUR",TODAY()-7,TODAY())</f>
        <v>Date</v>
      </c>
      <c r="B1" t="str">
        <f ca="1"/>
        <v>Close</v>
      </c>
    </row>
    <row r="2" spans="1:2" x14ac:dyDescent="0.45">
      <c r="A2" vm="3">
        <f ca="1"/>
        <v>45413</v>
      </c>
      <c r="B2" vm="4">
        <f ca="1"/>
        <v>0.93340000000000001</v>
      </c>
    </row>
    <row r="3" spans="1:2" x14ac:dyDescent="0.45">
      <c r="A3" vm="6">
        <f ca="1"/>
        <v>45414</v>
      </c>
      <c r="B3" vm="7">
        <f ca="1"/>
        <v>0.93210000000000004</v>
      </c>
    </row>
    <row r="4" spans="1:2" x14ac:dyDescent="0.45">
      <c r="A4" vm="8">
        <f ca="1"/>
        <v>45415</v>
      </c>
      <c r="B4" vm="9">
        <f ca="1"/>
        <v>0.92920000000000003</v>
      </c>
    </row>
    <row r="5" spans="1:2" x14ac:dyDescent="0.45">
      <c r="A5" vm="10">
        <f ca="1"/>
        <v>45418</v>
      </c>
      <c r="B5" vm="11">
        <f ca="1"/>
        <v>0.92849999999999999</v>
      </c>
    </row>
    <row r="6" spans="1:2" x14ac:dyDescent="0.45">
      <c r="A6" vm="13">
        <f ca="1"/>
        <v>45419</v>
      </c>
      <c r="B6" vm="14">
        <f ca="1"/>
        <v>0.92959999999999998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1A9C-12BA-4DC0-A0B6-8A13611BF8A3}">
  <dimension ref="A1:F6"/>
  <sheetViews>
    <sheetView workbookViewId="0">
      <selection activeCell="I5" sqref="I5"/>
    </sheetView>
  </sheetViews>
  <sheetFormatPr defaultRowHeight="14.25" x14ac:dyDescent="0.45"/>
  <cols>
    <col min="1" max="1" width="6.73046875" bestFit="1" customWidth="1"/>
    <col min="2" max="2" width="9.265625" bestFit="1" customWidth="1"/>
    <col min="3" max="6" width="7.3984375" bestFit="1" customWidth="1"/>
  </cols>
  <sheetData>
    <row r="1" spans="1:6" x14ac:dyDescent="0.4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45">
      <c r="A2" s="8">
        <v>44977</v>
      </c>
      <c r="B2">
        <v>829392</v>
      </c>
      <c r="C2">
        <v>741.4</v>
      </c>
      <c r="D2" vm="16">
        <v>744.6</v>
      </c>
      <c r="E2">
        <v>735</v>
      </c>
      <c r="F2" vm="17">
        <v>738</v>
      </c>
    </row>
    <row r="3" spans="1:6" x14ac:dyDescent="0.45">
      <c r="A3" s="8" vm="18">
        <v>44978</v>
      </c>
      <c r="B3">
        <v>318448</v>
      </c>
      <c r="C3">
        <v>737.2</v>
      </c>
      <c r="D3" vm="19">
        <v>740.4</v>
      </c>
      <c r="E3" vm="20">
        <v>722.6</v>
      </c>
      <c r="F3">
        <v>726.2</v>
      </c>
    </row>
    <row r="4" spans="1:6" x14ac:dyDescent="0.45">
      <c r="A4" s="8" vm="21">
        <v>44979</v>
      </c>
      <c r="B4">
        <v>979724</v>
      </c>
      <c r="C4" vm="22">
        <v>721.2</v>
      </c>
      <c r="D4" vm="23">
        <v>722.4</v>
      </c>
      <c r="E4" vm="24">
        <v>709.2</v>
      </c>
      <c r="F4">
        <v>718</v>
      </c>
    </row>
    <row r="5" spans="1:6" x14ac:dyDescent="0.45">
      <c r="A5" s="8" vm="25">
        <v>44980</v>
      </c>
      <c r="B5">
        <v>159992</v>
      </c>
      <c r="C5">
        <v>710.4</v>
      </c>
      <c r="D5" vm="26">
        <v>720.8</v>
      </c>
      <c r="E5" vm="27">
        <v>702.64850000000001</v>
      </c>
      <c r="F5">
        <v>715</v>
      </c>
    </row>
    <row r="6" spans="1:6" x14ac:dyDescent="0.45">
      <c r="A6" s="8" vm="28">
        <v>44981</v>
      </c>
      <c r="B6">
        <v>894777</v>
      </c>
      <c r="C6">
        <v>707.6</v>
      </c>
      <c r="D6" vm="29">
        <v>711.2</v>
      </c>
      <c r="E6" vm="30">
        <v>696.8</v>
      </c>
      <c r="F6">
        <v>705.4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D439-B355-4F41-B58A-E5EBFCB8D620}">
  <dimension ref="A1:K36"/>
  <sheetViews>
    <sheetView workbookViewId="0">
      <selection activeCell="J27" sqref="J27"/>
    </sheetView>
  </sheetViews>
  <sheetFormatPr defaultRowHeight="14.25" x14ac:dyDescent="0.45"/>
  <cols>
    <col min="1" max="1" width="6.06640625" bestFit="1" customWidth="1"/>
    <col min="2" max="2" width="7.19921875" customWidth="1"/>
    <col min="3" max="3" width="28.46484375" customWidth="1"/>
    <col min="4" max="4" width="30.6640625" customWidth="1"/>
  </cols>
  <sheetData>
    <row r="1" spans="1:11" ht="27" customHeight="1" x14ac:dyDescent="0.45">
      <c r="A1" s="19" t="s">
        <v>0</v>
      </c>
      <c r="B1" s="20" t="s">
        <v>97</v>
      </c>
      <c r="C1" s="20" t="s">
        <v>95</v>
      </c>
      <c r="D1" s="20" t="s">
        <v>96</v>
      </c>
    </row>
    <row r="2" spans="1:11" x14ac:dyDescent="0.45">
      <c r="A2">
        <v>1</v>
      </c>
      <c r="B2">
        <v>1000</v>
      </c>
    </row>
    <row r="3" spans="1:11" x14ac:dyDescent="0.45">
      <c r="A3">
        <v>2</v>
      </c>
      <c r="B3">
        <v>1200</v>
      </c>
      <c r="K3" t="s">
        <v>59</v>
      </c>
    </row>
    <row r="4" spans="1:11" x14ac:dyDescent="0.45">
      <c r="A4">
        <v>3</v>
      </c>
      <c r="B4">
        <v>990</v>
      </c>
    </row>
    <row r="5" spans="1:11" x14ac:dyDescent="0.45">
      <c r="A5">
        <v>4</v>
      </c>
      <c r="B5">
        <v>1050</v>
      </c>
    </row>
    <row r="6" spans="1:11" x14ac:dyDescent="0.45">
      <c r="A6">
        <v>5</v>
      </c>
      <c r="B6">
        <v>1300</v>
      </c>
    </row>
    <row r="7" spans="1:11" x14ac:dyDescent="0.45">
      <c r="A7">
        <v>6</v>
      </c>
      <c r="B7">
        <v>1500</v>
      </c>
    </row>
    <row r="8" spans="1:11" x14ac:dyDescent="0.45">
      <c r="A8">
        <v>7</v>
      </c>
      <c r="B8">
        <v>1450</v>
      </c>
    </row>
    <row r="9" spans="1:11" x14ac:dyDescent="0.45">
      <c r="A9">
        <v>8</v>
      </c>
      <c r="B9">
        <v>1400</v>
      </c>
    </row>
    <row r="10" spans="1:11" x14ac:dyDescent="0.45">
      <c r="A10">
        <v>9</v>
      </c>
      <c r="B10">
        <v>1600</v>
      </c>
    </row>
    <row r="11" spans="1:11" x14ac:dyDescent="0.45">
      <c r="A11">
        <v>10</v>
      </c>
      <c r="B11">
        <v>1750</v>
      </c>
    </row>
    <row r="12" spans="1:11" x14ac:dyDescent="0.45">
      <c r="A12">
        <v>11</v>
      </c>
      <c r="B12">
        <v>1700</v>
      </c>
    </row>
    <row r="13" spans="1:11" x14ac:dyDescent="0.45">
      <c r="A13">
        <v>12</v>
      </c>
      <c r="B13">
        <v>1800</v>
      </c>
    </row>
    <row r="14" spans="1:11" x14ac:dyDescent="0.45">
      <c r="A14">
        <v>13</v>
      </c>
      <c r="C14" cm="1">
        <f t="array" ref="C14:C16">TREND(B2:B13,A2:A13, A14:A16)</f>
        <v>1886.3636363636365</v>
      </c>
      <c r="D14" cm="1">
        <f t="array" ref="D14:D16">GROWTH(B2:B13,A2:A13,A14:A16)</f>
        <v>1960.2019143326029</v>
      </c>
    </row>
    <row r="15" spans="1:11" x14ac:dyDescent="0.45">
      <c r="A15">
        <v>14</v>
      </c>
      <c r="C15">
        <v>1961.958041958042</v>
      </c>
      <c r="D15">
        <v>2072.1380184953687</v>
      </c>
    </row>
    <row r="16" spans="1:11" x14ac:dyDescent="0.45">
      <c r="A16">
        <v>15</v>
      </c>
      <c r="C16">
        <v>2037.5524475524478</v>
      </c>
      <c r="D16">
        <v>2190.4661638675238</v>
      </c>
    </row>
    <row r="22" spans="1:2" x14ac:dyDescent="0.45">
      <c r="A22">
        <v>1</v>
      </c>
      <c r="B22">
        <v>1000</v>
      </c>
    </row>
    <row r="23" spans="1:2" x14ac:dyDescent="0.45">
      <c r="A23">
        <v>2</v>
      </c>
      <c r="B23">
        <v>1200</v>
      </c>
    </row>
    <row r="24" spans="1:2" x14ac:dyDescent="0.45">
      <c r="A24">
        <v>3</v>
      </c>
      <c r="B24">
        <v>990</v>
      </c>
    </row>
    <row r="25" spans="1:2" x14ac:dyDescent="0.45">
      <c r="A25">
        <v>4</v>
      </c>
      <c r="B25">
        <v>1000</v>
      </c>
    </row>
    <row r="26" spans="1:2" x14ac:dyDescent="0.45">
      <c r="A26">
        <v>5</v>
      </c>
      <c r="B26">
        <v>1100</v>
      </c>
    </row>
    <row r="27" spans="1:2" x14ac:dyDescent="0.45">
      <c r="A27">
        <v>6</v>
      </c>
      <c r="B27">
        <v>1150</v>
      </c>
    </row>
    <row r="28" spans="1:2" x14ac:dyDescent="0.45">
      <c r="A28">
        <v>7</v>
      </c>
      <c r="B28">
        <v>1300</v>
      </c>
    </row>
    <row r="29" spans="1:2" x14ac:dyDescent="0.45">
      <c r="A29">
        <v>8</v>
      </c>
      <c r="B29">
        <v>1400</v>
      </c>
    </row>
    <row r="30" spans="1:2" x14ac:dyDescent="0.45">
      <c r="A30">
        <v>9</v>
      </c>
      <c r="B30">
        <v>1500</v>
      </c>
    </row>
    <row r="31" spans="1:2" x14ac:dyDescent="0.45">
      <c r="A31">
        <v>10</v>
      </c>
      <c r="B31">
        <v>1600</v>
      </c>
    </row>
    <row r="32" spans="1:2" x14ac:dyDescent="0.45">
      <c r="A32">
        <v>11</v>
      </c>
      <c r="B32">
        <v>1700</v>
      </c>
    </row>
    <row r="33" spans="1:2" x14ac:dyDescent="0.45">
      <c r="A33">
        <v>12</v>
      </c>
      <c r="B33">
        <v>1800</v>
      </c>
    </row>
    <row r="34" spans="1:2" x14ac:dyDescent="0.45">
      <c r="A34">
        <v>13</v>
      </c>
    </row>
    <row r="35" spans="1:2" x14ac:dyDescent="0.45">
      <c r="A35">
        <v>14</v>
      </c>
    </row>
    <row r="36" spans="1:2" x14ac:dyDescent="0.45">
      <c r="A3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0976-73C3-45FC-9930-0870D22166CE}">
  <dimension ref="A1:B13"/>
  <sheetViews>
    <sheetView workbookViewId="0">
      <selection activeCell="K16" sqref="K16"/>
    </sheetView>
  </sheetViews>
  <sheetFormatPr defaultRowHeight="14.25" x14ac:dyDescent="0.45"/>
  <cols>
    <col min="1" max="1" width="14.59765625" customWidth="1"/>
    <col min="2" max="2" width="9.53125" customWidth="1"/>
  </cols>
  <sheetData>
    <row r="1" spans="1:2" x14ac:dyDescent="0.45">
      <c r="A1" s="21" t="s">
        <v>98</v>
      </c>
      <c r="B1" s="21" t="s">
        <v>58</v>
      </c>
    </row>
    <row r="2" spans="1:2" x14ac:dyDescent="0.45">
      <c r="A2">
        <v>1</v>
      </c>
      <c r="B2">
        <v>78000</v>
      </c>
    </row>
    <row r="3" spans="1:2" x14ac:dyDescent="0.45">
      <c r="A3">
        <v>2</v>
      </c>
      <c r="B3">
        <v>60000</v>
      </c>
    </row>
    <row r="4" spans="1:2" x14ac:dyDescent="0.45">
      <c r="A4">
        <v>3</v>
      </c>
      <c r="B4">
        <v>45000</v>
      </c>
    </row>
    <row r="5" spans="1:2" x14ac:dyDescent="0.45">
      <c r="A5">
        <v>4</v>
      </c>
      <c r="B5">
        <v>80000</v>
      </c>
    </row>
    <row r="6" spans="1:2" x14ac:dyDescent="0.45">
      <c r="A6">
        <v>5</v>
      </c>
      <c r="B6">
        <v>75000</v>
      </c>
    </row>
    <row r="7" spans="1:2" x14ac:dyDescent="0.45">
      <c r="A7">
        <v>6</v>
      </c>
      <c r="B7">
        <v>70000</v>
      </c>
    </row>
    <row r="8" spans="1:2" x14ac:dyDescent="0.45">
      <c r="A8">
        <v>7</v>
      </c>
      <c r="B8">
        <v>50000</v>
      </c>
    </row>
    <row r="9" spans="1:2" x14ac:dyDescent="0.45">
      <c r="A9">
        <v>8</v>
      </c>
      <c r="B9">
        <v>90000</v>
      </c>
    </row>
    <row r="10" spans="1:2" x14ac:dyDescent="0.45">
      <c r="A10">
        <v>9</v>
      </c>
      <c r="B10">
        <v>80000</v>
      </c>
    </row>
    <row r="11" spans="1:2" x14ac:dyDescent="0.45">
      <c r="A11">
        <v>10</v>
      </c>
      <c r="B11">
        <v>52000</v>
      </c>
    </row>
    <row r="12" spans="1:2" x14ac:dyDescent="0.45">
      <c r="A12">
        <v>11</v>
      </c>
      <c r="B12">
        <v>60000</v>
      </c>
    </row>
    <row r="13" spans="1:2" x14ac:dyDescent="0.45">
      <c r="A13">
        <v>12</v>
      </c>
      <c r="B13">
        <v>115000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972F-119D-4766-A97C-189486336D14}">
  <dimension ref="A1:E26"/>
  <sheetViews>
    <sheetView topLeftCell="A7" workbookViewId="0">
      <selection activeCell="D24" sqref="D24:D26"/>
    </sheetView>
  </sheetViews>
  <sheetFormatPr defaultRowHeight="14.25" x14ac:dyDescent="0.45"/>
  <cols>
    <col min="1" max="1" width="16.796875" bestFit="1" customWidth="1"/>
    <col min="2" max="2" width="9.1328125" bestFit="1" customWidth="1"/>
    <col min="3" max="3" width="14.73046875" customWidth="1"/>
    <col min="4" max="4" width="28.33203125" customWidth="1"/>
    <col min="5" max="5" width="28.3984375" customWidth="1"/>
  </cols>
  <sheetData>
    <row r="1" spans="1:5" x14ac:dyDescent="0.45">
      <c r="A1" t="s">
        <v>98</v>
      </c>
      <c r="B1" t="s">
        <v>58</v>
      </c>
      <c r="C1" t="s">
        <v>60</v>
      </c>
      <c r="D1" t="s">
        <v>61</v>
      </c>
      <c r="E1" t="s">
        <v>62</v>
      </c>
    </row>
    <row r="2" spans="1:5" x14ac:dyDescent="0.45">
      <c r="A2">
        <v>1</v>
      </c>
      <c r="B2">
        <v>78000</v>
      </c>
    </row>
    <row r="3" spans="1:5" x14ac:dyDescent="0.45">
      <c r="A3">
        <v>2</v>
      </c>
      <c r="B3">
        <v>60000</v>
      </c>
    </row>
    <row r="4" spans="1:5" x14ac:dyDescent="0.45">
      <c r="A4">
        <v>3</v>
      </c>
      <c r="B4">
        <v>45000</v>
      </c>
    </row>
    <row r="5" spans="1:5" x14ac:dyDescent="0.45">
      <c r="A5">
        <v>4</v>
      </c>
      <c r="B5">
        <v>80000</v>
      </c>
    </row>
    <row r="6" spans="1:5" x14ac:dyDescent="0.45">
      <c r="A6">
        <v>5</v>
      </c>
      <c r="B6">
        <v>75000</v>
      </c>
    </row>
    <row r="7" spans="1:5" x14ac:dyDescent="0.45">
      <c r="A7">
        <v>6</v>
      </c>
      <c r="B7">
        <v>70000</v>
      </c>
    </row>
    <row r="8" spans="1:5" x14ac:dyDescent="0.45">
      <c r="A8">
        <v>7</v>
      </c>
      <c r="B8">
        <v>50000</v>
      </c>
    </row>
    <row r="9" spans="1:5" x14ac:dyDescent="0.45">
      <c r="A9">
        <v>8</v>
      </c>
      <c r="B9">
        <v>90000</v>
      </c>
    </row>
    <row r="10" spans="1:5" x14ac:dyDescent="0.45">
      <c r="A10">
        <v>9</v>
      </c>
      <c r="B10">
        <v>80000</v>
      </c>
    </row>
    <row r="11" spans="1:5" x14ac:dyDescent="0.45">
      <c r="A11">
        <v>10</v>
      </c>
      <c r="B11">
        <v>52000</v>
      </c>
    </row>
    <row r="12" spans="1:5" x14ac:dyDescent="0.45">
      <c r="A12">
        <v>11</v>
      </c>
      <c r="B12">
        <v>60000</v>
      </c>
    </row>
    <row r="13" spans="1:5" x14ac:dyDescent="0.45">
      <c r="A13">
        <v>12</v>
      </c>
      <c r="B13">
        <v>115000</v>
      </c>
      <c r="C13">
        <v>115000</v>
      </c>
      <c r="D13" s="9">
        <v>115000</v>
      </c>
      <c r="E13" s="9">
        <v>115000</v>
      </c>
    </row>
    <row r="14" spans="1:5" x14ac:dyDescent="0.45">
      <c r="A14">
        <v>13</v>
      </c>
      <c r="C14">
        <f t="shared" ref="C14:C21" si="0">_xlfn.FORECAST.ETS(A14,$B$2:$B$13,$A$2:$A$13,1,1)</f>
        <v>97957.208139179435</v>
      </c>
      <c r="D14" s="9">
        <f t="shared" ref="D14:D21" si="1">C14-_xlfn.FORECAST.ETS.CONFINT(A14,$B$2:$B$13,$A$2:$A$13,0.95,1,1)</f>
        <v>77340.873847918716</v>
      </c>
      <c r="E14" s="9">
        <f t="shared" ref="E14:E21" si="2">C14+_xlfn.FORECAST.ETS.CONFINT(A14,$B$2:$B$13,$A$2:$A$13,0.95,1,1)</f>
        <v>118573.54243044015</v>
      </c>
    </row>
    <row r="15" spans="1:5" x14ac:dyDescent="0.45">
      <c r="A15">
        <v>14</v>
      </c>
      <c r="C15">
        <f t="shared" si="0"/>
        <v>87940.997425046648</v>
      </c>
      <c r="D15" s="9">
        <f t="shared" si="1"/>
        <v>64872.765673925329</v>
      </c>
      <c r="E15" s="9">
        <f t="shared" si="2"/>
        <v>111009.22917616797</v>
      </c>
    </row>
    <row r="16" spans="1:5" x14ac:dyDescent="0.45">
      <c r="A16">
        <v>15</v>
      </c>
      <c r="C16">
        <f t="shared" si="0"/>
        <v>70760.550261559067</v>
      </c>
      <c r="D16" s="9">
        <f t="shared" si="1"/>
        <v>45468.643432621109</v>
      </c>
      <c r="E16" s="9">
        <f t="shared" si="2"/>
        <v>96052.457090497017</v>
      </c>
    </row>
    <row r="17" spans="1:5" x14ac:dyDescent="0.45">
      <c r="A17">
        <v>16</v>
      </c>
      <c r="C17">
        <f t="shared" si="0"/>
        <v>109737.57978940511</v>
      </c>
      <c r="D17" s="9">
        <f t="shared" si="1"/>
        <v>82394.46741286316</v>
      </c>
      <c r="E17" s="9">
        <f t="shared" si="2"/>
        <v>137080.69216594705</v>
      </c>
    </row>
    <row r="18" spans="1:5" x14ac:dyDescent="0.45">
      <c r="A18">
        <v>17</v>
      </c>
      <c r="C18">
        <f t="shared" si="0"/>
        <v>104463.02939237008</v>
      </c>
      <c r="D18" s="9">
        <f t="shared" si="1"/>
        <v>75197.527432336414</v>
      </c>
      <c r="E18" s="9">
        <f t="shared" si="2"/>
        <v>133728.53135240375</v>
      </c>
    </row>
    <row r="19" spans="1:5" x14ac:dyDescent="0.45">
      <c r="A19">
        <v>18</v>
      </c>
      <c r="C19">
        <f t="shared" si="0"/>
        <v>94446.81867823728</v>
      </c>
      <c r="D19" s="9">
        <f t="shared" si="1"/>
        <v>63377.647213435266</v>
      </c>
      <c r="E19" s="9">
        <f t="shared" si="2"/>
        <v>125515.99014303929</v>
      </c>
    </row>
    <row r="20" spans="1:5" x14ac:dyDescent="0.45">
      <c r="A20">
        <v>19</v>
      </c>
      <c r="C20">
        <f t="shared" si="0"/>
        <v>77266.371514749713</v>
      </c>
      <c r="D20" s="9">
        <f t="shared" si="1"/>
        <v>44486.075837048382</v>
      </c>
      <c r="E20" s="9">
        <f t="shared" si="2"/>
        <v>110046.66719245104</v>
      </c>
    </row>
    <row r="21" spans="1:5" x14ac:dyDescent="0.45">
      <c r="A21">
        <v>20</v>
      </c>
      <c r="C21">
        <f t="shared" si="0"/>
        <v>116243.40104259577</v>
      </c>
      <c r="D21" s="9">
        <f t="shared" si="1"/>
        <v>81830.706253259879</v>
      </c>
      <c r="E21" s="9">
        <f t="shared" si="2"/>
        <v>150656.09583193166</v>
      </c>
    </row>
    <row r="26" spans="1:5" x14ac:dyDescent="0.45">
      <c r="D26" s="1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PMT Example</vt:lpstr>
      <vt:lpstr>IPMT PPMT example</vt:lpstr>
      <vt:lpstr>Amortization</vt:lpstr>
      <vt:lpstr>NPER Example</vt:lpstr>
      <vt:lpstr>PV Example</vt:lpstr>
      <vt:lpstr>Nominal effective</vt:lpstr>
      <vt:lpstr>FV Lump Sum Fixed</vt:lpstr>
      <vt:lpstr>FV Lump Sum Variable</vt:lpstr>
      <vt:lpstr>FV Regular</vt:lpstr>
      <vt:lpstr>Future Value Schedule</vt:lpstr>
      <vt:lpstr>Investment Goal</vt:lpstr>
      <vt:lpstr>NPV</vt:lpstr>
      <vt:lpstr>XNPV</vt:lpstr>
      <vt:lpstr>IRR</vt:lpstr>
      <vt:lpstr>XIRR</vt:lpstr>
      <vt:lpstr>MIRR</vt:lpstr>
      <vt:lpstr>SLN</vt:lpstr>
      <vt:lpstr>Stocks</vt:lpstr>
      <vt:lpstr>Currency</vt:lpstr>
      <vt:lpstr>Stock History</vt:lpstr>
      <vt:lpstr>Stock chart</vt:lpstr>
      <vt:lpstr>TREND GROWTH</vt:lpstr>
      <vt:lpstr>Seasonal Data</vt:lpstr>
      <vt:lpstr>Forecast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David Griffiths</cp:lastModifiedBy>
  <dcterms:created xsi:type="dcterms:W3CDTF">2023-02-15T14:33:08Z</dcterms:created>
  <dcterms:modified xsi:type="dcterms:W3CDTF">2024-05-08T08:24:10Z</dcterms:modified>
</cp:coreProperties>
</file>