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gukandogu/Desktop/"/>
    </mc:Choice>
  </mc:AlternateContent>
  <xr:revisionPtr revIDLastSave="0" documentId="13_ncr:1_{FA0BC92F-09D6-DC48-9FD1-A4BF0878DC9E}" xr6:coauthVersionLast="47" xr6:coauthVersionMax="47" xr10:uidLastSave="{00000000-0000-0000-0000-000000000000}"/>
  <bookViews>
    <workbookView xWindow="0" yWindow="760" windowWidth="29400" windowHeight="18360" tabRatio="634" xr2:uid="{00000000-000D-0000-FFFF-FFFF00000000}"/>
  </bookViews>
  <sheets>
    <sheet name="Model" sheetId="6" r:id="rId1"/>
  </sheets>
  <definedNames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Model!$B$4:$S$49,Model!$B$51:$AK$78,Model!$B$80:$AK$109,Model!$B$112:$AK$157,Model!$B$159:$AK$185,Model!$B$187:$M$213,Model!$B$215:$AK$222,Model!$C$224:$H$234,Model!$I$223:$Y$247,Model!$B$247:$AA$279</definedName>
    <definedName name="_xlnm.Print_Titles" localSheetId="0">Model!$2:$3</definedName>
    <definedName name="solver_adj" localSheetId="0" hidden="1">Model!$L$21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Model!$G$181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0.075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9" i="6" l="1"/>
  <c r="G85" i="6"/>
  <c r="G30" i="6"/>
  <c r="G31" i="6"/>
  <c r="G32" i="6"/>
  <c r="G33" i="6"/>
  <c r="G34" i="6"/>
  <c r="G35" i="6"/>
  <c r="G36" i="6"/>
  <c r="G37" i="6"/>
  <c r="G29" i="6"/>
  <c r="N18" i="6"/>
  <c r="N19" i="6"/>
  <c r="N20" i="6"/>
  <c r="N21" i="6"/>
  <c r="N22" i="6"/>
  <c r="N23" i="6"/>
  <c r="N24" i="6"/>
  <c r="N25" i="6"/>
  <c r="N17" i="6"/>
  <c r="M18" i="6"/>
  <c r="M19" i="6"/>
  <c r="M20" i="6"/>
  <c r="M21" i="6"/>
  <c r="M22" i="6"/>
  <c r="M23" i="6"/>
  <c r="M24" i="6"/>
  <c r="M25" i="6"/>
  <c r="M17" i="6"/>
  <c r="G2" i="6"/>
  <c r="H2" i="6"/>
  <c r="H217" i="6" s="1"/>
  <c r="H233" i="6"/>
  <c r="H232" i="6"/>
  <c r="H231" i="6"/>
  <c r="H230" i="6"/>
  <c r="H229" i="6"/>
  <c r="H228" i="6"/>
  <c r="H227" i="6"/>
  <c r="H226" i="6"/>
  <c r="F233" i="6"/>
  <c r="F232" i="6"/>
  <c r="F231" i="6"/>
  <c r="F230" i="6"/>
  <c r="F228" i="6"/>
  <c r="F227" i="6"/>
  <c r="F226" i="6"/>
  <c r="H225" i="6"/>
  <c r="J205" i="6"/>
  <c r="K205" i="6" s="1"/>
  <c r="L205" i="6" s="1"/>
  <c r="M205" i="6" s="1"/>
  <c r="H207" i="6"/>
  <c r="H208" i="6" s="1"/>
  <c r="H209" i="6" s="1"/>
  <c r="H210" i="6" s="1"/>
  <c r="H211" i="6" s="1"/>
  <c r="H212" i="6" s="1"/>
  <c r="H213" i="6" s="1"/>
  <c r="J191" i="6"/>
  <c r="K191" i="6" s="1"/>
  <c r="L191" i="6" s="1"/>
  <c r="M191" i="6" s="1"/>
  <c r="H193" i="6"/>
  <c r="H194" i="6" s="1"/>
  <c r="H195" i="6" s="1"/>
  <c r="H196" i="6" s="1"/>
  <c r="H197" i="6" s="1"/>
  <c r="H198" i="6" s="1"/>
  <c r="H199" i="6" s="1"/>
  <c r="H200" i="6" s="1"/>
  <c r="H234" i="6" l="1"/>
  <c r="E119" i="6"/>
  <c r="D119" i="6"/>
  <c r="E118" i="6"/>
  <c r="D118" i="6"/>
  <c r="E117" i="6"/>
  <c r="D117" i="6"/>
  <c r="E116" i="6"/>
  <c r="D116" i="6"/>
  <c r="E115" i="6"/>
  <c r="D115" i="6"/>
  <c r="G95" i="6" l="1"/>
  <c r="I95" i="6" s="1"/>
  <c r="G89" i="6"/>
  <c r="J89" i="6" s="1"/>
  <c r="G82" i="6"/>
  <c r="H82" i="6" s="1"/>
  <c r="H83" i="6" s="1"/>
  <c r="I82" i="6" l="1"/>
  <c r="J82" i="6" s="1"/>
  <c r="K82" i="6" s="1"/>
  <c r="L82" i="6" s="1"/>
  <c r="M82" i="6" s="1"/>
  <c r="N82" i="6" s="1"/>
  <c r="O82" i="6" s="1"/>
  <c r="P82" i="6" s="1"/>
  <c r="Q82" i="6" s="1"/>
  <c r="R82" i="6" s="1"/>
  <c r="S82" i="6" s="1"/>
  <c r="T82" i="6" s="1"/>
  <c r="U82" i="6" s="1"/>
  <c r="V82" i="6" s="1"/>
  <c r="W82" i="6" s="1"/>
  <c r="X82" i="6" s="1"/>
  <c r="Y82" i="6" s="1"/>
  <c r="Z82" i="6" s="1"/>
  <c r="AA82" i="6" s="1"/>
  <c r="AB82" i="6" s="1"/>
  <c r="AC82" i="6" s="1"/>
  <c r="AD82" i="6" s="1"/>
  <c r="AE82" i="6" s="1"/>
  <c r="AF82" i="6" s="1"/>
  <c r="AG82" i="6" s="1"/>
  <c r="AH82" i="6" s="1"/>
  <c r="AI82" i="6" s="1"/>
  <c r="AJ82" i="6" s="1"/>
  <c r="AK82" i="6" s="1"/>
  <c r="AJ95" i="6"/>
  <c r="AF95" i="6"/>
  <c r="AB95" i="6"/>
  <c r="X95" i="6"/>
  <c r="T95" i="6"/>
  <c r="P95" i="6"/>
  <c r="L95" i="6"/>
  <c r="AK89" i="6"/>
  <c r="AG89" i="6"/>
  <c r="AC89" i="6"/>
  <c r="Y89" i="6"/>
  <c r="U89" i="6"/>
  <c r="Q89" i="6"/>
  <c r="M89" i="6"/>
  <c r="I89" i="6"/>
  <c r="H89" i="6"/>
  <c r="AI95" i="6"/>
  <c r="AE95" i="6"/>
  <c r="AA95" i="6"/>
  <c r="W95" i="6"/>
  <c r="S95" i="6"/>
  <c r="O95" i="6"/>
  <c r="K95" i="6"/>
  <c r="AJ89" i="6"/>
  <c r="AF89" i="6"/>
  <c r="AB89" i="6"/>
  <c r="X89" i="6"/>
  <c r="T89" i="6"/>
  <c r="P89" i="6"/>
  <c r="L89" i="6"/>
  <c r="H95" i="6"/>
  <c r="AH95" i="6"/>
  <c r="AD95" i="6"/>
  <c r="Z95" i="6"/>
  <c r="V95" i="6"/>
  <c r="R95" i="6"/>
  <c r="N95" i="6"/>
  <c r="J95" i="6"/>
  <c r="AI89" i="6"/>
  <c r="AE89" i="6"/>
  <c r="AA89" i="6"/>
  <c r="W89" i="6"/>
  <c r="S89" i="6"/>
  <c r="O89" i="6"/>
  <c r="K89" i="6"/>
  <c r="AK95" i="6"/>
  <c r="AG95" i="6"/>
  <c r="AC95" i="6"/>
  <c r="Y95" i="6"/>
  <c r="U95" i="6"/>
  <c r="Q95" i="6"/>
  <c r="M95" i="6"/>
  <c r="AH89" i="6"/>
  <c r="AD89" i="6"/>
  <c r="Z89" i="6"/>
  <c r="V89" i="6"/>
  <c r="R89" i="6"/>
  <c r="N89" i="6"/>
  <c r="I83" i="6" l="1"/>
  <c r="J83" i="6"/>
  <c r="K83" i="6"/>
  <c r="L83" i="6" l="1"/>
  <c r="M83" i="6" l="1"/>
  <c r="N83" i="6" l="1"/>
  <c r="O83" i="6" l="1"/>
  <c r="P83" i="6" l="1"/>
  <c r="Q83" i="6" l="1"/>
  <c r="R83" i="6" l="1"/>
  <c r="S83" i="6" l="1"/>
  <c r="T83" i="6" l="1"/>
  <c r="U83" i="6" l="1"/>
  <c r="V83" i="6" l="1"/>
  <c r="W83" i="6" l="1"/>
  <c r="X83" i="6" l="1"/>
  <c r="Y83" i="6" l="1"/>
  <c r="Z83" i="6" l="1"/>
  <c r="AA83" i="6" l="1"/>
  <c r="AB83" i="6" l="1"/>
  <c r="AC83" i="6" l="1"/>
  <c r="AD83" i="6" l="1"/>
  <c r="AE83" i="6" l="1"/>
  <c r="AF83" i="6" l="1"/>
  <c r="AG83" i="6" l="1"/>
  <c r="AH83" i="6" l="1"/>
  <c r="AI83" i="6" l="1"/>
  <c r="AJ83" i="6" l="1"/>
  <c r="AK83" i="6"/>
  <c r="K36" i="6" l="1"/>
  <c r="D40" i="6"/>
  <c r="R22" i="6" l="1"/>
  <c r="P22" i="6"/>
  <c r="P23" i="6" s="1"/>
  <c r="R16" i="6"/>
  <c r="H53" i="6" l="1"/>
  <c r="I2" i="6"/>
  <c r="I217" i="6" s="1"/>
  <c r="P24" i="6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Q23" i="6"/>
  <c r="G38" i="6"/>
  <c r="R23" i="6"/>
  <c r="F225" i="6"/>
  <c r="B119" i="6"/>
  <c r="B141" i="6" s="1"/>
  <c r="B118" i="6"/>
  <c r="B136" i="6" s="1"/>
  <c r="B117" i="6"/>
  <c r="B131" i="6" s="1"/>
  <c r="B116" i="6"/>
  <c r="B126" i="6" s="1"/>
  <c r="B115" i="6"/>
  <c r="B121" i="6" s="1"/>
  <c r="E114" i="6"/>
  <c r="D114" i="6"/>
  <c r="B109" i="6"/>
  <c r="B108" i="6"/>
  <c r="B100" i="6"/>
  <c r="B95" i="6"/>
  <c r="B89" i="6"/>
  <c r="B86" i="6"/>
  <c r="B94" i="6" s="1"/>
  <c r="B85" i="6"/>
  <c r="B88" i="6" s="1"/>
  <c r="B74" i="6"/>
  <c r="B73" i="6"/>
  <c r="B72" i="6"/>
  <c r="B71" i="6"/>
  <c r="B70" i="6"/>
  <c r="B69" i="6"/>
  <c r="B68" i="6"/>
  <c r="B67" i="6"/>
  <c r="B66" i="6"/>
  <c r="H54" i="6" l="1"/>
  <c r="H55" i="6" s="1"/>
  <c r="H58" i="6" s="1"/>
  <c r="H61" i="6"/>
  <c r="J2" i="6"/>
  <c r="J217" i="6" s="1"/>
  <c r="I53" i="6"/>
  <c r="I61" i="6" s="1"/>
  <c r="Q24" i="6"/>
  <c r="Q25" i="6" s="1"/>
  <c r="R24" i="6"/>
  <c r="S23" i="6"/>
  <c r="P43" i="6"/>
  <c r="Q42" i="6"/>
  <c r="H71" i="6" l="1"/>
  <c r="H94" i="6"/>
  <c r="H96" i="6" s="1"/>
  <c r="H166" i="6"/>
  <c r="H167" i="6" s="1"/>
  <c r="R25" i="6"/>
  <c r="Q26" i="6"/>
  <c r="H73" i="6"/>
  <c r="H72" i="6"/>
  <c r="H70" i="6"/>
  <c r="H69" i="6"/>
  <c r="H67" i="6"/>
  <c r="H66" i="6"/>
  <c r="H68" i="6"/>
  <c r="H59" i="6"/>
  <c r="I54" i="6"/>
  <c r="K2" i="6"/>
  <c r="K217" i="6" s="1"/>
  <c r="J53" i="6"/>
  <c r="J61" i="6" s="1"/>
  <c r="S24" i="6"/>
  <c r="P44" i="6"/>
  <c r="Q43" i="6"/>
  <c r="S25" i="6" l="1"/>
  <c r="R26" i="6"/>
  <c r="Q27" i="6"/>
  <c r="H74" i="6"/>
  <c r="H75" i="6" s="1"/>
  <c r="H76" i="6" s="1"/>
  <c r="L2" i="6"/>
  <c r="L217" i="6" s="1"/>
  <c r="K53" i="6"/>
  <c r="K61" i="6" s="1"/>
  <c r="J54" i="6"/>
  <c r="I166" i="6"/>
  <c r="I167" i="6" s="1"/>
  <c r="I94" i="6"/>
  <c r="I96" i="6" s="1"/>
  <c r="I71" i="6"/>
  <c r="I55" i="6"/>
  <c r="I72" i="6"/>
  <c r="P45" i="6"/>
  <c r="Q44" i="6"/>
  <c r="I58" i="6" l="1"/>
  <c r="I59" i="6" s="1"/>
  <c r="S26" i="6"/>
  <c r="R27" i="6"/>
  <c r="Q28" i="6"/>
  <c r="H219" i="6"/>
  <c r="I67" i="6"/>
  <c r="I68" i="6"/>
  <c r="I70" i="6"/>
  <c r="I73" i="6"/>
  <c r="K54" i="6"/>
  <c r="M2" i="6"/>
  <c r="M217" i="6" s="1"/>
  <c r="L53" i="6"/>
  <c r="L61" i="6" s="1"/>
  <c r="J166" i="6"/>
  <c r="J167" i="6" s="1"/>
  <c r="J94" i="6"/>
  <c r="J96" i="6" s="1"/>
  <c r="J71" i="6"/>
  <c r="J55" i="6"/>
  <c r="I66" i="6"/>
  <c r="I69" i="6"/>
  <c r="P46" i="6"/>
  <c r="Q45" i="6"/>
  <c r="S27" i="6" l="1"/>
  <c r="J58" i="6"/>
  <c r="J59" i="6" s="1"/>
  <c r="R28" i="6"/>
  <c r="Q46" i="6"/>
  <c r="Q29" i="6"/>
  <c r="J68" i="6"/>
  <c r="J67" i="6"/>
  <c r="J69" i="6"/>
  <c r="J72" i="6"/>
  <c r="J73" i="6"/>
  <c r="J66" i="6"/>
  <c r="J70" i="6"/>
  <c r="N2" i="6"/>
  <c r="N217" i="6" s="1"/>
  <c r="M53" i="6"/>
  <c r="M61" i="6" s="1"/>
  <c r="I74" i="6"/>
  <c r="I75" i="6" s="1"/>
  <c r="K166" i="6"/>
  <c r="K167" i="6" s="1"/>
  <c r="K94" i="6"/>
  <c r="K96" i="6" s="1"/>
  <c r="K55" i="6"/>
  <c r="K71" i="6"/>
  <c r="L54" i="6"/>
  <c r="K58" i="6" l="1"/>
  <c r="K59" i="6" s="1"/>
  <c r="R29" i="6"/>
  <c r="S28" i="6"/>
  <c r="Q30" i="6"/>
  <c r="K72" i="6"/>
  <c r="K67" i="6"/>
  <c r="J74" i="6"/>
  <c r="J75" i="6" s="1"/>
  <c r="J219" i="6" s="1"/>
  <c r="K70" i="6"/>
  <c r="K73" i="6"/>
  <c r="K69" i="6"/>
  <c r="K68" i="6"/>
  <c r="K66" i="6"/>
  <c r="I76" i="6"/>
  <c r="I219" i="6"/>
  <c r="M54" i="6"/>
  <c r="L166" i="6"/>
  <c r="L167" i="6" s="1"/>
  <c r="L94" i="6"/>
  <c r="L96" i="6" s="1"/>
  <c r="L55" i="6"/>
  <c r="L71" i="6"/>
  <c r="O2" i="6"/>
  <c r="O217" i="6" s="1"/>
  <c r="N53" i="6"/>
  <c r="N61" i="6" s="1"/>
  <c r="S29" i="6" l="1"/>
  <c r="L58" i="6"/>
  <c r="L59" i="6" s="1"/>
  <c r="R30" i="6"/>
  <c r="R31" i="6" s="1"/>
  <c r="R32" i="6" s="1"/>
  <c r="Q31" i="6"/>
  <c r="J76" i="6"/>
  <c r="K74" i="6"/>
  <c r="K75" i="6" s="1"/>
  <c r="K76" i="6" s="1"/>
  <c r="L67" i="6"/>
  <c r="L73" i="6"/>
  <c r="L66" i="6"/>
  <c r="L68" i="6"/>
  <c r="L69" i="6"/>
  <c r="L70" i="6"/>
  <c r="L72" i="6"/>
  <c r="M166" i="6"/>
  <c r="M167" i="6" s="1"/>
  <c r="M94" i="6"/>
  <c r="M96" i="6" s="1"/>
  <c r="M71" i="6"/>
  <c r="M55" i="6"/>
  <c r="N54" i="6"/>
  <c r="P2" i="6"/>
  <c r="P217" i="6" s="1"/>
  <c r="O53" i="6"/>
  <c r="O61" i="6" s="1"/>
  <c r="M58" i="6" l="1"/>
  <c r="M59" i="6" s="1"/>
  <c r="R33" i="6"/>
  <c r="S32" i="6"/>
  <c r="S30" i="6"/>
  <c r="S31" i="6" s="1"/>
  <c r="Q32" i="6"/>
  <c r="K219" i="6"/>
  <c r="M66" i="6"/>
  <c r="L74" i="6"/>
  <c r="L75" i="6" s="1"/>
  <c r="L219" i="6" s="1"/>
  <c r="O54" i="6"/>
  <c r="Q2" i="6"/>
  <c r="Q217" i="6" s="1"/>
  <c r="P53" i="6"/>
  <c r="P61" i="6" s="1"/>
  <c r="M68" i="6"/>
  <c r="M67" i="6"/>
  <c r="N166" i="6"/>
  <c r="N167" i="6" s="1"/>
  <c r="N94" i="6"/>
  <c r="N96" i="6" s="1"/>
  <c r="N71" i="6"/>
  <c r="N55" i="6"/>
  <c r="M70" i="6"/>
  <c r="M72" i="6"/>
  <c r="M73" i="6"/>
  <c r="M69" i="6"/>
  <c r="N58" i="6" l="1"/>
  <c r="N59" i="6" s="1"/>
  <c r="S33" i="6"/>
  <c r="R34" i="6"/>
  <c r="Q33" i="6"/>
  <c r="L76" i="6"/>
  <c r="N66" i="6"/>
  <c r="N67" i="6"/>
  <c r="N72" i="6"/>
  <c r="N70" i="6"/>
  <c r="N73" i="6"/>
  <c r="M74" i="6"/>
  <c r="M75" i="6" s="1"/>
  <c r="N69" i="6"/>
  <c r="N68" i="6"/>
  <c r="O166" i="6"/>
  <c r="O167" i="6" s="1"/>
  <c r="O94" i="6"/>
  <c r="O96" i="6" s="1"/>
  <c r="O71" i="6"/>
  <c r="O55" i="6"/>
  <c r="R2" i="6"/>
  <c r="R217" i="6" s="1"/>
  <c r="Q53" i="6"/>
  <c r="Q61" i="6" s="1"/>
  <c r="P54" i="6"/>
  <c r="O58" i="6" l="1"/>
  <c r="O59" i="6" s="1"/>
  <c r="R35" i="6"/>
  <c r="S34" i="6"/>
  <c r="Q34" i="6"/>
  <c r="N74" i="6"/>
  <c r="N75" i="6" s="1"/>
  <c r="N76" i="6" s="1"/>
  <c r="O69" i="6"/>
  <c r="O73" i="6"/>
  <c r="O67" i="6"/>
  <c r="O66" i="6"/>
  <c r="O68" i="6"/>
  <c r="O70" i="6"/>
  <c r="O72" i="6"/>
  <c r="M76" i="6"/>
  <c r="M219" i="6"/>
  <c r="Q54" i="6"/>
  <c r="P166" i="6"/>
  <c r="P167" i="6" s="1"/>
  <c r="P94" i="6"/>
  <c r="P96" i="6" s="1"/>
  <c r="P71" i="6"/>
  <c r="P55" i="6"/>
  <c r="S2" i="6"/>
  <c r="S217" i="6" s="1"/>
  <c r="R53" i="6"/>
  <c r="R61" i="6" s="1"/>
  <c r="P58" i="6" l="1"/>
  <c r="P59" i="6" s="1"/>
  <c r="R36" i="6"/>
  <c r="S35" i="6"/>
  <c r="Q35" i="6"/>
  <c r="N219" i="6"/>
  <c r="O74" i="6"/>
  <c r="O75" i="6" s="1"/>
  <c r="O76" i="6" s="1"/>
  <c r="P72" i="6"/>
  <c r="P68" i="6"/>
  <c r="R54" i="6"/>
  <c r="P69" i="6"/>
  <c r="P73" i="6"/>
  <c r="Q166" i="6"/>
  <c r="Q167" i="6" s="1"/>
  <c r="Q94" i="6"/>
  <c r="Q96" i="6" s="1"/>
  <c r="Q71" i="6"/>
  <c r="Q55" i="6"/>
  <c r="P67" i="6"/>
  <c r="T2" i="6"/>
  <c r="T217" i="6" s="1"/>
  <c r="S53" i="6"/>
  <c r="S61" i="6" s="1"/>
  <c r="P66" i="6"/>
  <c r="P70" i="6"/>
  <c r="Q58" i="6" l="1"/>
  <c r="Q59" i="6" s="1"/>
  <c r="R37" i="6"/>
  <c r="S36" i="6"/>
  <c r="Q36" i="6"/>
  <c r="O219" i="6"/>
  <c r="Q73" i="6"/>
  <c r="Q67" i="6"/>
  <c r="Q69" i="6"/>
  <c r="P74" i="6"/>
  <c r="P75" i="6" s="1"/>
  <c r="Q68" i="6"/>
  <c r="Q70" i="6"/>
  <c r="U2" i="6"/>
  <c r="U217" i="6" s="1"/>
  <c r="T53" i="6"/>
  <c r="T61" i="6" s="1"/>
  <c r="R166" i="6"/>
  <c r="R167" i="6" s="1"/>
  <c r="R94" i="6"/>
  <c r="R96" i="6" s="1"/>
  <c r="R71" i="6"/>
  <c r="R55" i="6"/>
  <c r="R68" i="6" s="1"/>
  <c r="S54" i="6"/>
  <c r="Q72" i="6"/>
  <c r="Q66" i="6"/>
  <c r="R70" i="6" l="1"/>
  <c r="R58" i="6"/>
  <c r="R59" i="6" s="1"/>
  <c r="S37" i="6"/>
  <c r="R38" i="6"/>
  <c r="Q37" i="6"/>
  <c r="R69" i="6"/>
  <c r="R67" i="6"/>
  <c r="R73" i="6"/>
  <c r="R72" i="6"/>
  <c r="R66" i="6"/>
  <c r="P76" i="6"/>
  <c r="P219" i="6"/>
  <c r="Q74" i="6"/>
  <c r="Q75" i="6" s="1"/>
  <c r="T54" i="6"/>
  <c r="S166" i="6"/>
  <c r="S167" i="6" s="1"/>
  <c r="S94" i="6"/>
  <c r="S96" i="6" s="1"/>
  <c r="S55" i="6"/>
  <c r="S71" i="6"/>
  <c r="V2" i="6"/>
  <c r="V217" i="6" s="1"/>
  <c r="U53" i="6"/>
  <c r="U61" i="6" s="1"/>
  <c r="S58" i="6" l="1"/>
  <c r="S59" i="6" s="1"/>
  <c r="S38" i="6"/>
  <c r="R39" i="6"/>
  <c r="Q38" i="6"/>
  <c r="R74" i="6"/>
  <c r="R75" i="6" s="1"/>
  <c r="R76" i="6" s="1"/>
  <c r="S67" i="6"/>
  <c r="S69" i="6"/>
  <c r="S70" i="6"/>
  <c r="Q76" i="6"/>
  <c r="Q219" i="6"/>
  <c r="S72" i="6"/>
  <c r="S66" i="6"/>
  <c r="S73" i="6"/>
  <c r="S68" i="6"/>
  <c r="W2" i="6"/>
  <c r="W217" i="6" s="1"/>
  <c r="V53" i="6"/>
  <c r="V61" i="6" s="1"/>
  <c r="T166" i="6"/>
  <c r="T167" i="6" s="1"/>
  <c r="T94" i="6"/>
  <c r="T96" i="6" s="1"/>
  <c r="T71" i="6"/>
  <c r="T55" i="6"/>
  <c r="U54" i="6"/>
  <c r="T58" i="6" l="1"/>
  <c r="T59" i="6" s="1"/>
  <c r="R40" i="6"/>
  <c r="S39" i="6"/>
  <c r="Q39" i="6"/>
  <c r="R219" i="6"/>
  <c r="S74" i="6"/>
  <c r="S75" i="6" s="1"/>
  <c r="S76" i="6" s="1"/>
  <c r="T66" i="6"/>
  <c r="U166" i="6"/>
  <c r="U167" i="6" s="1"/>
  <c r="U94" i="6"/>
  <c r="U96" i="6" s="1"/>
  <c r="U71" i="6"/>
  <c r="U55" i="6"/>
  <c r="T72" i="6"/>
  <c r="T69" i="6"/>
  <c r="T70" i="6"/>
  <c r="T73" i="6"/>
  <c r="V54" i="6"/>
  <c r="X2" i="6"/>
  <c r="X217" i="6" s="1"/>
  <c r="W53" i="6"/>
  <c r="W61" i="6" s="1"/>
  <c r="T67" i="6"/>
  <c r="T68" i="6"/>
  <c r="U58" i="6" l="1"/>
  <c r="U59" i="6" s="1"/>
  <c r="S40" i="6"/>
  <c r="R41" i="6"/>
  <c r="Q40" i="6"/>
  <c r="U70" i="6"/>
  <c r="S219" i="6"/>
  <c r="U67" i="6"/>
  <c r="U73" i="6"/>
  <c r="U72" i="6"/>
  <c r="U66" i="6"/>
  <c r="U68" i="6"/>
  <c r="U69" i="6"/>
  <c r="T74" i="6"/>
  <c r="T75" i="6" s="1"/>
  <c r="W54" i="6"/>
  <c r="Y2" i="6"/>
  <c r="Y217" i="6" s="1"/>
  <c r="X53" i="6"/>
  <c r="X61" i="6" s="1"/>
  <c r="V166" i="6"/>
  <c r="V94" i="6"/>
  <c r="V96" i="6" s="1"/>
  <c r="V71" i="6"/>
  <c r="V55" i="6"/>
  <c r="V58" i="6" l="1"/>
  <c r="V59" i="6" s="1"/>
  <c r="R42" i="6"/>
  <c r="S41" i="6"/>
  <c r="Q41" i="6"/>
  <c r="U74" i="6"/>
  <c r="U75" i="6" s="1"/>
  <c r="U76" i="6" s="1"/>
  <c r="V68" i="6"/>
  <c r="V72" i="6"/>
  <c r="V66" i="6"/>
  <c r="V70" i="6"/>
  <c r="V69" i="6"/>
  <c r="V73" i="6"/>
  <c r="V67" i="6"/>
  <c r="T76" i="6"/>
  <c r="T219" i="6"/>
  <c r="W166" i="6"/>
  <c r="W167" i="6" s="1"/>
  <c r="W94" i="6"/>
  <c r="W96" i="6" s="1"/>
  <c r="W73" i="6"/>
  <c r="W55" i="6"/>
  <c r="W71" i="6"/>
  <c r="X54" i="6"/>
  <c r="Z2" i="6"/>
  <c r="Z217" i="6" s="1"/>
  <c r="Y53" i="6"/>
  <c r="Y61" i="6" s="1"/>
  <c r="W58" i="6" l="1"/>
  <c r="W59" i="6" s="1"/>
  <c r="R43" i="6"/>
  <c r="S42" i="6"/>
  <c r="U219" i="6"/>
  <c r="V74" i="6"/>
  <c r="V75" i="6" s="1"/>
  <c r="V219" i="6" s="1"/>
  <c r="W72" i="6"/>
  <c r="W69" i="6"/>
  <c r="W70" i="6"/>
  <c r="V167" i="6"/>
  <c r="W68" i="6"/>
  <c r="AA2" i="6"/>
  <c r="AA217" i="6" s="1"/>
  <c r="Z53" i="6"/>
  <c r="Z61" i="6" s="1"/>
  <c r="W66" i="6"/>
  <c r="X166" i="6"/>
  <c r="X167" i="6" s="1"/>
  <c r="X94" i="6"/>
  <c r="X96" i="6" s="1"/>
  <c r="X55" i="6"/>
  <c r="X71" i="6"/>
  <c r="X73" i="6"/>
  <c r="Y54" i="6"/>
  <c r="W67" i="6"/>
  <c r="X58" i="6" l="1"/>
  <c r="X59" i="6" s="1"/>
  <c r="V76" i="6"/>
  <c r="R44" i="6"/>
  <c r="S43" i="6"/>
  <c r="X66" i="6"/>
  <c r="X68" i="6"/>
  <c r="W74" i="6"/>
  <c r="W75" i="6" s="1"/>
  <c r="W219" i="6" s="1"/>
  <c r="AB2" i="6"/>
  <c r="AB217" i="6" s="1"/>
  <c r="AA53" i="6"/>
  <c r="AA61" i="6" s="1"/>
  <c r="X70" i="6"/>
  <c r="Y166" i="6"/>
  <c r="Y167" i="6" s="1"/>
  <c r="Y94" i="6"/>
  <c r="Y96" i="6" s="1"/>
  <c r="Y55" i="6"/>
  <c r="Y73" i="6"/>
  <c r="Y71" i="6"/>
  <c r="X67" i="6"/>
  <c r="X69" i="6"/>
  <c r="X72" i="6"/>
  <c r="Z54" i="6"/>
  <c r="Y58" i="6" l="1"/>
  <c r="Y59" i="6" s="1"/>
  <c r="R45" i="6"/>
  <c r="S44" i="6"/>
  <c r="Y72" i="6"/>
  <c r="Y67" i="6"/>
  <c r="Y68" i="6"/>
  <c r="Y70" i="6"/>
  <c r="X74" i="6"/>
  <c r="X75" i="6" s="1"/>
  <c r="AC2" i="6"/>
  <c r="AC217" i="6" s="1"/>
  <c r="AB53" i="6"/>
  <c r="W76" i="6"/>
  <c r="Z166" i="6"/>
  <c r="Z167" i="6" s="1"/>
  <c r="Z94" i="6"/>
  <c r="Z96" i="6" s="1"/>
  <c r="Z55" i="6"/>
  <c r="Z73" i="6"/>
  <c r="Z71" i="6"/>
  <c r="Y66" i="6"/>
  <c r="Y69" i="6"/>
  <c r="AA54" i="6"/>
  <c r="Z58" i="6" l="1"/>
  <c r="Z59" i="6" s="1"/>
  <c r="AB62" i="6"/>
  <c r="AB61" i="6"/>
  <c r="R46" i="6"/>
  <c r="S45" i="6"/>
  <c r="Z70" i="6"/>
  <c r="Z66" i="6"/>
  <c r="Z72" i="6"/>
  <c r="Z68" i="6"/>
  <c r="Z69" i="6"/>
  <c r="Z67" i="6"/>
  <c r="Y74" i="6"/>
  <c r="Y75" i="6" s="1"/>
  <c r="Y76" i="6" s="1"/>
  <c r="X76" i="6"/>
  <c r="X219" i="6"/>
  <c r="AB54" i="6"/>
  <c r="AA166" i="6"/>
  <c r="AA167" i="6" s="1"/>
  <c r="AA94" i="6"/>
  <c r="AA96" i="6" s="1"/>
  <c r="AA55" i="6"/>
  <c r="AA71" i="6"/>
  <c r="AA73" i="6"/>
  <c r="AA72" i="6"/>
  <c r="AA66" i="6"/>
  <c r="AA70" i="6"/>
  <c r="AD2" i="6"/>
  <c r="AD217" i="6" s="1"/>
  <c r="AC53" i="6"/>
  <c r="AA58" i="6" l="1"/>
  <c r="AA59" i="6" s="1"/>
  <c r="AC62" i="6"/>
  <c r="AC61" i="6"/>
  <c r="H62" i="6"/>
  <c r="H222" i="6" s="1"/>
  <c r="AA62" i="6"/>
  <c r="AA222" i="6" s="1"/>
  <c r="Q62" i="6"/>
  <c r="L62" i="6"/>
  <c r="I62" i="6"/>
  <c r="Y62" i="6"/>
  <c r="T62" i="6"/>
  <c r="Z62" i="6"/>
  <c r="O62" i="6"/>
  <c r="S62" i="6"/>
  <c r="W62" i="6"/>
  <c r="X62" i="6"/>
  <c r="U62" i="6"/>
  <c r="M62" i="6"/>
  <c r="J62" i="6"/>
  <c r="V62" i="6"/>
  <c r="K62" i="6"/>
  <c r="P62" i="6"/>
  <c r="R62" i="6"/>
  <c r="N62" i="6"/>
  <c r="S46" i="6"/>
  <c r="AA67" i="6"/>
  <c r="Z74" i="6"/>
  <c r="Z75" i="6" s="1"/>
  <c r="Y219" i="6"/>
  <c r="AB222" i="6"/>
  <c r="AA68" i="6"/>
  <c r="AA69" i="6"/>
  <c r="AE2" i="6"/>
  <c r="AE217" i="6" s="1"/>
  <c r="AD53" i="6"/>
  <c r="AC54" i="6"/>
  <c r="AB166" i="6"/>
  <c r="AB167" i="6" s="1"/>
  <c r="AB94" i="6"/>
  <c r="AB96" i="6" s="1"/>
  <c r="AB73" i="6"/>
  <c r="AB55" i="6"/>
  <c r="AB70" i="6"/>
  <c r="AD62" i="6" l="1"/>
  <c r="AD61" i="6"/>
  <c r="AA63" i="6"/>
  <c r="AA218" i="6" s="1"/>
  <c r="AB58" i="6"/>
  <c r="AB59" i="6" s="1"/>
  <c r="U63" i="6"/>
  <c r="U222" i="6"/>
  <c r="Z222" i="6"/>
  <c r="Z63" i="6"/>
  <c r="Z218" i="6" s="1"/>
  <c r="N63" i="6"/>
  <c r="N222" i="6"/>
  <c r="X222" i="6"/>
  <c r="X63" i="6"/>
  <c r="T222" i="6"/>
  <c r="T63" i="6"/>
  <c r="R63" i="6"/>
  <c r="R222" i="6"/>
  <c r="I222" i="6"/>
  <c r="I63" i="6"/>
  <c r="L63" i="6"/>
  <c r="L222" i="6"/>
  <c r="Q63" i="6"/>
  <c r="Q222" i="6"/>
  <c r="Y222" i="6"/>
  <c r="Y63" i="6"/>
  <c r="P63" i="6"/>
  <c r="P222" i="6"/>
  <c r="S63" i="6"/>
  <c r="S222" i="6"/>
  <c r="W222" i="6"/>
  <c r="W63" i="6"/>
  <c r="K222" i="6"/>
  <c r="K63" i="6"/>
  <c r="V222" i="6"/>
  <c r="V63" i="6"/>
  <c r="J222" i="6"/>
  <c r="J63" i="6"/>
  <c r="M63" i="6"/>
  <c r="M222" i="6"/>
  <c r="O63" i="6"/>
  <c r="O222" i="6"/>
  <c r="H63" i="6"/>
  <c r="AB68" i="6"/>
  <c r="Z219" i="6"/>
  <c r="AA74" i="6"/>
  <c r="AA75" i="6" s="1"/>
  <c r="AA76" i="6" s="1"/>
  <c r="Z76" i="6"/>
  <c r="AB67" i="6"/>
  <c r="AB69" i="6"/>
  <c r="AB72" i="6"/>
  <c r="AB66" i="6"/>
  <c r="AB71" i="6"/>
  <c r="AC222" i="6"/>
  <c r="AF2" i="6"/>
  <c r="AF217" i="6" s="1"/>
  <c r="AE53" i="6"/>
  <c r="AC166" i="6"/>
  <c r="AC167" i="6" s="1"/>
  <c r="AC94" i="6"/>
  <c r="AC96" i="6" s="1"/>
  <c r="AC73" i="6"/>
  <c r="AC70" i="6"/>
  <c r="AC55" i="6"/>
  <c r="AD54" i="6"/>
  <c r="AB63" i="6" l="1"/>
  <c r="AB218" i="6" s="1"/>
  <c r="AC58" i="6"/>
  <c r="AC59" i="6" s="1"/>
  <c r="AE62" i="6"/>
  <c r="AE61" i="6"/>
  <c r="X218" i="6"/>
  <c r="X78" i="6"/>
  <c r="H78" i="6"/>
  <c r="H218" i="6"/>
  <c r="Z78" i="6"/>
  <c r="S218" i="6"/>
  <c r="S78" i="6"/>
  <c r="L218" i="6"/>
  <c r="L78" i="6"/>
  <c r="P78" i="6"/>
  <c r="P218" i="6"/>
  <c r="O218" i="6"/>
  <c r="O78" i="6"/>
  <c r="R78" i="6"/>
  <c r="R218" i="6"/>
  <c r="V218" i="6"/>
  <c r="V78" i="6"/>
  <c r="K78" i="6"/>
  <c r="K218" i="6"/>
  <c r="M218" i="6"/>
  <c r="M78" i="6"/>
  <c r="W218" i="6"/>
  <c r="W78" i="6"/>
  <c r="T78" i="6"/>
  <c r="T218" i="6"/>
  <c r="I78" i="6"/>
  <c r="I218" i="6"/>
  <c r="N78" i="6"/>
  <c r="N218" i="6"/>
  <c r="Y218" i="6"/>
  <c r="Y78" i="6"/>
  <c r="J218" i="6"/>
  <c r="J78" i="6"/>
  <c r="Q218" i="6"/>
  <c r="Q78" i="6"/>
  <c r="U218" i="6"/>
  <c r="U78" i="6"/>
  <c r="AA78" i="6"/>
  <c r="AA220" i="6" s="1"/>
  <c r="AA219" i="6"/>
  <c r="AB74" i="6"/>
  <c r="AB75" i="6" s="1"/>
  <c r="AC72" i="6"/>
  <c r="AC67" i="6"/>
  <c r="AC69" i="6"/>
  <c r="AC68" i="6"/>
  <c r="AC66" i="6"/>
  <c r="AC71" i="6"/>
  <c r="AD222" i="6"/>
  <c r="AE54" i="6"/>
  <c r="AD166" i="6"/>
  <c r="AD167" i="6" s="1"/>
  <c r="AD94" i="6"/>
  <c r="AD96" i="6" s="1"/>
  <c r="AD73" i="6"/>
  <c r="AD55" i="6"/>
  <c r="AD70" i="6"/>
  <c r="AG2" i="6"/>
  <c r="AG217" i="6" s="1"/>
  <c r="AF53" i="6"/>
  <c r="AC63" i="6" l="1"/>
  <c r="AC218" i="6" s="1"/>
  <c r="AB78" i="6"/>
  <c r="AB220" i="6" s="1"/>
  <c r="AF62" i="6"/>
  <c r="AF61" i="6"/>
  <c r="AD58" i="6"/>
  <c r="AD59" i="6" s="1"/>
  <c r="R220" i="6"/>
  <c r="R85" i="6"/>
  <c r="R88" i="6" s="1"/>
  <c r="R90" i="6" s="1"/>
  <c r="R148" i="6"/>
  <c r="R164" i="6" s="1"/>
  <c r="T148" i="6"/>
  <c r="T164" i="6" s="1"/>
  <c r="T220" i="6"/>
  <c r="T85" i="6"/>
  <c r="T88" i="6" s="1"/>
  <c r="T90" i="6" s="1"/>
  <c r="Y220" i="6"/>
  <c r="Y148" i="6"/>
  <c r="Y164" i="6" s="1"/>
  <c r="Y85" i="6"/>
  <c r="Y88" i="6" s="1"/>
  <c r="Y90" i="6" s="1"/>
  <c r="U85" i="6"/>
  <c r="U88" i="6" s="1"/>
  <c r="U90" i="6" s="1"/>
  <c r="U220" i="6"/>
  <c r="U148" i="6"/>
  <c r="U164" i="6" s="1"/>
  <c r="M220" i="6"/>
  <c r="M85" i="6"/>
  <c r="M88" i="6" s="1"/>
  <c r="M90" i="6" s="1"/>
  <c r="M148" i="6"/>
  <c r="M164" i="6" s="1"/>
  <c r="N220" i="6"/>
  <c r="N148" i="6"/>
  <c r="N164" i="6" s="1"/>
  <c r="N85" i="6"/>
  <c r="N88" i="6" s="1"/>
  <c r="N90" i="6" s="1"/>
  <c r="Q220" i="6"/>
  <c r="Q148" i="6"/>
  <c r="Q164" i="6" s="1"/>
  <c r="Q85" i="6"/>
  <c r="Q88" i="6" s="1"/>
  <c r="Q90" i="6" s="1"/>
  <c r="H148" i="6"/>
  <c r="H164" i="6" s="1"/>
  <c r="H220" i="6"/>
  <c r="H85" i="6"/>
  <c r="H88" i="6" s="1"/>
  <c r="H90" i="6" s="1"/>
  <c r="W220" i="6"/>
  <c r="W85" i="6"/>
  <c r="W88" i="6" s="1"/>
  <c r="W90" i="6" s="1"/>
  <c r="W148" i="6"/>
  <c r="W164" i="6" s="1"/>
  <c r="Z220" i="6"/>
  <c r="Z85" i="6"/>
  <c r="Z88" i="6" s="1"/>
  <c r="Z90" i="6" s="1"/>
  <c r="Z148" i="6"/>
  <c r="Z164" i="6" s="1"/>
  <c r="K220" i="6"/>
  <c r="K148" i="6"/>
  <c r="K164" i="6" s="1"/>
  <c r="K85" i="6"/>
  <c r="K88" i="6" s="1"/>
  <c r="K90" i="6" s="1"/>
  <c r="P220" i="6"/>
  <c r="P85" i="6"/>
  <c r="P88" i="6" s="1"/>
  <c r="P90" i="6" s="1"/>
  <c r="P148" i="6"/>
  <c r="P164" i="6" s="1"/>
  <c r="X220" i="6"/>
  <c r="X148" i="6"/>
  <c r="X164" i="6" s="1"/>
  <c r="X85" i="6"/>
  <c r="X88" i="6" s="1"/>
  <c r="X90" i="6" s="1"/>
  <c r="S85" i="6"/>
  <c r="S88" i="6" s="1"/>
  <c r="S90" i="6" s="1"/>
  <c r="S220" i="6"/>
  <c r="S148" i="6"/>
  <c r="S164" i="6" s="1"/>
  <c r="O220" i="6"/>
  <c r="O85" i="6"/>
  <c r="O88" i="6" s="1"/>
  <c r="O90" i="6" s="1"/>
  <c r="O148" i="6"/>
  <c r="O164" i="6" s="1"/>
  <c r="I85" i="6"/>
  <c r="I88" i="6" s="1"/>
  <c r="I90" i="6" s="1"/>
  <c r="I148" i="6"/>
  <c r="I164" i="6" s="1"/>
  <c r="I220" i="6"/>
  <c r="J220" i="6"/>
  <c r="J85" i="6"/>
  <c r="J88" i="6" s="1"/>
  <c r="J90" i="6" s="1"/>
  <c r="J148" i="6"/>
  <c r="J164" i="6" s="1"/>
  <c r="V220" i="6"/>
  <c r="V85" i="6"/>
  <c r="V88" i="6" s="1"/>
  <c r="V90" i="6" s="1"/>
  <c r="V148" i="6"/>
  <c r="V164" i="6" s="1"/>
  <c r="L85" i="6"/>
  <c r="L88" i="6" s="1"/>
  <c r="L90" i="6" s="1"/>
  <c r="L148" i="6"/>
  <c r="L164" i="6" s="1"/>
  <c r="L220" i="6"/>
  <c r="AA148" i="6"/>
  <c r="AA164" i="6" s="1"/>
  <c r="AA85" i="6"/>
  <c r="AA88" i="6" s="1"/>
  <c r="AA90" i="6" s="1"/>
  <c r="AD68" i="6"/>
  <c r="AD67" i="6"/>
  <c r="AC74" i="6"/>
  <c r="AC75" i="6" s="1"/>
  <c r="AC219" i="6" s="1"/>
  <c r="AB219" i="6"/>
  <c r="AB76" i="6"/>
  <c r="AB148" i="6"/>
  <c r="AB164" i="6" s="1"/>
  <c r="AE222" i="6"/>
  <c r="AD66" i="6"/>
  <c r="AD69" i="6"/>
  <c r="AB85" i="6"/>
  <c r="AB88" i="6" s="1"/>
  <c r="AB90" i="6" s="1"/>
  <c r="AF54" i="6"/>
  <c r="AH2" i="6"/>
  <c r="AH217" i="6" s="1"/>
  <c r="AG53" i="6"/>
  <c r="AD72" i="6"/>
  <c r="AD71" i="6"/>
  <c r="AE166" i="6"/>
  <c r="AE167" i="6" s="1"/>
  <c r="AE94" i="6"/>
  <c r="AE96" i="6" s="1"/>
  <c r="AE73" i="6"/>
  <c r="AE70" i="6"/>
  <c r="AE55" i="6"/>
  <c r="AE58" i="6" l="1"/>
  <c r="AE59" i="6" s="1"/>
  <c r="AD63" i="6"/>
  <c r="AD218" i="6" s="1"/>
  <c r="AG62" i="6"/>
  <c r="AG61" i="6"/>
  <c r="AC78" i="6"/>
  <c r="AC220" i="6" s="1"/>
  <c r="AC76" i="6"/>
  <c r="AE69" i="6"/>
  <c r="AD74" i="6"/>
  <c r="AD75" i="6" s="1"/>
  <c r="AF222" i="6"/>
  <c r="AI2" i="6"/>
  <c r="AI217" i="6" s="1"/>
  <c r="AH53" i="6"/>
  <c r="AF166" i="6"/>
  <c r="AF167" i="6" s="1"/>
  <c r="AF94" i="6"/>
  <c r="AF96" i="6" s="1"/>
  <c r="AF55" i="6"/>
  <c r="AF70" i="6"/>
  <c r="AF73" i="6"/>
  <c r="AE68" i="6"/>
  <c r="AE72" i="6"/>
  <c r="AE71" i="6"/>
  <c r="AE67" i="6"/>
  <c r="AE66" i="6"/>
  <c r="AG54" i="6"/>
  <c r="AE63" i="6" l="1"/>
  <c r="AE218" i="6" s="1"/>
  <c r="AF58" i="6"/>
  <c r="AF59" i="6" s="1"/>
  <c r="AH61" i="6"/>
  <c r="AH62" i="6"/>
  <c r="AD78" i="6"/>
  <c r="AD220" i="6" s="1"/>
  <c r="AC85" i="6"/>
  <c r="AC88" i="6" s="1"/>
  <c r="AC90" i="6" s="1"/>
  <c r="AC148" i="6"/>
  <c r="AC164" i="6" s="1"/>
  <c r="AF67" i="6"/>
  <c r="AF72" i="6"/>
  <c r="AF66" i="6"/>
  <c r="AF68" i="6"/>
  <c r="AF69" i="6"/>
  <c r="AE74" i="6"/>
  <c r="AE75" i="6" s="1"/>
  <c r="AE76" i="6" s="1"/>
  <c r="AG222" i="6"/>
  <c r="AF71" i="6"/>
  <c r="AD76" i="6"/>
  <c r="AD219" i="6"/>
  <c r="AG166" i="6"/>
  <c r="AG167" i="6" s="1"/>
  <c r="AG94" i="6"/>
  <c r="AG96" i="6" s="1"/>
  <c r="AG88" i="6"/>
  <c r="AG90" i="6" s="1"/>
  <c r="AG70" i="6"/>
  <c r="AG73" i="6"/>
  <c r="AG55" i="6"/>
  <c r="AH54" i="6"/>
  <c r="AJ2" i="6"/>
  <c r="AJ217" i="6" s="1"/>
  <c r="AI53" i="6"/>
  <c r="AF63" i="6" l="1"/>
  <c r="AD148" i="6"/>
  <c r="AD164" i="6" s="1"/>
  <c r="AI61" i="6"/>
  <c r="AI62" i="6"/>
  <c r="AD85" i="6"/>
  <c r="AD88" i="6" s="1"/>
  <c r="AD90" i="6" s="1"/>
  <c r="AG58" i="6"/>
  <c r="AG63" i="6" s="1"/>
  <c r="AE219" i="6"/>
  <c r="AE78" i="6"/>
  <c r="AE220" i="6" s="1"/>
  <c r="AF74" i="6"/>
  <c r="AF75" i="6" s="1"/>
  <c r="AF76" i="6" s="1"/>
  <c r="AG72" i="6"/>
  <c r="AG66" i="6"/>
  <c r="AG69" i="6"/>
  <c r="AH222" i="6"/>
  <c r="AG68" i="6"/>
  <c r="AG71" i="6"/>
  <c r="AG67" i="6"/>
  <c r="AF218" i="6"/>
  <c r="AK2" i="6"/>
  <c r="AK217" i="6" s="1"/>
  <c r="AJ53" i="6"/>
  <c r="AI54" i="6"/>
  <c r="AH166" i="6"/>
  <c r="AH167" i="6" s="1"/>
  <c r="AH88" i="6"/>
  <c r="AH90" i="6" s="1"/>
  <c r="AH94" i="6"/>
  <c r="AH96" i="6" s="1"/>
  <c r="AH70" i="6"/>
  <c r="AH73" i="6"/>
  <c r="AH55" i="6"/>
  <c r="AG59" i="6" l="1"/>
  <c r="AH58" i="6"/>
  <c r="AH59" i="6" s="1"/>
  <c r="AJ61" i="6"/>
  <c r="AJ62" i="6"/>
  <c r="AE148" i="6"/>
  <c r="AE164" i="6" s="1"/>
  <c r="AF78" i="6"/>
  <c r="AF148" i="6" s="1"/>
  <c r="AF164" i="6" s="1"/>
  <c r="AE85" i="6"/>
  <c r="AE88" i="6" s="1"/>
  <c r="AE90" i="6" s="1"/>
  <c r="AF219" i="6"/>
  <c r="AG74" i="6"/>
  <c r="AG75" i="6" s="1"/>
  <c r="AG76" i="6" s="1"/>
  <c r="AI222" i="6"/>
  <c r="AK53" i="6"/>
  <c r="AH66" i="6"/>
  <c r="AG218" i="6"/>
  <c r="AH69" i="6"/>
  <c r="AH71" i="6"/>
  <c r="AI166" i="6"/>
  <c r="AI167" i="6" s="1"/>
  <c r="AI88" i="6"/>
  <c r="AI90" i="6" s="1"/>
  <c r="AI94" i="6"/>
  <c r="AI96" i="6" s="1"/>
  <c r="AI55" i="6"/>
  <c r="AI73" i="6"/>
  <c r="AI70" i="6"/>
  <c r="AH72" i="6"/>
  <c r="AH67" i="6"/>
  <c r="AJ54" i="6"/>
  <c r="AH68" i="6"/>
  <c r="AH63" i="6" l="1"/>
  <c r="AH218" i="6" s="1"/>
  <c r="AK61" i="6"/>
  <c r="AK62" i="6"/>
  <c r="AI58" i="6"/>
  <c r="AI59" i="6" s="1"/>
  <c r="AF220" i="6"/>
  <c r="AF85" i="6"/>
  <c r="AF88" i="6" s="1"/>
  <c r="AF90" i="6" s="1"/>
  <c r="AK54" i="6"/>
  <c r="AK70" i="6" s="1"/>
  <c r="AG78" i="6"/>
  <c r="AG220" i="6" s="1"/>
  <c r="AG219" i="6"/>
  <c r="AH74" i="6"/>
  <c r="AH75" i="6" s="1"/>
  <c r="AI72" i="6"/>
  <c r="AI67" i="6"/>
  <c r="AI69" i="6"/>
  <c r="AI68" i="6"/>
  <c r="AJ222" i="6"/>
  <c r="AI66" i="6"/>
  <c r="AJ166" i="6"/>
  <c r="AJ167" i="6" s="1"/>
  <c r="AJ88" i="6"/>
  <c r="AJ90" i="6" s="1"/>
  <c r="AJ94" i="6"/>
  <c r="AJ96" i="6" s="1"/>
  <c r="AJ55" i="6"/>
  <c r="AJ73" i="6"/>
  <c r="AJ70" i="6"/>
  <c r="AI71" i="6"/>
  <c r="AH78" i="6" l="1"/>
  <c r="AH220" i="6" s="1"/>
  <c r="AK222" i="6"/>
  <c r="AI63" i="6"/>
  <c r="AI218" i="6" s="1"/>
  <c r="AJ58" i="6"/>
  <c r="AJ59" i="6" s="1"/>
  <c r="AK88" i="6"/>
  <c r="AK90" i="6" s="1"/>
  <c r="AK166" i="6"/>
  <c r="AK167" i="6" s="1"/>
  <c r="AK94" i="6"/>
  <c r="AK96" i="6" s="1"/>
  <c r="AK55" i="6"/>
  <c r="AK68" i="6" s="1"/>
  <c r="AK73" i="6"/>
  <c r="AH219" i="6"/>
  <c r="AH76" i="6"/>
  <c r="AG85" i="6"/>
  <c r="AG148" i="6"/>
  <c r="AG164" i="6" s="1"/>
  <c r="AI74" i="6"/>
  <c r="AI75" i="6" s="1"/>
  <c r="AI78" i="6" s="1"/>
  <c r="AI220" i="6" s="1"/>
  <c r="AJ69" i="6"/>
  <c r="AJ67" i="6"/>
  <c r="AJ71" i="6"/>
  <c r="AJ68" i="6"/>
  <c r="AH85" i="6"/>
  <c r="AH148" i="6"/>
  <c r="AJ72" i="6"/>
  <c r="AJ66" i="6"/>
  <c r="G101" i="6" l="1"/>
  <c r="AK66" i="6"/>
  <c r="AK67" i="6"/>
  <c r="AK58" i="6"/>
  <c r="AK59" i="6" s="1"/>
  <c r="AK71" i="6"/>
  <c r="AK72" i="6"/>
  <c r="AJ63" i="6"/>
  <c r="AJ218" i="6" s="1"/>
  <c r="AK69" i="6"/>
  <c r="AI219" i="6"/>
  <c r="AI76" i="6"/>
  <c r="AJ74" i="6"/>
  <c r="AJ75" i="6" s="1"/>
  <c r="AJ76" i="6" s="1"/>
  <c r="AH164" i="6"/>
  <c r="AI85" i="6"/>
  <c r="AI148" i="6"/>
  <c r="AK74" i="6" l="1"/>
  <c r="AK75" i="6" s="1"/>
  <c r="AK219" i="6" s="1"/>
  <c r="AK63" i="6"/>
  <c r="AK218" i="6" s="1"/>
  <c r="AJ78" i="6"/>
  <c r="AJ220" i="6" s="1"/>
  <c r="AJ219" i="6"/>
  <c r="AI164" i="6"/>
  <c r="AK76" i="6" l="1"/>
  <c r="AK78" i="6"/>
  <c r="AK220" i="6" s="1"/>
  <c r="AJ148" i="6"/>
  <c r="AJ164" i="6" s="1"/>
  <c r="AJ85" i="6"/>
  <c r="AK148" i="6" l="1"/>
  <c r="AK164" i="6" s="1"/>
  <c r="AK85" i="6"/>
  <c r="M26" i="6" l="1"/>
  <c r="N26" i="6"/>
  <c r="L26" i="6"/>
  <c r="G175" i="6" l="1"/>
  <c r="H122" i="6"/>
  <c r="H137" i="6"/>
  <c r="H142" i="6"/>
  <c r="H132" i="6"/>
  <c r="H127" i="6"/>
  <c r="G100" i="6"/>
  <c r="H103" i="6" s="1"/>
  <c r="E225" i="6" s="1"/>
  <c r="H104" i="6" l="1"/>
  <c r="G176" i="6"/>
  <c r="G177" i="6" s="1"/>
  <c r="H133" i="6"/>
  <c r="H134" i="6" s="1"/>
  <c r="I132" i="6" s="1"/>
  <c r="H143" i="6"/>
  <c r="H138" i="6"/>
  <c r="H139" i="6" s="1"/>
  <c r="I137" i="6" s="1"/>
  <c r="H128" i="6"/>
  <c r="H129" i="6" s="1"/>
  <c r="I127" i="6" s="1"/>
  <c r="I128" i="6" s="1"/>
  <c r="H123" i="6"/>
  <c r="H124" i="6" s="1"/>
  <c r="I122" i="6" s="1"/>
  <c r="I123" i="6" s="1"/>
  <c r="H146" i="6" l="1"/>
  <c r="H155" i="6" s="1"/>
  <c r="I133" i="6"/>
  <c r="I134" i="6" s="1"/>
  <c r="J132" i="6" s="1"/>
  <c r="H144" i="6"/>
  <c r="I142" i="6" s="1"/>
  <c r="I124" i="6"/>
  <c r="J122" i="6" s="1"/>
  <c r="I129" i="6"/>
  <c r="J127" i="6" s="1"/>
  <c r="G182" i="6"/>
  <c r="E226" i="6"/>
  <c r="I138" i="6"/>
  <c r="I139" i="6" s="1"/>
  <c r="J137" i="6" s="1"/>
  <c r="H97" i="6"/>
  <c r="H98" i="6" s="1"/>
  <c r="H168" i="6"/>
  <c r="H149" i="6"/>
  <c r="H91" i="6"/>
  <c r="H92" i="6" s="1"/>
  <c r="E234" i="6" l="1"/>
  <c r="D225" i="6" s="1"/>
  <c r="J138" i="6"/>
  <c r="J139" i="6" s="1"/>
  <c r="K137" i="6" s="1"/>
  <c r="J133" i="6"/>
  <c r="J134" i="6" s="1"/>
  <c r="K132" i="6" s="1"/>
  <c r="J123" i="6"/>
  <c r="J124" i="6" s="1"/>
  <c r="K122" i="6" s="1"/>
  <c r="H156" i="6"/>
  <c r="I143" i="6"/>
  <c r="I146" i="6" s="1"/>
  <c r="I155" i="6" s="1"/>
  <c r="H105" i="6"/>
  <c r="J128" i="6"/>
  <c r="J129" i="6" s="1"/>
  <c r="K127" i="6" s="1"/>
  <c r="D226" i="6" l="1"/>
  <c r="K123" i="6"/>
  <c r="K124" i="6" s="1"/>
  <c r="L122" i="6" s="1"/>
  <c r="K133" i="6"/>
  <c r="K134" i="6" s="1"/>
  <c r="L132" i="6" s="1"/>
  <c r="K128" i="6"/>
  <c r="K129" i="6" s="1"/>
  <c r="L127" i="6" s="1"/>
  <c r="K138" i="6"/>
  <c r="K139" i="6" s="1"/>
  <c r="L137" i="6" s="1"/>
  <c r="H150" i="6"/>
  <c r="H151" i="6" s="1"/>
  <c r="H152" i="6" s="1"/>
  <c r="H170" i="6" s="1"/>
  <c r="H157" i="6"/>
  <c r="I154" i="6" s="1"/>
  <c r="H169" i="6"/>
  <c r="H106" i="6"/>
  <c r="I103" i="6" s="1"/>
  <c r="H108" i="6"/>
  <c r="H109" i="6"/>
  <c r="I144" i="6"/>
  <c r="J142" i="6" s="1"/>
  <c r="H171" i="6" l="1"/>
  <c r="H174" i="6" s="1"/>
  <c r="L128" i="6"/>
  <c r="L129" i="6" s="1"/>
  <c r="M127" i="6" s="1"/>
  <c r="L133" i="6"/>
  <c r="L134" i="6" s="1"/>
  <c r="M132" i="6" s="1"/>
  <c r="L138" i="6"/>
  <c r="L139" i="6" s="1"/>
  <c r="M137" i="6" s="1"/>
  <c r="L123" i="6"/>
  <c r="L124" i="6" s="1"/>
  <c r="M122" i="6" s="1"/>
  <c r="I104" i="6"/>
  <c r="J143" i="6"/>
  <c r="J146" i="6" s="1"/>
  <c r="J155" i="6" s="1"/>
  <c r="H177" i="6" l="1"/>
  <c r="H179" i="6" s="1"/>
  <c r="H221" i="6"/>
  <c r="J144" i="6"/>
  <c r="K142" i="6" s="1"/>
  <c r="K143" i="6" s="1"/>
  <c r="K146" i="6" s="1"/>
  <c r="K155" i="6" s="1"/>
  <c r="M133" i="6"/>
  <c r="M134" i="6" s="1"/>
  <c r="N132" i="6" s="1"/>
  <c r="M123" i="6"/>
  <c r="M124" i="6" s="1"/>
  <c r="N122" i="6" s="1"/>
  <c r="I168" i="6"/>
  <c r="I97" i="6"/>
  <c r="I98" i="6" s="1"/>
  <c r="I149" i="6"/>
  <c r="I91" i="6"/>
  <c r="I92" i="6" s="1"/>
  <c r="M138" i="6"/>
  <c r="M139" i="6" s="1"/>
  <c r="N137" i="6" s="1"/>
  <c r="M128" i="6"/>
  <c r="M129" i="6" s="1"/>
  <c r="N127" i="6" s="1"/>
  <c r="H182" i="6" l="1"/>
  <c r="H184" i="6"/>
  <c r="I105" i="6"/>
  <c r="I108" i="6" s="1"/>
  <c r="N123" i="6"/>
  <c r="N124" i="6" s="1"/>
  <c r="O122" i="6" s="1"/>
  <c r="N128" i="6"/>
  <c r="N129" i="6" s="1"/>
  <c r="O127" i="6" s="1"/>
  <c r="N138" i="6"/>
  <c r="N139" i="6" s="1"/>
  <c r="O137" i="6" s="1"/>
  <c r="N133" i="6"/>
  <c r="N134" i="6" s="1"/>
  <c r="O132" i="6" s="1"/>
  <c r="I156" i="6"/>
  <c r="K144" i="6"/>
  <c r="L142" i="6" s="1"/>
  <c r="I109" i="6" l="1"/>
  <c r="I106" i="6"/>
  <c r="J103" i="6" s="1"/>
  <c r="J104" i="6" s="1"/>
  <c r="I169" i="6"/>
  <c r="O133" i="6"/>
  <c r="O134" i="6" s="1"/>
  <c r="P132" i="6" s="1"/>
  <c r="O138" i="6"/>
  <c r="O139" i="6" s="1"/>
  <c r="P137" i="6" s="1"/>
  <c r="O123" i="6"/>
  <c r="O124" i="6" s="1"/>
  <c r="P122" i="6" s="1"/>
  <c r="O128" i="6"/>
  <c r="O129" i="6" s="1"/>
  <c r="P127" i="6" s="1"/>
  <c r="I150" i="6"/>
  <c r="I151" i="6" s="1"/>
  <c r="I152" i="6" s="1"/>
  <c r="I170" i="6" s="1"/>
  <c r="I157" i="6"/>
  <c r="J154" i="6" s="1"/>
  <c r="L143" i="6"/>
  <c r="L146" i="6" s="1"/>
  <c r="L155" i="6" s="1"/>
  <c r="I171" i="6" l="1"/>
  <c r="I174" i="6" s="1"/>
  <c r="I177" i="6" s="1"/>
  <c r="I184" i="6" s="1"/>
  <c r="L144" i="6"/>
  <c r="M142" i="6" s="1"/>
  <c r="M143" i="6" s="1"/>
  <c r="M146" i="6" s="1"/>
  <c r="M155" i="6" s="1"/>
  <c r="P123" i="6"/>
  <c r="P124" i="6" s="1"/>
  <c r="Q122" i="6" s="1"/>
  <c r="P138" i="6"/>
  <c r="P139" i="6" s="1"/>
  <c r="Q137" i="6" s="1"/>
  <c r="P133" i="6"/>
  <c r="P134" i="6" s="1"/>
  <c r="Q132" i="6" s="1"/>
  <c r="P128" i="6"/>
  <c r="P129" i="6" s="1"/>
  <c r="Q127" i="6" s="1"/>
  <c r="J97" i="6"/>
  <c r="J98" i="6" s="1"/>
  <c r="J168" i="6"/>
  <c r="J149" i="6"/>
  <c r="J91" i="6"/>
  <c r="J92" i="6" s="1"/>
  <c r="I221" i="6" l="1"/>
  <c r="I179" i="6"/>
  <c r="I182" i="6"/>
  <c r="J105" i="6"/>
  <c r="J109" i="6" s="1"/>
  <c r="Q138" i="6"/>
  <c r="Q139" i="6" s="1"/>
  <c r="R137" i="6" s="1"/>
  <c r="Q128" i="6"/>
  <c r="Q129" i="6" s="1"/>
  <c r="R127" i="6" s="1"/>
  <c r="Q133" i="6"/>
  <c r="Q134" i="6" s="1"/>
  <c r="R132" i="6" s="1"/>
  <c r="Q123" i="6"/>
  <c r="Q124" i="6" s="1"/>
  <c r="R122" i="6" s="1"/>
  <c r="J156" i="6"/>
  <c r="M144" i="6"/>
  <c r="N142" i="6" s="1"/>
  <c r="J108" i="6" l="1"/>
  <c r="J106" i="6"/>
  <c r="K103" i="6" s="1"/>
  <c r="K104" i="6" s="1"/>
  <c r="J169" i="6"/>
  <c r="R133" i="6"/>
  <c r="R134" i="6" s="1"/>
  <c r="S132" i="6" s="1"/>
  <c r="R123" i="6"/>
  <c r="R124" i="6" s="1"/>
  <c r="S122" i="6" s="1"/>
  <c r="R128" i="6"/>
  <c r="R129" i="6" s="1"/>
  <c r="S127" i="6" s="1"/>
  <c r="R138" i="6"/>
  <c r="R139" i="6" s="1"/>
  <c r="S137" i="6" s="1"/>
  <c r="N143" i="6"/>
  <c r="N146" i="6" s="1"/>
  <c r="N155" i="6" s="1"/>
  <c r="J150" i="6"/>
  <c r="J151" i="6" s="1"/>
  <c r="J152" i="6" s="1"/>
  <c r="J170" i="6" s="1"/>
  <c r="J157" i="6"/>
  <c r="K154" i="6" s="1"/>
  <c r="J171" i="6" l="1"/>
  <c r="J174" i="6" s="1"/>
  <c r="S123" i="6"/>
  <c r="S124" i="6" s="1"/>
  <c r="T122" i="6" s="1"/>
  <c r="S128" i="6"/>
  <c r="S129" i="6" s="1"/>
  <c r="T127" i="6" s="1"/>
  <c r="S133" i="6"/>
  <c r="S134" i="6" s="1"/>
  <c r="T132" i="6" s="1"/>
  <c r="K168" i="6"/>
  <c r="K91" i="6"/>
  <c r="K92" i="6" s="1"/>
  <c r="K149" i="6"/>
  <c r="K97" i="6"/>
  <c r="K98" i="6" s="1"/>
  <c r="N144" i="6"/>
  <c r="O142" i="6" s="1"/>
  <c r="S138" i="6"/>
  <c r="S139" i="6" s="1"/>
  <c r="T137" i="6" s="1"/>
  <c r="J177" i="6" l="1"/>
  <c r="J184" i="6" s="1"/>
  <c r="J221" i="6"/>
  <c r="K105" i="6"/>
  <c r="K109" i="6" s="1"/>
  <c r="T138" i="6"/>
  <c r="T139" i="6" s="1"/>
  <c r="U137" i="6" s="1"/>
  <c r="T123" i="6"/>
  <c r="T124" i="6" s="1"/>
  <c r="U122" i="6" s="1"/>
  <c r="T133" i="6"/>
  <c r="T134" i="6" s="1"/>
  <c r="U132" i="6" s="1"/>
  <c r="T128" i="6"/>
  <c r="T129" i="6" s="1"/>
  <c r="U127" i="6" s="1"/>
  <c r="O143" i="6"/>
  <c r="O146" i="6" s="1"/>
  <c r="O155" i="6" s="1"/>
  <c r="K156" i="6"/>
  <c r="J179" i="6" l="1"/>
  <c r="J182" i="6"/>
  <c r="K108" i="6"/>
  <c r="K106" i="6"/>
  <c r="L103" i="6" s="1"/>
  <c r="L104" i="6" s="1"/>
  <c r="K169" i="6"/>
  <c r="U123" i="6"/>
  <c r="U124" i="6" s="1"/>
  <c r="V122" i="6" s="1"/>
  <c r="U138" i="6"/>
  <c r="U139" i="6" s="1"/>
  <c r="V137" i="6" s="1"/>
  <c r="U128" i="6"/>
  <c r="U129" i="6" s="1"/>
  <c r="V127" i="6" s="1"/>
  <c r="U133" i="6"/>
  <c r="U134" i="6" s="1"/>
  <c r="V132" i="6" s="1"/>
  <c r="O144" i="6"/>
  <c r="P142" i="6" s="1"/>
  <c r="K150" i="6"/>
  <c r="K151" i="6" s="1"/>
  <c r="K152" i="6" s="1"/>
  <c r="K170" i="6" s="1"/>
  <c r="K157" i="6"/>
  <c r="L154" i="6" s="1"/>
  <c r="K171" i="6" l="1"/>
  <c r="K174" i="6" s="1"/>
  <c r="V133" i="6"/>
  <c r="V134" i="6" s="1"/>
  <c r="W132" i="6" s="1"/>
  <c r="V128" i="6"/>
  <c r="V129" i="6" s="1"/>
  <c r="W127" i="6" s="1"/>
  <c r="V138" i="6"/>
  <c r="V139" i="6" s="1"/>
  <c r="W137" i="6" s="1"/>
  <c r="V123" i="6"/>
  <c r="V124" i="6" s="1"/>
  <c r="W122" i="6" s="1"/>
  <c r="P143" i="6"/>
  <c r="P146" i="6" s="1"/>
  <c r="P155" i="6" s="1"/>
  <c r="L149" i="6"/>
  <c r="L97" i="6"/>
  <c r="L98" i="6" s="1"/>
  <c r="L168" i="6"/>
  <c r="L91" i="6"/>
  <c r="L92" i="6" s="1"/>
  <c r="K177" i="6" l="1"/>
  <c r="K179" i="6" s="1"/>
  <c r="K221" i="6"/>
  <c r="L105" i="6"/>
  <c r="L109" i="6" s="1"/>
  <c r="W138" i="6"/>
  <c r="W139" i="6" s="1"/>
  <c r="X137" i="6" s="1"/>
  <c r="W123" i="6"/>
  <c r="W124" i="6" s="1"/>
  <c r="X122" i="6" s="1"/>
  <c r="W128" i="6"/>
  <c r="W129" i="6" s="1"/>
  <c r="X127" i="6" s="1"/>
  <c r="W133" i="6"/>
  <c r="W134" i="6" s="1"/>
  <c r="X132" i="6" s="1"/>
  <c r="P144" i="6"/>
  <c r="Q142" i="6" s="1"/>
  <c r="L156" i="6"/>
  <c r="K184" i="6" l="1"/>
  <c r="K182" i="6"/>
  <c r="L106" i="6"/>
  <c r="M103" i="6" s="1"/>
  <c r="M104" i="6" s="1"/>
  <c r="L169" i="6"/>
  <c r="L108" i="6"/>
  <c r="X128" i="6"/>
  <c r="X129" i="6" s="1"/>
  <c r="Y127" i="6" s="1"/>
  <c r="X133" i="6"/>
  <c r="X134" i="6" s="1"/>
  <c r="Y132" i="6" s="1"/>
  <c r="X123" i="6"/>
  <c r="X124" i="6" s="1"/>
  <c r="Y122" i="6" s="1"/>
  <c r="X138" i="6"/>
  <c r="X139" i="6" s="1"/>
  <c r="Y137" i="6" s="1"/>
  <c r="L150" i="6"/>
  <c r="L151" i="6" s="1"/>
  <c r="L152" i="6" s="1"/>
  <c r="L170" i="6" s="1"/>
  <c r="L157" i="6"/>
  <c r="M154" i="6" s="1"/>
  <c r="Q143" i="6"/>
  <c r="Q146" i="6" s="1"/>
  <c r="Q155" i="6" s="1"/>
  <c r="L171" i="6" l="1"/>
  <c r="L174" i="6" s="1"/>
  <c r="Y138" i="6"/>
  <c r="Y139" i="6" s="1"/>
  <c r="Z137" i="6" s="1"/>
  <c r="Y123" i="6"/>
  <c r="Y124" i="6" s="1"/>
  <c r="Z122" i="6" s="1"/>
  <c r="Y133" i="6"/>
  <c r="Y134" i="6" s="1"/>
  <c r="Z132" i="6" s="1"/>
  <c r="Y128" i="6"/>
  <c r="Y129" i="6" s="1"/>
  <c r="Z127" i="6" s="1"/>
  <c r="Q144" i="6"/>
  <c r="R142" i="6" s="1"/>
  <c r="M168" i="6"/>
  <c r="M149" i="6"/>
  <c r="M97" i="6"/>
  <c r="M98" i="6" s="1"/>
  <c r="M91" i="6"/>
  <c r="M92" i="6" s="1"/>
  <c r="L177" i="6" l="1"/>
  <c r="L182" i="6" s="1"/>
  <c r="L221" i="6"/>
  <c r="M105" i="6"/>
  <c r="M169" i="6" s="1"/>
  <c r="Z138" i="6"/>
  <c r="Z139" i="6" s="1"/>
  <c r="AA137" i="6" s="1"/>
  <c r="Z128" i="6"/>
  <c r="Z129" i="6" s="1"/>
  <c r="AA127" i="6" s="1"/>
  <c r="Z123" i="6"/>
  <c r="Z124" i="6" s="1"/>
  <c r="AA122" i="6" s="1"/>
  <c r="Z133" i="6"/>
  <c r="Z134" i="6" s="1"/>
  <c r="AA132" i="6" s="1"/>
  <c r="R143" i="6"/>
  <c r="R146" i="6" s="1"/>
  <c r="R155" i="6" s="1"/>
  <c r="M156" i="6"/>
  <c r="L179" i="6" l="1"/>
  <c r="L184" i="6"/>
  <c r="M108" i="6"/>
  <c r="M106" i="6"/>
  <c r="N103" i="6" s="1"/>
  <c r="N104" i="6" s="1"/>
  <c r="M109" i="6"/>
  <c r="AA133" i="6"/>
  <c r="AA134" i="6" s="1"/>
  <c r="AB132" i="6" s="1"/>
  <c r="AA123" i="6"/>
  <c r="AA124" i="6" s="1"/>
  <c r="AB122" i="6" s="1"/>
  <c r="AA128" i="6"/>
  <c r="AA129" i="6" s="1"/>
  <c r="AB127" i="6" s="1"/>
  <c r="AA138" i="6"/>
  <c r="AA139" i="6" s="1"/>
  <c r="AB137" i="6" s="1"/>
  <c r="M150" i="6"/>
  <c r="M151" i="6" s="1"/>
  <c r="M152" i="6" s="1"/>
  <c r="M170" i="6" s="1"/>
  <c r="M171" i="6" s="1"/>
  <c r="M174" i="6" s="1"/>
  <c r="M157" i="6"/>
  <c r="N154" i="6" s="1"/>
  <c r="R144" i="6"/>
  <c r="S142" i="6" s="1"/>
  <c r="M177" i="6" l="1"/>
  <c r="M182" i="6" s="1"/>
  <c r="M221" i="6"/>
  <c r="AB128" i="6"/>
  <c r="AB129" i="6" s="1"/>
  <c r="AC127" i="6" s="1"/>
  <c r="AB123" i="6"/>
  <c r="AB124" i="6" s="1"/>
  <c r="AC122" i="6" s="1"/>
  <c r="AB133" i="6"/>
  <c r="AB134" i="6" s="1"/>
  <c r="AC132" i="6" s="1"/>
  <c r="AB138" i="6"/>
  <c r="AB139" i="6" s="1"/>
  <c r="AC137" i="6" s="1"/>
  <c r="N168" i="6"/>
  <c r="N97" i="6"/>
  <c r="N98" i="6" s="1"/>
  <c r="N149" i="6"/>
  <c r="N91" i="6"/>
  <c r="N92" i="6" s="1"/>
  <c r="S143" i="6"/>
  <c r="S146" i="6" s="1"/>
  <c r="S155" i="6" s="1"/>
  <c r="M179" i="6" l="1"/>
  <c r="M184" i="6"/>
  <c r="N105" i="6"/>
  <c r="N106" i="6" s="1"/>
  <c r="O103" i="6" s="1"/>
  <c r="AC128" i="6"/>
  <c r="AC129" i="6" s="1"/>
  <c r="AD127" i="6" s="1"/>
  <c r="AC138" i="6"/>
  <c r="AC139" i="6" s="1"/>
  <c r="AD137" i="6" s="1"/>
  <c r="AC133" i="6"/>
  <c r="AC134" i="6" s="1"/>
  <c r="AD132" i="6" s="1"/>
  <c r="AC123" i="6"/>
  <c r="AC124" i="6" s="1"/>
  <c r="AD122" i="6" s="1"/>
  <c r="N156" i="6"/>
  <c r="S144" i="6"/>
  <c r="T142" i="6" s="1"/>
  <c r="N169" i="6" l="1"/>
  <c r="N108" i="6"/>
  <c r="N109" i="6"/>
  <c r="AD133" i="6"/>
  <c r="AD134" i="6" s="1"/>
  <c r="AE132" i="6" s="1"/>
  <c r="AD128" i="6"/>
  <c r="AD129" i="6" s="1"/>
  <c r="AE127" i="6" s="1"/>
  <c r="T143" i="6"/>
  <c r="T146" i="6" s="1"/>
  <c r="T155" i="6" s="1"/>
  <c r="AD138" i="6"/>
  <c r="AD139" i="6" s="1"/>
  <c r="AE137" i="6" s="1"/>
  <c r="O104" i="6"/>
  <c r="AD123" i="6"/>
  <c r="AD124" i="6" s="1"/>
  <c r="AE122" i="6" s="1"/>
  <c r="N150" i="6"/>
  <c r="N151" i="6" s="1"/>
  <c r="N152" i="6" s="1"/>
  <c r="N170" i="6" s="1"/>
  <c r="N157" i="6"/>
  <c r="O154" i="6" s="1"/>
  <c r="N171" i="6" l="1"/>
  <c r="N174" i="6" s="1"/>
  <c r="AE138" i="6"/>
  <c r="AE139" i="6" s="1"/>
  <c r="AF137" i="6" s="1"/>
  <c r="AE123" i="6"/>
  <c r="AE124" i="6" s="1"/>
  <c r="AF122" i="6" s="1"/>
  <c r="AE128" i="6"/>
  <c r="AE129" i="6" s="1"/>
  <c r="AF127" i="6" s="1"/>
  <c r="AE133" i="6"/>
  <c r="AE134" i="6" s="1"/>
  <c r="AF132" i="6" s="1"/>
  <c r="O168" i="6"/>
  <c r="O91" i="6"/>
  <c r="O92" i="6" s="1"/>
  <c r="O97" i="6"/>
  <c r="O98" i="6" s="1"/>
  <c r="O149" i="6"/>
  <c r="T144" i="6"/>
  <c r="U142" i="6" s="1"/>
  <c r="N177" i="6" l="1"/>
  <c r="N184" i="6" s="1"/>
  <c r="N221" i="6"/>
  <c r="O105" i="6"/>
  <c r="O108" i="6" s="1"/>
  <c r="AF128" i="6"/>
  <c r="AF129" i="6" s="1"/>
  <c r="AG127" i="6" s="1"/>
  <c r="AF133" i="6"/>
  <c r="AF134" i="6" s="1"/>
  <c r="AG132" i="6" s="1"/>
  <c r="AF123" i="6"/>
  <c r="AF124" i="6" s="1"/>
  <c r="AG122" i="6" s="1"/>
  <c r="AF138" i="6"/>
  <c r="AF139" i="6" s="1"/>
  <c r="AG137" i="6" s="1"/>
  <c r="O156" i="6"/>
  <c r="U143" i="6"/>
  <c r="U146" i="6" s="1"/>
  <c r="U155" i="6" s="1"/>
  <c r="N179" i="6" l="1"/>
  <c r="N182" i="6"/>
  <c r="O109" i="6"/>
  <c r="O106" i="6"/>
  <c r="P103" i="6" s="1"/>
  <c r="P104" i="6" s="1"/>
  <c r="O169" i="6"/>
  <c r="U144" i="6"/>
  <c r="V142" i="6" s="1"/>
  <c r="AG133" i="6"/>
  <c r="AG134" i="6" s="1"/>
  <c r="AH132" i="6" s="1"/>
  <c r="AG138" i="6"/>
  <c r="AG139" i="6" s="1"/>
  <c r="AH137" i="6" s="1"/>
  <c r="O150" i="6"/>
  <c r="O151" i="6" s="1"/>
  <c r="O152" i="6" s="1"/>
  <c r="O170" i="6" s="1"/>
  <c r="O157" i="6"/>
  <c r="P154" i="6" s="1"/>
  <c r="AG123" i="6"/>
  <c r="AG124" i="6" s="1"/>
  <c r="AH122" i="6" s="1"/>
  <c r="AG128" i="6"/>
  <c r="AG129" i="6" s="1"/>
  <c r="AH127" i="6" s="1"/>
  <c r="O171" i="6" l="1"/>
  <c r="O174" i="6" s="1"/>
  <c r="O177" i="6" s="1"/>
  <c r="AH128" i="6"/>
  <c r="AH129" i="6" s="1"/>
  <c r="AI127" i="6" s="1"/>
  <c r="AH138" i="6"/>
  <c r="AH139" i="6" s="1"/>
  <c r="AI137" i="6" s="1"/>
  <c r="AH123" i="6"/>
  <c r="AH124" i="6" s="1"/>
  <c r="AI122" i="6" s="1"/>
  <c r="AH133" i="6"/>
  <c r="AH134" i="6" s="1"/>
  <c r="AI132" i="6" s="1"/>
  <c r="P91" i="6"/>
  <c r="P92" i="6" s="1"/>
  <c r="P97" i="6"/>
  <c r="P98" i="6" s="1"/>
  <c r="P168" i="6"/>
  <c r="P149" i="6"/>
  <c r="V143" i="6"/>
  <c r="V146" i="6" s="1"/>
  <c r="V155" i="6" s="1"/>
  <c r="O221" i="6" l="1"/>
  <c r="O184" i="6"/>
  <c r="O179" i="6"/>
  <c r="O182" i="6"/>
  <c r="P105" i="6"/>
  <c r="P108" i="6" s="1"/>
  <c r="V144" i="6"/>
  <c r="W142" i="6" s="1"/>
  <c r="W143" i="6" s="1"/>
  <c r="W146" i="6" s="1"/>
  <c r="W155" i="6" s="1"/>
  <c r="AI133" i="6"/>
  <c r="AI134" i="6" s="1"/>
  <c r="AJ132" i="6" s="1"/>
  <c r="AI123" i="6"/>
  <c r="AI124" i="6" s="1"/>
  <c r="AJ122" i="6" s="1"/>
  <c r="AI138" i="6"/>
  <c r="AI139" i="6" s="1"/>
  <c r="AJ137" i="6" s="1"/>
  <c r="AI128" i="6"/>
  <c r="AI129" i="6" s="1"/>
  <c r="AJ127" i="6" s="1"/>
  <c r="P156" i="6"/>
  <c r="P106" i="6" l="1"/>
  <c r="Q103" i="6" s="1"/>
  <c r="Q104" i="6" s="1"/>
  <c r="P169" i="6"/>
  <c r="P109" i="6"/>
  <c r="AJ128" i="6"/>
  <c r="AJ129" i="6" s="1"/>
  <c r="AK127" i="6" s="1"/>
  <c r="AJ138" i="6"/>
  <c r="AJ139" i="6" s="1"/>
  <c r="AK137" i="6" s="1"/>
  <c r="AJ123" i="6"/>
  <c r="AJ124" i="6" s="1"/>
  <c r="AK122" i="6" s="1"/>
  <c r="AJ133" i="6"/>
  <c r="AJ134" i="6" s="1"/>
  <c r="AK132" i="6" s="1"/>
  <c r="W144" i="6"/>
  <c r="X142" i="6" s="1"/>
  <c r="P150" i="6"/>
  <c r="P151" i="6" s="1"/>
  <c r="P152" i="6" s="1"/>
  <c r="P170" i="6" s="1"/>
  <c r="P157" i="6"/>
  <c r="Q154" i="6" s="1"/>
  <c r="P171" i="6" l="1"/>
  <c r="P174" i="6" s="1"/>
  <c r="AK133" i="6"/>
  <c r="AK134" i="6" s="1"/>
  <c r="AK123" i="6"/>
  <c r="AK124" i="6" s="1"/>
  <c r="AK138" i="6"/>
  <c r="AK139" i="6" s="1"/>
  <c r="AK128" i="6"/>
  <c r="AK129" i="6" s="1"/>
  <c r="X143" i="6"/>
  <c r="X146" i="6" s="1"/>
  <c r="X155" i="6" s="1"/>
  <c r="Q91" i="6"/>
  <c r="Q92" i="6" s="1"/>
  <c r="Q168" i="6"/>
  <c r="Q97" i="6"/>
  <c r="Q98" i="6" s="1"/>
  <c r="Q149" i="6"/>
  <c r="P177" i="6" l="1"/>
  <c r="P179" i="6" s="1"/>
  <c r="P221" i="6"/>
  <c r="X144" i="6"/>
  <c r="Y142" i="6" s="1"/>
  <c r="Y143" i="6" s="1"/>
  <c r="Y146" i="6" s="1"/>
  <c r="Y155" i="6" s="1"/>
  <c r="Q105" i="6"/>
  <c r="Q109" i="6" s="1"/>
  <c r="Q156" i="6"/>
  <c r="P182" i="6" l="1"/>
  <c r="P184" i="6"/>
  <c r="Q108" i="6"/>
  <c r="Q106" i="6"/>
  <c r="R103" i="6" s="1"/>
  <c r="R104" i="6" s="1"/>
  <c r="Q169" i="6"/>
  <c r="Y144" i="6"/>
  <c r="Z142" i="6" s="1"/>
  <c r="Q150" i="6"/>
  <c r="Q151" i="6" s="1"/>
  <c r="Q152" i="6" s="1"/>
  <c r="Q170" i="6" s="1"/>
  <c r="Q157" i="6"/>
  <c r="R154" i="6" s="1"/>
  <c r="Q171" i="6" l="1"/>
  <c r="Q174" i="6" s="1"/>
  <c r="R91" i="6"/>
  <c r="R92" i="6" s="1"/>
  <c r="R97" i="6"/>
  <c r="R98" i="6" s="1"/>
  <c r="R149" i="6"/>
  <c r="R168" i="6"/>
  <c r="Z143" i="6"/>
  <c r="Z146" i="6" s="1"/>
  <c r="Z155" i="6" s="1"/>
  <c r="Q177" i="6" l="1"/>
  <c r="Q184" i="6" s="1"/>
  <c r="Q221" i="6"/>
  <c r="R105" i="6"/>
  <c r="R108" i="6" s="1"/>
  <c r="Z144" i="6"/>
  <c r="AA142" i="6" s="1"/>
  <c r="R156" i="6"/>
  <c r="Q179" i="6" l="1"/>
  <c r="Q182" i="6"/>
  <c r="R106" i="6"/>
  <c r="S103" i="6" s="1"/>
  <c r="S104" i="6" s="1"/>
  <c r="R109" i="6"/>
  <c r="R169" i="6"/>
  <c r="R150" i="6"/>
  <c r="R151" i="6" s="1"/>
  <c r="R152" i="6" s="1"/>
  <c r="R170" i="6" s="1"/>
  <c r="R157" i="6"/>
  <c r="S154" i="6" s="1"/>
  <c r="AA143" i="6"/>
  <c r="AA146" i="6" s="1"/>
  <c r="AA155" i="6" s="1"/>
  <c r="R171" i="6" l="1"/>
  <c r="R174" i="6" s="1"/>
  <c r="R177" i="6" s="1"/>
  <c r="R179" i="6" s="1"/>
  <c r="S97" i="6"/>
  <c r="S98" i="6" s="1"/>
  <c r="S149" i="6"/>
  <c r="S168" i="6"/>
  <c r="S91" i="6"/>
  <c r="S92" i="6" s="1"/>
  <c r="AA144" i="6"/>
  <c r="AB142" i="6" s="1"/>
  <c r="R221" i="6" l="1"/>
  <c r="R184" i="6"/>
  <c r="R182" i="6"/>
  <c r="S105" i="6"/>
  <c r="S109" i="6" s="1"/>
  <c r="S156" i="6"/>
  <c r="AB143" i="6"/>
  <c r="AB146" i="6" s="1"/>
  <c r="AB155" i="6" s="1"/>
  <c r="S106" i="6" l="1"/>
  <c r="T103" i="6" s="1"/>
  <c r="T104" i="6" s="1"/>
  <c r="S169" i="6"/>
  <c r="S108" i="6"/>
  <c r="AB144" i="6"/>
  <c r="AC142" i="6" s="1"/>
  <c r="S150" i="6"/>
  <c r="S151" i="6" s="1"/>
  <c r="S152" i="6" s="1"/>
  <c r="S170" i="6" s="1"/>
  <c r="S157" i="6"/>
  <c r="T154" i="6" s="1"/>
  <c r="S171" i="6" l="1"/>
  <c r="S174" i="6" s="1"/>
  <c r="S177" i="6" s="1"/>
  <c r="T91" i="6"/>
  <c r="T92" i="6" s="1"/>
  <c r="T149" i="6"/>
  <c r="T168" i="6"/>
  <c r="T97" i="6"/>
  <c r="T98" i="6" s="1"/>
  <c r="AC143" i="6"/>
  <c r="AC146" i="6" s="1"/>
  <c r="AC155" i="6" s="1"/>
  <c r="S184" i="6" l="1"/>
  <c r="S179" i="6"/>
  <c r="S182" i="6"/>
  <c r="S221" i="6"/>
  <c r="T105" i="6"/>
  <c r="AC144" i="6"/>
  <c r="AD142" i="6" s="1"/>
  <c r="T156" i="6"/>
  <c r="T150" i="6" l="1"/>
  <c r="T151" i="6" s="1"/>
  <c r="T152" i="6" s="1"/>
  <c r="T170" i="6" s="1"/>
  <c r="T157" i="6"/>
  <c r="U154" i="6" s="1"/>
  <c r="AD143" i="6"/>
  <c r="AD146" i="6" s="1"/>
  <c r="AD155" i="6" s="1"/>
  <c r="T169" i="6"/>
  <c r="T106" i="6"/>
  <c r="U103" i="6" s="1"/>
  <c r="T108" i="6"/>
  <c r="T109" i="6"/>
  <c r="T171" i="6" l="1"/>
  <c r="T174" i="6" s="1"/>
  <c r="AD144" i="6"/>
  <c r="AE142" i="6" s="1"/>
  <c r="U104" i="6"/>
  <c r="T177" i="6" l="1"/>
  <c r="T179" i="6" s="1"/>
  <c r="T221" i="6"/>
  <c r="U97" i="6"/>
  <c r="U98" i="6" s="1"/>
  <c r="U168" i="6"/>
  <c r="U91" i="6"/>
  <c r="U92" i="6" s="1"/>
  <c r="U149" i="6"/>
  <c r="AE143" i="6"/>
  <c r="AE146" i="6" s="1"/>
  <c r="AE155" i="6" s="1"/>
  <c r="T182" i="6" l="1"/>
  <c r="T184" i="6"/>
  <c r="U105" i="6"/>
  <c r="U108" i="6" s="1"/>
  <c r="U156" i="6"/>
  <c r="AE144" i="6"/>
  <c r="AF142" i="6" s="1"/>
  <c r="U109" i="6" l="1"/>
  <c r="U169" i="6"/>
  <c r="U106" i="6"/>
  <c r="V103" i="6" s="1"/>
  <c r="V104" i="6" s="1"/>
  <c r="AF143" i="6"/>
  <c r="AF146" i="6" s="1"/>
  <c r="AF155" i="6" s="1"/>
  <c r="U150" i="6"/>
  <c r="U151" i="6" s="1"/>
  <c r="U152" i="6" s="1"/>
  <c r="U170" i="6" s="1"/>
  <c r="U157" i="6"/>
  <c r="V154" i="6" s="1"/>
  <c r="U171" i="6" l="1"/>
  <c r="U174" i="6" s="1"/>
  <c r="V91" i="6"/>
  <c r="V92" i="6" s="1"/>
  <c r="V97" i="6"/>
  <c r="V98" i="6" s="1"/>
  <c r="V168" i="6"/>
  <c r="V149" i="6"/>
  <c r="AF144" i="6"/>
  <c r="AG142" i="6" s="1"/>
  <c r="U177" i="6" l="1"/>
  <c r="U184" i="6" s="1"/>
  <c r="U221" i="6"/>
  <c r="V105" i="6"/>
  <c r="V108" i="6" s="1"/>
  <c r="AG143" i="6"/>
  <c r="AG146" i="6" s="1"/>
  <c r="AG155" i="6" s="1"/>
  <c r="V156" i="6"/>
  <c r="U179" i="6" l="1"/>
  <c r="U182" i="6"/>
  <c r="V169" i="6"/>
  <c r="V106" i="6"/>
  <c r="W103" i="6" s="1"/>
  <c r="W104" i="6" s="1"/>
  <c r="V109" i="6"/>
  <c r="AG144" i="6"/>
  <c r="AH142" i="6" s="1"/>
  <c r="AH143" i="6" s="1"/>
  <c r="AH146" i="6" s="1"/>
  <c r="AH155" i="6" s="1"/>
  <c r="V150" i="6"/>
  <c r="V151" i="6" s="1"/>
  <c r="V152" i="6" s="1"/>
  <c r="V170" i="6" s="1"/>
  <c r="V157" i="6"/>
  <c r="W154" i="6" s="1"/>
  <c r="V171" i="6" l="1"/>
  <c r="V174" i="6" s="1"/>
  <c r="V221" i="6" s="1"/>
  <c r="W168" i="6"/>
  <c r="W97" i="6"/>
  <c r="W98" i="6" s="1"/>
  <c r="W149" i="6"/>
  <c r="W91" i="6"/>
  <c r="W92" i="6" s="1"/>
  <c r="AH144" i="6"/>
  <c r="AI142" i="6" s="1"/>
  <c r="V177" i="6" l="1"/>
  <c r="V184" i="6" s="1"/>
  <c r="W105" i="6"/>
  <c r="W169" i="6" s="1"/>
  <c r="AI143" i="6"/>
  <c r="AI146" i="6" s="1"/>
  <c r="AI155" i="6" s="1"/>
  <c r="W156" i="6"/>
  <c r="V182" i="6" l="1"/>
  <c r="V179" i="6"/>
  <c r="W109" i="6"/>
  <c r="W108" i="6"/>
  <c r="W106" i="6"/>
  <c r="X103" i="6" s="1"/>
  <c r="X104" i="6" s="1"/>
  <c r="AI144" i="6"/>
  <c r="AJ142" i="6" s="1"/>
  <c r="W150" i="6"/>
  <c r="W151" i="6" s="1"/>
  <c r="W152" i="6" s="1"/>
  <c r="W170" i="6" s="1"/>
  <c r="W171" i="6" s="1"/>
  <c r="W174" i="6" s="1"/>
  <c r="W157" i="6"/>
  <c r="X154" i="6" s="1"/>
  <c r="W177" i="6" l="1"/>
  <c r="W182" i="6" s="1"/>
  <c r="W221" i="6"/>
  <c r="X168" i="6"/>
  <c r="X91" i="6"/>
  <c r="X92" i="6" s="1"/>
  <c r="X149" i="6"/>
  <c r="X97" i="6"/>
  <c r="X98" i="6" s="1"/>
  <c r="AJ143" i="6"/>
  <c r="AJ146" i="6" s="1"/>
  <c r="AJ155" i="6" s="1"/>
  <c r="X105" i="6" l="1"/>
  <c r="X109" i="6" s="1"/>
  <c r="W179" i="6"/>
  <c r="W184" i="6"/>
  <c r="AJ144" i="6"/>
  <c r="AK142" i="6" s="1"/>
  <c r="X156" i="6"/>
  <c r="X108" i="6" l="1"/>
  <c r="X106" i="6"/>
  <c r="Y103" i="6" s="1"/>
  <c r="Y104" i="6" s="1"/>
  <c r="X169" i="6"/>
  <c r="X150" i="6"/>
  <c r="X151" i="6" s="1"/>
  <c r="X152" i="6" s="1"/>
  <c r="X170" i="6" s="1"/>
  <c r="X157" i="6"/>
  <c r="Y154" i="6" s="1"/>
  <c r="AK143" i="6"/>
  <c r="AK146" i="6" s="1"/>
  <c r="AK155" i="6" s="1"/>
  <c r="X171" i="6" l="1"/>
  <c r="X174" i="6" s="1"/>
  <c r="X177" i="6" s="1"/>
  <c r="AK144" i="6"/>
  <c r="Y168" i="6"/>
  <c r="Y97" i="6"/>
  <c r="Y98" i="6" s="1"/>
  <c r="Y91" i="6"/>
  <c r="Y92" i="6" s="1"/>
  <c r="Y149" i="6"/>
  <c r="X221" i="6" l="1"/>
  <c r="X179" i="6"/>
  <c r="X184" i="6"/>
  <c r="X182" i="6"/>
  <c r="Y105" i="6"/>
  <c r="Y109" i="6" s="1"/>
  <c r="Y156" i="6"/>
  <c r="Y106" i="6" l="1"/>
  <c r="Z103" i="6" s="1"/>
  <c r="Z104" i="6" s="1"/>
  <c r="Y169" i="6"/>
  <c r="Y108" i="6"/>
  <c r="Y150" i="6"/>
  <c r="Y151" i="6" s="1"/>
  <c r="Y152" i="6" s="1"/>
  <c r="Y170" i="6" s="1"/>
  <c r="Y157" i="6"/>
  <c r="Z154" i="6" s="1"/>
  <c r="Y171" i="6" l="1"/>
  <c r="Y174" i="6" s="1"/>
  <c r="Z168" i="6"/>
  <c r="Z149" i="6"/>
  <c r="Z91" i="6"/>
  <c r="Z92" i="6" s="1"/>
  <c r="Z97" i="6"/>
  <c r="Z98" i="6" s="1"/>
  <c r="Y177" i="6" l="1"/>
  <c r="Y184" i="6" s="1"/>
  <c r="Y221" i="6"/>
  <c r="Z105" i="6"/>
  <c r="Z109" i="6" s="1"/>
  <c r="Z156" i="6"/>
  <c r="Y179" i="6" l="1"/>
  <c r="Y182" i="6"/>
  <c r="Z169" i="6"/>
  <c r="Z106" i="6"/>
  <c r="AA103" i="6" s="1"/>
  <c r="AA104" i="6" s="1"/>
  <c r="Z108" i="6"/>
  <c r="Z150" i="6"/>
  <c r="Z151" i="6" s="1"/>
  <c r="Z152" i="6" s="1"/>
  <c r="Z170" i="6" s="1"/>
  <c r="Z157" i="6"/>
  <c r="AA154" i="6" s="1"/>
  <c r="Z171" i="6" l="1"/>
  <c r="Z174" i="6" s="1"/>
  <c r="AA168" i="6"/>
  <c r="AA97" i="6"/>
  <c r="AA98" i="6" s="1"/>
  <c r="AA91" i="6"/>
  <c r="AA92" i="6" s="1"/>
  <c r="AA149" i="6"/>
  <c r="Z177" i="6" l="1"/>
  <c r="Z182" i="6" s="1"/>
  <c r="Z221" i="6"/>
  <c r="AA156" i="6"/>
  <c r="AA105" i="6"/>
  <c r="Z184" i="6" l="1"/>
  <c r="Z179" i="6"/>
  <c r="AA169" i="6"/>
  <c r="AA106" i="6"/>
  <c r="AB103" i="6" s="1"/>
  <c r="AA109" i="6"/>
  <c r="AA108" i="6"/>
  <c r="AA150" i="6"/>
  <c r="AA151" i="6" s="1"/>
  <c r="AA152" i="6" s="1"/>
  <c r="AA170" i="6" s="1"/>
  <c r="AA157" i="6"/>
  <c r="AB154" i="6" s="1"/>
  <c r="AA171" i="6" l="1"/>
  <c r="AA174" i="6" s="1"/>
  <c r="AB104" i="6"/>
  <c r="AA177" i="6" l="1"/>
  <c r="AA184" i="6" s="1"/>
  <c r="AA221" i="6"/>
  <c r="AB91" i="6"/>
  <c r="AB92" i="6" s="1"/>
  <c r="AB97" i="6"/>
  <c r="AB98" i="6" s="1"/>
  <c r="AB168" i="6"/>
  <c r="AB149" i="6"/>
  <c r="AA179" i="6" l="1"/>
  <c r="AA182" i="6"/>
  <c r="AB105" i="6"/>
  <c r="AB169" i="6" s="1"/>
  <c r="AB156" i="6"/>
  <c r="AB108" i="6" l="1"/>
  <c r="AB109" i="6"/>
  <c r="AB106" i="6"/>
  <c r="AC103" i="6" s="1"/>
  <c r="AC104" i="6" s="1"/>
  <c r="AB150" i="6"/>
  <c r="AB151" i="6" s="1"/>
  <c r="AB152" i="6" s="1"/>
  <c r="AB170" i="6" s="1"/>
  <c r="AB171" i="6" s="1"/>
  <c r="AB174" i="6" s="1"/>
  <c r="AB157" i="6"/>
  <c r="AC154" i="6" s="1"/>
  <c r="AB177" i="6" l="1"/>
  <c r="AB184" i="6" s="1"/>
  <c r="AB221" i="6"/>
  <c r="AC91" i="6"/>
  <c r="AC92" i="6" s="1"/>
  <c r="AC168" i="6"/>
  <c r="AC149" i="6"/>
  <c r="AC97" i="6"/>
  <c r="AC98" i="6" s="1"/>
  <c r="AB182" i="6" l="1"/>
  <c r="AB179" i="6"/>
  <c r="AC156" i="6"/>
  <c r="AC105" i="6"/>
  <c r="AC150" i="6" l="1"/>
  <c r="AC151" i="6" s="1"/>
  <c r="AC152" i="6" s="1"/>
  <c r="AC170" i="6" s="1"/>
  <c r="AC157" i="6"/>
  <c r="AD154" i="6" s="1"/>
  <c r="AC169" i="6"/>
  <c r="AC106" i="6"/>
  <c r="AD103" i="6" s="1"/>
  <c r="AC109" i="6"/>
  <c r="AC108" i="6"/>
  <c r="AC171" i="6" l="1"/>
  <c r="AC174" i="6" s="1"/>
  <c r="AD104" i="6"/>
  <c r="AC177" i="6" l="1"/>
  <c r="AC184" i="6" s="1"/>
  <c r="AC221" i="6"/>
  <c r="AD168" i="6"/>
  <c r="AD97" i="6"/>
  <c r="AD98" i="6" s="1"/>
  <c r="AD149" i="6"/>
  <c r="AD91" i="6"/>
  <c r="AD92" i="6" s="1"/>
  <c r="AC179" i="6" l="1"/>
  <c r="AC182" i="6"/>
  <c r="AD105" i="6"/>
  <c r="AD109" i="6" s="1"/>
  <c r="AD156" i="6"/>
  <c r="AD106" i="6" l="1"/>
  <c r="AE103" i="6" s="1"/>
  <c r="AE104" i="6" s="1"/>
  <c r="AD169" i="6"/>
  <c r="AD108" i="6"/>
  <c r="AD150" i="6"/>
  <c r="AD151" i="6" s="1"/>
  <c r="AD152" i="6" s="1"/>
  <c r="AD170" i="6" s="1"/>
  <c r="AD157" i="6"/>
  <c r="AE154" i="6" s="1"/>
  <c r="AD171" i="6" l="1"/>
  <c r="AD174" i="6" s="1"/>
  <c r="AD177" i="6" s="1"/>
  <c r="AE168" i="6"/>
  <c r="AE97" i="6"/>
  <c r="AE98" i="6" s="1"/>
  <c r="AE91" i="6"/>
  <c r="AE92" i="6" s="1"/>
  <c r="AE149" i="6"/>
  <c r="AD184" i="6" l="1"/>
  <c r="AD182" i="6"/>
  <c r="AD221" i="6"/>
  <c r="AD179" i="6"/>
  <c r="AE105" i="6"/>
  <c r="AE169" i="6" s="1"/>
  <c r="AE156" i="6"/>
  <c r="AE108" i="6" l="1"/>
  <c r="AE109" i="6"/>
  <c r="AE106" i="6"/>
  <c r="AF103" i="6" s="1"/>
  <c r="AF104" i="6" s="1"/>
  <c r="AE150" i="6"/>
  <c r="AE151" i="6" s="1"/>
  <c r="AE152" i="6" s="1"/>
  <c r="AE170" i="6" s="1"/>
  <c r="AE171" i="6" s="1"/>
  <c r="AE174" i="6" s="1"/>
  <c r="AE157" i="6"/>
  <c r="AF154" i="6" s="1"/>
  <c r="AE177" i="6" l="1"/>
  <c r="AE182" i="6" s="1"/>
  <c r="AE221" i="6"/>
  <c r="AF97" i="6"/>
  <c r="AF98" i="6" s="1"/>
  <c r="AF91" i="6"/>
  <c r="AF92" i="6" s="1"/>
  <c r="AF168" i="6"/>
  <c r="AF149" i="6"/>
  <c r="AF105" i="6" l="1"/>
  <c r="AF108" i="6" s="1"/>
  <c r="AE179" i="6"/>
  <c r="AE184" i="6"/>
  <c r="AF156" i="6"/>
  <c r="AF106" i="6" l="1"/>
  <c r="AG103" i="6" s="1"/>
  <c r="AG104" i="6" s="1"/>
  <c r="AF169" i="6"/>
  <c r="AF109" i="6"/>
  <c r="AF150" i="6"/>
  <c r="AF151" i="6" s="1"/>
  <c r="AF152" i="6" s="1"/>
  <c r="AF170" i="6" s="1"/>
  <c r="AF157" i="6"/>
  <c r="AG154" i="6" s="1"/>
  <c r="AF171" i="6" l="1"/>
  <c r="AF174" i="6" s="1"/>
  <c r="AF221" i="6" s="1"/>
  <c r="AG97" i="6"/>
  <c r="AG98" i="6" s="1"/>
  <c r="AG91" i="6"/>
  <c r="AG92" i="6" s="1"/>
  <c r="AG168" i="6"/>
  <c r="AG149" i="6"/>
  <c r="AF177" i="6" l="1"/>
  <c r="AF184" i="6" s="1"/>
  <c r="AG105" i="6"/>
  <c r="AG169" i="6" s="1"/>
  <c r="AG156" i="6"/>
  <c r="AF182" i="6" l="1"/>
  <c r="AF179" i="6"/>
  <c r="AG109" i="6"/>
  <c r="AG106" i="6"/>
  <c r="AH103" i="6" s="1"/>
  <c r="AH104" i="6" s="1"/>
  <c r="AG108" i="6"/>
  <c r="AG150" i="6"/>
  <c r="AG151" i="6" s="1"/>
  <c r="AG152" i="6" s="1"/>
  <c r="AG170" i="6" s="1"/>
  <c r="AG171" i="6" s="1"/>
  <c r="AG174" i="6" s="1"/>
  <c r="AG157" i="6"/>
  <c r="AH154" i="6" s="1"/>
  <c r="AG177" i="6" l="1"/>
  <c r="AG182" i="6" s="1"/>
  <c r="AG221" i="6"/>
  <c r="AH91" i="6"/>
  <c r="AH92" i="6" s="1"/>
  <c r="AH149" i="6"/>
  <c r="AH97" i="6"/>
  <c r="AH98" i="6" s="1"/>
  <c r="AH168" i="6"/>
  <c r="AG179" i="6" l="1"/>
  <c r="AG184" i="6"/>
  <c r="AH156" i="6"/>
  <c r="AH105" i="6"/>
  <c r="AH150" i="6" l="1"/>
  <c r="AH151" i="6" s="1"/>
  <c r="AH152" i="6" s="1"/>
  <c r="AH170" i="6" s="1"/>
  <c r="AH157" i="6"/>
  <c r="AI154" i="6" s="1"/>
  <c r="AH169" i="6"/>
  <c r="AH106" i="6"/>
  <c r="AI103" i="6" s="1"/>
  <c r="AH108" i="6"/>
  <c r="AH109" i="6"/>
  <c r="AH171" i="6" l="1"/>
  <c r="AH174" i="6" s="1"/>
  <c r="AI104" i="6"/>
  <c r="AH177" i="6" l="1"/>
  <c r="AH182" i="6" s="1"/>
  <c r="AH221" i="6"/>
  <c r="AI91" i="6"/>
  <c r="AI92" i="6" s="1"/>
  <c r="AI168" i="6"/>
  <c r="AI97" i="6"/>
  <c r="AI98" i="6" s="1"/>
  <c r="AI149" i="6"/>
  <c r="AH184" i="6" l="1"/>
  <c r="AH179" i="6"/>
  <c r="AI105" i="6"/>
  <c r="AI108" i="6" s="1"/>
  <c r="AI156" i="6"/>
  <c r="AI169" i="6" l="1"/>
  <c r="AI109" i="6"/>
  <c r="AI106" i="6"/>
  <c r="AJ103" i="6" s="1"/>
  <c r="AJ104" i="6" s="1"/>
  <c r="AI150" i="6"/>
  <c r="AI151" i="6" s="1"/>
  <c r="AI152" i="6" s="1"/>
  <c r="AI170" i="6" s="1"/>
  <c r="AI157" i="6"/>
  <c r="AJ154" i="6" s="1"/>
  <c r="AI171" i="6" l="1"/>
  <c r="AI174" i="6" s="1"/>
  <c r="AJ91" i="6"/>
  <c r="AJ92" i="6" s="1"/>
  <c r="AJ168" i="6"/>
  <c r="AJ97" i="6"/>
  <c r="AJ98" i="6" s="1"/>
  <c r="AJ149" i="6"/>
  <c r="AI177" i="6" l="1"/>
  <c r="AI184" i="6" s="1"/>
  <c r="AI221" i="6"/>
  <c r="AJ105" i="6"/>
  <c r="AJ108" i="6" s="1"/>
  <c r="AJ156" i="6"/>
  <c r="AI179" i="6" l="1"/>
  <c r="AI182" i="6"/>
  <c r="AJ109" i="6"/>
  <c r="AJ106" i="6"/>
  <c r="AK103" i="6" s="1"/>
  <c r="AK104" i="6" s="1"/>
  <c r="AJ169" i="6"/>
  <c r="AJ150" i="6"/>
  <c r="AJ151" i="6" s="1"/>
  <c r="AJ152" i="6" s="1"/>
  <c r="AJ170" i="6" s="1"/>
  <c r="AJ157" i="6"/>
  <c r="AK154" i="6" s="1"/>
  <c r="AJ171" i="6" l="1"/>
  <c r="AJ174" i="6" s="1"/>
  <c r="AK97" i="6"/>
  <c r="AK98" i="6" s="1"/>
  <c r="AK168" i="6"/>
  <c r="AK91" i="6"/>
  <c r="AK92" i="6" s="1"/>
  <c r="AK149" i="6"/>
  <c r="AK105" i="6" l="1"/>
  <c r="AK169" i="6" s="1"/>
  <c r="AJ177" i="6"/>
  <c r="AJ221" i="6"/>
  <c r="AK156" i="6"/>
  <c r="AK106" i="6" l="1"/>
  <c r="AK108" i="6"/>
  <c r="AK109" i="6"/>
  <c r="AJ184" i="6"/>
  <c r="AJ182" i="6"/>
  <c r="AJ179" i="6"/>
  <c r="AK150" i="6"/>
  <c r="AK151" i="6" s="1"/>
  <c r="AK152" i="6" s="1"/>
  <c r="AK170" i="6" s="1"/>
  <c r="AK171" i="6" s="1"/>
  <c r="AK174" i="6" s="1"/>
  <c r="AK157" i="6"/>
  <c r="AK177" i="6" l="1"/>
  <c r="AK182" i="6" s="1"/>
  <c r="AK221" i="6"/>
  <c r="AK179" i="6" l="1"/>
  <c r="G185" i="6" s="1"/>
  <c r="H205" i="6" s="1"/>
  <c r="G183" i="6"/>
  <c r="AK184" i="6"/>
  <c r="G181" i="6"/>
  <c r="H191" i="6" s="1"/>
</calcChain>
</file>

<file path=xl/sharedStrings.xml><?xml version="1.0" encoding="utf-8"?>
<sst xmlns="http://schemas.openxmlformats.org/spreadsheetml/2006/main" count="188" uniqueCount="148">
  <si>
    <t>Assumptions</t>
  </si>
  <si>
    <t>Total</t>
  </si>
  <si>
    <t>EBITDA</t>
  </si>
  <si>
    <t>Taxes</t>
  </si>
  <si>
    <t>Free Cash Flow</t>
  </si>
  <si>
    <t>IRR</t>
  </si>
  <si>
    <t>Sensitivity Analysis</t>
  </si>
  <si>
    <t>Total Revenue</t>
  </si>
  <si>
    <t>Capex</t>
  </si>
  <si>
    <t>Payback</t>
  </si>
  <si>
    <t>Total Adjustments</t>
  </si>
  <si>
    <t xml:space="preserve">PPA </t>
  </si>
  <si>
    <t>Term</t>
  </si>
  <si>
    <t>Post PPA Term</t>
  </si>
  <si>
    <t>Escalator</t>
  </si>
  <si>
    <t>General Inputs</t>
  </si>
  <si>
    <t>CPI Estimate</t>
  </si>
  <si>
    <t>Pricing</t>
  </si>
  <si>
    <t>COD</t>
  </si>
  <si>
    <t>PPA Term</t>
  </si>
  <si>
    <t>Year</t>
  </si>
  <si>
    <t>Project Size (DC)</t>
  </si>
  <si>
    <t>Project Size (AC)</t>
  </si>
  <si>
    <t xml:space="preserve">Energy </t>
  </si>
  <si>
    <t xml:space="preserve">Degredation </t>
  </si>
  <si>
    <t>Energy Probability</t>
  </si>
  <si>
    <t>P50</t>
  </si>
  <si>
    <t>P99</t>
  </si>
  <si>
    <t>EPC Contract</t>
  </si>
  <si>
    <t>Land</t>
  </si>
  <si>
    <t>Other Costs</t>
  </si>
  <si>
    <t>Interconnection Costs</t>
  </si>
  <si>
    <t>Transaction Costs</t>
  </si>
  <si>
    <t>Contingency</t>
  </si>
  <si>
    <t>Total Levered Costs</t>
  </si>
  <si>
    <t>General Assumptions</t>
  </si>
  <si>
    <t>Operating Costs</t>
  </si>
  <si>
    <t>From Year</t>
  </si>
  <si>
    <t>To Year</t>
  </si>
  <si>
    <t>Operation and Maintenance</t>
  </si>
  <si>
    <t>G&amp;A/Legal/Audit/Admin</t>
  </si>
  <si>
    <t>Insurance</t>
  </si>
  <si>
    <t>Property Tax</t>
  </si>
  <si>
    <t>Interconnect O&amp;M</t>
  </si>
  <si>
    <t>Lease 1-20</t>
  </si>
  <si>
    <t>Lease 21-30</t>
  </si>
  <si>
    <t>Inverter Reserve</t>
  </si>
  <si>
    <t>Financing Assumptions</t>
  </si>
  <si>
    <t>Amortization Period</t>
  </si>
  <si>
    <t>Spread</t>
  </si>
  <si>
    <t>Swap Rate</t>
  </si>
  <si>
    <t>All-in rate</t>
  </si>
  <si>
    <t>Arrangement costs</t>
  </si>
  <si>
    <t>Revenue</t>
  </si>
  <si>
    <t>P75</t>
  </si>
  <si>
    <t>P90</t>
  </si>
  <si>
    <t>Production Year</t>
  </si>
  <si>
    <t>Annual Energy per year</t>
  </si>
  <si>
    <t>PPA Power Price</t>
  </si>
  <si>
    <t>Post PPA Power Price</t>
  </si>
  <si>
    <t>Expenses</t>
  </si>
  <si>
    <t>Degredation Year/Inflation year</t>
  </si>
  <si>
    <t>Total Expenses</t>
  </si>
  <si>
    <t>EBITDA, used for financing</t>
  </si>
  <si>
    <t>Debt Sizing</t>
  </si>
  <si>
    <t>Number of days in year</t>
  </si>
  <si>
    <t>Maximum Debt Service Amount</t>
  </si>
  <si>
    <t>Less: Interest</t>
  </si>
  <si>
    <t>Target Principal Amount</t>
  </si>
  <si>
    <t>Opening Debt Balance</t>
  </si>
  <si>
    <t>Less: Principal</t>
  </si>
  <si>
    <t>Ending Debt Balance</t>
  </si>
  <si>
    <t>Debt Sizing Per DSCR</t>
  </si>
  <si>
    <t>Discounting Year for Debt</t>
  </si>
  <si>
    <t>Inverter Replacement</t>
  </si>
  <si>
    <t>% of Capex</t>
  </si>
  <si>
    <t>Depreciation Rate</t>
  </si>
  <si>
    <t>Beginning</t>
  </si>
  <si>
    <t>Additions</t>
  </si>
  <si>
    <t>Depreciation</t>
  </si>
  <si>
    <t>Ending</t>
  </si>
  <si>
    <t>Depreciation available for year</t>
  </si>
  <si>
    <t>Usage</t>
  </si>
  <si>
    <t>Taxable income</t>
  </si>
  <si>
    <t>Taxes payable</t>
  </si>
  <si>
    <t>Discounting dates</t>
  </si>
  <si>
    <t>Investment Amount</t>
  </si>
  <si>
    <t>Less:</t>
  </si>
  <si>
    <t>Principal</t>
  </si>
  <si>
    <t>Interest</t>
  </si>
  <si>
    <t>Average capex investment date</t>
  </si>
  <si>
    <t>Average debt contribution date</t>
  </si>
  <si>
    <t>Debt contribution amount</t>
  </si>
  <si>
    <t>Project IRR, after-tax, levered</t>
  </si>
  <si>
    <t>Project running IRR, after-tax, levered</t>
  </si>
  <si>
    <t>Running Cash-on-Cash</t>
  </si>
  <si>
    <t>Projet Cash-on-Cash</t>
  </si>
  <si>
    <t>PPA Price</t>
  </si>
  <si>
    <t>Post PPA Rate</t>
  </si>
  <si>
    <t>Cash Flow</t>
  </si>
  <si>
    <t>PPA Rate</t>
  </si>
  <si>
    <t>Sources</t>
  </si>
  <si>
    <t>Uses</t>
  </si>
  <si>
    <t>Debt</t>
  </si>
  <si>
    <t>Equity</t>
  </si>
  <si>
    <t>Depreciation Balances, and Cash Taxes Payable</t>
  </si>
  <si>
    <t>Project life</t>
  </si>
  <si>
    <t>% of original output</t>
  </si>
  <si>
    <t>Usage of inverter reserve</t>
  </si>
  <si>
    <t>Maximum Sizing, percent of capex</t>
  </si>
  <si>
    <t>3- month LIBOR</t>
  </si>
  <si>
    <t>DSCR P50 minimum</t>
  </si>
  <si>
    <t xml:space="preserve">Less: Tax shelter/depreciation </t>
  </si>
  <si>
    <t>Equity balance</t>
  </si>
  <si>
    <t xml:space="preserve">DSRA contribution </t>
  </si>
  <si>
    <t>Class A</t>
  </si>
  <si>
    <t>Class B</t>
  </si>
  <si>
    <t>Class C</t>
  </si>
  <si>
    <t>Class D</t>
  </si>
  <si>
    <t>Class E</t>
  </si>
  <si>
    <t>Debt service reserve account</t>
  </si>
  <si>
    <t>Price/MWh</t>
  </si>
  <si>
    <t>Returns</t>
  </si>
  <si>
    <t>Acquisition cost</t>
  </si>
  <si>
    <t xml:space="preserve">Production, Revenue, Expenses, EBITDA </t>
  </si>
  <si>
    <t>DSCR P99 minimum</t>
  </si>
  <si>
    <t>N/A</t>
  </si>
  <si>
    <t>Solar Financial Modeling</t>
  </si>
  <si>
    <t>Notations</t>
  </si>
  <si>
    <t>Blue</t>
  </si>
  <si>
    <t>Green</t>
  </si>
  <si>
    <t>Black</t>
  </si>
  <si>
    <t>indicates all inputs, such as actual values and assumptions</t>
  </si>
  <si>
    <t>refers to data sourced from another sheet or page</t>
  </si>
  <si>
    <t>represents formulas, as well as general text like row and column headers</t>
  </si>
  <si>
    <t>Production</t>
  </si>
  <si>
    <t>Probability</t>
  </si>
  <si>
    <t>€/W (DC)</t>
  </si>
  <si>
    <t>€/W (AC)</t>
  </si>
  <si>
    <t>Republic of Solara Tax Rate</t>
  </si>
  <si>
    <t>€/MWh</t>
  </si>
  <si>
    <t xml:space="preserve">Tax </t>
  </si>
  <si>
    <t>Tax shelter/depreciation closing balance</t>
  </si>
  <si>
    <t>EBITDA for year</t>
  </si>
  <si>
    <t>Tax shelter/depreciation opening balance</t>
  </si>
  <si>
    <t>Free cash flow to Equity, after-tax, levered</t>
  </si>
  <si>
    <t>Charts and Graphs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</si>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</sst>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(* #,##0_);_(* \(#,##0\);_(* &quot;-&quot;??_);_(@_)"/>
    <numFmt numFmtId="168" formatCode="_(* #,##0.000_);_(* \(#,##0.000\);_(* &quot;-&quot;??_);_(@_)"/>
    <numFmt numFmtId="169" formatCode="0\ &quot;years&quot;"/>
    <numFmt numFmtId="170" formatCode="[$-1009]d\-mmm\-yy;@"/>
    <numFmt numFmtId="171" formatCode="&quot;$&quot;#,##0.0000&quot;/kWh&quot;;\-&quot;$&quot;#,##0"/>
    <numFmt numFmtId="172" formatCode="0.0\ &quot;MW&quot;"/>
    <numFmt numFmtId="173" formatCode="&quot;$&quot;#,##0.00;[Red]&quot;$&quot;#,##0.00"/>
    <numFmt numFmtId="174" formatCode="_-&quot;$&quot;* #,##0_-;\-&quot;$&quot;* #,##0_-;_-&quot;$&quot;* &quot;-&quot;??_-;_-@_-"/>
    <numFmt numFmtId="175" formatCode="0%_);\(0%\);@_)"/>
    <numFmt numFmtId="176" formatCode="0.00\x"/>
    <numFmt numFmtId="177" formatCode="0&quot; bps&quot;\_x000a_%%"/>
    <numFmt numFmtId="178" formatCode="#,#00.0\ &quot;MWh&quot;"/>
    <numFmt numFmtId="179" formatCode="#,###\ &quot;MWh&quot;"/>
    <numFmt numFmtId="180" formatCode="_-&quot;$&quot;* #,##0_-;\(&quot;$&quot;\ #,##0\);_-&quot;$&quot;* &quot;-&quot;??_-;_-@_-"/>
    <numFmt numFmtId="181" formatCode="0.0\ &quot;years&quot;"/>
    <numFmt numFmtId="182" formatCode="0.00000"/>
    <numFmt numFmtId="183" formatCode="0.0\ &quot;months&quot;"/>
    <numFmt numFmtId="184" formatCode="_([$€-2]\ * #,##0.00_);_([$€-2]\ * \(#,##0.00\);_([$€-2]\ * &quot;-&quot;??_);_(@_)"/>
    <numFmt numFmtId="185" formatCode="\€#,##0.0000&quot;/MWh&quot;;\-\€#,##0"/>
    <numFmt numFmtId="186" formatCode="_([$€-2]\ * #,##0_);_([$€-2]\ * \(#,##0\);_([$€-2]\ * &quot;-&quot;??_);_(@_)"/>
    <numFmt numFmtId="187" formatCode="dd/mm/yy;@"/>
    <numFmt numFmtId="188" formatCode="dd/mm/yy\ &quot;E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4"/>
      <color theme="0"/>
      <name val="Aptos"/>
    </font>
    <font>
      <b/>
      <sz val="14"/>
      <color theme="0"/>
      <name val="Aptos"/>
    </font>
    <font>
      <i/>
      <sz val="11"/>
      <color theme="1"/>
      <name val="Aptos"/>
    </font>
    <font>
      <sz val="11"/>
      <color theme="1"/>
      <name val="Aptos"/>
    </font>
    <font>
      <b/>
      <sz val="11"/>
      <color theme="1"/>
      <name val="Aptos"/>
    </font>
    <font>
      <sz val="11"/>
      <color rgb="FF2007B9"/>
      <name val="Aptos"/>
    </font>
    <font>
      <sz val="11"/>
      <name val="Aptos"/>
    </font>
    <font>
      <b/>
      <sz val="11"/>
      <name val="Aptos"/>
    </font>
    <font>
      <i/>
      <sz val="11"/>
      <name val="Aptos"/>
    </font>
    <font>
      <sz val="11"/>
      <color theme="0"/>
      <name val="Aptos"/>
    </font>
    <font>
      <b/>
      <i/>
      <sz val="11"/>
      <color theme="1"/>
      <name val="Aptos"/>
    </font>
    <font>
      <b/>
      <sz val="11"/>
      <color theme="0"/>
      <name val="Aptos"/>
    </font>
    <font>
      <b/>
      <sz val="12"/>
      <color theme="1"/>
      <name val="Aptos"/>
    </font>
    <font>
      <b/>
      <sz val="11"/>
      <color rgb="FF00B050"/>
      <name val="Aptos"/>
    </font>
    <font>
      <b/>
      <sz val="11"/>
      <color rgb="FF0070C0"/>
      <name val="Aptos"/>
    </font>
    <font>
      <sz val="11"/>
      <color rgb="FF0070C0"/>
      <name val="Aptos"/>
    </font>
    <font>
      <i/>
      <sz val="11"/>
      <color rgb="FF0070C0"/>
      <name val="Apto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19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center"/>
      <protection hidden="1"/>
    </xf>
    <xf numFmtId="0" fontId="7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/>
    <xf numFmtId="0" fontId="6" fillId="0" borderId="3" xfId="0" applyFont="1" applyBorder="1" applyProtection="1">
      <protection hidden="1"/>
    </xf>
    <xf numFmtId="0" fontId="7" fillId="0" borderId="3" xfId="0" applyFont="1" applyBorder="1" applyProtection="1">
      <protection hidden="1"/>
    </xf>
    <xf numFmtId="0" fontId="6" fillId="0" borderId="1" xfId="0" applyFont="1" applyBorder="1" applyProtection="1">
      <protection hidden="1"/>
    </xf>
    <xf numFmtId="169" fontId="8" fillId="0" borderId="0" xfId="2" applyNumberFormat="1" applyFont="1" applyProtection="1">
      <protection hidden="1"/>
    </xf>
    <xf numFmtId="169" fontId="6" fillId="0" borderId="0" xfId="2" applyNumberFormat="1" applyFont="1" applyProtection="1">
      <protection hidden="1"/>
    </xf>
    <xf numFmtId="0" fontId="6" fillId="0" borderId="3" xfId="0" applyFont="1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/>
      <protection hidden="1"/>
    </xf>
    <xf numFmtId="0" fontId="6" fillId="0" borderId="4" xfId="0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6" xfId="0" applyFont="1" applyBorder="1" applyAlignment="1" applyProtection="1">
      <alignment horizontal="center"/>
      <protection hidden="1"/>
    </xf>
    <xf numFmtId="43" fontId="6" fillId="0" borderId="0" xfId="2" applyFont="1" applyProtection="1">
      <protection hidden="1"/>
    </xf>
    <xf numFmtId="170" fontId="8" fillId="0" borderId="0" xfId="2" applyNumberFormat="1" applyFont="1" applyProtection="1">
      <protection hidden="1"/>
    </xf>
    <xf numFmtId="10" fontId="6" fillId="0" borderId="0" xfId="0" applyNumberFormat="1" applyFont="1" applyProtection="1">
      <protection hidden="1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75" fontId="6" fillId="0" borderId="0" xfId="0" applyNumberFormat="1" applyFont="1"/>
    <xf numFmtId="177" fontId="9" fillId="0" borderId="15" xfId="0" applyNumberFormat="1" applyFont="1" applyBorder="1" applyAlignment="1">
      <alignment horizontal="center" vertical="top" wrapText="1"/>
    </xf>
    <xf numFmtId="171" fontId="6" fillId="0" borderId="0" xfId="0" applyNumberFormat="1" applyFont="1" applyProtection="1">
      <protection hidden="1"/>
    </xf>
    <xf numFmtId="0" fontId="6" fillId="0" borderId="0" xfId="0" quotePrefix="1" applyFont="1"/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/>
      <protection hidden="1"/>
    </xf>
    <xf numFmtId="0" fontId="6" fillId="0" borderId="11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7" fillId="0" borderId="0" xfId="0" applyFont="1"/>
    <xf numFmtId="0" fontId="6" fillId="0" borderId="0" xfId="0" applyFont="1" applyAlignment="1">
      <alignment horizontal="center"/>
    </xf>
    <xf numFmtId="182" fontId="6" fillId="0" borderId="0" xfId="0" applyNumberFormat="1" applyFont="1"/>
    <xf numFmtId="0" fontId="6" fillId="0" borderId="0" xfId="0" applyFont="1" applyAlignment="1">
      <alignment horizontal="left" indent="1"/>
    </xf>
    <xf numFmtId="179" fontId="6" fillId="0" borderId="0" xfId="2" applyNumberFormat="1" applyFont="1"/>
    <xf numFmtId="0" fontId="5" fillId="0" borderId="0" xfId="0" applyFont="1" applyAlignment="1">
      <alignment horizontal="left" indent="1"/>
    </xf>
    <xf numFmtId="166" fontId="5" fillId="0" borderId="0" xfId="1" applyNumberFormat="1" applyFont="1"/>
    <xf numFmtId="167" fontId="6" fillId="0" borderId="0" xfId="2" applyNumberFormat="1" applyFont="1"/>
    <xf numFmtId="167" fontId="6" fillId="0" borderId="0" xfId="2" applyNumberFormat="1" applyFont="1" applyFill="1"/>
    <xf numFmtId="167" fontId="6" fillId="0" borderId="3" xfId="2" applyNumberFormat="1" applyFont="1" applyBorder="1"/>
    <xf numFmtId="167" fontId="7" fillId="0" borderId="0" xfId="2" applyNumberFormat="1" applyFont="1"/>
    <xf numFmtId="0" fontId="5" fillId="0" borderId="0" xfId="0" applyFont="1"/>
    <xf numFmtId="167" fontId="6" fillId="0" borderId="0" xfId="2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167" fontId="9" fillId="0" borderId="0" xfId="2" applyNumberFormat="1" applyFont="1" applyFill="1" applyBorder="1"/>
    <xf numFmtId="0" fontId="10" fillId="0" borderId="0" xfId="0" applyFont="1"/>
    <xf numFmtId="169" fontId="11" fillId="0" borderId="0" xfId="0" applyNumberFormat="1" applyFont="1" applyAlignment="1">
      <alignment horizontal="center"/>
    </xf>
    <xf numFmtId="167" fontId="7" fillId="0" borderId="0" xfId="2" applyNumberFormat="1" applyFont="1" applyFill="1"/>
    <xf numFmtId="180" fontId="7" fillId="0" borderId="0" xfId="0" applyNumberFormat="1" applyFont="1"/>
    <xf numFmtId="174" fontId="7" fillId="0" borderId="0" xfId="6" applyNumberFormat="1" applyFont="1"/>
    <xf numFmtId="174" fontId="7" fillId="0" borderId="0" xfId="6" applyNumberFormat="1" applyFont="1" applyFill="1" applyBorder="1"/>
    <xf numFmtId="176" fontId="6" fillId="0" borderId="2" xfId="0" applyNumberFormat="1" applyFont="1" applyBorder="1"/>
    <xf numFmtId="176" fontId="6" fillId="0" borderId="0" xfId="0" applyNumberFormat="1" applyFont="1"/>
    <xf numFmtId="0" fontId="12" fillId="0" borderId="0" xfId="0" applyFont="1"/>
    <xf numFmtId="176" fontId="5" fillId="0" borderId="0" xfId="0" applyNumberFormat="1" applyFont="1"/>
    <xf numFmtId="167" fontId="6" fillId="0" borderId="2" xfId="2" applyNumberFormat="1" applyFont="1" applyBorder="1"/>
    <xf numFmtId="167" fontId="6" fillId="0" borderId="8" xfId="2" applyNumberFormat="1" applyFont="1" applyBorder="1" applyAlignment="1">
      <alignment horizontal="center"/>
    </xf>
    <xf numFmtId="166" fontId="6" fillId="0" borderId="14" xfId="1" applyNumberFormat="1" applyFont="1" applyBorder="1"/>
    <xf numFmtId="166" fontId="6" fillId="0" borderId="15" xfId="1" applyNumberFormat="1" applyFont="1" applyBorder="1"/>
    <xf numFmtId="166" fontId="6" fillId="0" borderId="13" xfId="1" applyNumberFormat="1" applyFont="1" applyBorder="1"/>
    <xf numFmtId="167" fontId="7" fillId="0" borderId="0" xfId="2" applyNumberFormat="1" applyFont="1" applyAlignment="1">
      <alignment horizontal="left"/>
    </xf>
    <xf numFmtId="167" fontId="6" fillId="0" borderId="6" xfId="2" applyNumberFormat="1" applyFont="1" applyBorder="1"/>
    <xf numFmtId="167" fontId="6" fillId="0" borderId="1" xfId="2" applyNumberFormat="1" applyFont="1" applyBorder="1"/>
    <xf numFmtId="167" fontId="6" fillId="0" borderId="10" xfId="2" applyNumberFormat="1" applyFont="1" applyBorder="1"/>
    <xf numFmtId="167" fontId="6" fillId="0" borderId="11" xfId="2" applyNumberFormat="1" applyFont="1" applyBorder="1"/>
    <xf numFmtId="167" fontId="6" fillId="0" borderId="12" xfId="2" applyNumberFormat="1" applyFont="1" applyBorder="1"/>
    <xf numFmtId="167" fontId="6" fillId="0" borderId="7" xfId="2" applyNumberFormat="1" applyFont="1" applyBorder="1"/>
    <xf numFmtId="167" fontId="6" fillId="0" borderId="4" xfId="2" applyNumberFormat="1" applyFont="1" applyBorder="1"/>
    <xf numFmtId="167" fontId="6" fillId="0" borderId="8" xfId="2" applyNumberFormat="1" applyFont="1" applyBorder="1"/>
    <xf numFmtId="167" fontId="7" fillId="0" borderId="0" xfId="2" applyNumberFormat="1" applyFont="1" applyAlignment="1">
      <alignment horizontal="center"/>
    </xf>
    <xf numFmtId="167" fontId="7" fillId="0" borderId="6" xfId="2" applyNumberFormat="1" applyFont="1" applyBorder="1"/>
    <xf numFmtId="167" fontId="7" fillId="0" borderId="1" xfId="2" applyNumberFormat="1" applyFont="1" applyBorder="1"/>
    <xf numFmtId="167" fontId="7" fillId="0" borderId="10" xfId="2" applyNumberFormat="1" applyFont="1" applyBorder="1"/>
    <xf numFmtId="167" fontId="6" fillId="0" borderId="9" xfId="2" applyNumberFormat="1" applyFont="1" applyBorder="1"/>
    <xf numFmtId="167" fontId="6" fillId="0" borderId="0" xfId="2" applyNumberFormat="1" applyFont="1" applyBorder="1"/>
    <xf numFmtId="167" fontId="6" fillId="0" borderId="5" xfId="2" applyNumberFormat="1" applyFont="1" applyBorder="1"/>
    <xf numFmtId="167" fontId="7" fillId="0" borderId="11" xfId="2" applyNumberFormat="1" applyFont="1" applyBorder="1"/>
    <xf numFmtId="167" fontId="7" fillId="0" borderId="3" xfId="2" applyNumberFormat="1" applyFont="1" applyBorder="1"/>
    <xf numFmtId="167" fontId="7" fillId="0" borderId="12" xfId="2" applyNumberFormat="1" applyFont="1" applyBorder="1"/>
    <xf numFmtId="170" fontId="6" fillId="0" borderId="0" xfId="0" applyNumberFormat="1" applyFont="1"/>
    <xf numFmtId="167" fontId="6" fillId="0" borderId="0" xfId="2" applyNumberFormat="1" applyFont="1" applyFill="1" applyAlignment="1">
      <alignment horizontal="center"/>
    </xf>
    <xf numFmtId="37" fontId="6" fillId="0" borderId="0" xfId="0" applyNumberFormat="1" applyFont="1" applyAlignment="1">
      <alignment horizontal="center"/>
    </xf>
    <xf numFmtId="167" fontId="6" fillId="0" borderId="3" xfId="2" applyNumberFormat="1" applyFont="1" applyFill="1" applyBorder="1"/>
    <xf numFmtId="167" fontId="6" fillId="0" borderId="1" xfId="2" applyNumberFormat="1" applyFont="1" applyBorder="1" applyAlignment="1">
      <alignment horizontal="center"/>
    </xf>
    <xf numFmtId="37" fontId="6" fillId="0" borderId="1" xfId="0" applyNumberFormat="1" applyFont="1" applyBorder="1" applyAlignment="1">
      <alignment horizontal="center"/>
    </xf>
    <xf numFmtId="167" fontId="6" fillId="0" borderId="1" xfId="2" applyNumberFormat="1" applyFont="1" applyFill="1" applyBorder="1"/>
    <xf numFmtId="37" fontId="6" fillId="0" borderId="6" xfId="0" applyNumberFormat="1" applyFont="1" applyBorder="1" applyAlignment="1">
      <alignment horizontal="center"/>
    </xf>
    <xf numFmtId="167" fontId="6" fillId="0" borderId="10" xfId="2" applyNumberFormat="1" applyFont="1" applyFill="1" applyBorder="1"/>
    <xf numFmtId="167" fontId="6" fillId="0" borderId="9" xfId="2" applyNumberFormat="1" applyFont="1" applyFill="1" applyBorder="1" applyAlignment="1">
      <alignment horizontal="center"/>
    </xf>
    <xf numFmtId="167" fontId="6" fillId="3" borderId="0" xfId="2" applyNumberFormat="1" applyFont="1" applyFill="1" applyBorder="1"/>
    <xf numFmtId="167" fontId="6" fillId="3" borderId="5" xfId="2" applyNumberFormat="1" applyFont="1" applyFill="1" applyBorder="1"/>
    <xf numFmtId="167" fontId="7" fillId="0" borderId="7" xfId="2" applyNumberFormat="1" applyFont="1" applyFill="1" applyBorder="1" applyAlignment="1">
      <alignment horizontal="center"/>
    </xf>
    <xf numFmtId="167" fontId="7" fillId="0" borderId="4" xfId="2" applyNumberFormat="1" applyFont="1" applyFill="1" applyBorder="1" applyAlignment="1">
      <alignment horizontal="center"/>
    </xf>
    <xf numFmtId="167" fontId="7" fillId="0" borderId="8" xfId="2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10" fontId="13" fillId="0" borderId="7" xfId="1" applyNumberFormat="1" applyFont="1" applyFill="1" applyBorder="1" applyAlignment="1">
      <alignment horizontal="center"/>
    </xf>
    <xf numFmtId="10" fontId="13" fillId="0" borderId="4" xfId="1" applyNumberFormat="1" applyFont="1" applyFill="1" applyBorder="1" applyAlignment="1">
      <alignment horizontal="center"/>
    </xf>
    <xf numFmtId="10" fontId="13" fillId="0" borderId="8" xfId="1" applyNumberFormat="1" applyFont="1" applyFill="1" applyBorder="1" applyAlignment="1">
      <alignment horizontal="center"/>
    </xf>
    <xf numFmtId="176" fontId="13" fillId="0" borderId="14" xfId="1" applyNumberFormat="1" applyFont="1" applyFill="1" applyBorder="1" applyAlignment="1">
      <alignment horizontal="center"/>
    </xf>
    <xf numFmtId="10" fontId="5" fillId="0" borderId="0" xfId="1" applyNumberFormat="1" applyFont="1" applyFill="1" applyAlignment="1">
      <alignment horizontal="center"/>
    </xf>
    <xf numFmtId="176" fontId="13" fillId="0" borderId="7" xfId="1" applyNumberFormat="1" applyFont="1" applyFill="1" applyBorder="1" applyAlignment="1">
      <alignment horizontal="center"/>
    </xf>
    <xf numFmtId="176" fontId="13" fillId="0" borderId="4" xfId="1" applyNumberFormat="1" applyFont="1" applyFill="1" applyBorder="1" applyAlignment="1">
      <alignment horizontal="center"/>
    </xf>
    <xf numFmtId="176" fontId="13" fillId="0" borderId="8" xfId="1" applyNumberFormat="1" applyFont="1" applyFill="1" applyBorder="1" applyAlignment="1">
      <alignment horizontal="center"/>
    </xf>
    <xf numFmtId="181" fontId="7" fillId="0" borderId="2" xfId="2" applyNumberFormat="1" applyFont="1" applyBorder="1" applyAlignment="1">
      <alignment horizontal="center"/>
    </xf>
    <xf numFmtId="168" fontId="6" fillId="0" borderId="0" xfId="2" applyNumberFormat="1" applyFont="1"/>
    <xf numFmtId="166" fontId="6" fillId="0" borderId="0" xfId="1" applyNumberFormat="1" applyFont="1" applyProtection="1">
      <protection hidden="1"/>
    </xf>
    <xf numFmtId="0" fontId="7" fillId="0" borderId="0" xfId="0" applyFont="1" applyAlignment="1" applyProtection="1">
      <alignment horizontal="centerContinuous"/>
      <protection hidden="1"/>
    </xf>
    <xf numFmtId="0" fontId="6" fillId="0" borderId="0" xfId="0" applyFont="1" applyAlignment="1" applyProtection="1">
      <alignment horizontal="centerContinuous"/>
      <protection hidden="1"/>
    </xf>
    <xf numFmtId="9" fontId="12" fillId="0" borderId="0" xfId="0" applyNumberFormat="1" applyFont="1" applyProtection="1">
      <protection hidden="1"/>
    </xf>
    <xf numFmtId="166" fontId="6" fillId="0" borderId="1" xfId="1" applyNumberFormat="1" applyFont="1" applyBorder="1" applyProtection="1">
      <protection hidden="1"/>
    </xf>
    <xf numFmtId="43" fontId="6" fillId="0" borderId="5" xfId="2" applyFont="1" applyBorder="1" applyProtection="1">
      <protection hidden="1"/>
    </xf>
    <xf numFmtId="166" fontId="6" fillId="0" borderId="0" xfId="1" applyNumberFormat="1" applyFont="1" applyFill="1" applyProtection="1">
      <protection hidden="1"/>
    </xf>
    <xf numFmtId="43" fontId="12" fillId="0" borderId="0" xfId="0" applyNumberFormat="1" applyFont="1" applyProtection="1">
      <protection hidden="1"/>
    </xf>
    <xf numFmtId="181" fontId="6" fillId="0" borderId="0" xfId="2" applyNumberFormat="1" applyFont="1" applyBorder="1" applyProtection="1">
      <protection hidden="1"/>
    </xf>
    <xf numFmtId="166" fontId="6" fillId="0" borderId="0" xfId="1" applyNumberFormat="1" applyFont="1" applyBorder="1" applyProtection="1">
      <protection hidden="1"/>
    </xf>
    <xf numFmtId="167" fontId="6" fillId="0" borderId="0" xfId="2" applyNumberFormat="1" applyFont="1" applyProtection="1">
      <protection hidden="1"/>
    </xf>
    <xf numFmtId="0" fontId="6" fillId="0" borderId="1" xfId="0" applyFont="1" applyBorder="1"/>
    <xf numFmtId="0" fontId="6" fillId="0" borderId="9" xfId="0" applyFont="1" applyBorder="1"/>
    <xf numFmtId="166" fontId="5" fillId="0" borderId="0" xfId="1" applyNumberFormat="1" applyFont="1" applyBorder="1"/>
    <xf numFmtId="0" fontId="6" fillId="0" borderId="6" xfId="0" applyFont="1" applyBorder="1"/>
    <xf numFmtId="0" fontId="6" fillId="0" borderId="11" xfId="0" applyFont="1" applyBorder="1"/>
    <xf numFmtId="0" fontId="6" fillId="0" borderId="3" xfId="0" applyFont="1" applyBorder="1"/>
    <xf numFmtId="0" fontId="7" fillId="0" borderId="7" xfId="0" applyFont="1" applyBorder="1"/>
    <xf numFmtId="0" fontId="7" fillId="0" borderId="4" xfId="0" applyFont="1" applyBorder="1"/>
    <xf numFmtId="174" fontId="6" fillId="0" borderId="0" xfId="6" applyNumberFormat="1" applyFont="1" applyBorder="1"/>
    <xf numFmtId="37" fontId="3" fillId="4" borderId="0" xfId="0" applyNumberFormat="1" applyFont="1" applyFill="1" applyAlignment="1">
      <alignment vertical="top"/>
    </xf>
    <xf numFmtId="0" fontId="3" fillId="4" borderId="0" xfId="0" applyFont="1" applyFill="1" applyAlignment="1">
      <alignment horizontal="center"/>
    </xf>
    <xf numFmtId="37" fontId="4" fillId="5" borderId="0" xfId="0" applyNumberFormat="1" applyFont="1" applyFill="1" applyAlignment="1">
      <alignment vertical="center"/>
    </xf>
    <xf numFmtId="37" fontId="4" fillId="4" borderId="0" xfId="0" applyNumberFormat="1" applyFont="1" applyFill="1" applyAlignment="1">
      <alignment vertical="center"/>
    </xf>
    <xf numFmtId="0" fontId="16" fillId="0" borderId="0" xfId="0" applyFont="1" applyProtection="1">
      <protection hidden="1"/>
    </xf>
    <xf numFmtId="0" fontId="17" fillId="0" borderId="0" xfId="0" applyFont="1" applyProtection="1">
      <protection hidden="1"/>
    </xf>
    <xf numFmtId="10" fontId="18" fillId="0" borderId="0" xfId="0" applyNumberFormat="1" applyFont="1" applyProtection="1">
      <protection hidden="1"/>
    </xf>
    <xf numFmtId="169" fontId="18" fillId="0" borderId="0" xfId="2" applyNumberFormat="1" applyFont="1" applyProtection="1">
      <protection hidden="1"/>
    </xf>
    <xf numFmtId="170" fontId="18" fillId="0" borderId="0" xfId="2" applyNumberFormat="1" applyFont="1" applyProtection="1">
      <protection hidden="1"/>
    </xf>
    <xf numFmtId="172" fontId="18" fillId="0" borderId="0" xfId="2" applyNumberFormat="1" applyFont="1" applyProtection="1">
      <protection hidden="1"/>
    </xf>
    <xf numFmtId="166" fontId="18" fillId="0" borderId="0" xfId="1" applyNumberFormat="1" applyFont="1" applyProtection="1">
      <protection hidden="1"/>
    </xf>
    <xf numFmtId="178" fontId="18" fillId="0" borderId="0" xfId="0" applyNumberFormat="1" applyFont="1" applyAlignment="1" applyProtection="1">
      <alignment horizontal="center"/>
      <protection hidden="1"/>
    </xf>
    <xf numFmtId="169" fontId="18" fillId="0" borderId="1" xfId="2" applyNumberFormat="1" applyFont="1" applyBorder="1" applyProtection="1">
      <protection hidden="1"/>
    </xf>
    <xf numFmtId="169" fontId="18" fillId="0" borderId="14" xfId="0" applyNumberFormat="1" applyFont="1" applyBorder="1" applyAlignment="1">
      <alignment horizontal="center"/>
    </xf>
    <xf numFmtId="9" fontId="18" fillId="0" borderId="15" xfId="1" applyFont="1" applyFill="1" applyBorder="1" applyAlignment="1">
      <alignment horizontal="center"/>
    </xf>
    <xf numFmtId="177" fontId="18" fillId="0" borderId="15" xfId="0" applyNumberFormat="1" applyFont="1" applyBorder="1" applyAlignment="1">
      <alignment horizontal="center" vertical="top" wrapText="1"/>
    </xf>
    <xf numFmtId="176" fontId="18" fillId="0" borderId="15" xfId="0" applyNumberFormat="1" applyFont="1" applyBorder="1" applyAlignment="1" applyProtection="1">
      <alignment horizontal="center"/>
      <protection hidden="1"/>
    </xf>
    <xf numFmtId="176" fontId="18" fillId="0" borderId="13" xfId="0" applyNumberFormat="1" applyFont="1" applyBorder="1" applyAlignment="1">
      <alignment horizontal="center"/>
    </xf>
    <xf numFmtId="183" fontId="18" fillId="0" borderId="2" xfId="0" applyNumberFormat="1" applyFont="1" applyBorder="1" applyAlignment="1">
      <alignment horizontal="center"/>
    </xf>
    <xf numFmtId="10" fontId="18" fillId="0" borderId="2" xfId="0" applyNumberFormat="1" applyFont="1" applyBorder="1" applyProtection="1">
      <protection hidden="1"/>
    </xf>
    <xf numFmtId="166" fontId="18" fillId="0" borderId="14" xfId="1" applyNumberFormat="1" applyFont="1" applyBorder="1" applyAlignment="1" applyProtection="1">
      <alignment horizontal="center"/>
      <protection hidden="1"/>
    </xf>
    <xf numFmtId="166" fontId="18" fillId="0" borderId="15" xfId="1" applyNumberFormat="1" applyFont="1" applyBorder="1" applyAlignment="1" applyProtection="1">
      <alignment horizontal="center"/>
      <protection hidden="1"/>
    </xf>
    <xf numFmtId="166" fontId="18" fillId="0" borderId="13" xfId="1" applyNumberFormat="1" applyFont="1" applyBorder="1" applyAlignment="1" applyProtection="1">
      <alignment horizontal="center"/>
      <protection hidden="1"/>
    </xf>
    <xf numFmtId="0" fontId="18" fillId="0" borderId="7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43" fontId="18" fillId="0" borderId="5" xfId="2" applyFont="1" applyBorder="1" applyProtection="1">
      <protection hidden="1"/>
    </xf>
    <xf numFmtId="184" fontId="6" fillId="0" borderId="14" xfId="6" applyNumberFormat="1" applyFont="1" applyBorder="1" applyAlignment="1">
      <alignment horizontal="center"/>
    </xf>
    <xf numFmtId="184" fontId="6" fillId="0" borderId="15" xfId="6" applyNumberFormat="1" applyFont="1" applyBorder="1" applyAlignment="1">
      <alignment horizontal="center"/>
    </xf>
    <xf numFmtId="184" fontId="6" fillId="0" borderId="2" xfId="6" applyNumberFormat="1" applyFont="1" applyBorder="1" applyAlignment="1">
      <alignment horizontal="center"/>
    </xf>
    <xf numFmtId="185" fontId="18" fillId="0" borderId="0" xfId="0" applyNumberFormat="1" applyFont="1" applyProtection="1">
      <protection hidden="1"/>
    </xf>
    <xf numFmtId="185" fontId="6" fillId="0" borderId="0" xfId="0" applyNumberFormat="1" applyFont="1" applyProtection="1">
      <protection hidden="1"/>
    </xf>
    <xf numFmtId="185" fontId="6" fillId="0" borderId="12" xfId="0" applyNumberFormat="1" applyFont="1" applyBorder="1" applyProtection="1">
      <protection hidden="1"/>
    </xf>
    <xf numFmtId="185" fontId="18" fillId="0" borderId="10" xfId="0" applyNumberFormat="1" applyFont="1" applyBorder="1" applyProtection="1">
      <protection hidden="1"/>
    </xf>
    <xf numFmtId="185" fontId="6" fillId="0" borderId="5" xfId="0" applyNumberFormat="1" applyFont="1" applyBorder="1" applyProtection="1">
      <protection hidden="1"/>
    </xf>
    <xf numFmtId="184" fontId="6" fillId="0" borderId="2" xfId="0" applyNumberFormat="1" applyFont="1" applyBorder="1" applyAlignment="1">
      <alignment horizontal="center"/>
    </xf>
    <xf numFmtId="166" fontId="18" fillId="0" borderId="2" xfId="1" applyNumberFormat="1" applyFont="1" applyBorder="1" applyAlignment="1">
      <alignment horizontal="center"/>
    </xf>
    <xf numFmtId="186" fontId="18" fillId="0" borderId="2" xfId="0" applyNumberFormat="1" applyFont="1" applyBorder="1" applyAlignment="1">
      <alignment horizontal="center"/>
    </xf>
    <xf numFmtId="186" fontId="6" fillId="0" borderId="0" xfId="0" applyNumberFormat="1" applyFont="1" applyAlignment="1" applyProtection="1">
      <alignment horizontal="center"/>
      <protection hidden="1"/>
    </xf>
    <xf numFmtId="186" fontId="6" fillId="0" borderId="0" xfId="0" applyNumberFormat="1" applyFont="1" applyProtection="1">
      <protection hidden="1"/>
    </xf>
    <xf numFmtId="186" fontId="6" fillId="0" borderId="2" xfId="0" applyNumberFormat="1" applyFont="1" applyBorder="1" applyAlignment="1">
      <alignment horizontal="center"/>
    </xf>
    <xf numFmtId="169" fontId="18" fillId="0" borderId="1" xfId="2" applyNumberFormat="1" applyFont="1" applyBorder="1" applyAlignment="1" applyProtection="1">
      <alignment horizontal="center"/>
      <protection hidden="1"/>
    </xf>
    <xf numFmtId="186" fontId="18" fillId="0" borderId="6" xfId="6" applyNumberFormat="1" applyFont="1" applyFill="1" applyBorder="1"/>
    <xf numFmtId="186" fontId="18" fillId="0" borderId="9" xfId="6" applyNumberFormat="1" applyFont="1" applyFill="1" applyBorder="1"/>
    <xf numFmtId="186" fontId="18" fillId="0" borderId="9" xfId="6" applyNumberFormat="1" applyFont="1" applyBorder="1"/>
    <xf numFmtId="173" fontId="7" fillId="0" borderId="14" xfId="0" applyNumberFormat="1" applyFont="1" applyBorder="1" applyAlignment="1">
      <alignment horizontal="center"/>
    </xf>
    <xf numFmtId="186" fontId="6" fillId="0" borderId="7" xfId="6" applyNumberFormat="1" applyFont="1" applyFill="1" applyBorder="1"/>
    <xf numFmtId="184" fontId="6" fillId="0" borderId="0" xfId="6" applyNumberFormat="1" applyFont="1"/>
    <xf numFmtId="184" fontId="6" fillId="0" borderId="3" xfId="6" applyNumberFormat="1" applyFont="1" applyBorder="1"/>
    <xf numFmtId="186" fontId="7" fillId="0" borderId="0" xfId="0" applyNumberFormat="1" applyFont="1"/>
    <xf numFmtId="184" fontId="5" fillId="0" borderId="0" xfId="2" applyNumberFormat="1" applyFont="1"/>
    <xf numFmtId="186" fontId="7" fillId="0" borderId="16" xfId="0" applyNumberFormat="1" applyFont="1" applyBorder="1"/>
    <xf numFmtId="186" fontId="7" fillId="0" borderId="17" xfId="0" applyNumberFormat="1" applyFont="1" applyBorder="1"/>
    <xf numFmtId="186" fontId="7" fillId="0" borderId="18" xfId="0" applyNumberFormat="1" applyFont="1" applyBorder="1"/>
    <xf numFmtId="187" fontId="4" fillId="4" borderId="0" xfId="0" applyNumberFormat="1" applyFont="1" applyFill="1"/>
    <xf numFmtId="187" fontId="9" fillId="0" borderId="0" xfId="0" applyNumberFormat="1" applyFont="1"/>
    <xf numFmtId="186" fontId="6" fillId="0" borderId="0" xfId="0" applyNumberFormat="1" applyFont="1"/>
    <xf numFmtId="186" fontId="6" fillId="0" borderId="1" xfId="0" applyNumberFormat="1" applyFont="1" applyBorder="1"/>
    <xf numFmtId="186" fontId="6" fillId="0" borderId="6" xfId="0" applyNumberFormat="1" applyFont="1" applyBorder="1"/>
    <xf numFmtId="186" fontId="6" fillId="0" borderId="10" xfId="0" applyNumberFormat="1" applyFont="1" applyBorder="1"/>
    <xf numFmtId="186" fontId="6" fillId="0" borderId="9" xfId="0" applyNumberFormat="1" applyFont="1" applyBorder="1"/>
    <xf numFmtId="186" fontId="6" fillId="0" borderId="5" xfId="0" applyNumberFormat="1" applyFont="1" applyBorder="1"/>
    <xf numFmtId="186" fontId="6" fillId="0" borderId="11" xfId="0" applyNumberFormat="1" applyFont="1" applyBorder="1"/>
    <xf numFmtId="186" fontId="6" fillId="0" borderId="3" xfId="0" applyNumberFormat="1" applyFont="1" applyBorder="1"/>
    <xf numFmtId="186" fontId="6" fillId="0" borderId="12" xfId="0" applyNumberFormat="1" applyFont="1" applyBorder="1"/>
    <xf numFmtId="186" fontId="7" fillId="0" borderId="7" xfId="0" applyNumberFormat="1" applyFont="1" applyBorder="1"/>
    <xf numFmtId="186" fontId="7" fillId="0" borderId="4" xfId="0" applyNumberFormat="1" applyFont="1" applyBorder="1"/>
    <xf numFmtId="186" fontId="7" fillId="0" borderId="8" xfId="0" applyNumberFormat="1" applyFont="1" applyBorder="1"/>
    <xf numFmtId="186" fontId="6" fillId="0" borderId="14" xfId="6" applyNumberFormat="1" applyFont="1" applyBorder="1"/>
    <xf numFmtId="186" fontId="6" fillId="0" borderId="13" xfId="6" applyNumberFormat="1" applyFont="1" applyBorder="1"/>
    <xf numFmtId="184" fontId="18" fillId="0" borderId="4" xfId="6" applyNumberFormat="1" applyFont="1" applyBorder="1" applyAlignment="1" applyProtection="1">
      <alignment horizontal="center"/>
      <protection hidden="1"/>
    </xf>
    <xf numFmtId="184" fontId="6" fillId="0" borderId="4" xfId="6" applyNumberFormat="1" applyFont="1" applyBorder="1" applyProtection="1">
      <protection hidden="1"/>
    </xf>
    <xf numFmtId="184" fontId="18" fillId="0" borderId="5" xfId="6" applyNumberFormat="1" applyFont="1" applyBorder="1" applyProtection="1">
      <protection hidden="1"/>
    </xf>
    <xf numFmtId="184" fontId="6" fillId="0" borderId="5" xfId="6" applyNumberFormat="1" applyFont="1" applyBorder="1" applyProtection="1">
      <protection hidden="1"/>
    </xf>
    <xf numFmtId="184" fontId="9" fillId="0" borderId="0" xfId="6" applyNumberFormat="1" applyFont="1" applyFill="1" applyBorder="1"/>
    <xf numFmtId="186" fontId="6" fillId="0" borderId="5" xfId="6" applyNumberFormat="1" applyFont="1" applyBorder="1"/>
    <xf numFmtId="186" fontId="7" fillId="0" borderId="8" xfId="6" applyNumberFormat="1" applyFont="1" applyBorder="1"/>
    <xf numFmtId="186" fontId="6" fillId="0" borderId="10" xfId="6" applyNumberFormat="1" applyFont="1" applyBorder="1"/>
    <xf numFmtId="188" fontId="15" fillId="0" borderId="0" xfId="0" applyNumberFormat="1" applyFont="1"/>
    <xf numFmtId="186" fontId="9" fillId="0" borderId="1" xfId="2" applyNumberFormat="1" applyFont="1" applyFill="1" applyBorder="1"/>
    <xf numFmtId="186" fontId="9" fillId="0" borderId="0" xfId="2" applyNumberFormat="1" applyFont="1" applyFill="1" applyBorder="1"/>
    <xf numFmtId="0" fontId="7" fillId="0" borderId="7" xfId="0" applyFont="1" applyBorder="1" applyProtection="1">
      <protection hidden="1"/>
    </xf>
    <xf numFmtId="0" fontId="7" fillId="0" borderId="4" xfId="0" applyFont="1" applyBorder="1" applyProtection="1">
      <protection hidden="1"/>
    </xf>
    <xf numFmtId="0" fontId="7" fillId="0" borderId="8" xfId="0" applyFont="1" applyBorder="1" applyProtection="1">
      <protection hidden="1"/>
    </xf>
    <xf numFmtId="0" fontId="6" fillId="2" borderId="0" xfId="0" applyFont="1" applyFill="1"/>
    <xf numFmtId="0" fontId="6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 applyProtection="1">
      <alignment horizontal="center"/>
      <protection hidden="1"/>
    </xf>
    <xf numFmtId="0" fontId="6" fillId="0" borderId="4" xfId="0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0" fontId="14" fillId="4" borderId="0" xfId="0" applyFont="1" applyFill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textRotation="90"/>
      <protection hidden="1"/>
    </xf>
  </cellXfs>
  <cellStyles count="7">
    <cellStyle name="Comma" xfId="2" builtinId="3"/>
    <cellStyle name="Comma 2" xfId="3" xr:uid="{00000000-0005-0000-0000-000001000000}"/>
    <cellStyle name="Currency" xfId="6" builtinId="4"/>
    <cellStyle name="Hyperlink 2 2" xfId="5" xr:uid="{AF086AC9-EB61-4752-AF62-DA4550E8DF38}"/>
    <cellStyle name="Normal" xfId="0" builtinId="0"/>
    <cellStyle name="Normal 2 2" xfId="4" xr:uid="{0BBF3A1B-B71C-4D93-9CA7-543BD039583B}"/>
    <cellStyle name="Percent" xfId="1" builtinId="5"/>
  </cellStyles>
  <dxfs count="6">
    <dxf>
      <font>
        <color theme="4" tint="-0.499984740745262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ED942D"/>
      <color rgb="FF99FF99"/>
      <color rgb="FF132E57"/>
      <color rgb="FF1E8496"/>
      <color rgb="FFED93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CA" sz="1000" b="1">
                <a:solidFill>
                  <a:schemeClr val="tx1"/>
                </a:solidFill>
              </a:rPr>
              <a:t>Construction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Model!$F$225:$F$233</c:f>
            </c:strRef>
          </c:cat>
          <c:val>
            <c:numRef>
              <c:f>Model!$H$225:$H$233</c:f>
            </c:numRef>
          </c:val>
          <c:extLst>
            <c:ext xmlns:c16="http://schemas.microsoft.com/office/drawing/2014/chart" uri="{C3380CC4-5D6E-409C-BE32-E72D297353CC}">
              <c16:uniqueId val="{00000000-68B1-411E-A6B6-4F0F92589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CA" sz="1000" b="1"/>
              <a:t>Capital Stack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27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Model!$C$225:$C$226</c:f>
            </c:strRef>
          </c:cat>
          <c:val>
            <c:numRef>
              <c:f>Model!$E$225:$E$226</c:f>
            </c:numRef>
          </c:val>
          <c:extLst>
            <c:ext xmlns:c16="http://schemas.microsoft.com/office/drawing/2014/chart" uri="{C3380CC4-5D6E-409C-BE32-E72D297353CC}">
              <c16:uniqueId val="{00000000-E194-4FBB-8B74-8E99017F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chemeClr val="tx1"/>
          </a:solidFill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CA" sz="1400" b="1"/>
              <a:t>Return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Model!$B$218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Model!$H$218:$AK$218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Model!$H$217:$AK$217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978-4879-98BE-299FF4FE015B}"/>
            </c:ext>
          </c:extLst>
        </c:ser>
        <c:ser>
          <c:idx val="1"/>
          <c:order val="1"/>
          <c:tx>
            <c:strRef>
              <c:f>Model!$B$219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Model!$H$219:$AK$219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Model!$H$217:$AK$217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978-4879-98BE-299FF4FE015B}"/>
            </c:ext>
          </c:extLst>
        </c:ser>
        <c:ser>
          <c:idx val="2"/>
          <c:order val="2"/>
          <c:tx>
            <c:strRef>
              <c:f>Model!$B$220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Model!$H$220:$AK$220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Model!$H$217:$AK$217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1978-4879-98BE-299FF4FE015B}"/>
            </c:ext>
          </c:extLst>
        </c:ser>
        <c:ser>
          <c:idx val="3"/>
          <c:order val="3"/>
          <c:tx>
            <c:strRef>
              <c:f>Model!$B$221</c:f>
              <c:strCache>
                <c:ptCount val="1"/>
                <c:pt idx="0">
                  <c:v>Cash Flow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Model!$H$221:$AK$221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Model!$H$217:$AK$217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1978-4879-98BE-299FF4FE0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092704"/>
        <c:axId val="2021334336"/>
      </c:barChart>
      <c:lineChart>
        <c:grouping val="standard"/>
        <c:varyColors val="0"/>
        <c:ser>
          <c:idx val="4"/>
          <c:order val="4"/>
          <c:tx>
            <c:strRef>
              <c:f>Model!$B$222</c:f>
              <c:strCache>
                <c:ptCount val="1"/>
                <c:pt idx="0">
                  <c:v>PPA Rate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Model!$H$222:$AK$222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Model!$H$217:$AK$217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1978-4879-98BE-299FF4FE0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30448"/>
        <c:axId val="2021311456"/>
      </c:lineChart>
      <c:catAx>
        <c:axId val="187092704"/>
        <c:scaling>
          <c:orientation val="minMax"/>
        </c:scaling>
        <c:delete val="0"/>
        <c:axPos val="b"/>
        <c:numFmt formatCode="dd/mm/yy\ &quot;E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21334336"/>
        <c:crosses val="autoZero"/>
        <c:auto val="0"/>
        <c:lblAlgn val="ctr"/>
        <c:lblOffset val="100"/>
        <c:noMultiLvlLbl val="0"/>
      </c:catAx>
      <c:valAx>
        <c:axId val="202133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_);_([$€-2]\ * \(#,##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87092704"/>
        <c:crosses val="autoZero"/>
        <c:crossBetween val="midCat"/>
      </c:valAx>
      <c:valAx>
        <c:axId val="2021311456"/>
        <c:scaling>
          <c:orientation val="minMax"/>
        </c:scaling>
        <c:delete val="0"/>
        <c:axPos val="r"/>
        <c:numFmt formatCode="_([$€-2]\ * #,##0.00_);_([$€-2]\ * \(#,##0.00\);_([$€-2]\ 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132930448"/>
        <c:crosses val="max"/>
        <c:crossBetween val="between"/>
      </c:valAx>
      <c:catAx>
        <c:axId val="132930448"/>
        <c:scaling>
          <c:orientation val="minMax"/>
        </c:scaling>
        <c:delete val="1"/>
        <c:axPos val="b"/>
        <c:numFmt formatCode="dd/mm/yy\ &quot;E&quot;" sourceLinked="1"/>
        <c:majorTickMark val="out"/>
        <c:minorTickMark val="none"/>
        <c:tickLblPos val="nextTo"/>
        <c:crossAx val="202131145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ptos" panose="020B00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343958</xdr:colOff>
      <xdr:row>222</xdr:row>
      <xdr:rowOff>186266</xdr:rowOff>
    </xdr:from>
    <xdr:to>
      <xdr:col>16</xdr:col>
      <xdr:colOff>603250</xdr:colOff>
      <xdr:row>246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081CF0-2D18-468D-A2BE-9DF41B0F4DF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816292</xdr:colOff>
      <xdr:row>222</xdr:row>
      <xdr:rowOff>186284</xdr:rowOff>
    </xdr:from>
    <xdr:to>
      <xdr:col>23</xdr:col>
      <xdr:colOff>942017</xdr:colOff>
      <xdr:row>246</xdr:row>
      <xdr:rowOff>27664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FA842D-448F-4BBD-A5C0-207E55C763B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433188</xdr:colOff>
      <xdr:row>247</xdr:row>
      <xdr:rowOff>130951</xdr:rowOff>
    </xdr:from>
    <xdr:to>
      <xdr:col>26</xdr:col>
      <xdr:colOff>64344</xdr:colOff>
      <xdr:row>276</xdr:row>
      <xdr:rowOff>188263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5DD97E-6F52-4E19-9C83-3499A70E4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K283"/>
  <sheetViews>
    <sheetView showGridLines="0" tabSelected="1" zoomScaleNormal="100" zoomScaleSheetLayoutView="50" workbookViewId="0">
      <pane ySplit="2" topLeftCell="A3" activePane="bottomLeft" state="frozen"/>
      <selection pane="bottomLeft"/>
    </sheetView>
  </sheetViews>
  <sheetFormatPr baseColWidth="10" defaultColWidth="11.33203125" defaultRowHeight="15" outlineLevelRow="1" x14ac:dyDescent="0.2"/>
  <cols>
    <col min="1" max="1" width="3.33203125" style="4" bestFit="1" customWidth="1"/>
    <col min="2" max="2" width="5.6640625" style="4" customWidth="1"/>
    <col min="3" max="3" width="19" style="4" customWidth="1"/>
    <col min="4" max="4" width="12.5" style="4" bestFit="1" customWidth="1"/>
    <col min="5" max="5" width="22.5" style="4" customWidth="1"/>
    <col min="6" max="11" width="13.6640625" style="4" customWidth="1"/>
    <col min="12" max="13" width="16" style="4" bestFit="1" customWidth="1"/>
    <col min="14" max="37" width="13.6640625" style="4" customWidth="1"/>
    <col min="38" max="16384" width="11.33203125" style="4"/>
  </cols>
  <sheetData>
    <row r="1" spans="1:37" s="1" customFormat="1" ht="18.75" customHeight="1" x14ac:dyDescent="0.25">
      <c r="B1" s="129" t="s">
        <v>127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</row>
    <row r="2" spans="1:37" s="1" customFormat="1" ht="18.75" customHeight="1" x14ac:dyDescent="0.25">
      <c r="B2" s="127"/>
      <c r="C2" s="127"/>
      <c r="D2" s="127"/>
      <c r="E2" s="127"/>
      <c r="F2" s="127"/>
      <c r="G2" s="180">
        <f>D19</f>
        <v>43646</v>
      </c>
      <c r="H2" s="180">
        <f>EOMONTH(D17,5)</f>
        <v>44012</v>
      </c>
      <c r="I2" s="180">
        <f t="shared" ref="I2:AK2" si="0">IFERROR(IF(YEAR(H2)+1&lt;YEAR($D$17)+$D$16,EOMONTH(H2,12),""),"")</f>
        <v>44377</v>
      </c>
      <c r="J2" s="180">
        <f t="shared" si="0"/>
        <v>44742</v>
      </c>
      <c r="K2" s="180">
        <f t="shared" si="0"/>
        <v>45107</v>
      </c>
      <c r="L2" s="180">
        <f t="shared" si="0"/>
        <v>45473</v>
      </c>
      <c r="M2" s="180">
        <f t="shared" si="0"/>
        <v>45838</v>
      </c>
      <c r="N2" s="180">
        <f t="shared" si="0"/>
        <v>46203</v>
      </c>
      <c r="O2" s="180">
        <f t="shared" si="0"/>
        <v>46568</v>
      </c>
      <c r="P2" s="180">
        <f t="shared" si="0"/>
        <v>46934</v>
      </c>
      <c r="Q2" s="180">
        <f t="shared" si="0"/>
        <v>47299</v>
      </c>
      <c r="R2" s="180">
        <f t="shared" si="0"/>
        <v>47664</v>
      </c>
      <c r="S2" s="180">
        <f t="shared" si="0"/>
        <v>48029</v>
      </c>
      <c r="T2" s="180">
        <f t="shared" si="0"/>
        <v>48395</v>
      </c>
      <c r="U2" s="180">
        <f t="shared" si="0"/>
        <v>48760</v>
      </c>
      <c r="V2" s="180">
        <f t="shared" si="0"/>
        <v>49125</v>
      </c>
      <c r="W2" s="180">
        <f t="shared" si="0"/>
        <v>49490</v>
      </c>
      <c r="X2" s="180">
        <f t="shared" si="0"/>
        <v>49856</v>
      </c>
      <c r="Y2" s="180">
        <f t="shared" si="0"/>
        <v>50221</v>
      </c>
      <c r="Z2" s="180">
        <f t="shared" si="0"/>
        <v>50586</v>
      </c>
      <c r="AA2" s="180">
        <f t="shared" si="0"/>
        <v>50951</v>
      </c>
      <c r="AB2" s="180">
        <f t="shared" si="0"/>
        <v>51317</v>
      </c>
      <c r="AC2" s="180">
        <f t="shared" si="0"/>
        <v>51682</v>
      </c>
      <c r="AD2" s="180">
        <f t="shared" si="0"/>
        <v>52047</v>
      </c>
      <c r="AE2" s="180">
        <f t="shared" si="0"/>
        <v>52412</v>
      </c>
      <c r="AF2" s="180">
        <f t="shared" si="0"/>
        <v>52778</v>
      </c>
      <c r="AG2" s="180">
        <f t="shared" si="0"/>
        <v>53143</v>
      </c>
      <c r="AH2" s="180">
        <f t="shared" si="0"/>
        <v>53508</v>
      </c>
      <c r="AI2" s="180">
        <f t="shared" si="0"/>
        <v>53873</v>
      </c>
      <c r="AJ2" s="180">
        <f t="shared" si="0"/>
        <v>54239</v>
      </c>
      <c r="AK2" s="180">
        <f t="shared" si="0"/>
        <v>54604</v>
      </c>
    </row>
    <row r="4" spans="1:37" s="2" customFormat="1" ht="18.75" customHeight="1" x14ac:dyDescent="0.2">
      <c r="A4" s="2" t="s">
        <v>147</v>
      </c>
      <c r="B4" s="128" t="s">
        <v>0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</row>
    <row r="5" spans="1:37" ht="16.5" hidden="1" customHeight="1" outlineLevel="1" x14ac:dyDescent="0.2">
      <c r="B5" s="3"/>
      <c r="C5" s="3"/>
      <c r="D5" s="3"/>
    </row>
    <row r="6" spans="1:37" ht="16.5" hidden="1" customHeight="1" outlineLevel="1" x14ac:dyDescent="0.2">
      <c r="B6" s="207" t="s">
        <v>128</v>
      </c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09"/>
    </row>
    <row r="7" spans="1:37" ht="16.5" hidden="1" customHeight="1" outlineLevel="1" x14ac:dyDescent="0.2">
      <c r="B7" s="3"/>
      <c r="C7" s="3"/>
      <c r="D7" s="3"/>
    </row>
    <row r="8" spans="1:37" ht="16.5" hidden="1" customHeight="1" outlineLevel="1" x14ac:dyDescent="0.2">
      <c r="B8" s="131" t="s">
        <v>129</v>
      </c>
      <c r="C8" s="4" t="s">
        <v>132</v>
      </c>
      <c r="D8" s="3"/>
    </row>
    <row r="9" spans="1:37" ht="16.5" hidden="1" customHeight="1" outlineLevel="1" x14ac:dyDescent="0.2">
      <c r="B9" s="130" t="s">
        <v>130</v>
      </c>
      <c r="C9" s="4" t="s">
        <v>133</v>
      </c>
      <c r="D9" s="3"/>
    </row>
    <row r="10" spans="1:37" ht="16.5" hidden="1" customHeight="1" outlineLevel="1" x14ac:dyDescent="0.2">
      <c r="B10" s="3" t="s">
        <v>131</v>
      </c>
      <c r="C10" s="4" t="s">
        <v>134</v>
      </c>
      <c r="D10" s="3"/>
    </row>
    <row r="11" spans="1:37" ht="16.5" hidden="1" customHeight="1" outlineLevel="1" x14ac:dyDescent="0.2">
      <c r="B11" s="3"/>
      <c r="C11" s="3"/>
      <c r="D11" s="3"/>
    </row>
    <row r="12" spans="1:37" ht="16.5" hidden="1" customHeight="1" outlineLevel="1" x14ac:dyDescent="0.2">
      <c r="B12" s="207" t="s">
        <v>35</v>
      </c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9"/>
    </row>
    <row r="13" spans="1:37" ht="16.5" hidden="1" customHeight="1" outlineLevel="1" x14ac:dyDescent="0.2">
      <c r="AB13" s="5"/>
      <c r="AC13" s="5"/>
      <c r="AD13" s="5"/>
      <c r="AE13" s="5"/>
      <c r="AF13" s="5"/>
      <c r="AG13" s="5"/>
      <c r="AH13" s="5"/>
    </row>
    <row r="14" spans="1:37" ht="16.5" hidden="1" customHeight="1" outlineLevel="1" x14ac:dyDescent="0.2">
      <c r="B14" s="3" t="s">
        <v>15</v>
      </c>
      <c r="D14" s="6"/>
      <c r="F14" s="3" t="s">
        <v>23</v>
      </c>
      <c r="J14" s="7" t="s">
        <v>8</v>
      </c>
      <c r="K14" s="6"/>
      <c r="L14" s="6"/>
      <c r="M14" s="6"/>
      <c r="N14" s="6"/>
      <c r="O14" s="5"/>
      <c r="P14" s="3" t="s">
        <v>11</v>
      </c>
      <c r="U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6.5" hidden="1" customHeight="1" outlineLevel="1" x14ac:dyDescent="0.2">
      <c r="B15" s="8" t="s">
        <v>16</v>
      </c>
      <c r="C15" s="8"/>
      <c r="D15" s="132">
        <v>0.02</v>
      </c>
      <c r="F15" s="8" t="s">
        <v>25</v>
      </c>
      <c r="G15" s="8"/>
      <c r="H15" s="167" t="s">
        <v>26</v>
      </c>
      <c r="P15" s="8" t="s">
        <v>12</v>
      </c>
      <c r="Q15" s="8"/>
      <c r="R15" s="138">
        <v>20</v>
      </c>
      <c r="U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6.5" hidden="1" customHeight="1" outlineLevel="1" x14ac:dyDescent="0.2">
      <c r="B16" s="4" t="s">
        <v>106</v>
      </c>
      <c r="D16" s="133">
        <v>30</v>
      </c>
      <c r="H16" s="9"/>
      <c r="J16" s="5"/>
      <c r="K16" s="5"/>
      <c r="L16" s="5"/>
      <c r="M16" s="171" t="s">
        <v>137</v>
      </c>
      <c r="N16" s="171" t="s">
        <v>138</v>
      </c>
      <c r="P16" s="4" t="s">
        <v>13</v>
      </c>
      <c r="R16" s="10">
        <f>D16-R15</f>
        <v>10</v>
      </c>
      <c r="U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2:37" ht="16.5" hidden="1" customHeight="1" outlineLevel="1" x14ac:dyDescent="0.2">
      <c r="B17" s="4" t="s">
        <v>18</v>
      </c>
      <c r="D17" s="134">
        <v>43831</v>
      </c>
      <c r="F17" s="6" t="s">
        <v>136</v>
      </c>
      <c r="G17" s="11" t="s">
        <v>135</v>
      </c>
      <c r="H17" s="5"/>
      <c r="J17" s="5" t="s">
        <v>28</v>
      </c>
      <c r="K17" s="5"/>
      <c r="L17" s="168">
        <v>24675000</v>
      </c>
      <c r="M17" s="153">
        <f>L17/($D$20*10^6)</f>
        <v>0.98699999999999999</v>
      </c>
      <c r="N17" s="153">
        <f>L17/($D$21*10^6)</f>
        <v>1.2337499999999999</v>
      </c>
      <c r="P17" s="4" t="s">
        <v>14</v>
      </c>
      <c r="R17" s="132">
        <v>0</v>
      </c>
      <c r="U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2:37" ht="16.5" hidden="1" customHeight="1" outlineLevel="1" x14ac:dyDescent="0.2">
      <c r="B18" s="4" t="s">
        <v>90</v>
      </c>
      <c r="D18" s="134">
        <v>43646</v>
      </c>
      <c r="F18" s="4" t="s">
        <v>26</v>
      </c>
      <c r="G18" s="137">
        <v>50370.000000000007</v>
      </c>
      <c r="H18" s="5"/>
      <c r="I18" s="5"/>
      <c r="J18" s="5" t="s">
        <v>29</v>
      </c>
      <c r="K18" s="5"/>
      <c r="L18" s="169">
        <v>0</v>
      </c>
      <c r="M18" s="154">
        <f t="shared" ref="M18:M25" si="1">L18/($D$20*10^6)</f>
        <v>0</v>
      </c>
      <c r="N18" s="154">
        <f t="shared" ref="N18:N25" si="2">L18/($D$21*10^6)</f>
        <v>0</v>
      </c>
      <c r="U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2:37" ht="16.5" hidden="1" customHeight="1" outlineLevel="1" x14ac:dyDescent="0.2">
      <c r="B19" s="4" t="s">
        <v>91</v>
      </c>
      <c r="D19" s="134">
        <v>43646</v>
      </c>
      <c r="F19" s="4" t="s">
        <v>54</v>
      </c>
      <c r="G19" s="137">
        <v>49110</v>
      </c>
      <c r="H19" s="5"/>
      <c r="I19" s="5"/>
      <c r="J19" s="5" t="s">
        <v>30</v>
      </c>
      <c r="K19" s="5"/>
      <c r="L19" s="169">
        <v>780000</v>
      </c>
      <c r="M19" s="154">
        <f t="shared" si="1"/>
        <v>3.1199999999999999E-2</v>
      </c>
      <c r="N19" s="154">
        <f t="shared" si="2"/>
        <v>3.9E-2</v>
      </c>
      <c r="P19" s="214" t="s">
        <v>17</v>
      </c>
      <c r="Q19" s="215"/>
      <c r="R19" s="215"/>
      <c r="S19" s="216"/>
      <c r="U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2:37" ht="16.5" hidden="1" customHeight="1" outlineLevel="1" x14ac:dyDescent="0.2">
      <c r="B20" s="4" t="s">
        <v>21</v>
      </c>
      <c r="D20" s="135">
        <v>25</v>
      </c>
      <c r="F20" s="4" t="s">
        <v>55</v>
      </c>
      <c r="G20" s="137">
        <v>46959.951000000008</v>
      </c>
      <c r="H20" s="5"/>
      <c r="I20" s="5"/>
      <c r="J20" s="5" t="s">
        <v>31</v>
      </c>
      <c r="K20" s="5"/>
      <c r="L20" s="169">
        <v>1350000</v>
      </c>
      <c r="M20" s="154">
        <f t="shared" si="1"/>
        <v>5.3999999999999999E-2</v>
      </c>
      <c r="N20" s="154">
        <f t="shared" si="2"/>
        <v>6.7500000000000004E-2</v>
      </c>
      <c r="P20" s="214" t="s">
        <v>19</v>
      </c>
      <c r="Q20" s="216"/>
      <c r="R20" s="214" t="s">
        <v>13</v>
      </c>
      <c r="S20" s="216"/>
      <c r="U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2:37" ht="16.5" hidden="1" customHeight="1" outlineLevel="1" x14ac:dyDescent="0.2">
      <c r="B21" s="4" t="s">
        <v>22</v>
      </c>
      <c r="D21" s="135">
        <v>20</v>
      </c>
      <c r="F21" s="4" t="s">
        <v>27</v>
      </c>
      <c r="G21" s="137">
        <v>44073</v>
      </c>
      <c r="J21" s="4" t="s">
        <v>123</v>
      </c>
      <c r="L21" s="170">
        <v>530595.22717325005</v>
      </c>
      <c r="M21" s="154">
        <f t="shared" si="1"/>
        <v>2.1223809086930001E-2</v>
      </c>
      <c r="N21" s="154">
        <f t="shared" si="2"/>
        <v>2.6529761358662501E-2</v>
      </c>
      <c r="P21" s="12" t="s">
        <v>20</v>
      </c>
      <c r="Q21" s="13" t="s">
        <v>121</v>
      </c>
      <c r="R21" s="12" t="s">
        <v>20</v>
      </c>
      <c r="S21" s="14" t="s">
        <v>121</v>
      </c>
      <c r="U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37" ht="16.5" hidden="1" customHeight="1" outlineLevel="1" x14ac:dyDescent="0.2">
      <c r="D22" s="134"/>
      <c r="F22" s="5"/>
      <c r="G22" s="5"/>
      <c r="H22" s="5"/>
      <c r="I22" s="5"/>
      <c r="J22" s="5" t="s">
        <v>32</v>
      </c>
      <c r="K22" s="5"/>
      <c r="L22" s="169">
        <v>450000</v>
      </c>
      <c r="M22" s="154">
        <f t="shared" si="1"/>
        <v>1.7999999999999999E-2</v>
      </c>
      <c r="N22" s="154">
        <f t="shared" si="2"/>
        <v>2.2499999999999999E-2</v>
      </c>
      <c r="P22" s="15">
        <f>YEAR(D17)</f>
        <v>2020</v>
      </c>
      <c r="Q22" s="156">
        <v>72.75</v>
      </c>
      <c r="R22" s="16">
        <f>YEAR(D17)+$R$15</f>
        <v>2040</v>
      </c>
      <c r="S22" s="159">
        <v>35</v>
      </c>
      <c r="U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37" ht="16.5" hidden="1" customHeight="1" outlineLevel="1" x14ac:dyDescent="0.2">
      <c r="B23" s="4" t="s">
        <v>24</v>
      </c>
      <c r="D23" s="136">
        <v>5.0000000000000001E-3</v>
      </c>
      <c r="G23" s="17"/>
      <c r="H23" s="5"/>
      <c r="J23" s="5" t="s">
        <v>52</v>
      </c>
      <c r="K23" s="5"/>
      <c r="L23" s="169">
        <v>200000</v>
      </c>
      <c r="M23" s="154">
        <f t="shared" si="1"/>
        <v>8.0000000000000002E-3</v>
      </c>
      <c r="N23" s="154">
        <f t="shared" si="2"/>
        <v>0.01</v>
      </c>
      <c r="P23" s="15">
        <f>IFERROR(IF(P22+1&lt;$P$22+$R$15,P22+1,""),"")</f>
        <v>2021</v>
      </c>
      <c r="Q23" s="157">
        <f>IF(P23&lt;&gt;"",Q22*(1+$R$17)^(P23-P22),"")</f>
        <v>72.75</v>
      </c>
      <c r="R23" s="15">
        <f>IFERROR(IF(R22+1&lt;$R$22+$R$16,R22+1,""),"")</f>
        <v>2041</v>
      </c>
      <c r="S23" s="160">
        <f t="shared" ref="S23:S46" si="3">IF(R23&lt;&gt;"",S22*(1+$R$17)^(R23-R22),"")</f>
        <v>35</v>
      </c>
      <c r="U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37" ht="16.5" hidden="1" customHeight="1" outlineLevel="1" x14ac:dyDescent="0.2">
      <c r="D24" s="18"/>
      <c r="J24" s="5" t="s">
        <v>120</v>
      </c>
      <c r="K24" s="5"/>
      <c r="L24" s="169">
        <v>1053080.5555555557</v>
      </c>
      <c r="M24" s="154">
        <f t="shared" si="1"/>
        <v>4.2123222222222229E-2</v>
      </c>
      <c r="N24" s="154">
        <f t="shared" si="2"/>
        <v>5.2654027777777786E-2</v>
      </c>
      <c r="P24" s="15">
        <f t="shared" ref="P24:P46" si="4">IFERROR(IF(P23+1&lt;$P$22+$R$15,P23+1,""),"")</f>
        <v>2022</v>
      </c>
      <c r="Q24" s="157">
        <f t="shared" ref="Q24:Q46" si="5">IF(P24&lt;&gt;"",Q23*(1+$R$17)^(P24-P23),"")</f>
        <v>72.75</v>
      </c>
      <c r="R24" s="15">
        <f t="shared" ref="R24:R46" si="6">IFERROR(IF(R23+1&lt;$R$22+$R$16,R23+1,""),"")</f>
        <v>2042</v>
      </c>
      <c r="S24" s="160">
        <f t="shared" si="3"/>
        <v>35</v>
      </c>
      <c r="U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37" ht="16.5" hidden="1" customHeight="1" outlineLevel="1" x14ac:dyDescent="0.2">
      <c r="D25" s="18"/>
      <c r="J25" s="4" t="s">
        <v>33</v>
      </c>
      <c r="L25" s="169">
        <v>1500000</v>
      </c>
      <c r="M25" s="154">
        <f t="shared" si="1"/>
        <v>0.06</v>
      </c>
      <c r="N25" s="154">
        <f t="shared" si="2"/>
        <v>7.4999999999999997E-2</v>
      </c>
      <c r="P25" s="15">
        <f t="shared" si="4"/>
        <v>2023</v>
      </c>
      <c r="Q25" s="157">
        <f t="shared" si="5"/>
        <v>72.75</v>
      </c>
      <c r="R25" s="15">
        <f t="shared" si="6"/>
        <v>2043</v>
      </c>
      <c r="S25" s="160">
        <f t="shared" si="3"/>
        <v>35</v>
      </c>
      <c r="AB25" s="5"/>
      <c r="AC25" s="5"/>
    </row>
    <row r="26" spans="2:37" ht="16.5" hidden="1" customHeight="1" outlineLevel="1" x14ac:dyDescent="0.2">
      <c r="B26" s="7" t="s">
        <v>36</v>
      </c>
      <c r="C26" s="6"/>
      <c r="D26" s="6"/>
      <c r="E26" s="6"/>
      <c r="F26" s="6"/>
      <c r="G26" s="6"/>
      <c r="J26" s="5" t="s">
        <v>34</v>
      </c>
      <c r="K26" s="5"/>
      <c r="L26" s="172">
        <f>SUM(L17:L25)</f>
        <v>30538675.782728806</v>
      </c>
      <c r="M26" s="155">
        <f>SUM(M17:M25)</f>
        <v>1.2215470313091523</v>
      </c>
      <c r="N26" s="155">
        <f>SUM(N17:N25)</f>
        <v>1.5269337891364401</v>
      </c>
      <c r="P26" s="15">
        <f t="shared" si="4"/>
        <v>2024</v>
      </c>
      <c r="Q26" s="157">
        <f t="shared" si="5"/>
        <v>72.75</v>
      </c>
      <c r="R26" s="15">
        <f t="shared" si="6"/>
        <v>2044</v>
      </c>
      <c r="S26" s="160">
        <f t="shared" si="3"/>
        <v>35</v>
      </c>
      <c r="AB26" s="5"/>
      <c r="AC26" s="5"/>
    </row>
    <row r="27" spans="2:37" ht="16.5" hidden="1" customHeight="1" outlineLevel="1" x14ac:dyDescent="0.2">
      <c r="B27" s="5"/>
      <c r="G27" s="5"/>
      <c r="H27" s="5"/>
      <c r="M27" s="19"/>
      <c r="O27" s="5"/>
      <c r="P27" s="15">
        <f t="shared" si="4"/>
        <v>2025</v>
      </c>
      <c r="Q27" s="157">
        <f t="shared" si="5"/>
        <v>72.75</v>
      </c>
      <c r="R27" s="15">
        <f t="shared" si="6"/>
        <v>2045</v>
      </c>
      <c r="S27" s="160">
        <f t="shared" si="3"/>
        <v>35</v>
      </c>
      <c r="U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37" ht="16.5" hidden="1" customHeight="1" outlineLevel="1" x14ac:dyDescent="0.2">
      <c r="B28" s="5"/>
      <c r="C28" s="5"/>
      <c r="D28" s="5"/>
      <c r="E28" s="20" t="s">
        <v>37</v>
      </c>
      <c r="F28" s="21" t="s">
        <v>38</v>
      </c>
      <c r="G28" s="21" t="s">
        <v>140</v>
      </c>
      <c r="H28" s="5"/>
      <c r="I28" s="7" t="s">
        <v>47</v>
      </c>
      <c r="J28" s="6"/>
      <c r="K28" s="6"/>
      <c r="L28" s="5"/>
      <c r="P28" s="15">
        <f t="shared" si="4"/>
        <v>2026</v>
      </c>
      <c r="Q28" s="157">
        <f t="shared" si="5"/>
        <v>72.75</v>
      </c>
      <c r="R28" s="15">
        <f t="shared" si="6"/>
        <v>2046</v>
      </c>
      <c r="S28" s="160">
        <f t="shared" si="3"/>
        <v>35</v>
      </c>
      <c r="U28" s="5"/>
      <c r="V28" s="5"/>
      <c r="W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37" ht="16.5" hidden="1" customHeight="1" outlineLevel="1" x14ac:dyDescent="0.2">
      <c r="B29" s="5" t="s">
        <v>39</v>
      </c>
      <c r="C29" s="5"/>
      <c r="D29" s="163">
        <v>276000</v>
      </c>
      <c r="E29" s="149">
        <v>1</v>
      </c>
      <c r="F29" s="150">
        <v>30</v>
      </c>
      <c r="G29" s="161">
        <f>D29/_xlfn.XLOOKUP($H$15, $F$18:$F$21, $G$18:$G$21)</f>
        <v>5.4794520547945194</v>
      </c>
      <c r="H29" s="5"/>
      <c r="I29" s="5"/>
      <c r="L29" s="5"/>
      <c r="M29" s="5"/>
      <c r="N29" s="5"/>
      <c r="P29" s="15">
        <f t="shared" si="4"/>
        <v>2027</v>
      </c>
      <c r="Q29" s="157">
        <f t="shared" si="5"/>
        <v>72.75</v>
      </c>
      <c r="R29" s="15">
        <f t="shared" si="6"/>
        <v>2047</v>
      </c>
      <c r="S29" s="160">
        <f t="shared" si="3"/>
        <v>35</v>
      </c>
      <c r="U29" s="5"/>
      <c r="V29" s="5"/>
      <c r="W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2:37" ht="16.5" hidden="1" customHeight="1" outlineLevel="1" x14ac:dyDescent="0.2">
      <c r="B30" s="22" t="s">
        <v>40</v>
      </c>
      <c r="C30" s="5"/>
      <c r="D30" s="163">
        <v>75000</v>
      </c>
      <c r="E30" s="149">
        <v>1</v>
      </c>
      <c r="F30" s="150">
        <v>30</v>
      </c>
      <c r="G30" s="161">
        <f t="shared" ref="G30:G37" si="7">D30/_xlfn.XLOOKUP($H$15, $F$18:$F$21, $G$18:$G$21)</f>
        <v>1.4889815366289456</v>
      </c>
      <c r="I30" s="5"/>
      <c r="J30" s="5"/>
      <c r="K30" s="5"/>
      <c r="L30" s="5"/>
      <c r="P30" s="15">
        <f t="shared" si="4"/>
        <v>2028</v>
      </c>
      <c r="Q30" s="157">
        <f t="shared" si="5"/>
        <v>72.75</v>
      </c>
      <c r="R30" s="15">
        <f t="shared" si="6"/>
        <v>2048</v>
      </c>
      <c r="S30" s="160">
        <f t="shared" si="3"/>
        <v>35</v>
      </c>
      <c r="U30" s="5"/>
      <c r="V30" s="5"/>
      <c r="W30" s="5"/>
      <c r="X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37" ht="16.5" hidden="1" customHeight="1" outlineLevel="1" x14ac:dyDescent="0.2">
      <c r="B31" s="5" t="s">
        <v>41</v>
      </c>
      <c r="C31" s="5"/>
      <c r="D31" s="163">
        <v>103000</v>
      </c>
      <c r="E31" s="149">
        <v>1</v>
      </c>
      <c r="F31" s="150">
        <v>30</v>
      </c>
      <c r="G31" s="161">
        <f t="shared" si="7"/>
        <v>2.0448679769704188</v>
      </c>
      <c r="H31" s="5"/>
      <c r="I31" s="5" t="s">
        <v>48</v>
      </c>
      <c r="J31" s="5"/>
      <c r="K31" s="139">
        <v>19</v>
      </c>
      <c r="L31" s="5"/>
      <c r="P31" s="15">
        <f t="shared" si="4"/>
        <v>2029</v>
      </c>
      <c r="Q31" s="157">
        <f t="shared" si="5"/>
        <v>72.75</v>
      </c>
      <c r="R31" s="15">
        <f t="shared" si="6"/>
        <v>2049</v>
      </c>
      <c r="S31" s="160">
        <f t="shared" si="3"/>
        <v>35</v>
      </c>
      <c r="U31" s="5"/>
      <c r="V31" s="5"/>
      <c r="W31" s="5"/>
      <c r="X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2:37" ht="16.5" hidden="1" customHeight="1" outlineLevel="1" x14ac:dyDescent="0.2">
      <c r="B32" s="5" t="s">
        <v>42</v>
      </c>
      <c r="C32" s="5"/>
      <c r="D32" s="163">
        <v>155000</v>
      </c>
      <c r="E32" s="149">
        <v>1</v>
      </c>
      <c r="F32" s="150">
        <v>30</v>
      </c>
      <c r="G32" s="161">
        <f t="shared" si="7"/>
        <v>3.0772285090331541</v>
      </c>
      <c r="H32" s="5"/>
      <c r="I32" s="22" t="s">
        <v>109</v>
      </c>
      <c r="J32" s="5"/>
      <c r="K32" s="140">
        <v>0.85</v>
      </c>
      <c r="P32" s="15">
        <f t="shared" si="4"/>
        <v>2030</v>
      </c>
      <c r="Q32" s="157">
        <f t="shared" si="5"/>
        <v>72.75</v>
      </c>
      <c r="R32" s="15" t="str">
        <f t="shared" si="6"/>
        <v/>
      </c>
      <c r="S32" s="160" t="str">
        <f t="shared" si="3"/>
        <v/>
      </c>
      <c r="U32" s="5"/>
      <c r="V32" s="5"/>
      <c r="W32" s="5"/>
      <c r="X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2:37" ht="16.5" hidden="1" customHeight="1" outlineLevel="1" x14ac:dyDescent="0.2">
      <c r="B33" s="5" t="s">
        <v>44</v>
      </c>
      <c r="D33" s="163">
        <v>115000</v>
      </c>
      <c r="E33" s="149">
        <v>1</v>
      </c>
      <c r="F33" s="150">
        <v>20</v>
      </c>
      <c r="G33" s="161">
        <f t="shared" si="7"/>
        <v>2.2831050228310499</v>
      </c>
      <c r="H33" s="5"/>
      <c r="I33" s="5" t="s">
        <v>110</v>
      </c>
      <c r="J33" s="5"/>
      <c r="K33" s="141">
        <v>2.4E-2</v>
      </c>
      <c r="P33" s="15">
        <f t="shared" si="4"/>
        <v>2031</v>
      </c>
      <c r="Q33" s="157">
        <f t="shared" si="5"/>
        <v>72.75</v>
      </c>
      <c r="R33" s="15" t="str">
        <f t="shared" si="6"/>
        <v/>
      </c>
      <c r="S33" s="160" t="str">
        <f t="shared" si="3"/>
        <v/>
      </c>
      <c r="U33" s="5"/>
      <c r="V33" s="5"/>
      <c r="W33" s="5"/>
      <c r="X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ht="16.5" hidden="1" customHeight="1" outlineLevel="1" x14ac:dyDescent="0.2">
      <c r="B34" s="5" t="s">
        <v>45</v>
      </c>
      <c r="C34" s="5"/>
      <c r="D34" s="163">
        <v>165000</v>
      </c>
      <c r="E34" s="149">
        <v>21</v>
      </c>
      <c r="F34" s="150">
        <v>30</v>
      </c>
      <c r="G34" s="161">
        <f t="shared" si="7"/>
        <v>3.2757593805836804</v>
      </c>
      <c r="H34" s="5"/>
      <c r="I34" s="5" t="s">
        <v>49</v>
      </c>
      <c r="J34" s="5"/>
      <c r="K34" s="141">
        <v>1.7500000000000002E-2</v>
      </c>
      <c r="P34" s="15">
        <f t="shared" si="4"/>
        <v>2032</v>
      </c>
      <c r="Q34" s="157">
        <f t="shared" si="5"/>
        <v>72.75</v>
      </c>
      <c r="R34" s="15" t="str">
        <f t="shared" si="6"/>
        <v/>
      </c>
      <c r="S34" s="160" t="str">
        <f t="shared" si="3"/>
        <v/>
      </c>
      <c r="U34" s="5"/>
      <c r="V34" s="5"/>
      <c r="W34" s="5"/>
      <c r="X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2:37" ht="16.5" hidden="1" customHeight="1" outlineLevel="1" x14ac:dyDescent="0.2">
      <c r="B35" s="5" t="s">
        <v>43</v>
      </c>
      <c r="C35" s="5"/>
      <c r="D35" s="163">
        <v>28000</v>
      </c>
      <c r="E35" s="149">
        <v>1</v>
      </c>
      <c r="F35" s="150">
        <v>30</v>
      </c>
      <c r="G35" s="161">
        <f t="shared" si="7"/>
        <v>0.55588644034147305</v>
      </c>
      <c r="H35" s="5"/>
      <c r="I35" s="5" t="s">
        <v>50</v>
      </c>
      <c r="J35" s="5"/>
      <c r="K35" s="141">
        <v>5.0000000000000001E-3</v>
      </c>
      <c r="P35" s="15">
        <f t="shared" si="4"/>
        <v>2033</v>
      </c>
      <c r="Q35" s="157">
        <f t="shared" si="5"/>
        <v>72.75</v>
      </c>
      <c r="R35" s="15" t="str">
        <f t="shared" si="6"/>
        <v/>
      </c>
      <c r="S35" s="160" t="str">
        <f t="shared" si="3"/>
        <v/>
      </c>
      <c r="U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2:37" ht="16.5" hidden="1" customHeight="1" outlineLevel="1" x14ac:dyDescent="0.2">
      <c r="B36" s="5" t="s">
        <v>46</v>
      </c>
      <c r="C36" s="5"/>
      <c r="D36" s="163">
        <v>30000</v>
      </c>
      <c r="E36" s="149">
        <v>1</v>
      </c>
      <c r="F36" s="150">
        <v>15</v>
      </c>
      <c r="G36" s="161">
        <f t="shared" si="7"/>
        <v>0.5955926146515782</v>
      </c>
      <c r="H36" s="5"/>
      <c r="I36" s="5" t="s">
        <v>51</v>
      </c>
      <c r="J36" s="5"/>
      <c r="K36" s="23">
        <f>SUM(K33:K35)</f>
        <v>4.65E-2</v>
      </c>
      <c r="P36" s="15">
        <f t="shared" si="4"/>
        <v>2034</v>
      </c>
      <c r="Q36" s="157">
        <f t="shared" si="5"/>
        <v>72.75</v>
      </c>
      <c r="R36" s="15" t="str">
        <f t="shared" si="6"/>
        <v/>
      </c>
      <c r="S36" s="160" t="str">
        <f t="shared" si="3"/>
        <v/>
      </c>
      <c r="U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2:37" ht="16.5" hidden="1" customHeight="1" outlineLevel="1" x14ac:dyDescent="0.2">
      <c r="B37" s="5" t="s">
        <v>33</v>
      </c>
      <c r="C37" s="5"/>
      <c r="D37" s="162">
        <v>0.05</v>
      </c>
      <c r="E37" s="149">
        <v>1</v>
      </c>
      <c r="F37" s="150">
        <v>30</v>
      </c>
      <c r="G37" s="161">
        <f t="shared" si="7"/>
        <v>9.9265435775263045E-7</v>
      </c>
      <c r="H37" s="5"/>
      <c r="I37" s="5" t="s">
        <v>111</v>
      </c>
      <c r="J37" s="5"/>
      <c r="K37" s="142">
        <v>1.35</v>
      </c>
      <c r="P37" s="15">
        <f t="shared" si="4"/>
        <v>2035</v>
      </c>
      <c r="Q37" s="157">
        <f t="shared" si="5"/>
        <v>72.75</v>
      </c>
      <c r="R37" s="15" t="str">
        <f t="shared" si="6"/>
        <v/>
      </c>
      <c r="S37" s="160" t="str">
        <f t="shared" si="3"/>
        <v/>
      </c>
      <c r="U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2:37" ht="16.5" hidden="1" customHeight="1" outlineLevel="1" x14ac:dyDescent="0.2">
      <c r="D38" s="164"/>
      <c r="G38" s="161">
        <f>SUM(G29:G37)</f>
        <v>18.800874528489178</v>
      </c>
      <c r="H38" s="5"/>
      <c r="I38" s="5" t="s">
        <v>125</v>
      </c>
      <c r="J38" s="5"/>
      <c r="K38" s="143">
        <v>1</v>
      </c>
      <c r="P38" s="15">
        <f t="shared" si="4"/>
        <v>2036</v>
      </c>
      <c r="Q38" s="157">
        <f t="shared" si="5"/>
        <v>72.75</v>
      </c>
      <c r="R38" s="15" t="str">
        <f t="shared" si="6"/>
        <v/>
      </c>
      <c r="S38" s="160" t="str">
        <f t="shared" si="3"/>
        <v/>
      </c>
      <c r="U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2:37" ht="16.5" hidden="1" customHeight="1" outlineLevel="1" x14ac:dyDescent="0.2">
      <c r="D39" s="165"/>
      <c r="H39" s="5"/>
      <c r="P39" s="15">
        <f t="shared" si="4"/>
        <v>2037</v>
      </c>
      <c r="Q39" s="157">
        <f t="shared" si="5"/>
        <v>72.75</v>
      </c>
      <c r="R39" s="15" t="str">
        <f t="shared" si="6"/>
        <v/>
      </c>
      <c r="S39" s="160" t="str">
        <f t="shared" si="3"/>
        <v/>
      </c>
      <c r="U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2:37" ht="16.5" hidden="1" customHeight="1" outlineLevel="1" x14ac:dyDescent="0.2">
      <c r="B40" s="4" t="s">
        <v>74</v>
      </c>
      <c r="D40" s="166">
        <f>D36*F36</f>
        <v>450000</v>
      </c>
      <c r="E40" s="149">
        <v>15</v>
      </c>
      <c r="F40" s="150">
        <v>15</v>
      </c>
      <c r="I40" s="5" t="s">
        <v>114</v>
      </c>
      <c r="J40" s="5"/>
      <c r="K40" s="144">
        <v>6</v>
      </c>
      <c r="P40" s="15">
        <f t="shared" si="4"/>
        <v>2038</v>
      </c>
      <c r="Q40" s="157">
        <f t="shared" si="5"/>
        <v>72.75</v>
      </c>
      <c r="R40" s="15" t="str">
        <f t="shared" si="6"/>
        <v/>
      </c>
      <c r="S40" s="160" t="str">
        <f t="shared" si="3"/>
        <v/>
      </c>
      <c r="U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2:37" ht="16.5" hidden="1" customHeight="1" outlineLevel="1" x14ac:dyDescent="0.2">
      <c r="P41" s="15">
        <f t="shared" si="4"/>
        <v>2039</v>
      </c>
      <c r="Q41" s="157">
        <f t="shared" si="5"/>
        <v>72.75</v>
      </c>
      <c r="R41" s="15" t="str">
        <f t="shared" si="6"/>
        <v/>
      </c>
      <c r="S41" s="160" t="str">
        <f t="shared" si="3"/>
        <v/>
      </c>
      <c r="U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2:37" ht="16.5" hidden="1" customHeight="1" outlineLevel="1" x14ac:dyDescent="0.2">
      <c r="B42" s="7" t="s">
        <v>141</v>
      </c>
      <c r="C42" s="6"/>
      <c r="D42" s="6"/>
      <c r="E42" s="6"/>
      <c r="F42" s="6"/>
      <c r="G42" s="6"/>
      <c r="H42" s="6"/>
      <c r="I42" s="6"/>
      <c r="P42" s="15" t="str">
        <f t="shared" si="4"/>
        <v/>
      </c>
      <c r="Q42" s="157" t="str">
        <f t="shared" si="5"/>
        <v/>
      </c>
      <c r="R42" s="15" t="str">
        <f t="shared" si="6"/>
        <v/>
      </c>
      <c r="S42" s="160" t="str">
        <f t="shared" si="3"/>
        <v/>
      </c>
      <c r="U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2:37" ht="16.5" hidden="1" customHeight="1" outlineLevel="1" x14ac:dyDescent="0.2">
      <c r="B43" s="25"/>
      <c r="P43" s="15" t="str">
        <f t="shared" si="4"/>
        <v/>
      </c>
      <c r="Q43" s="157" t="str">
        <f t="shared" si="5"/>
        <v/>
      </c>
      <c r="R43" s="15" t="str">
        <f t="shared" si="6"/>
        <v/>
      </c>
      <c r="S43" s="160" t="str">
        <f t="shared" si="3"/>
        <v/>
      </c>
      <c r="U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2:37" ht="16.5" hidden="1" customHeight="1" outlineLevel="1" x14ac:dyDescent="0.2">
      <c r="B44" s="5"/>
      <c r="D44" s="26" t="s">
        <v>75</v>
      </c>
      <c r="E44" s="27" t="s">
        <v>76</v>
      </c>
      <c r="P44" s="15" t="str">
        <f t="shared" si="4"/>
        <v/>
      </c>
      <c r="Q44" s="157" t="str">
        <f t="shared" si="5"/>
        <v/>
      </c>
      <c r="R44" s="15" t="str">
        <f t="shared" si="6"/>
        <v/>
      </c>
      <c r="S44" s="160" t="str">
        <f t="shared" si="3"/>
        <v/>
      </c>
      <c r="U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2:37" ht="16.5" hidden="1" customHeight="1" outlineLevel="1" x14ac:dyDescent="0.2">
      <c r="B45" s="210" t="s">
        <v>115</v>
      </c>
      <c r="D45" s="146">
        <v>2.1677670139799671E-3</v>
      </c>
      <c r="E45" s="146">
        <v>0.05</v>
      </c>
      <c r="G45" s="4" t="s">
        <v>139</v>
      </c>
      <c r="I45" s="145">
        <v>0.25</v>
      </c>
      <c r="P45" s="15" t="str">
        <f t="shared" si="4"/>
        <v/>
      </c>
      <c r="Q45" s="157" t="str">
        <f t="shared" si="5"/>
        <v/>
      </c>
      <c r="R45" s="15" t="str">
        <f t="shared" si="6"/>
        <v/>
      </c>
      <c r="S45" s="160" t="str">
        <f t="shared" si="3"/>
        <v/>
      </c>
      <c r="U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2:37" ht="16.5" hidden="1" customHeight="1" outlineLevel="1" x14ac:dyDescent="0.2">
      <c r="B46" s="210" t="s">
        <v>116</v>
      </c>
      <c r="D46" s="147">
        <v>0</v>
      </c>
      <c r="E46" s="147">
        <v>0.2</v>
      </c>
      <c r="P46" s="28" t="str">
        <f t="shared" si="4"/>
        <v/>
      </c>
      <c r="Q46" s="158" t="str">
        <f t="shared" si="5"/>
        <v/>
      </c>
      <c r="R46" s="28" t="str">
        <f t="shared" si="6"/>
        <v/>
      </c>
      <c r="S46" s="158" t="str">
        <f t="shared" si="3"/>
        <v/>
      </c>
      <c r="U46" s="5"/>
      <c r="Z46" s="5"/>
      <c r="AA46" s="5"/>
      <c r="AB46" s="5"/>
      <c r="AC46" s="5"/>
      <c r="AD46" s="5"/>
      <c r="AE46" s="5"/>
      <c r="AG46" s="5"/>
      <c r="AH46" s="5"/>
      <c r="AI46" s="5"/>
      <c r="AJ46" s="5"/>
      <c r="AK46" s="5"/>
    </row>
    <row r="47" spans="2:37" ht="16.5" hidden="1" customHeight="1" outlineLevel="1" x14ac:dyDescent="0.2">
      <c r="B47" s="210" t="s">
        <v>117</v>
      </c>
      <c r="D47" s="147">
        <v>3.2074278137527175E-2</v>
      </c>
      <c r="E47" s="147">
        <v>0.05</v>
      </c>
      <c r="P47" s="29"/>
      <c r="Q47" s="24"/>
      <c r="R47" s="29"/>
      <c r="S47" s="24"/>
      <c r="U47" s="5"/>
      <c r="Z47" s="5"/>
      <c r="AA47" s="5"/>
      <c r="AB47" s="5"/>
      <c r="AC47" s="5"/>
      <c r="AD47" s="5"/>
      <c r="AE47" s="5"/>
      <c r="AG47" s="5"/>
      <c r="AH47" s="5"/>
      <c r="AI47" s="5"/>
      <c r="AJ47" s="5"/>
      <c r="AK47" s="5"/>
    </row>
    <row r="48" spans="2:37" ht="16.5" hidden="1" customHeight="1" outlineLevel="1" x14ac:dyDescent="0.2">
      <c r="B48" s="210" t="s">
        <v>118</v>
      </c>
      <c r="D48" s="147">
        <v>5.7539534536502858E-3</v>
      </c>
      <c r="E48" s="147">
        <v>0.1</v>
      </c>
      <c r="P48" s="29"/>
      <c r="Q48" s="24"/>
      <c r="R48" s="29"/>
      <c r="S48" s="24"/>
      <c r="U48" s="5"/>
      <c r="Z48" s="5"/>
      <c r="AA48" s="5"/>
      <c r="AB48" s="5"/>
      <c r="AC48" s="5"/>
      <c r="AD48" s="5"/>
      <c r="AE48" s="5"/>
      <c r="AG48" s="5"/>
      <c r="AH48" s="5"/>
      <c r="AI48" s="5"/>
      <c r="AJ48" s="5"/>
      <c r="AK48" s="5"/>
    </row>
    <row r="49" spans="1:37" ht="16.5" hidden="1" customHeight="1" outlineLevel="1" x14ac:dyDescent="0.2">
      <c r="B49" s="5" t="s">
        <v>119</v>
      </c>
      <c r="D49" s="148">
        <v>0.92793487430529409</v>
      </c>
      <c r="E49" s="148">
        <v>0.25</v>
      </c>
      <c r="P49" s="29"/>
      <c r="Q49" s="24"/>
      <c r="R49" s="29"/>
      <c r="S49" s="24"/>
      <c r="U49" s="5"/>
      <c r="Z49" s="5"/>
      <c r="AA49" s="5"/>
      <c r="AB49" s="5"/>
      <c r="AC49" s="5"/>
      <c r="AD49" s="5"/>
      <c r="AE49" s="5"/>
      <c r="AG49" s="5"/>
      <c r="AH49" s="5"/>
      <c r="AI49" s="5"/>
      <c r="AJ49" s="5"/>
      <c r="AK49" s="5"/>
    </row>
    <row r="50" spans="1:37" ht="13.5" customHeight="1" collapsed="1" x14ac:dyDescent="0.2"/>
    <row r="51" spans="1:37" s="2" customFormat="1" ht="18.75" customHeight="1" x14ac:dyDescent="0.2">
      <c r="A51" s="2" t="s">
        <v>147</v>
      </c>
      <c r="B51" s="128" t="s">
        <v>124</v>
      </c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</row>
    <row r="52" spans="1:37" s="5" customFormat="1" hidden="1" outlineLevel="1" x14ac:dyDescent="0.2">
      <c r="B52" s="30"/>
      <c r="E52" s="31"/>
      <c r="F52" s="31"/>
    </row>
    <row r="53" spans="1:37" s="5" customFormat="1" hidden="1" outlineLevel="1" x14ac:dyDescent="0.2">
      <c r="B53" s="5" t="s">
        <v>20</v>
      </c>
      <c r="E53" s="31"/>
      <c r="F53" s="31"/>
      <c r="H53" s="5">
        <f t="shared" ref="H53:AK53" si="8">YEAR(H2)</f>
        <v>2020</v>
      </c>
      <c r="I53" s="5">
        <f t="shared" si="8"/>
        <v>2021</v>
      </c>
      <c r="J53" s="5">
        <f t="shared" si="8"/>
        <v>2022</v>
      </c>
      <c r="K53" s="5">
        <f t="shared" si="8"/>
        <v>2023</v>
      </c>
      <c r="L53" s="5">
        <f t="shared" si="8"/>
        <v>2024</v>
      </c>
      <c r="M53" s="5">
        <f t="shared" si="8"/>
        <v>2025</v>
      </c>
      <c r="N53" s="5">
        <f t="shared" si="8"/>
        <v>2026</v>
      </c>
      <c r="O53" s="5">
        <f t="shared" si="8"/>
        <v>2027</v>
      </c>
      <c r="P53" s="5">
        <f t="shared" si="8"/>
        <v>2028</v>
      </c>
      <c r="Q53" s="5">
        <f t="shared" si="8"/>
        <v>2029</v>
      </c>
      <c r="R53" s="5">
        <f t="shared" si="8"/>
        <v>2030</v>
      </c>
      <c r="S53" s="5">
        <f t="shared" si="8"/>
        <v>2031</v>
      </c>
      <c r="T53" s="5">
        <f t="shared" si="8"/>
        <v>2032</v>
      </c>
      <c r="U53" s="5">
        <f t="shared" si="8"/>
        <v>2033</v>
      </c>
      <c r="V53" s="5">
        <f t="shared" si="8"/>
        <v>2034</v>
      </c>
      <c r="W53" s="5">
        <f t="shared" si="8"/>
        <v>2035</v>
      </c>
      <c r="X53" s="5">
        <f t="shared" si="8"/>
        <v>2036</v>
      </c>
      <c r="Y53" s="5">
        <f t="shared" si="8"/>
        <v>2037</v>
      </c>
      <c r="Z53" s="5">
        <f t="shared" si="8"/>
        <v>2038</v>
      </c>
      <c r="AA53" s="5">
        <f t="shared" si="8"/>
        <v>2039</v>
      </c>
      <c r="AB53" s="5">
        <f t="shared" si="8"/>
        <v>2040</v>
      </c>
      <c r="AC53" s="5">
        <f t="shared" si="8"/>
        <v>2041</v>
      </c>
      <c r="AD53" s="5">
        <f t="shared" si="8"/>
        <v>2042</v>
      </c>
      <c r="AE53" s="5">
        <f t="shared" si="8"/>
        <v>2043</v>
      </c>
      <c r="AF53" s="5">
        <f t="shared" si="8"/>
        <v>2044</v>
      </c>
      <c r="AG53" s="5">
        <f t="shared" si="8"/>
        <v>2045</v>
      </c>
      <c r="AH53" s="5">
        <f t="shared" si="8"/>
        <v>2046</v>
      </c>
      <c r="AI53" s="5">
        <f t="shared" si="8"/>
        <v>2047</v>
      </c>
      <c r="AJ53" s="5">
        <f t="shared" si="8"/>
        <v>2048</v>
      </c>
      <c r="AK53" s="5">
        <f t="shared" si="8"/>
        <v>2049</v>
      </c>
    </row>
    <row r="54" spans="1:37" s="5" customFormat="1" hidden="1" outlineLevel="1" x14ac:dyDescent="0.2">
      <c r="B54" s="5" t="s">
        <v>56</v>
      </c>
      <c r="E54" s="31"/>
      <c r="F54" s="31"/>
      <c r="H54" s="5">
        <f>IF(H53=YEAR($D$17),1,G54+1)</f>
        <v>1</v>
      </c>
      <c r="I54" s="5">
        <f t="shared" ref="I54:AK54" si="9">IF(I53=YEAR($D$17),1,H54+1)</f>
        <v>2</v>
      </c>
      <c r="J54" s="5">
        <f t="shared" si="9"/>
        <v>3</v>
      </c>
      <c r="K54" s="5">
        <f t="shared" si="9"/>
        <v>4</v>
      </c>
      <c r="L54" s="5">
        <f t="shared" si="9"/>
        <v>5</v>
      </c>
      <c r="M54" s="5">
        <f t="shared" si="9"/>
        <v>6</v>
      </c>
      <c r="N54" s="5">
        <f t="shared" si="9"/>
        <v>7</v>
      </c>
      <c r="O54" s="5">
        <f t="shared" si="9"/>
        <v>8</v>
      </c>
      <c r="P54" s="5">
        <f t="shared" si="9"/>
        <v>9</v>
      </c>
      <c r="Q54" s="5">
        <f t="shared" si="9"/>
        <v>10</v>
      </c>
      <c r="R54" s="5">
        <f t="shared" si="9"/>
        <v>11</v>
      </c>
      <c r="S54" s="5">
        <f t="shared" si="9"/>
        <v>12</v>
      </c>
      <c r="T54" s="5">
        <f t="shared" si="9"/>
        <v>13</v>
      </c>
      <c r="U54" s="5">
        <f t="shared" si="9"/>
        <v>14</v>
      </c>
      <c r="V54" s="5">
        <f t="shared" si="9"/>
        <v>15</v>
      </c>
      <c r="W54" s="5">
        <f t="shared" si="9"/>
        <v>16</v>
      </c>
      <c r="X54" s="5">
        <f t="shared" si="9"/>
        <v>17</v>
      </c>
      <c r="Y54" s="5">
        <f t="shared" si="9"/>
        <v>18</v>
      </c>
      <c r="Z54" s="5">
        <f t="shared" si="9"/>
        <v>19</v>
      </c>
      <c r="AA54" s="5">
        <f t="shared" si="9"/>
        <v>20</v>
      </c>
      <c r="AB54" s="5">
        <f t="shared" si="9"/>
        <v>21</v>
      </c>
      <c r="AC54" s="5">
        <f t="shared" si="9"/>
        <v>22</v>
      </c>
      <c r="AD54" s="5">
        <f t="shared" si="9"/>
        <v>23</v>
      </c>
      <c r="AE54" s="5">
        <f t="shared" si="9"/>
        <v>24</v>
      </c>
      <c r="AF54" s="5">
        <f t="shared" si="9"/>
        <v>25</v>
      </c>
      <c r="AG54" s="5">
        <f t="shared" si="9"/>
        <v>26</v>
      </c>
      <c r="AH54" s="5">
        <f t="shared" si="9"/>
        <v>27</v>
      </c>
      <c r="AI54" s="5">
        <f t="shared" si="9"/>
        <v>28</v>
      </c>
      <c r="AJ54" s="5">
        <f t="shared" si="9"/>
        <v>29</v>
      </c>
      <c r="AK54" s="5">
        <f t="shared" si="9"/>
        <v>30</v>
      </c>
    </row>
    <row r="55" spans="1:37" s="5" customFormat="1" hidden="1" outlineLevel="1" x14ac:dyDescent="0.2">
      <c r="B55" s="5" t="s">
        <v>61</v>
      </c>
      <c r="E55" s="31"/>
      <c r="F55" s="31"/>
      <c r="H55" s="5">
        <f>H54-1</f>
        <v>0</v>
      </c>
      <c r="I55" s="5">
        <f t="shared" ref="I55:AK55" si="10">I54-1</f>
        <v>1</v>
      </c>
      <c r="J55" s="5">
        <f t="shared" si="10"/>
        <v>2</v>
      </c>
      <c r="K55" s="5">
        <f t="shared" si="10"/>
        <v>3</v>
      </c>
      <c r="L55" s="5">
        <f t="shared" si="10"/>
        <v>4</v>
      </c>
      <c r="M55" s="5">
        <f t="shared" si="10"/>
        <v>5</v>
      </c>
      <c r="N55" s="5">
        <f t="shared" si="10"/>
        <v>6</v>
      </c>
      <c r="O55" s="5">
        <f t="shared" si="10"/>
        <v>7</v>
      </c>
      <c r="P55" s="5">
        <f t="shared" si="10"/>
        <v>8</v>
      </c>
      <c r="Q55" s="5">
        <f t="shared" si="10"/>
        <v>9</v>
      </c>
      <c r="R55" s="5">
        <f t="shared" si="10"/>
        <v>10</v>
      </c>
      <c r="S55" s="5">
        <f t="shared" si="10"/>
        <v>11</v>
      </c>
      <c r="T55" s="5">
        <f t="shared" si="10"/>
        <v>12</v>
      </c>
      <c r="U55" s="5">
        <f t="shared" si="10"/>
        <v>13</v>
      </c>
      <c r="V55" s="5">
        <f t="shared" si="10"/>
        <v>14</v>
      </c>
      <c r="W55" s="5">
        <f t="shared" si="10"/>
        <v>15</v>
      </c>
      <c r="X55" s="5">
        <f t="shared" si="10"/>
        <v>16</v>
      </c>
      <c r="Y55" s="5">
        <f t="shared" si="10"/>
        <v>17</v>
      </c>
      <c r="Z55" s="5">
        <f t="shared" si="10"/>
        <v>18</v>
      </c>
      <c r="AA55" s="5">
        <f t="shared" si="10"/>
        <v>19</v>
      </c>
      <c r="AB55" s="5">
        <f t="shared" si="10"/>
        <v>20</v>
      </c>
      <c r="AC55" s="5">
        <f t="shared" si="10"/>
        <v>21</v>
      </c>
      <c r="AD55" s="5">
        <f t="shared" si="10"/>
        <v>22</v>
      </c>
      <c r="AE55" s="5">
        <f t="shared" si="10"/>
        <v>23</v>
      </c>
      <c r="AF55" s="5">
        <f t="shared" si="10"/>
        <v>24</v>
      </c>
      <c r="AG55" s="5">
        <f t="shared" si="10"/>
        <v>25</v>
      </c>
      <c r="AH55" s="5">
        <f t="shared" si="10"/>
        <v>26</v>
      </c>
      <c r="AI55" s="5">
        <f t="shared" si="10"/>
        <v>27</v>
      </c>
      <c r="AJ55" s="5">
        <f t="shared" si="10"/>
        <v>28</v>
      </c>
      <c r="AK55" s="5">
        <f t="shared" si="10"/>
        <v>29</v>
      </c>
    </row>
    <row r="56" spans="1:37" s="5" customFormat="1" hidden="1" outlineLevel="1" x14ac:dyDescent="0.2">
      <c r="B56" s="30"/>
      <c r="E56" s="31"/>
      <c r="F56" s="31"/>
    </row>
    <row r="57" spans="1:37" s="5" customFormat="1" hidden="1" outlineLevel="1" x14ac:dyDescent="0.2">
      <c r="B57" s="30" t="s">
        <v>53</v>
      </c>
      <c r="J57" s="32"/>
      <c r="K57" s="32"/>
      <c r="L57" s="32"/>
      <c r="M57" s="32"/>
    </row>
    <row r="58" spans="1:37" s="5" customFormat="1" hidden="1" outlineLevel="1" x14ac:dyDescent="0.2">
      <c r="B58" s="33" t="s">
        <v>57</v>
      </c>
      <c r="H58" s="34">
        <f>_xlfn.XLOOKUP($H$15, $F$18:$F$21, $G$18:$G$21) * (1 - $D$23 * H55)</f>
        <v>50370.000000000007</v>
      </c>
      <c r="I58" s="34">
        <f t="shared" ref="I58:AK58" si="11">_xlfn.XLOOKUP($H$15, $F$18:$F$21, $G$18:$G$21) * (1 - $D$23 * I55)</f>
        <v>50118.150000000009</v>
      </c>
      <c r="J58" s="34">
        <f t="shared" si="11"/>
        <v>49866.30000000001</v>
      </c>
      <c r="K58" s="34">
        <f t="shared" si="11"/>
        <v>49614.450000000004</v>
      </c>
      <c r="L58" s="34">
        <f t="shared" si="11"/>
        <v>49362.600000000006</v>
      </c>
      <c r="M58" s="34">
        <f t="shared" si="11"/>
        <v>49110.750000000007</v>
      </c>
      <c r="N58" s="34">
        <f t="shared" si="11"/>
        <v>48858.900000000009</v>
      </c>
      <c r="O58" s="34">
        <f t="shared" si="11"/>
        <v>48607.05</v>
      </c>
      <c r="P58" s="34">
        <f t="shared" si="11"/>
        <v>48355.200000000004</v>
      </c>
      <c r="Q58" s="34">
        <f t="shared" si="11"/>
        <v>48103.350000000006</v>
      </c>
      <c r="R58" s="34">
        <f t="shared" si="11"/>
        <v>47851.500000000007</v>
      </c>
      <c r="S58" s="34">
        <f t="shared" si="11"/>
        <v>47599.65</v>
      </c>
      <c r="T58" s="34">
        <f t="shared" si="11"/>
        <v>47347.8</v>
      </c>
      <c r="U58" s="34">
        <f t="shared" si="11"/>
        <v>47095.950000000012</v>
      </c>
      <c r="V58" s="34">
        <f t="shared" si="11"/>
        <v>46844.100000000006</v>
      </c>
      <c r="W58" s="34">
        <f t="shared" si="11"/>
        <v>46592.250000000007</v>
      </c>
      <c r="X58" s="34">
        <f t="shared" si="11"/>
        <v>46340.400000000009</v>
      </c>
      <c r="Y58" s="34">
        <f t="shared" si="11"/>
        <v>46088.55000000001</v>
      </c>
      <c r="Z58" s="34">
        <f t="shared" si="11"/>
        <v>45836.700000000012</v>
      </c>
      <c r="AA58" s="34">
        <f t="shared" si="11"/>
        <v>45584.850000000006</v>
      </c>
      <c r="AB58" s="34">
        <f t="shared" si="11"/>
        <v>45333.000000000007</v>
      </c>
      <c r="AC58" s="34">
        <f t="shared" si="11"/>
        <v>45081.150000000009</v>
      </c>
      <c r="AD58" s="34">
        <f t="shared" si="11"/>
        <v>44829.30000000001</v>
      </c>
      <c r="AE58" s="34">
        <f t="shared" si="11"/>
        <v>44577.450000000004</v>
      </c>
      <c r="AF58" s="34">
        <f t="shared" si="11"/>
        <v>44325.600000000006</v>
      </c>
      <c r="AG58" s="34">
        <f t="shared" si="11"/>
        <v>44073.750000000007</v>
      </c>
      <c r="AH58" s="34">
        <f t="shared" si="11"/>
        <v>43821.900000000009</v>
      </c>
      <c r="AI58" s="34">
        <f t="shared" si="11"/>
        <v>43570.05</v>
      </c>
      <c r="AJ58" s="34">
        <f t="shared" si="11"/>
        <v>43318.200000000004</v>
      </c>
      <c r="AK58" s="34">
        <f t="shared" si="11"/>
        <v>43066.350000000006</v>
      </c>
    </row>
    <row r="59" spans="1:37" s="5" customFormat="1" hidden="1" outlineLevel="1" x14ac:dyDescent="0.2">
      <c r="B59" s="35" t="s">
        <v>107</v>
      </c>
      <c r="H59" s="36">
        <f>H58/$H$58</f>
        <v>1</v>
      </c>
      <c r="I59" s="36">
        <f t="shared" ref="I59:AK59" si="12">I58/$H$58</f>
        <v>0.995</v>
      </c>
      <c r="J59" s="36">
        <f t="shared" si="12"/>
        <v>0.9900000000000001</v>
      </c>
      <c r="K59" s="36">
        <f t="shared" si="12"/>
        <v>0.98499999999999999</v>
      </c>
      <c r="L59" s="36">
        <f t="shared" si="12"/>
        <v>0.98</v>
      </c>
      <c r="M59" s="36">
        <f t="shared" si="12"/>
        <v>0.97499999999999998</v>
      </c>
      <c r="N59" s="36">
        <f t="shared" si="12"/>
        <v>0.97000000000000008</v>
      </c>
      <c r="O59" s="36">
        <f t="shared" si="12"/>
        <v>0.96499999999999997</v>
      </c>
      <c r="P59" s="36">
        <f t="shared" si="12"/>
        <v>0.96</v>
      </c>
      <c r="Q59" s="36">
        <f t="shared" si="12"/>
        <v>0.95499999999999996</v>
      </c>
      <c r="R59" s="36">
        <f t="shared" si="12"/>
        <v>0.95</v>
      </c>
      <c r="S59" s="36">
        <f t="shared" si="12"/>
        <v>0.94499999999999984</v>
      </c>
      <c r="T59" s="36">
        <f t="shared" si="12"/>
        <v>0.94</v>
      </c>
      <c r="U59" s="36">
        <f t="shared" si="12"/>
        <v>0.93500000000000005</v>
      </c>
      <c r="V59" s="36">
        <f t="shared" si="12"/>
        <v>0.92999999999999994</v>
      </c>
      <c r="W59" s="36">
        <f t="shared" si="12"/>
        <v>0.92500000000000004</v>
      </c>
      <c r="X59" s="36">
        <f t="shared" si="12"/>
        <v>0.92</v>
      </c>
      <c r="Y59" s="36">
        <f t="shared" si="12"/>
        <v>0.91500000000000004</v>
      </c>
      <c r="Z59" s="36">
        <f t="shared" si="12"/>
        <v>0.91000000000000014</v>
      </c>
      <c r="AA59" s="36">
        <f t="shared" si="12"/>
        <v>0.90500000000000003</v>
      </c>
      <c r="AB59" s="36">
        <f t="shared" si="12"/>
        <v>0.9</v>
      </c>
      <c r="AC59" s="36">
        <f t="shared" si="12"/>
        <v>0.89500000000000002</v>
      </c>
      <c r="AD59" s="36">
        <f t="shared" si="12"/>
        <v>0.89000000000000012</v>
      </c>
      <c r="AE59" s="36">
        <f t="shared" si="12"/>
        <v>0.88500000000000001</v>
      </c>
      <c r="AF59" s="36">
        <f t="shared" si="12"/>
        <v>0.88</v>
      </c>
      <c r="AG59" s="36">
        <f t="shared" si="12"/>
        <v>0.875</v>
      </c>
      <c r="AH59" s="36">
        <f t="shared" si="12"/>
        <v>0.87</v>
      </c>
      <c r="AI59" s="36">
        <f t="shared" si="12"/>
        <v>0.86499999999999988</v>
      </c>
      <c r="AJ59" s="36">
        <f t="shared" si="12"/>
        <v>0.86</v>
      </c>
      <c r="AK59" s="36">
        <f t="shared" si="12"/>
        <v>0.85499999999999998</v>
      </c>
    </row>
    <row r="60" spans="1:37" s="5" customFormat="1" hidden="1" outlineLevel="1" x14ac:dyDescent="0.2"/>
    <row r="61" spans="1:37" s="5" customFormat="1" hidden="1" outlineLevel="1" x14ac:dyDescent="0.2">
      <c r="B61" s="33" t="s">
        <v>58</v>
      </c>
      <c r="H61" s="173">
        <f>IFERROR(_xlfn.XLOOKUP(H53, $P$22:$P$46, $Q$22:$Q$46), 0)</f>
        <v>72.75</v>
      </c>
      <c r="I61" s="173">
        <f t="shared" ref="I61:AK61" si="13">IFERROR(_xlfn.XLOOKUP(I53, $P$22:$P$46, $Q$22:$Q$46), 0)</f>
        <v>72.75</v>
      </c>
      <c r="J61" s="173">
        <f t="shared" si="13"/>
        <v>72.75</v>
      </c>
      <c r="K61" s="173">
        <f t="shared" si="13"/>
        <v>72.75</v>
      </c>
      <c r="L61" s="173">
        <f t="shared" si="13"/>
        <v>72.75</v>
      </c>
      <c r="M61" s="173">
        <f t="shared" si="13"/>
        <v>72.75</v>
      </c>
      <c r="N61" s="173">
        <f t="shared" si="13"/>
        <v>72.75</v>
      </c>
      <c r="O61" s="173">
        <f t="shared" si="13"/>
        <v>72.75</v>
      </c>
      <c r="P61" s="173">
        <f t="shared" si="13"/>
        <v>72.75</v>
      </c>
      <c r="Q61" s="173">
        <f t="shared" si="13"/>
        <v>72.75</v>
      </c>
      <c r="R61" s="173">
        <f t="shared" si="13"/>
        <v>72.75</v>
      </c>
      <c r="S61" s="173">
        <f t="shared" si="13"/>
        <v>72.75</v>
      </c>
      <c r="T61" s="173">
        <f t="shared" si="13"/>
        <v>72.75</v>
      </c>
      <c r="U61" s="173">
        <f t="shared" si="13"/>
        <v>72.75</v>
      </c>
      <c r="V61" s="173">
        <f t="shared" si="13"/>
        <v>72.75</v>
      </c>
      <c r="W61" s="173">
        <f t="shared" si="13"/>
        <v>72.75</v>
      </c>
      <c r="X61" s="173">
        <f t="shared" si="13"/>
        <v>72.75</v>
      </c>
      <c r="Y61" s="173">
        <f t="shared" si="13"/>
        <v>72.75</v>
      </c>
      <c r="Z61" s="173">
        <f t="shared" si="13"/>
        <v>72.75</v>
      </c>
      <c r="AA61" s="173">
        <f t="shared" si="13"/>
        <v>72.75</v>
      </c>
      <c r="AB61" s="173">
        <f t="shared" si="13"/>
        <v>0</v>
      </c>
      <c r="AC61" s="173">
        <f t="shared" si="13"/>
        <v>0</v>
      </c>
      <c r="AD61" s="173">
        <f t="shared" si="13"/>
        <v>0</v>
      </c>
      <c r="AE61" s="173">
        <f t="shared" si="13"/>
        <v>0</v>
      </c>
      <c r="AF61" s="173">
        <f t="shared" si="13"/>
        <v>0</v>
      </c>
      <c r="AG61" s="173">
        <f t="shared" si="13"/>
        <v>0</v>
      </c>
      <c r="AH61" s="173">
        <f t="shared" si="13"/>
        <v>0</v>
      </c>
      <c r="AI61" s="173">
        <f t="shared" si="13"/>
        <v>0</v>
      </c>
      <c r="AJ61" s="173">
        <f t="shared" si="13"/>
        <v>0</v>
      </c>
      <c r="AK61" s="173">
        <f t="shared" si="13"/>
        <v>0</v>
      </c>
    </row>
    <row r="62" spans="1:37" s="5" customFormat="1" hidden="1" outlineLevel="1" x14ac:dyDescent="0.2">
      <c r="B62" s="33" t="s">
        <v>59</v>
      </c>
      <c r="H62" s="174">
        <f>IFERROR(_xlfn.XLOOKUP(H53, $R$22:$R$46, $S$22:$S$46), 0)</f>
        <v>0</v>
      </c>
      <c r="I62" s="174">
        <f t="shared" ref="I62:AK62" si="14">IFERROR(_xlfn.XLOOKUP(I53, $R$22:$R$46, $S$22:$S$46), 0)</f>
        <v>0</v>
      </c>
      <c r="J62" s="174">
        <f t="shared" si="14"/>
        <v>0</v>
      </c>
      <c r="K62" s="174">
        <f t="shared" si="14"/>
        <v>0</v>
      </c>
      <c r="L62" s="174">
        <f t="shared" si="14"/>
        <v>0</v>
      </c>
      <c r="M62" s="174">
        <f t="shared" si="14"/>
        <v>0</v>
      </c>
      <c r="N62" s="174">
        <f t="shared" si="14"/>
        <v>0</v>
      </c>
      <c r="O62" s="174">
        <f t="shared" si="14"/>
        <v>0</v>
      </c>
      <c r="P62" s="174">
        <f t="shared" si="14"/>
        <v>0</v>
      </c>
      <c r="Q62" s="174">
        <f t="shared" si="14"/>
        <v>0</v>
      </c>
      <c r="R62" s="174">
        <f t="shared" si="14"/>
        <v>0</v>
      </c>
      <c r="S62" s="174">
        <f t="shared" si="14"/>
        <v>0</v>
      </c>
      <c r="T62" s="174">
        <f t="shared" si="14"/>
        <v>0</v>
      </c>
      <c r="U62" s="174">
        <f t="shared" si="14"/>
        <v>0</v>
      </c>
      <c r="V62" s="174">
        <f t="shared" si="14"/>
        <v>0</v>
      </c>
      <c r="W62" s="174">
        <f t="shared" si="14"/>
        <v>0</v>
      </c>
      <c r="X62" s="174">
        <f t="shared" si="14"/>
        <v>0</v>
      </c>
      <c r="Y62" s="174">
        <f t="shared" si="14"/>
        <v>0</v>
      </c>
      <c r="Z62" s="174">
        <f t="shared" si="14"/>
        <v>0</v>
      </c>
      <c r="AA62" s="174">
        <f t="shared" si="14"/>
        <v>0</v>
      </c>
      <c r="AB62" s="174">
        <f t="shared" si="14"/>
        <v>35</v>
      </c>
      <c r="AC62" s="174">
        <f t="shared" si="14"/>
        <v>35</v>
      </c>
      <c r="AD62" s="174">
        <f t="shared" si="14"/>
        <v>35</v>
      </c>
      <c r="AE62" s="174">
        <f t="shared" si="14"/>
        <v>35</v>
      </c>
      <c r="AF62" s="174">
        <f t="shared" si="14"/>
        <v>35</v>
      </c>
      <c r="AG62" s="174">
        <f t="shared" si="14"/>
        <v>35</v>
      </c>
      <c r="AH62" s="174">
        <f t="shared" si="14"/>
        <v>35</v>
      </c>
      <c r="AI62" s="174">
        <f t="shared" si="14"/>
        <v>35</v>
      </c>
      <c r="AJ62" s="174">
        <f t="shared" si="14"/>
        <v>35</v>
      </c>
      <c r="AK62" s="174">
        <f t="shared" si="14"/>
        <v>35</v>
      </c>
    </row>
    <row r="63" spans="1:37" s="5" customFormat="1" hidden="1" outlineLevel="1" x14ac:dyDescent="0.2">
      <c r="B63" s="30" t="s">
        <v>7</v>
      </c>
      <c r="H63" s="175">
        <f>SUM(H61:H62)*H58</f>
        <v>3664417.5000000005</v>
      </c>
      <c r="I63" s="175">
        <f t="shared" ref="I63:AK63" si="15">SUM(I61:I62)*I58</f>
        <v>3646095.4125000006</v>
      </c>
      <c r="J63" s="175">
        <f t="shared" si="15"/>
        <v>3627773.3250000007</v>
      </c>
      <c r="K63" s="175">
        <f t="shared" si="15"/>
        <v>3609451.2375000003</v>
      </c>
      <c r="L63" s="175">
        <f t="shared" si="15"/>
        <v>3591129.1500000004</v>
      </c>
      <c r="M63" s="175">
        <f t="shared" si="15"/>
        <v>3572807.0625000005</v>
      </c>
      <c r="N63" s="175">
        <f t="shared" si="15"/>
        <v>3554484.9750000006</v>
      </c>
      <c r="O63" s="175">
        <f t="shared" si="15"/>
        <v>3536162.8875000002</v>
      </c>
      <c r="P63" s="175">
        <f t="shared" si="15"/>
        <v>3517840.8000000003</v>
      </c>
      <c r="Q63" s="175">
        <f t="shared" si="15"/>
        <v>3499518.7125000004</v>
      </c>
      <c r="R63" s="175">
        <f t="shared" si="15"/>
        <v>3481196.6250000005</v>
      </c>
      <c r="S63" s="175">
        <f t="shared" si="15"/>
        <v>3462874.5375000001</v>
      </c>
      <c r="T63" s="175">
        <f t="shared" si="15"/>
        <v>3444552.45</v>
      </c>
      <c r="U63" s="175">
        <f t="shared" si="15"/>
        <v>3426230.3625000007</v>
      </c>
      <c r="V63" s="175">
        <f t="shared" si="15"/>
        <v>3407908.2750000004</v>
      </c>
      <c r="W63" s="175">
        <f t="shared" si="15"/>
        <v>3389586.1875000005</v>
      </c>
      <c r="X63" s="175">
        <f t="shared" si="15"/>
        <v>3371264.1000000006</v>
      </c>
      <c r="Y63" s="175">
        <f t="shared" si="15"/>
        <v>3352942.0125000007</v>
      </c>
      <c r="Z63" s="175">
        <f t="shared" si="15"/>
        <v>3334619.9250000007</v>
      </c>
      <c r="AA63" s="175">
        <f t="shared" si="15"/>
        <v>3316297.8375000004</v>
      </c>
      <c r="AB63" s="175">
        <f t="shared" si="15"/>
        <v>1586655.0000000002</v>
      </c>
      <c r="AC63" s="175">
        <f t="shared" si="15"/>
        <v>1577840.2500000002</v>
      </c>
      <c r="AD63" s="175">
        <f t="shared" si="15"/>
        <v>1569025.5000000005</v>
      </c>
      <c r="AE63" s="175">
        <f t="shared" si="15"/>
        <v>1560210.7500000002</v>
      </c>
      <c r="AF63" s="175">
        <f t="shared" si="15"/>
        <v>1551396.0000000002</v>
      </c>
      <c r="AG63" s="175">
        <f t="shared" si="15"/>
        <v>1542581.2500000002</v>
      </c>
      <c r="AH63" s="175">
        <f t="shared" si="15"/>
        <v>1533766.5000000002</v>
      </c>
      <c r="AI63" s="175">
        <f t="shared" si="15"/>
        <v>1524951.75</v>
      </c>
      <c r="AJ63" s="175">
        <f t="shared" si="15"/>
        <v>1516137.0000000002</v>
      </c>
      <c r="AK63" s="175">
        <f t="shared" si="15"/>
        <v>1507322.2500000002</v>
      </c>
    </row>
    <row r="64" spans="1:37" s="5" customFormat="1" hidden="1" outlineLevel="1" x14ac:dyDescent="0.2"/>
    <row r="65" spans="1:37" s="5" customFormat="1" hidden="1" outlineLevel="1" x14ac:dyDescent="0.2">
      <c r="B65" s="30" t="s">
        <v>60</v>
      </c>
    </row>
    <row r="66" spans="1:37" s="5" customFormat="1" hidden="1" outlineLevel="1" x14ac:dyDescent="0.2">
      <c r="B66" s="33" t="str">
        <f t="shared" ref="B66:B74" si="16">B29</f>
        <v>Operation and Maintenance</v>
      </c>
      <c r="H66" s="37">
        <f>-IF(AND(H$54&gt;=$E29,H$54&lt;=$F29),$D29*(1+$D$15)^H$55,0)</f>
        <v>-276000</v>
      </c>
      <c r="I66" s="37">
        <f t="shared" ref="I66:AK73" si="17">-IF(AND(I$54&gt;=$E29,I$54&lt;=$F29),$D29*(1+$D$15)^I$55,0)</f>
        <v>-281520</v>
      </c>
      <c r="J66" s="37">
        <f t="shared" si="17"/>
        <v>-287150.40000000002</v>
      </c>
      <c r="K66" s="37">
        <f t="shared" si="17"/>
        <v>-292893.408</v>
      </c>
      <c r="L66" s="37">
        <f t="shared" si="17"/>
        <v>-298751.27616000001</v>
      </c>
      <c r="M66" s="37">
        <f t="shared" si="17"/>
        <v>-304726.3016832</v>
      </c>
      <c r="N66" s="37">
        <f t="shared" si="17"/>
        <v>-310820.82771686401</v>
      </c>
      <c r="O66" s="37">
        <f t="shared" si="17"/>
        <v>-317037.24427120126</v>
      </c>
      <c r="P66" s="37">
        <f t="shared" si="17"/>
        <v>-323377.98915662529</v>
      </c>
      <c r="Q66" s="37">
        <f t="shared" si="17"/>
        <v>-329845.54893975781</v>
      </c>
      <c r="R66" s="37">
        <f t="shared" si="17"/>
        <v>-336442.45991855295</v>
      </c>
      <c r="S66" s="37">
        <f t="shared" si="17"/>
        <v>-343171.30911692395</v>
      </c>
      <c r="T66" s="37">
        <f t="shared" si="17"/>
        <v>-350034.73529926251</v>
      </c>
      <c r="U66" s="37">
        <f t="shared" si="17"/>
        <v>-357035.4300052477</v>
      </c>
      <c r="V66" s="37">
        <f t="shared" si="17"/>
        <v>-364176.13860535272</v>
      </c>
      <c r="W66" s="37">
        <f t="shared" si="17"/>
        <v>-371459.66137745965</v>
      </c>
      <c r="X66" s="37">
        <f t="shared" si="17"/>
        <v>-378888.85460500891</v>
      </c>
      <c r="Y66" s="37">
        <f t="shared" si="17"/>
        <v>-386466.63169710914</v>
      </c>
      <c r="Z66" s="37">
        <f t="shared" si="17"/>
        <v>-394195.96433105128</v>
      </c>
      <c r="AA66" s="37">
        <f t="shared" si="17"/>
        <v>-402079.88361767225</v>
      </c>
      <c r="AB66" s="37">
        <f t="shared" si="17"/>
        <v>-410121.48129002575</v>
      </c>
      <c r="AC66" s="37">
        <f t="shared" si="17"/>
        <v>-418323.91091582627</v>
      </c>
      <c r="AD66" s="37">
        <f t="shared" si="17"/>
        <v>-426690.38913414278</v>
      </c>
      <c r="AE66" s="37">
        <f t="shared" si="17"/>
        <v>-435224.1969168256</v>
      </c>
      <c r="AF66" s="37">
        <f t="shared" si="17"/>
        <v>-443928.68085516209</v>
      </c>
      <c r="AG66" s="37">
        <f t="shared" si="17"/>
        <v>-452807.25447226537</v>
      </c>
      <c r="AH66" s="37">
        <f t="shared" si="17"/>
        <v>-461863.39956171071</v>
      </c>
      <c r="AI66" s="37">
        <f t="shared" si="17"/>
        <v>-471100.66755294485</v>
      </c>
      <c r="AJ66" s="37">
        <f t="shared" si="17"/>
        <v>-480522.68090400385</v>
      </c>
      <c r="AK66" s="37">
        <f t="shared" si="17"/>
        <v>-490133.13452208386</v>
      </c>
    </row>
    <row r="67" spans="1:37" s="5" customFormat="1" hidden="1" outlineLevel="1" x14ac:dyDescent="0.2">
      <c r="B67" s="33" t="str">
        <f t="shared" si="16"/>
        <v>G&amp;A/Legal/Audit/Admin</v>
      </c>
      <c r="H67" s="37">
        <f t="shared" ref="H67:W73" si="18">-IF(AND(H$54&gt;=$E30,H$54&lt;=$F30),$D30*(1+$D$15)^H$55,0)</f>
        <v>-75000</v>
      </c>
      <c r="I67" s="37">
        <f t="shared" si="18"/>
        <v>-76500</v>
      </c>
      <c r="J67" s="37">
        <f t="shared" si="18"/>
        <v>-78030</v>
      </c>
      <c r="K67" s="37">
        <f t="shared" si="18"/>
        <v>-79590.599999999991</v>
      </c>
      <c r="L67" s="37">
        <f t="shared" si="18"/>
        <v>-81182.411999999997</v>
      </c>
      <c r="M67" s="37">
        <f t="shared" si="18"/>
        <v>-82806.060240000006</v>
      </c>
      <c r="N67" s="37">
        <f t="shared" si="18"/>
        <v>-84462.181444800008</v>
      </c>
      <c r="O67" s="37">
        <f t="shared" si="18"/>
        <v>-86151.42507369598</v>
      </c>
      <c r="P67" s="37">
        <f t="shared" si="18"/>
        <v>-87874.453575169915</v>
      </c>
      <c r="Q67" s="37">
        <f t="shared" si="18"/>
        <v>-89631.942646673313</v>
      </c>
      <c r="R67" s="37">
        <f t="shared" si="18"/>
        <v>-91424.581499606778</v>
      </c>
      <c r="S67" s="37">
        <f t="shared" si="18"/>
        <v>-93253.073129598895</v>
      </c>
      <c r="T67" s="37">
        <f t="shared" si="18"/>
        <v>-95118.134592190894</v>
      </c>
      <c r="U67" s="37">
        <f t="shared" si="18"/>
        <v>-97020.497284034704</v>
      </c>
      <c r="V67" s="37">
        <f t="shared" si="18"/>
        <v>-98960.907229715405</v>
      </c>
      <c r="W67" s="37">
        <f t="shared" si="18"/>
        <v>-100940.12537430969</v>
      </c>
      <c r="X67" s="37">
        <f t="shared" si="17"/>
        <v>-102958.9278817959</v>
      </c>
      <c r="Y67" s="37">
        <f t="shared" si="17"/>
        <v>-105018.10643943182</v>
      </c>
      <c r="Z67" s="37">
        <f t="shared" si="17"/>
        <v>-107118.46856822046</v>
      </c>
      <c r="AA67" s="37">
        <f t="shared" si="17"/>
        <v>-109260.83793958486</v>
      </c>
      <c r="AB67" s="37">
        <f t="shared" si="17"/>
        <v>-111446.05469837657</v>
      </c>
      <c r="AC67" s="37">
        <f t="shared" si="17"/>
        <v>-113674.97579234409</v>
      </c>
      <c r="AD67" s="37">
        <f t="shared" si="17"/>
        <v>-115948.47530819097</v>
      </c>
      <c r="AE67" s="37">
        <f t="shared" si="17"/>
        <v>-118267.44481435478</v>
      </c>
      <c r="AF67" s="37">
        <f t="shared" si="17"/>
        <v>-120632.79371064188</v>
      </c>
      <c r="AG67" s="37">
        <f t="shared" si="17"/>
        <v>-123045.44958485472</v>
      </c>
      <c r="AH67" s="37">
        <f t="shared" si="17"/>
        <v>-125506.35857655182</v>
      </c>
      <c r="AI67" s="37">
        <f t="shared" si="17"/>
        <v>-128016.48574808284</v>
      </c>
      <c r="AJ67" s="37">
        <f t="shared" si="17"/>
        <v>-130576.81546304452</v>
      </c>
      <c r="AK67" s="37">
        <f t="shared" si="17"/>
        <v>-133188.35177230538</v>
      </c>
    </row>
    <row r="68" spans="1:37" s="5" customFormat="1" hidden="1" outlineLevel="1" x14ac:dyDescent="0.2">
      <c r="B68" s="33" t="str">
        <f t="shared" si="16"/>
        <v>Insurance</v>
      </c>
      <c r="H68" s="37">
        <f t="shared" si="18"/>
        <v>-103000</v>
      </c>
      <c r="I68" s="37">
        <f t="shared" si="17"/>
        <v>-105060</v>
      </c>
      <c r="J68" s="37">
        <f t="shared" si="17"/>
        <v>-107161.2</v>
      </c>
      <c r="K68" s="37">
        <f t="shared" si="17"/>
        <v>-109304.424</v>
      </c>
      <c r="L68" s="37">
        <f t="shared" si="17"/>
        <v>-111490.51247999999</v>
      </c>
      <c r="M68" s="37">
        <f t="shared" si="17"/>
        <v>-113720.3227296</v>
      </c>
      <c r="N68" s="37">
        <f t="shared" si="17"/>
        <v>-115994.72918419201</v>
      </c>
      <c r="O68" s="37">
        <f t="shared" si="17"/>
        <v>-118314.62376787582</v>
      </c>
      <c r="P68" s="37">
        <f t="shared" si="17"/>
        <v>-120680.91624323335</v>
      </c>
      <c r="Q68" s="37">
        <f t="shared" si="17"/>
        <v>-123094.53456809801</v>
      </c>
      <c r="R68" s="37">
        <f t="shared" si="17"/>
        <v>-125556.42525945998</v>
      </c>
      <c r="S68" s="37">
        <f t="shared" si="17"/>
        <v>-128067.55376464916</v>
      </c>
      <c r="T68" s="37">
        <f t="shared" si="17"/>
        <v>-130628.90483994216</v>
      </c>
      <c r="U68" s="37">
        <f t="shared" si="17"/>
        <v>-133241.482936741</v>
      </c>
      <c r="V68" s="37">
        <f t="shared" si="17"/>
        <v>-135906.31259547584</v>
      </c>
      <c r="W68" s="37">
        <f t="shared" si="17"/>
        <v>-138624.43884738532</v>
      </c>
      <c r="X68" s="37">
        <f t="shared" si="17"/>
        <v>-141396.92762433304</v>
      </c>
      <c r="Y68" s="37">
        <f t="shared" si="17"/>
        <v>-144224.86617681972</v>
      </c>
      <c r="Z68" s="37">
        <f t="shared" si="17"/>
        <v>-147109.36350035609</v>
      </c>
      <c r="AA68" s="37">
        <f t="shared" si="17"/>
        <v>-150051.55077036322</v>
      </c>
      <c r="AB68" s="37">
        <f t="shared" si="17"/>
        <v>-153052.58178577048</v>
      </c>
      <c r="AC68" s="37">
        <f t="shared" si="17"/>
        <v>-156113.63342148589</v>
      </c>
      <c r="AD68" s="37">
        <f t="shared" si="17"/>
        <v>-159235.9060899156</v>
      </c>
      <c r="AE68" s="37">
        <f t="shared" si="17"/>
        <v>-162420.6242117139</v>
      </c>
      <c r="AF68" s="37">
        <f t="shared" si="17"/>
        <v>-165669.03669594819</v>
      </c>
      <c r="AG68" s="37">
        <f t="shared" si="17"/>
        <v>-168982.41742986714</v>
      </c>
      <c r="AH68" s="37">
        <f t="shared" si="17"/>
        <v>-172362.06577846452</v>
      </c>
      <c r="AI68" s="37">
        <f t="shared" si="17"/>
        <v>-175809.30709403375</v>
      </c>
      <c r="AJ68" s="37">
        <f t="shared" si="17"/>
        <v>-179325.49323591447</v>
      </c>
      <c r="AK68" s="37">
        <f t="shared" si="17"/>
        <v>-182912.00310063275</v>
      </c>
    </row>
    <row r="69" spans="1:37" s="5" customFormat="1" hidden="1" outlineLevel="1" x14ac:dyDescent="0.2">
      <c r="B69" s="33" t="str">
        <f t="shared" si="16"/>
        <v>Property Tax</v>
      </c>
      <c r="H69" s="37">
        <f t="shared" si="18"/>
        <v>-155000</v>
      </c>
      <c r="I69" s="37">
        <f t="shared" si="17"/>
        <v>-158100</v>
      </c>
      <c r="J69" s="37">
        <f t="shared" si="17"/>
        <v>-161262</v>
      </c>
      <c r="K69" s="37">
        <f t="shared" si="17"/>
        <v>-164487.24</v>
      </c>
      <c r="L69" s="37">
        <f t="shared" si="17"/>
        <v>-167776.98480000001</v>
      </c>
      <c r="M69" s="37">
        <f t="shared" si="17"/>
        <v>-171132.524496</v>
      </c>
      <c r="N69" s="37">
        <f t="shared" si="17"/>
        <v>-174555.17498592002</v>
      </c>
      <c r="O69" s="37">
        <f t="shared" si="17"/>
        <v>-178046.27848563838</v>
      </c>
      <c r="P69" s="37">
        <f t="shared" si="17"/>
        <v>-181607.20405535115</v>
      </c>
      <c r="Q69" s="37">
        <f t="shared" si="17"/>
        <v>-185239.34813645817</v>
      </c>
      <c r="R69" s="37">
        <f t="shared" si="17"/>
        <v>-188944.13509918735</v>
      </c>
      <c r="S69" s="37">
        <f t="shared" si="17"/>
        <v>-192723.01780117105</v>
      </c>
      <c r="T69" s="37">
        <f t="shared" si="17"/>
        <v>-196577.47815719451</v>
      </c>
      <c r="U69" s="37">
        <f t="shared" si="17"/>
        <v>-200509.0277203384</v>
      </c>
      <c r="V69" s="37">
        <f t="shared" si="17"/>
        <v>-204519.20827474518</v>
      </c>
      <c r="W69" s="37">
        <f t="shared" si="17"/>
        <v>-208609.59244024003</v>
      </c>
      <c r="X69" s="37">
        <f t="shared" si="17"/>
        <v>-212781.78428904485</v>
      </c>
      <c r="Y69" s="37">
        <f t="shared" si="17"/>
        <v>-217037.41997482578</v>
      </c>
      <c r="Z69" s="37">
        <f t="shared" si="17"/>
        <v>-221378.16837432227</v>
      </c>
      <c r="AA69" s="37">
        <f t="shared" si="17"/>
        <v>-225805.7317418087</v>
      </c>
      <c r="AB69" s="37">
        <f t="shared" si="17"/>
        <v>-230321.84637664491</v>
      </c>
      <c r="AC69" s="37">
        <f t="shared" si="17"/>
        <v>-234928.28330417778</v>
      </c>
      <c r="AD69" s="37">
        <f t="shared" si="17"/>
        <v>-239626.84897026134</v>
      </c>
      <c r="AE69" s="37">
        <f t="shared" si="17"/>
        <v>-244419.38594966655</v>
      </c>
      <c r="AF69" s="37">
        <f t="shared" si="17"/>
        <v>-249307.77366865988</v>
      </c>
      <c r="AG69" s="37">
        <f t="shared" si="17"/>
        <v>-254293.92914203307</v>
      </c>
      <c r="AH69" s="37">
        <f t="shared" si="17"/>
        <v>-259379.80772487377</v>
      </c>
      <c r="AI69" s="37">
        <f t="shared" si="17"/>
        <v>-264567.40387937118</v>
      </c>
      <c r="AJ69" s="37">
        <f t="shared" si="17"/>
        <v>-269858.75195695867</v>
      </c>
      <c r="AK69" s="37">
        <f t="shared" si="17"/>
        <v>-275255.92699609778</v>
      </c>
    </row>
    <row r="70" spans="1:37" s="5" customFormat="1" ht="14.25" hidden="1" customHeight="1" outlineLevel="1" x14ac:dyDescent="0.2">
      <c r="B70" s="33" t="str">
        <f t="shared" si="16"/>
        <v>Lease 1-20</v>
      </c>
      <c r="H70" s="37">
        <f t="shared" si="18"/>
        <v>-115000</v>
      </c>
      <c r="I70" s="37">
        <f t="shared" si="17"/>
        <v>-117300</v>
      </c>
      <c r="J70" s="37">
        <f t="shared" si="17"/>
        <v>-119646</v>
      </c>
      <c r="K70" s="37">
        <f t="shared" si="17"/>
        <v>-122038.92</v>
      </c>
      <c r="L70" s="37">
        <f t="shared" si="17"/>
        <v>-124479.69839999999</v>
      </c>
      <c r="M70" s="37">
        <f t="shared" si="17"/>
        <v>-126969.29236799999</v>
      </c>
      <c r="N70" s="37">
        <f t="shared" si="17"/>
        <v>-129508.67821536001</v>
      </c>
      <c r="O70" s="37">
        <f t="shared" si="17"/>
        <v>-132098.85177966717</v>
      </c>
      <c r="P70" s="37">
        <f t="shared" si="17"/>
        <v>-134740.82881526052</v>
      </c>
      <c r="Q70" s="37">
        <f t="shared" si="17"/>
        <v>-137435.64539156575</v>
      </c>
      <c r="R70" s="37">
        <f t="shared" si="17"/>
        <v>-140184.35829939708</v>
      </c>
      <c r="S70" s="37">
        <f t="shared" si="17"/>
        <v>-142988.04546538499</v>
      </c>
      <c r="T70" s="37">
        <f t="shared" si="17"/>
        <v>-145847.80637469271</v>
      </c>
      <c r="U70" s="37">
        <f t="shared" si="17"/>
        <v>-148764.76250218655</v>
      </c>
      <c r="V70" s="37">
        <f t="shared" si="17"/>
        <v>-151740.05775223029</v>
      </c>
      <c r="W70" s="37">
        <f t="shared" si="17"/>
        <v>-154774.85890727487</v>
      </c>
      <c r="X70" s="37">
        <f t="shared" si="17"/>
        <v>-157870.35608542038</v>
      </c>
      <c r="Y70" s="37">
        <f t="shared" si="17"/>
        <v>-161027.7632071288</v>
      </c>
      <c r="Z70" s="37">
        <f t="shared" si="17"/>
        <v>-164248.31847127137</v>
      </c>
      <c r="AA70" s="37">
        <f t="shared" si="17"/>
        <v>-167533.28484069678</v>
      </c>
      <c r="AB70" s="37">
        <f t="shared" si="17"/>
        <v>0</v>
      </c>
      <c r="AC70" s="37">
        <f t="shared" si="17"/>
        <v>0</v>
      </c>
      <c r="AD70" s="37">
        <f t="shared" si="17"/>
        <v>0</v>
      </c>
      <c r="AE70" s="37">
        <f t="shared" si="17"/>
        <v>0</v>
      </c>
      <c r="AF70" s="37">
        <f t="shared" si="17"/>
        <v>0</v>
      </c>
      <c r="AG70" s="37">
        <f t="shared" si="17"/>
        <v>0</v>
      </c>
      <c r="AH70" s="37">
        <f t="shared" si="17"/>
        <v>0</v>
      </c>
      <c r="AI70" s="37">
        <f t="shared" si="17"/>
        <v>0</v>
      </c>
      <c r="AJ70" s="37">
        <f t="shared" si="17"/>
        <v>0</v>
      </c>
      <c r="AK70" s="37">
        <f t="shared" si="17"/>
        <v>0</v>
      </c>
    </row>
    <row r="71" spans="1:37" s="38" customFormat="1" hidden="1" outlineLevel="1" x14ac:dyDescent="0.2">
      <c r="B71" s="33" t="str">
        <f t="shared" si="16"/>
        <v>Lease 21-30</v>
      </c>
      <c r="C71" s="5"/>
      <c r="D71" s="5"/>
      <c r="E71" s="5"/>
      <c r="F71" s="5"/>
      <c r="G71" s="5"/>
      <c r="H71" s="37">
        <f t="shared" si="18"/>
        <v>0</v>
      </c>
      <c r="I71" s="37">
        <f t="shared" si="17"/>
        <v>0</v>
      </c>
      <c r="J71" s="37">
        <f t="shared" si="17"/>
        <v>0</v>
      </c>
      <c r="K71" s="37">
        <f t="shared" si="17"/>
        <v>0</v>
      </c>
      <c r="L71" s="37">
        <f t="shared" si="17"/>
        <v>0</v>
      </c>
      <c r="M71" s="37">
        <f t="shared" si="17"/>
        <v>0</v>
      </c>
      <c r="N71" s="37">
        <f t="shared" si="17"/>
        <v>0</v>
      </c>
      <c r="O71" s="37">
        <f t="shared" si="17"/>
        <v>0</v>
      </c>
      <c r="P71" s="37">
        <f t="shared" si="17"/>
        <v>0</v>
      </c>
      <c r="Q71" s="37">
        <f t="shared" si="17"/>
        <v>0</v>
      </c>
      <c r="R71" s="37">
        <f t="shared" si="17"/>
        <v>0</v>
      </c>
      <c r="S71" s="37">
        <f t="shared" si="17"/>
        <v>0</v>
      </c>
      <c r="T71" s="37">
        <f t="shared" si="17"/>
        <v>0</v>
      </c>
      <c r="U71" s="37">
        <f t="shared" si="17"/>
        <v>0</v>
      </c>
      <c r="V71" s="37">
        <f t="shared" si="17"/>
        <v>0</v>
      </c>
      <c r="W71" s="37">
        <f t="shared" si="17"/>
        <v>0</v>
      </c>
      <c r="X71" s="37">
        <f t="shared" si="17"/>
        <v>0</v>
      </c>
      <c r="Y71" s="37">
        <f t="shared" si="17"/>
        <v>0</v>
      </c>
      <c r="Z71" s="37">
        <f t="shared" si="17"/>
        <v>0</v>
      </c>
      <c r="AA71" s="37">
        <f t="shared" si="17"/>
        <v>0</v>
      </c>
      <c r="AB71" s="37">
        <f t="shared" si="17"/>
        <v>-245181.32033642844</v>
      </c>
      <c r="AC71" s="37">
        <f t="shared" si="17"/>
        <v>-250084.94674315699</v>
      </c>
      <c r="AD71" s="37">
        <f t="shared" si="17"/>
        <v>-255086.64567802014</v>
      </c>
      <c r="AE71" s="37">
        <f t="shared" si="17"/>
        <v>-260188.37859158052</v>
      </c>
      <c r="AF71" s="37">
        <f t="shared" si="17"/>
        <v>-265392.14616341214</v>
      </c>
      <c r="AG71" s="37">
        <f t="shared" si="17"/>
        <v>-270699.98908668035</v>
      </c>
      <c r="AH71" s="37">
        <f t="shared" si="17"/>
        <v>-276113.98886841402</v>
      </c>
      <c r="AI71" s="37">
        <f t="shared" si="17"/>
        <v>-281636.26864578226</v>
      </c>
      <c r="AJ71" s="37">
        <f t="shared" si="17"/>
        <v>-287268.99401869794</v>
      </c>
      <c r="AK71" s="37">
        <f t="shared" si="17"/>
        <v>-293014.37389907188</v>
      </c>
    </row>
    <row r="72" spans="1:37" s="5" customFormat="1" hidden="1" outlineLevel="1" x14ac:dyDescent="0.2">
      <c r="B72" s="33" t="str">
        <f t="shared" si="16"/>
        <v>Interconnect O&amp;M</v>
      </c>
      <c r="H72" s="37">
        <f t="shared" si="18"/>
        <v>-28000</v>
      </c>
      <c r="I72" s="37">
        <f t="shared" si="17"/>
        <v>-28560</v>
      </c>
      <c r="J72" s="37">
        <f t="shared" si="17"/>
        <v>-29131.200000000001</v>
      </c>
      <c r="K72" s="37">
        <f t="shared" si="17"/>
        <v>-29713.823999999997</v>
      </c>
      <c r="L72" s="37">
        <f t="shared" si="17"/>
        <v>-30308.100480000001</v>
      </c>
      <c r="M72" s="37">
        <f t="shared" si="17"/>
        <v>-30914.262489600002</v>
      </c>
      <c r="N72" s="37">
        <f t="shared" si="17"/>
        <v>-31532.547739392001</v>
      </c>
      <c r="O72" s="37">
        <f t="shared" si="17"/>
        <v>-32163.198694179835</v>
      </c>
      <c r="P72" s="37">
        <f t="shared" si="17"/>
        <v>-32806.462668063432</v>
      </c>
      <c r="Q72" s="37">
        <f t="shared" si="17"/>
        <v>-33462.591921424704</v>
      </c>
      <c r="R72" s="37">
        <f t="shared" si="17"/>
        <v>-34131.843759853196</v>
      </c>
      <c r="S72" s="37">
        <f t="shared" si="17"/>
        <v>-34814.480635050255</v>
      </c>
      <c r="T72" s="37">
        <f t="shared" si="17"/>
        <v>-35510.770247751265</v>
      </c>
      <c r="U72" s="37">
        <f t="shared" si="17"/>
        <v>-36220.985652706288</v>
      </c>
      <c r="V72" s="37">
        <f t="shared" si="17"/>
        <v>-36945.405365760424</v>
      </c>
      <c r="W72" s="37">
        <f t="shared" si="17"/>
        <v>-37684.313473075621</v>
      </c>
      <c r="X72" s="37">
        <f t="shared" si="17"/>
        <v>-38437.99974253714</v>
      </c>
      <c r="Y72" s="37">
        <f t="shared" si="17"/>
        <v>-39206.759737387882</v>
      </c>
      <c r="Z72" s="37">
        <f t="shared" si="17"/>
        <v>-39990.894932135634</v>
      </c>
      <c r="AA72" s="37">
        <f t="shared" si="17"/>
        <v>-40790.71283077835</v>
      </c>
      <c r="AB72" s="37">
        <f t="shared" si="17"/>
        <v>-41606.527087393915</v>
      </c>
      <c r="AC72" s="37">
        <f t="shared" si="17"/>
        <v>-42438.657629141795</v>
      </c>
      <c r="AD72" s="37">
        <f t="shared" si="17"/>
        <v>-43287.43078172463</v>
      </c>
      <c r="AE72" s="37">
        <f t="shared" si="17"/>
        <v>-44153.179397359119</v>
      </c>
      <c r="AF72" s="37">
        <f t="shared" si="17"/>
        <v>-45036.2429853063</v>
      </c>
      <c r="AG72" s="37">
        <f t="shared" si="17"/>
        <v>-45936.967845012427</v>
      </c>
      <c r="AH72" s="37">
        <f t="shared" si="17"/>
        <v>-46855.707201912679</v>
      </c>
      <c r="AI72" s="37">
        <f t="shared" si="17"/>
        <v>-47792.821345950928</v>
      </c>
      <c r="AJ72" s="37">
        <f t="shared" si="17"/>
        <v>-48748.677772869953</v>
      </c>
      <c r="AK72" s="37">
        <f t="shared" si="17"/>
        <v>-49723.651328327345</v>
      </c>
    </row>
    <row r="73" spans="1:37" s="5" customFormat="1" hidden="1" outlineLevel="1" x14ac:dyDescent="0.2">
      <c r="B73" s="33" t="str">
        <f t="shared" si="16"/>
        <v>Inverter Reserve</v>
      </c>
      <c r="H73" s="37">
        <f t="shared" si="18"/>
        <v>-30000</v>
      </c>
      <c r="I73" s="37">
        <f t="shared" si="17"/>
        <v>-30600</v>
      </c>
      <c r="J73" s="37">
        <f t="shared" si="17"/>
        <v>-31212</v>
      </c>
      <c r="K73" s="37">
        <f t="shared" si="17"/>
        <v>-31836.239999999998</v>
      </c>
      <c r="L73" s="37">
        <f t="shared" si="17"/>
        <v>-32472.964799999998</v>
      </c>
      <c r="M73" s="37">
        <f t="shared" si="17"/>
        <v>-33122.424096000002</v>
      </c>
      <c r="N73" s="37">
        <f t="shared" si="17"/>
        <v>-33784.872577920003</v>
      </c>
      <c r="O73" s="37">
        <f t="shared" si="17"/>
        <v>-34460.570029478396</v>
      </c>
      <c r="P73" s="37">
        <f t="shared" si="17"/>
        <v>-35149.781430067967</v>
      </c>
      <c r="Q73" s="37">
        <f t="shared" si="17"/>
        <v>-35852.777058669322</v>
      </c>
      <c r="R73" s="37">
        <f t="shared" si="17"/>
        <v>-36569.83259984271</v>
      </c>
      <c r="S73" s="37">
        <f t="shared" si="17"/>
        <v>-37301.229251839562</v>
      </c>
      <c r="T73" s="37">
        <f t="shared" si="17"/>
        <v>-38047.253836876356</v>
      </c>
      <c r="U73" s="37">
        <f t="shared" si="17"/>
        <v>-38808.19891361388</v>
      </c>
      <c r="V73" s="37">
        <f t="shared" si="17"/>
        <v>-39584.362891886165</v>
      </c>
      <c r="W73" s="37">
        <f t="shared" si="17"/>
        <v>0</v>
      </c>
      <c r="X73" s="37">
        <f t="shared" si="17"/>
        <v>0</v>
      </c>
      <c r="Y73" s="37">
        <f t="shared" si="17"/>
        <v>0</v>
      </c>
      <c r="Z73" s="37">
        <f t="shared" si="17"/>
        <v>0</v>
      </c>
      <c r="AA73" s="37">
        <f t="shared" si="17"/>
        <v>0</v>
      </c>
      <c r="AB73" s="37">
        <f t="shared" si="17"/>
        <v>0</v>
      </c>
      <c r="AC73" s="37">
        <f t="shared" si="17"/>
        <v>0</v>
      </c>
      <c r="AD73" s="37">
        <f t="shared" si="17"/>
        <v>0</v>
      </c>
      <c r="AE73" s="37">
        <f t="shared" si="17"/>
        <v>0</v>
      </c>
      <c r="AF73" s="37">
        <f t="shared" si="17"/>
        <v>0</v>
      </c>
      <c r="AG73" s="37">
        <f t="shared" si="17"/>
        <v>0</v>
      </c>
      <c r="AH73" s="37">
        <f t="shared" si="17"/>
        <v>0</v>
      </c>
      <c r="AI73" s="37">
        <f t="shared" si="17"/>
        <v>0</v>
      </c>
      <c r="AJ73" s="37">
        <f t="shared" si="17"/>
        <v>0</v>
      </c>
      <c r="AK73" s="37">
        <f t="shared" si="17"/>
        <v>0</v>
      </c>
    </row>
    <row r="74" spans="1:37" s="38" customFormat="1" hidden="1" outlineLevel="1" x14ac:dyDescent="0.2">
      <c r="B74" s="33" t="str">
        <f t="shared" si="16"/>
        <v>Contingency</v>
      </c>
      <c r="C74" s="5"/>
      <c r="D74" s="5"/>
      <c r="E74" s="5"/>
      <c r="F74" s="5"/>
      <c r="G74" s="5"/>
      <c r="H74" s="39">
        <f>SUM(H66:H73)*$D$37</f>
        <v>-39100</v>
      </c>
      <c r="I74" s="39">
        <f t="shared" ref="I74:AK74" si="19">SUM(I66:I73)*$D$37</f>
        <v>-39882</v>
      </c>
      <c r="J74" s="39">
        <f t="shared" si="19"/>
        <v>-40679.640000000007</v>
      </c>
      <c r="K74" s="39">
        <f t="shared" si="19"/>
        <v>-41493.232800000005</v>
      </c>
      <c r="L74" s="39">
        <f t="shared" si="19"/>
        <v>-42323.097456000003</v>
      </c>
      <c r="M74" s="39">
        <f t="shared" si="19"/>
        <v>-43169.559405120002</v>
      </c>
      <c r="N74" s="39">
        <f t="shared" si="19"/>
        <v>-44032.950593222406</v>
      </c>
      <c r="O74" s="39">
        <f t="shared" si="19"/>
        <v>-44913.609605086851</v>
      </c>
      <c r="P74" s="39">
        <f t="shared" si="19"/>
        <v>-45811.88179718858</v>
      </c>
      <c r="Q74" s="39">
        <f t="shared" si="19"/>
        <v>-46728.119433132357</v>
      </c>
      <c r="R74" s="39">
        <f t="shared" si="19"/>
        <v>-47662.681821795006</v>
      </c>
      <c r="S74" s="39">
        <f t="shared" si="19"/>
        <v>-48615.935458230895</v>
      </c>
      <c r="T74" s="39">
        <f t="shared" si="19"/>
        <v>-49588.254167395527</v>
      </c>
      <c r="U74" s="39">
        <f t="shared" si="19"/>
        <v>-50580.019250743433</v>
      </c>
      <c r="V74" s="39">
        <f t="shared" si="19"/>
        <v>-51591.619635758303</v>
      </c>
      <c r="W74" s="39">
        <f t="shared" si="19"/>
        <v>-50604.649520987266</v>
      </c>
      <c r="X74" s="39">
        <f t="shared" si="19"/>
        <v>-51616.742511407014</v>
      </c>
      <c r="Y74" s="39">
        <f t="shared" si="19"/>
        <v>-52649.077361635165</v>
      </c>
      <c r="Z74" s="39">
        <f t="shared" si="19"/>
        <v>-53702.058908867861</v>
      </c>
      <c r="AA74" s="39">
        <f t="shared" si="19"/>
        <v>-54776.100087045219</v>
      </c>
      <c r="AB74" s="39">
        <f t="shared" si="19"/>
        <v>-59586.490578732002</v>
      </c>
      <c r="AC74" s="39">
        <f t="shared" si="19"/>
        <v>-60778.220390306647</v>
      </c>
      <c r="AD74" s="39">
        <f t="shared" si="19"/>
        <v>-61993.784798112785</v>
      </c>
      <c r="AE74" s="39">
        <f t="shared" si="19"/>
        <v>-63233.660494075019</v>
      </c>
      <c r="AF74" s="39">
        <f t="shared" si="19"/>
        <v>-64498.333703956523</v>
      </c>
      <c r="AG74" s="39">
        <f t="shared" si="19"/>
        <v>-65788.300378035667</v>
      </c>
      <c r="AH74" s="39">
        <f t="shared" si="19"/>
        <v>-67104.066385596394</v>
      </c>
      <c r="AI74" s="39">
        <f t="shared" si="19"/>
        <v>-68446.147713308295</v>
      </c>
      <c r="AJ74" s="39">
        <f t="shared" si="19"/>
        <v>-69815.070667574473</v>
      </c>
      <c r="AK74" s="39">
        <f t="shared" si="19"/>
        <v>-71211.372080925954</v>
      </c>
    </row>
    <row r="75" spans="1:37" s="38" customFormat="1" hidden="1" outlineLevel="1" x14ac:dyDescent="0.2">
      <c r="B75" s="30" t="s">
        <v>62</v>
      </c>
      <c r="C75" s="5"/>
      <c r="D75" s="5"/>
      <c r="E75" s="5"/>
      <c r="F75" s="5"/>
      <c r="G75" s="5"/>
      <c r="H75" s="40">
        <f>SUM(H66:H74)</f>
        <v>-821100</v>
      </c>
      <c r="I75" s="40">
        <f t="shared" ref="I75:AK75" si="20">SUM(I66:I74)</f>
        <v>-837522</v>
      </c>
      <c r="J75" s="40">
        <f t="shared" si="20"/>
        <v>-854272.44000000006</v>
      </c>
      <c r="K75" s="40">
        <f t="shared" si="20"/>
        <v>-871357.88880000007</v>
      </c>
      <c r="L75" s="40">
        <f t="shared" si="20"/>
        <v>-888785.04657600005</v>
      </c>
      <c r="M75" s="40">
        <f t="shared" si="20"/>
        <v>-906560.74750752002</v>
      </c>
      <c r="N75" s="40">
        <f t="shared" si="20"/>
        <v>-924691.96245767048</v>
      </c>
      <c r="O75" s="40">
        <f t="shared" si="20"/>
        <v>-943185.80170682387</v>
      </c>
      <c r="P75" s="40">
        <f t="shared" si="20"/>
        <v>-962049.51774096012</v>
      </c>
      <c r="Q75" s="40">
        <f t="shared" si="20"/>
        <v>-981290.50809577946</v>
      </c>
      <c r="R75" s="40">
        <f t="shared" si="20"/>
        <v>-1000916.3182576951</v>
      </c>
      <c r="S75" s="40">
        <f t="shared" si="20"/>
        <v>-1020934.6446228487</v>
      </c>
      <c r="T75" s="40">
        <f t="shared" si="20"/>
        <v>-1041353.337515306</v>
      </c>
      <c r="U75" s="40">
        <f t="shared" si="20"/>
        <v>-1062180.4042656119</v>
      </c>
      <c r="V75" s="40">
        <f t="shared" si="20"/>
        <v>-1083424.0123509243</v>
      </c>
      <c r="W75" s="40">
        <f t="shared" si="20"/>
        <v>-1062697.6399407324</v>
      </c>
      <c r="X75" s="40">
        <f t="shared" si="20"/>
        <v>-1083951.5927395474</v>
      </c>
      <c r="Y75" s="40">
        <f t="shared" si="20"/>
        <v>-1105630.6245943385</v>
      </c>
      <c r="Z75" s="40">
        <f t="shared" si="20"/>
        <v>-1127743.2370862251</v>
      </c>
      <c r="AA75" s="40">
        <f t="shared" si="20"/>
        <v>-1150298.1018279495</v>
      </c>
      <c r="AB75" s="40">
        <f t="shared" si="20"/>
        <v>-1251316.302153372</v>
      </c>
      <c r="AC75" s="40">
        <f t="shared" si="20"/>
        <v>-1276342.6281964395</v>
      </c>
      <c r="AD75" s="40">
        <f t="shared" si="20"/>
        <v>-1301869.4807603683</v>
      </c>
      <c r="AE75" s="40">
        <f t="shared" si="20"/>
        <v>-1327906.8703755753</v>
      </c>
      <c r="AF75" s="40">
        <f t="shared" si="20"/>
        <v>-1354465.007783087</v>
      </c>
      <c r="AG75" s="40">
        <f t="shared" si="20"/>
        <v>-1381554.307938749</v>
      </c>
      <c r="AH75" s="40">
        <f t="shared" si="20"/>
        <v>-1409185.394097524</v>
      </c>
      <c r="AI75" s="40">
        <f t="shared" si="20"/>
        <v>-1437369.1019794741</v>
      </c>
      <c r="AJ75" s="40">
        <f t="shared" si="20"/>
        <v>-1466116.4840190639</v>
      </c>
      <c r="AK75" s="40">
        <f t="shared" si="20"/>
        <v>-1495438.813699445</v>
      </c>
    </row>
    <row r="76" spans="1:37" s="38" customFormat="1" hidden="1" outlineLevel="1" x14ac:dyDescent="0.2">
      <c r="B76" s="41" t="s">
        <v>140</v>
      </c>
      <c r="C76" s="5"/>
      <c r="D76" s="5"/>
      <c r="E76" s="5"/>
      <c r="F76" s="5"/>
      <c r="G76" s="5"/>
      <c r="H76" s="176">
        <f>H75/-H58</f>
        <v>16.301369863013697</v>
      </c>
      <c r="I76" s="176">
        <f t="shared" ref="I76:AK76" si="21">I75/-I58</f>
        <v>16.710952020375849</v>
      </c>
      <c r="J76" s="176">
        <f t="shared" si="21"/>
        <v>17.131257783312577</v>
      </c>
      <c r="K76" s="176">
        <f t="shared" si="21"/>
        <v>17.562582852374661</v>
      </c>
      <c r="L76" s="176">
        <f t="shared" si="21"/>
        <v>18.005231624266145</v>
      </c>
      <c r="M76" s="176">
        <f t="shared" si="21"/>
        <v>18.459517468324549</v>
      </c>
      <c r="N76" s="176">
        <f t="shared" si="21"/>
        <v>18.925763012627595</v>
      </c>
      <c r="O76" s="176">
        <f t="shared" si="21"/>
        <v>19.404300440097142</v>
      </c>
      <c r="P76" s="176">
        <f t="shared" si="21"/>
        <v>19.895471794987095</v>
      </c>
      <c r="Q76" s="176">
        <f t="shared" si="21"/>
        <v>20.399629300158498</v>
      </c>
      <c r="R76" s="176">
        <f t="shared" si="21"/>
        <v>20.917135685562521</v>
      </c>
      <c r="S76" s="176">
        <f t="shared" si="21"/>
        <v>21.448364528370455</v>
      </c>
      <c r="T76" s="176">
        <f t="shared" si="21"/>
        <v>21.993700605208815</v>
      </c>
      <c r="U76" s="176">
        <f t="shared" si="21"/>
        <v>22.553540256977758</v>
      </c>
      <c r="V76" s="176">
        <f t="shared" si="21"/>
        <v>23.128291766752358</v>
      </c>
      <c r="W76" s="176">
        <f t="shared" si="21"/>
        <v>22.80846363806711</v>
      </c>
      <c r="X76" s="176">
        <f t="shared" si="21"/>
        <v>23.391071133169916</v>
      </c>
      <c r="Y76" s="176">
        <f t="shared" si="21"/>
        <v>23.98926901788705</v>
      </c>
      <c r="Z76" s="176">
        <f t="shared" si="21"/>
        <v>24.603499752081298</v>
      </c>
      <c r="AA76" s="176">
        <f t="shared" si="21"/>
        <v>25.234219303736865</v>
      </c>
      <c r="AB76" s="176">
        <f t="shared" si="21"/>
        <v>27.602768450210039</v>
      </c>
      <c r="AC76" s="176">
        <f t="shared" si="21"/>
        <v>28.312113337757339</v>
      </c>
      <c r="AD76" s="176">
        <f t="shared" si="21"/>
        <v>29.040593557346824</v>
      </c>
      <c r="AE76" s="176">
        <f t="shared" si="21"/>
        <v>29.788758001536095</v>
      </c>
      <c r="AF76" s="176">
        <f t="shared" si="21"/>
        <v>30.557172554530268</v>
      </c>
      <c r="AG76" s="176">
        <f t="shared" si="21"/>
        <v>31.346420668510138</v>
      </c>
      <c r="AH76" s="176">
        <f t="shared" si="21"/>
        <v>32.157103961661264</v>
      </c>
      <c r="AI76" s="176">
        <f t="shared" si="21"/>
        <v>32.989842838818731</v>
      </c>
      <c r="AJ76" s="176">
        <f t="shared" si="21"/>
        <v>33.845277135685777</v>
      </c>
      <c r="AK76" s="176">
        <f t="shared" si="21"/>
        <v>34.724066787629894</v>
      </c>
    </row>
    <row r="77" spans="1:37" s="38" customFormat="1" hidden="1" outlineLevel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s="38" customFormat="1" ht="16" hidden="1" outlineLevel="1" thickBot="1" x14ac:dyDescent="0.25">
      <c r="B78" s="30" t="s">
        <v>63</v>
      </c>
      <c r="C78" s="5"/>
      <c r="D78" s="5"/>
      <c r="E78" s="5"/>
      <c r="F78" s="5"/>
      <c r="G78" s="5"/>
      <c r="H78" s="177">
        <f>SUM(H63,H75)</f>
        <v>2843317.5000000005</v>
      </c>
      <c r="I78" s="178">
        <f t="shared" ref="I78:AK78" si="22">SUM(I63,I75)</f>
        <v>2808573.4125000006</v>
      </c>
      <c r="J78" s="178">
        <f t="shared" si="22"/>
        <v>2773500.8850000007</v>
      </c>
      <c r="K78" s="178">
        <f t="shared" si="22"/>
        <v>2738093.3487</v>
      </c>
      <c r="L78" s="178">
        <f t="shared" si="22"/>
        <v>2702344.1034240006</v>
      </c>
      <c r="M78" s="178">
        <f t="shared" si="22"/>
        <v>2666246.3149924804</v>
      </c>
      <c r="N78" s="178">
        <f t="shared" si="22"/>
        <v>2629793.0125423302</v>
      </c>
      <c r="O78" s="178">
        <f t="shared" si="22"/>
        <v>2592977.0857931762</v>
      </c>
      <c r="P78" s="178">
        <f t="shared" si="22"/>
        <v>2555791.28225904</v>
      </c>
      <c r="Q78" s="178">
        <f t="shared" si="22"/>
        <v>2518228.2044042209</v>
      </c>
      <c r="R78" s="178">
        <f t="shared" si="22"/>
        <v>2480280.3067423054</v>
      </c>
      <c r="S78" s="178">
        <f t="shared" si="22"/>
        <v>2441939.8928771513</v>
      </c>
      <c r="T78" s="178">
        <f t="shared" si="22"/>
        <v>2403199.1124846945</v>
      </c>
      <c r="U78" s="178">
        <f t="shared" si="22"/>
        <v>2364049.9582343888</v>
      </c>
      <c r="V78" s="178">
        <f t="shared" si="22"/>
        <v>2324484.2626490761</v>
      </c>
      <c r="W78" s="178">
        <f t="shared" si="22"/>
        <v>2326888.5475592678</v>
      </c>
      <c r="X78" s="178">
        <f t="shared" si="22"/>
        <v>2287312.507260453</v>
      </c>
      <c r="Y78" s="178">
        <f t="shared" si="22"/>
        <v>2247311.3879056619</v>
      </c>
      <c r="Z78" s="178">
        <f t="shared" si="22"/>
        <v>2206876.6879137754</v>
      </c>
      <c r="AA78" s="178">
        <f t="shared" si="22"/>
        <v>2165999.7356720511</v>
      </c>
      <c r="AB78" s="178">
        <f t="shared" si="22"/>
        <v>335338.69784662826</v>
      </c>
      <c r="AC78" s="178">
        <f t="shared" si="22"/>
        <v>301497.62180356076</v>
      </c>
      <c r="AD78" s="178">
        <f t="shared" si="22"/>
        <v>267156.01923963218</v>
      </c>
      <c r="AE78" s="178">
        <f t="shared" si="22"/>
        <v>232303.87962442497</v>
      </c>
      <c r="AF78" s="178">
        <f t="shared" si="22"/>
        <v>196930.99221691326</v>
      </c>
      <c r="AG78" s="178">
        <f t="shared" si="22"/>
        <v>161026.94206125126</v>
      </c>
      <c r="AH78" s="178">
        <f t="shared" si="22"/>
        <v>124581.10590247624</v>
      </c>
      <c r="AI78" s="178">
        <f t="shared" si="22"/>
        <v>87582.648020525929</v>
      </c>
      <c r="AJ78" s="178">
        <f t="shared" si="22"/>
        <v>50020.515980936354</v>
      </c>
      <c r="AK78" s="179">
        <f t="shared" si="22"/>
        <v>11883.436300555244</v>
      </c>
    </row>
    <row r="79" spans="1:37" s="38" customFormat="1" collapsed="1" x14ac:dyDescent="0.2">
      <c r="B79" s="37"/>
      <c r="C79" s="37"/>
      <c r="D79" s="37"/>
      <c r="E79" s="42"/>
      <c r="F79" s="42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</row>
    <row r="80" spans="1:37" s="2" customFormat="1" ht="18.75" customHeight="1" x14ac:dyDescent="0.2">
      <c r="A80" s="2" t="s">
        <v>147</v>
      </c>
      <c r="B80" s="128" t="s">
        <v>64</v>
      </c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</row>
    <row r="81" spans="2:37" s="43" customFormat="1" ht="16.5" hidden="1" customHeight="1" outlineLevel="1" x14ac:dyDescent="0.2">
      <c r="E81" s="44"/>
      <c r="F81" s="44"/>
    </row>
    <row r="82" spans="2:37" s="43" customFormat="1" ht="16.5" hidden="1" customHeight="1" outlineLevel="1" x14ac:dyDescent="0.2">
      <c r="B82" s="43" t="s">
        <v>73</v>
      </c>
      <c r="E82" s="44"/>
      <c r="F82" s="44"/>
      <c r="G82" s="181">
        <f>D17</f>
        <v>43831</v>
      </c>
      <c r="H82" s="181">
        <f>EOMONTH(G82,11)</f>
        <v>44196</v>
      </c>
      <c r="I82" s="181">
        <f>EOMONTH(H82,12)</f>
        <v>44561</v>
      </c>
      <c r="J82" s="181">
        <f t="shared" ref="J82:AK82" si="23">EOMONTH(I82,12)</f>
        <v>44926</v>
      </c>
      <c r="K82" s="181">
        <f t="shared" si="23"/>
        <v>45291</v>
      </c>
      <c r="L82" s="181">
        <f t="shared" si="23"/>
        <v>45657</v>
      </c>
      <c r="M82" s="181">
        <f t="shared" si="23"/>
        <v>46022</v>
      </c>
      <c r="N82" s="181">
        <f t="shared" si="23"/>
        <v>46387</v>
      </c>
      <c r="O82" s="181">
        <f t="shared" si="23"/>
        <v>46752</v>
      </c>
      <c r="P82" s="181">
        <f t="shared" si="23"/>
        <v>47118</v>
      </c>
      <c r="Q82" s="181">
        <f t="shared" si="23"/>
        <v>47483</v>
      </c>
      <c r="R82" s="181">
        <f t="shared" si="23"/>
        <v>47848</v>
      </c>
      <c r="S82" s="181">
        <f t="shared" si="23"/>
        <v>48213</v>
      </c>
      <c r="T82" s="181">
        <f t="shared" si="23"/>
        <v>48579</v>
      </c>
      <c r="U82" s="181">
        <f t="shared" si="23"/>
        <v>48944</v>
      </c>
      <c r="V82" s="181">
        <f t="shared" si="23"/>
        <v>49309</v>
      </c>
      <c r="W82" s="181">
        <f t="shared" si="23"/>
        <v>49674</v>
      </c>
      <c r="X82" s="181">
        <f t="shared" si="23"/>
        <v>50040</v>
      </c>
      <c r="Y82" s="181">
        <f t="shared" si="23"/>
        <v>50405</v>
      </c>
      <c r="Z82" s="181">
        <f t="shared" si="23"/>
        <v>50770</v>
      </c>
      <c r="AA82" s="181">
        <f t="shared" si="23"/>
        <v>51135</v>
      </c>
      <c r="AB82" s="181">
        <f t="shared" si="23"/>
        <v>51501</v>
      </c>
      <c r="AC82" s="181">
        <f t="shared" si="23"/>
        <v>51866</v>
      </c>
      <c r="AD82" s="181">
        <f t="shared" si="23"/>
        <v>52231</v>
      </c>
      <c r="AE82" s="181">
        <f t="shared" si="23"/>
        <v>52596</v>
      </c>
      <c r="AF82" s="181">
        <f t="shared" si="23"/>
        <v>52962</v>
      </c>
      <c r="AG82" s="181">
        <f t="shared" si="23"/>
        <v>53327</v>
      </c>
      <c r="AH82" s="181">
        <f t="shared" si="23"/>
        <v>53692</v>
      </c>
      <c r="AI82" s="181">
        <f t="shared" si="23"/>
        <v>54057</v>
      </c>
      <c r="AJ82" s="181">
        <f t="shared" si="23"/>
        <v>54423</v>
      </c>
      <c r="AK82" s="181">
        <f t="shared" si="23"/>
        <v>54788</v>
      </c>
    </row>
    <row r="83" spans="2:37" s="43" customFormat="1" ht="16.5" hidden="1" customHeight="1" outlineLevel="1" x14ac:dyDescent="0.2">
      <c r="B83" s="43" t="s">
        <v>65</v>
      </c>
      <c r="E83" s="44"/>
      <c r="F83" s="44"/>
      <c r="G83" s="44"/>
      <c r="H83" s="45">
        <f>H82-G82</f>
        <v>365</v>
      </c>
      <c r="I83" s="45">
        <f t="shared" ref="I83:AK83" si="24">I82-H82</f>
        <v>365</v>
      </c>
      <c r="J83" s="45">
        <f t="shared" si="24"/>
        <v>365</v>
      </c>
      <c r="K83" s="45">
        <f t="shared" si="24"/>
        <v>365</v>
      </c>
      <c r="L83" s="45">
        <f t="shared" si="24"/>
        <v>366</v>
      </c>
      <c r="M83" s="45">
        <f t="shared" si="24"/>
        <v>365</v>
      </c>
      <c r="N83" s="45">
        <f t="shared" si="24"/>
        <v>365</v>
      </c>
      <c r="O83" s="45">
        <f t="shared" si="24"/>
        <v>365</v>
      </c>
      <c r="P83" s="45">
        <f t="shared" si="24"/>
        <v>366</v>
      </c>
      <c r="Q83" s="45">
        <f t="shared" si="24"/>
        <v>365</v>
      </c>
      <c r="R83" s="45">
        <f t="shared" si="24"/>
        <v>365</v>
      </c>
      <c r="S83" s="45">
        <f t="shared" si="24"/>
        <v>365</v>
      </c>
      <c r="T83" s="45">
        <f t="shared" si="24"/>
        <v>366</v>
      </c>
      <c r="U83" s="45">
        <f t="shared" si="24"/>
        <v>365</v>
      </c>
      <c r="V83" s="45">
        <f t="shared" si="24"/>
        <v>365</v>
      </c>
      <c r="W83" s="45">
        <f t="shared" si="24"/>
        <v>365</v>
      </c>
      <c r="X83" s="45">
        <f t="shared" si="24"/>
        <v>366</v>
      </c>
      <c r="Y83" s="45">
        <f t="shared" si="24"/>
        <v>365</v>
      </c>
      <c r="Z83" s="45">
        <f t="shared" si="24"/>
        <v>365</v>
      </c>
      <c r="AA83" s="45">
        <f t="shared" si="24"/>
        <v>365</v>
      </c>
      <c r="AB83" s="45">
        <f t="shared" si="24"/>
        <v>366</v>
      </c>
      <c r="AC83" s="45">
        <f t="shared" si="24"/>
        <v>365</v>
      </c>
      <c r="AD83" s="45">
        <f t="shared" si="24"/>
        <v>365</v>
      </c>
      <c r="AE83" s="45">
        <f t="shared" si="24"/>
        <v>365</v>
      </c>
      <c r="AF83" s="45">
        <f t="shared" si="24"/>
        <v>366</v>
      </c>
      <c r="AG83" s="45">
        <f t="shared" si="24"/>
        <v>365</v>
      </c>
      <c r="AH83" s="45">
        <f t="shared" si="24"/>
        <v>365</v>
      </c>
      <c r="AI83" s="45">
        <f t="shared" si="24"/>
        <v>365</v>
      </c>
      <c r="AJ83" s="45">
        <f t="shared" si="24"/>
        <v>366</v>
      </c>
      <c r="AK83" s="45">
        <f t="shared" si="24"/>
        <v>365</v>
      </c>
    </row>
    <row r="84" spans="2:37" s="43" customFormat="1" ht="16.5" hidden="1" customHeight="1" outlineLevel="1" x14ac:dyDescent="0.2">
      <c r="E84" s="44"/>
      <c r="F84" s="44"/>
      <c r="G84" s="44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</row>
    <row r="85" spans="2:37" s="5" customFormat="1" hidden="1" outlineLevel="1" x14ac:dyDescent="0.2">
      <c r="B85" s="30" t="str">
        <f>TEXT(G85,"")&amp;" EBITDA"</f>
        <v>P50 EBITDA</v>
      </c>
      <c r="C85" s="30"/>
      <c r="D85" s="30"/>
      <c r="E85" s="30"/>
      <c r="F85" s="30"/>
      <c r="G85" s="47" t="str">
        <f>H15</f>
        <v>P50</v>
      </c>
      <c r="H85" s="182">
        <f t="shared" ref="H85:AK85" si="25">H78</f>
        <v>2843317.5000000005</v>
      </c>
      <c r="I85" s="182">
        <f t="shared" si="25"/>
        <v>2808573.4125000006</v>
      </c>
      <c r="J85" s="182">
        <f t="shared" si="25"/>
        <v>2773500.8850000007</v>
      </c>
      <c r="K85" s="182">
        <f t="shared" si="25"/>
        <v>2738093.3487</v>
      </c>
      <c r="L85" s="182">
        <f t="shared" si="25"/>
        <v>2702344.1034240006</v>
      </c>
      <c r="M85" s="182">
        <f t="shared" si="25"/>
        <v>2666246.3149924804</v>
      </c>
      <c r="N85" s="182">
        <f t="shared" si="25"/>
        <v>2629793.0125423302</v>
      </c>
      <c r="O85" s="182">
        <f t="shared" si="25"/>
        <v>2592977.0857931762</v>
      </c>
      <c r="P85" s="182">
        <f t="shared" si="25"/>
        <v>2555791.28225904</v>
      </c>
      <c r="Q85" s="182">
        <f t="shared" si="25"/>
        <v>2518228.2044042209</v>
      </c>
      <c r="R85" s="182">
        <f t="shared" si="25"/>
        <v>2480280.3067423054</v>
      </c>
      <c r="S85" s="182">
        <f t="shared" si="25"/>
        <v>2441939.8928771513</v>
      </c>
      <c r="T85" s="182">
        <f t="shared" si="25"/>
        <v>2403199.1124846945</v>
      </c>
      <c r="U85" s="182">
        <f t="shared" si="25"/>
        <v>2364049.9582343888</v>
      </c>
      <c r="V85" s="182">
        <f t="shared" si="25"/>
        <v>2324484.2626490761</v>
      </c>
      <c r="W85" s="182">
        <f t="shared" si="25"/>
        <v>2326888.5475592678</v>
      </c>
      <c r="X85" s="182">
        <f t="shared" si="25"/>
        <v>2287312.507260453</v>
      </c>
      <c r="Y85" s="182">
        <f t="shared" si="25"/>
        <v>2247311.3879056619</v>
      </c>
      <c r="Z85" s="182">
        <f t="shared" si="25"/>
        <v>2206876.6879137754</v>
      </c>
      <c r="AA85" s="182">
        <f t="shared" si="25"/>
        <v>2165999.7356720511</v>
      </c>
      <c r="AB85" s="182">
        <f t="shared" si="25"/>
        <v>335338.69784662826</v>
      </c>
      <c r="AC85" s="182">
        <f t="shared" si="25"/>
        <v>301497.62180356076</v>
      </c>
      <c r="AD85" s="182">
        <f t="shared" si="25"/>
        <v>267156.01923963218</v>
      </c>
      <c r="AE85" s="182">
        <f t="shared" si="25"/>
        <v>232303.87962442497</v>
      </c>
      <c r="AF85" s="182">
        <f t="shared" si="25"/>
        <v>196930.99221691326</v>
      </c>
      <c r="AG85" s="182">
        <f t="shared" si="25"/>
        <v>161026.94206125126</v>
      </c>
      <c r="AH85" s="182">
        <f t="shared" si="25"/>
        <v>124581.10590247624</v>
      </c>
      <c r="AI85" s="182">
        <f t="shared" si="25"/>
        <v>87582.648020525929</v>
      </c>
      <c r="AJ85" s="182">
        <f t="shared" si="25"/>
        <v>50020.515980936354</v>
      </c>
      <c r="AK85" s="182">
        <f t="shared" si="25"/>
        <v>11883.436300555244</v>
      </c>
    </row>
    <row r="86" spans="2:37" s="48" customFormat="1" hidden="1" outlineLevel="1" x14ac:dyDescent="0.2">
      <c r="B86" s="30" t="str">
        <f>TEXT(G86,"")&amp;" EBITDA"</f>
        <v>P99 EBITDA</v>
      </c>
      <c r="C86" s="30"/>
      <c r="D86" s="30"/>
      <c r="E86" s="30"/>
      <c r="F86" s="30"/>
      <c r="G86" s="151" t="s">
        <v>27</v>
      </c>
      <c r="H86" s="182">
        <f t="dataTable" ref="H86:AK86" dt2D="0" dtr="0" r1="H15" ca="1"/>
        <v>2385210.75</v>
      </c>
      <c r="I86" s="182">
        <v>2352757.19625</v>
      </c>
      <c r="J86" s="182">
        <v>2319975.2024999997</v>
      </c>
      <c r="K86" s="182">
        <v>2286858.1999500003</v>
      </c>
      <c r="L86" s="182">
        <v>2253399.4884240003</v>
      </c>
      <c r="M86" s="182">
        <v>2219592.2337424797</v>
      </c>
      <c r="N86" s="182">
        <v>2185429.4650423294</v>
      </c>
      <c r="O86" s="182">
        <v>2150904.0720431758</v>
      </c>
      <c r="P86" s="182">
        <v>2116008.8022590401</v>
      </c>
      <c r="Q86" s="182">
        <v>2080736.2581542204</v>
      </c>
      <c r="R86" s="182">
        <v>2045078.8942423048</v>
      </c>
      <c r="S86" s="182">
        <v>2009029.0141271511</v>
      </c>
      <c r="T86" s="182">
        <v>1972578.7674846936</v>
      </c>
      <c r="U86" s="182">
        <v>1935720.1469843886</v>
      </c>
      <c r="V86" s="182">
        <v>1898444.9851490757</v>
      </c>
      <c r="W86" s="182">
        <v>1903139.8038092677</v>
      </c>
      <c r="X86" s="182">
        <v>1865854.2972604528</v>
      </c>
      <c r="Y86" s="182">
        <v>1828143.7116556612</v>
      </c>
      <c r="Z86" s="182">
        <v>1789999.5454137751</v>
      </c>
      <c r="AA86" s="182">
        <v>1751413.1269220507</v>
      </c>
      <c r="AB86" s="182">
        <v>136983.19784662826</v>
      </c>
      <c r="AC86" s="182">
        <v>104244.09680356039</v>
      </c>
      <c r="AD86" s="182">
        <v>71004.469239631668</v>
      </c>
      <c r="AE86" s="182">
        <v>37254.304624424782</v>
      </c>
      <c r="AF86" s="182">
        <v>2983.3922169129364</v>
      </c>
      <c r="AG86" s="182">
        <v>-31818.682938748971</v>
      </c>
      <c r="AH86" s="182">
        <v>-67162.544097523903</v>
      </c>
      <c r="AI86" s="182">
        <v>-103059.02697947412</v>
      </c>
      <c r="AJ86" s="182">
        <v>-139519.18401906383</v>
      </c>
      <c r="AK86" s="182">
        <v>-176554.28869944485</v>
      </c>
    </row>
    <row r="87" spans="2:37" s="5" customFormat="1" hidden="1" outlineLevel="1" x14ac:dyDescent="0.2">
      <c r="B87" s="30"/>
      <c r="C87" s="30"/>
      <c r="D87" s="30"/>
      <c r="E87" s="30"/>
      <c r="F87" s="30"/>
      <c r="G87" s="151"/>
      <c r="H87" s="49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</row>
    <row r="88" spans="2:37" s="5" customFormat="1" hidden="1" outlineLevel="1" x14ac:dyDescent="0.2">
      <c r="B88" s="30" t="str">
        <f>B85</f>
        <v>P50 EBITDA</v>
      </c>
      <c r="C88" s="30"/>
      <c r="D88" s="30"/>
      <c r="E88" s="30"/>
      <c r="F88" s="30"/>
      <c r="G88" s="151"/>
      <c r="H88" s="175">
        <f>IF(H$54&gt;$K$31,0,H85)</f>
        <v>2843317.5000000005</v>
      </c>
      <c r="I88" s="175">
        <f t="shared" ref="I88:AK88" si="26">IF(I$54&gt;$K$31,0,I85)</f>
        <v>2808573.4125000006</v>
      </c>
      <c r="J88" s="175">
        <f t="shared" si="26"/>
        <v>2773500.8850000007</v>
      </c>
      <c r="K88" s="175">
        <f t="shared" si="26"/>
        <v>2738093.3487</v>
      </c>
      <c r="L88" s="175">
        <f t="shared" si="26"/>
        <v>2702344.1034240006</v>
      </c>
      <c r="M88" s="175">
        <f t="shared" si="26"/>
        <v>2666246.3149924804</v>
      </c>
      <c r="N88" s="175">
        <f t="shared" si="26"/>
        <v>2629793.0125423302</v>
      </c>
      <c r="O88" s="175">
        <f t="shared" si="26"/>
        <v>2592977.0857931762</v>
      </c>
      <c r="P88" s="175">
        <f t="shared" si="26"/>
        <v>2555791.28225904</v>
      </c>
      <c r="Q88" s="175">
        <f t="shared" si="26"/>
        <v>2518228.2044042209</v>
      </c>
      <c r="R88" s="175">
        <f t="shared" si="26"/>
        <v>2480280.3067423054</v>
      </c>
      <c r="S88" s="175">
        <f t="shared" si="26"/>
        <v>2441939.8928771513</v>
      </c>
      <c r="T88" s="175">
        <f t="shared" si="26"/>
        <v>2403199.1124846945</v>
      </c>
      <c r="U88" s="175">
        <f t="shared" si="26"/>
        <v>2364049.9582343888</v>
      </c>
      <c r="V88" s="175">
        <f t="shared" si="26"/>
        <v>2324484.2626490761</v>
      </c>
      <c r="W88" s="175">
        <f t="shared" si="26"/>
        <v>2326888.5475592678</v>
      </c>
      <c r="X88" s="175">
        <f t="shared" si="26"/>
        <v>2287312.507260453</v>
      </c>
      <c r="Y88" s="175">
        <f t="shared" si="26"/>
        <v>2247311.3879056619</v>
      </c>
      <c r="Z88" s="175">
        <f t="shared" si="26"/>
        <v>2206876.6879137754</v>
      </c>
      <c r="AA88" s="175">
        <f t="shared" si="26"/>
        <v>0</v>
      </c>
      <c r="AB88" s="175">
        <f t="shared" si="26"/>
        <v>0</v>
      </c>
      <c r="AC88" s="175">
        <f t="shared" si="26"/>
        <v>0</v>
      </c>
      <c r="AD88" s="175">
        <f t="shared" si="26"/>
        <v>0</v>
      </c>
      <c r="AE88" s="175">
        <f t="shared" si="26"/>
        <v>0</v>
      </c>
      <c r="AF88" s="175">
        <f t="shared" si="26"/>
        <v>0</v>
      </c>
      <c r="AG88" s="175">
        <f t="shared" si="26"/>
        <v>0</v>
      </c>
      <c r="AH88" s="175">
        <f t="shared" si="26"/>
        <v>0</v>
      </c>
      <c r="AI88" s="175">
        <f t="shared" si="26"/>
        <v>0</v>
      </c>
      <c r="AJ88" s="175">
        <f t="shared" si="26"/>
        <v>0</v>
      </c>
      <c r="AK88" s="175">
        <f t="shared" si="26"/>
        <v>0</v>
      </c>
    </row>
    <row r="89" spans="2:37" s="5" customFormat="1" hidden="1" outlineLevel="1" x14ac:dyDescent="0.2">
      <c r="B89" s="5" t="str">
        <f>TEXT(G85,"")&amp;" DSCR"</f>
        <v>P50 DSCR</v>
      </c>
      <c r="G89" s="52">
        <f>K37</f>
        <v>1.35</v>
      </c>
      <c r="H89" s="53">
        <f>$G$89</f>
        <v>1.35</v>
      </c>
      <c r="I89" s="53">
        <f t="shared" ref="I89:AK89" si="27">$G$89</f>
        <v>1.35</v>
      </c>
      <c r="J89" s="53">
        <f t="shared" si="27"/>
        <v>1.35</v>
      </c>
      <c r="K89" s="53">
        <f t="shared" si="27"/>
        <v>1.35</v>
      </c>
      <c r="L89" s="53">
        <f t="shared" si="27"/>
        <v>1.35</v>
      </c>
      <c r="M89" s="53">
        <f t="shared" si="27"/>
        <v>1.35</v>
      </c>
      <c r="N89" s="53">
        <f t="shared" si="27"/>
        <v>1.35</v>
      </c>
      <c r="O89" s="53">
        <f t="shared" si="27"/>
        <v>1.35</v>
      </c>
      <c r="P89" s="53">
        <f t="shared" si="27"/>
        <v>1.35</v>
      </c>
      <c r="Q89" s="53">
        <f t="shared" si="27"/>
        <v>1.35</v>
      </c>
      <c r="R89" s="53">
        <f t="shared" si="27"/>
        <v>1.35</v>
      </c>
      <c r="S89" s="53">
        <f t="shared" si="27"/>
        <v>1.35</v>
      </c>
      <c r="T89" s="53">
        <f t="shared" si="27"/>
        <v>1.35</v>
      </c>
      <c r="U89" s="53">
        <f t="shared" si="27"/>
        <v>1.35</v>
      </c>
      <c r="V89" s="53">
        <f t="shared" si="27"/>
        <v>1.35</v>
      </c>
      <c r="W89" s="53">
        <f t="shared" si="27"/>
        <v>1.35</v>
      </c>
      <c r="X89" s="53">
        <f t="shared" si="27"/>
        <v>1.35</v>
      </c>
      <c r="Y89" s="53">
        <f t="shared" si="27"/>
        <v>1.35</v>
      </c>
      <c r="Z89" s="53">
        <f t="shared" si="27"/>
        <v>1.35</v>
      </c>
      <c r="AA89" s="53">
        <f t="shared" si="27"/>
        <v>1.35</v>
      </c>
      <c r="AB89" s="53">
        <f t="shared" si="27"/>
        <v>1.35</v>
      </c>
      <c r="AC89" s="53">
        <f t="shared" si="27"/>
        <v>1.35</v>
      </c>
      <c r="AD89" s="53">
        <f t="shared" si="27"/>
        <v>1.35</v>
      </c>
      <c r="AE89" s="53">
        <f t="shared" si="27"/>
        <v>1.35</v>
      </c>
      <c r="AF89" s="53">
        <f t="shared" si="27"/>
        <v>1.35</v>
      </c>
      <c r="AG89" s="53">
        <f t="shared" si="27"/>
        <v>1.35</v>
      </c>
      <c r="AH89" s="53">
        <f t="shared" si="27"/>
        <v>1.35</v>
      </c>
      <c r="AI89" s="53">
        <f t="shared" si="27"/>
        <v>1.35</v>
      </c>
      <c r="AJ89" s="53">
        <f t="shared" si="27"/>
        <v>1.35</v>
      </c>
      <c r="AK89" s="53">
        <f t="shared" si="27"/>
        <v>1.35</v>
      </c>
    </row>
    <row r="90" spans="2:37" s="5" customFormat="1" hidden="1" outlineLevel="1" x14ac:dyDescent="0.2">
      <c r="B90" s="5" t="s">
        <v>66</v>
      </c>
      <c r="G90" s="54">
        <v>0</v>
      </c>
      <c r="H90" s="183">
        <f>H88/H89</f>
        <v>2106161.1111111115</v>
      </c>
      <c r="I90" s="183">
        <f t="shared" ref="I90:AK90" si="28">I88/I89</f>
        <v>2080424.7500000002</v>
      </c>
      <c r="J90" s="183">
        <f t="shared" si="28"/>
        <v>2054445.1000000003</v>
      </c>
      <c r="K90" s="183">
        <f t="shared" si="28"/>
        <v>2028217.2953333331</v>
      </c>
      <c r="L90" s="183">
        <f t="shared" si="28"/>
        <v>2001736.3729066669</v>
      </c>
      <c r="M90" s="183">
        <f t="shared" si="28"/>
        <v>1974997.2703648002</v>
      </c>
      <c r="N90" s="183">
        <f t="shared" si="28"/>
        <v>1947994.8241054297</v>
      </c>
      <c r="O90" s="183">
        <f t="shared" si="28"/>
        <v>1920723.7672542045</v>
      </c>
      <c r="P90" s="183">
        <f t="shared" si="28"/>
        <v>1893178.7275992888</v>
      </c>
      <c r="Q90" s="183">
        <f t="shared" si="28"/>
        <v>1865354.225484608</v>
      </c>
      <c r="R90" s="183">
        <f t="shared" si="28"/>
        <v>1837244.6716609669</v>
      </c>
      <c r="S90" s="183">
        <f t="shared" si="28"/>
        <v>1808844.365094186</v>
      </c>
      <c r="T90" s="183">
        <f t="shared" si="28"/>
        <v>1780147.4907294032</v>
      </c>
      <c r="U90" s="183">
        <f t="shared" si="28"/>
        <v>1751148.1172106583</v>
      </c>
      <c r="V90" s="183">
        <f t="shared" si="28"/>
        <v>1721840.1945548709</v>
      </c>
      <c r="W90" s="183">
        <f t="shared" si="28"/>
        <v>1723621.1463401983</v>
      </c>
      <c r="X90" s="183">
        <f t="shared" si="28"/>
        <v>1694305.5609336686</v>
      </c>
      <c r="Y90" s="183">
        <f t="shared" si="28"/>
        <v>1664675.102152342</v>
      </c>
      <c r="Z90" s="183">
        <f t="shared" si="28"/>
        <v>1634723.4725287224</v>
      </c>
      <c r="AA90" s="183">
        <f t="shared" si="28"/>
        <v>0</v>
      </c>
      <c r="AB90" s="183">
        <f t="shared" si="28"/>
        <v>0</v>
      </c>
      <c r="AC90" s="183">
        <f t="shared" si="28"/>
        <v>0</v>
      </c>
      <c r="AD90" s="183">
        <f t="shared" si="28"/>
        <v>0</v>
      </c>
      <c r="AE90" s="183">
        <f t="shared" si="28"/>
        <v>0</v>
      </c>
      <c r="AF90" s="183">
        <f t="shared" si="28"/>
        <v>0</v>
      </c>
      <c r="AG90" s="183">
        <f t="shared" si="28"/>
        <v>0</v>
      </c>
      <c r="AH90" s="183">
        <f t="shared" si="28"/>
        <v>0</v>
      </c>
      <c r="AI90" s="183">
        <f t="shared" si="28"/>
        <v>0</v>
      </c>
      <c r="AJ90" s="183">
        <f t="shared" si="28"/>
        <v>0</v>
      </c>
      <c r="AK90" s="183">
        <f t="shared" si="28"/>
        <v>0</v>
      </c>
    </row>
    <row r="91" spans="2:37" s="5" customFormat="1" hidden="1" outlineLevel="1" x14ac:dyDescent="0.2">
      <c r="B91" s="5" t="s">
        <v>67</v>
      </c>
      <c r="H91" s="37">
        <f>-H104</f>
        <v>-1100625.8466019882</v>
      </c>
      <c r="I91" s="37">
        <f t="shared" ref="I91:AK91" si="29">-I104</f>
        <v>-1053868.4568023139</v>
      </c>
      <c r="J91" s="37">
        <f t="shared" si="29"/>
        <v>-1006133.5891686215</v>
      </c>
      <c r="K91" s="37">
        <f t="shared" si="29"/>
        <v>-957387.10391496238</v>
      </c>
      <c r="L91" s="37">
        <f t="shared" si="29"/>
        <v>-910080.05754829303</v>
      </c>
      <c r="M91" s="37">
        <f t="shared" si="29"/>
        <v>-856831.48134984367</v>
      </c>
      <c r="N91" s="37">
        <f t="shared" si="29"/>
        <v>-804836.77216064814</v>
      </c>
      <c r="O91" s="37">
        <f t="shared" si="29"/>
        <v>-751679.92274521594</v>
      </c>
      <c r="P91" s="37">
        <f t="shared" si="29"/>
        <v>-699229.84804123431</v>
      </c>
      <c r="Q91" s="37">
        <f t="shared" si="29"/>
        <v>-641800.76107609831</v>
      </c>
      <c r="R91" s="37">
        <f t="shared" si="29"/>
        <v>-584905.52498110267</v>
      </c>
      <c r="S91" s="37">
        <f t="shared" si="29"/>
        <v>-526671.75466048892</v>
      </c>
      <c r="T91" s="37">
        <f t="shared" si="29"/>
        <v>-468330.31931169279</v>
      </c>
      <c r="U91" s="37">
        <f t="shared" si="29"/>
        <v>-406051.22980439861</v>
      </c>
      <c r="V91" s="37">
        <f t="shared" si="29"/>
        <v>-343504.22454000748</v>
      </c>
      <c r="W91" s="37">
        <f t="shared" si="29"/>
        <v>-279411.60193431634</v>
      </c>
      <c r="X91" s="37">
        <f t="shared" si="29"/>
        <v>-212837.38101840019</v>
      </c>
      <c r="Y91" s="37">
        <f t="shared" si="29"/>
        <v>-143367.5877533828</v>
      </c>
      <c r="Z91" s="37">
        <f t="shared" si="29"/>
        <v>-72626.788333831195</v>
      </c>
      <c r="AA91" s="37">
        <f t="shared" si="29"/>
        <v>0</v>
      </c>
      <c r="AB91" s="37">
        <f t="shared" si="29"/>
        <v>0</v>
      </c>
      <c r="AC91" s="37">
        <f t="shared" si="29"/>
        <v>0</v>
      </c>
      <c r="AD91" s="37">
        <f t="shared" si="29"/>
        <v>0</v>
      </c>
      <c r="AE91" s="37">
        <f t="shared" si="29"/>
        <v>0</v>
      </c>
      <c r="AF91" s="37">
        <f t="shared" si="29"/>
        <v>0</v>
      </c>
      <c r="AG91" s="37">
        <f t="shared" si="29"/>
        <v>0</v>
      </c>
      <c r="AH91" s="37">
        <f t="shared" si="29"/>
        <v>0</v>
      </c>
      <c r="AI91" s="37">
        <f t="shared" si="29"/>
        <v>0</v>
      </c>
      <c r="AJ91" s="37">
        <f t="shared" si="29"/>
        <v>0</v>
      </c>
      <c r="AK91" s="37">
        <f t="shared" si="29"/>
        <v>0</v>
      </c>
    </row>
    <row r="92" spans="2:37" s="38" customFormat="1" hidden="1" outlineLevel="1" x14ac:dyDescent="0.2">
      <c r="B92" s="5" t="s">
        <v>68</v>
      </c>
      <c r="C92" s="5"/>
      <c r="D92" s="5"/>
      <c r="E92" s="5"/>
      <c r="F92" s="5"/>
      <c r="G92" s="5"/>
      <c r="H92" s="183">
        <f>H90+H91</f>
        <v>1005535.2645091233</v>
      </c>
      <c r="I92" s="183">
        <f t="shared" ref="I92:AK92" si="30">I90+I91</f>
        <v>1026556.2931976863</v>
      </c>
      <c r="J92" s="183">
        <f t="shared" si="30"/>
        <v>1048311.5108313789</v>
      </c>
      <c r="K92" s="183">
        <f t="shared" si="30"/>
        <v>1070830.1914183707</v>
      </c>
      <c r="L92" s="183">
        <f t="shared" si="30"/>
        <v>1091656.3153583738</v>
      </c>
      <c r="M92" s="183">
        <f t="shared" si="30"/>
        <v>1118165.7890149564</v>
      </c>
      <c r="N92" s="183">
        <f t="shared" si="30"/>
        <v>1143158.0519447816</v>
      </c>
      <c r="O92" s="183">
        <f t="shared" si="30"/>
        <v>1169043.8445089885</v>
      </c>
      <c r="P92" s="183">
        <f t="shared" si="30"/>
        <v>1193948.8795580545</v>
      </c>
      <c r="Q92" s="183">
        <f t="shared" si="30"/>
        <v>1223553.4644085097</v>
      </c>
      <c r="R92" s="183">
        <f t="shared" si="30"/>
        <v>1252339.1466798643</v>
      </c>
      <c r="S92" s="183">
        <f t="shared" si="30"/>
        <v>1282172.6104336972</v>
      </c>
      <c r="T92" s="183">
        <f t="shared" si="30"/>
        <v>1311817.1714177104</v>
      </c>
      <c r="U92" s="183">
        <f t="shared" si="30"/>
        <v>1345096.8874062598</v>
      </c>
      <c r="V92" s="183">
        <f t="shared" si="30"/>
        <v>1378335.9700148634</v>
      </c>
      <c r="W92" s="183">
        <f t="shared" si="30"/>
        <v>1444209.544405882</v>
      </c>
      <c r="X92" s="183">
        <f t="shared" si="30"/>
        <v>1481468.1799152684</v>
      </c>
      <c r="Y92" s="183">
        <f t="shared" si="30"/>
        <v>1521307.5143989592</v>
      </c>
      <c r="Z92" s="183">
        <f t="shared" si="30"/>
        <v>1562096.6841948912</v>
      </c>
      <c r="AA92" s="183">
        <f t="shared" si="30"/>
        <v>0</v>
      </c>
      <c r="AB92" s="183">
        <f t="shared" si="30"/>
        <v>0</v>
      </c>
      <c r="AC92" s="183">
        <f t="shared" si="30"/>
        <v>0</v>
      </c>
      <c r="AD92" s="183">
        <f t="shared" si="30"/>
        <v>0</v>
      </c>
      <c r="AE92" s="183">
        <f t="shared" si="30"/>
        <v>0</v>
      </c>
      <c r="AF92" s="183">
        <f t="shared" si="30"/>
        <v>0</v>
      </c>
      <c r="AG92" s="183">
        <f t="shared" si="30"/>
        <v>0</v>
      </c>
      <c r="AH92" s="183">
        <f t="shared" si="30"/>
        <v>0</v>
      </c>
      <c r="AI92" s="183">
        <f t="shared" si="30"/>
        <v>0</v>
      </c>
      <c r="AJ92" s="183">
        <f t="shared" si="30"/>
        <v>0</v>
      </c>
      <c r="AK92" s="183">
        <f t="shared" si="30"/>
        <v>0</v>
      </c>
    </row>
    <row r="93" spans="2:37" s="48" customFormat="1" hidden="1" outlineLevel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2:37" hidden="1" outlineLevel="1" x14ac:dyDescent="0.2">
      <c r="B94" s="4" t="str">
        <f>B86</f>
        <v>P99 EBITDA</v>
      </c>
      <c r="H94" s="175">
        <f>IF(H$54&gt;$K$31,0,H86)</f>
        <v>2385210.75</v>
      </c>
      <c r="I94" s="175">
        <f t="shared" ref="I94:AK94" si="31">IF(I$54&gt;$K$31,0,I86)</f>
        <v>2352757.19625</v>
      </c>
      <c r="J94" s="175">
        <f t="shared" si="31"/>
        <v>2319975.2024999997</v>
      </c>
      <c r="K94" s="175">
        <f t="shared" si="31"/>
        <v>2286858.1999500003</v>
      </c>
      <c r="L94" s="175">
        <f t="shared" si="31"/>
        <v>2253399.4884240003</v>
      </c>
      <c r="M94" s="175">
        <f t="shared" si="31"/>
        <v>2219592.2337424797</v>
      </c>
      <c r="N94" s="175">
        <f t="shared" si="31"/>
        <v>2185429.4650423294</v>
      </c>
      <c r="O94" s="175">
        <f t="shared" si="31"/>
        <v>2150904.0720431758</v>
      </c>
      <c r="P94" s="175">
        <f t="shared" si="31"/>
        <v>2116008.8022590401</v>
      </c>
      <c r="Q94" s="175">
        <f t="shared" si="31"/>
        <v>2080736.2581542204</v>
      </c>
      <c r="R94" s="175">
        <f t="shared" si="31"/>
        <v>2045078.8942423048</v>
      </c>
      <c r="S94" s="175">
        <f t="shared" si="31"/>
        <v>2009029.0141271511</v>
      </c>
      <c r="T94" s="175">
        <f t="shared" si="31"/>
        <v>1972578.7674846936</v>
      </c>
      <c r="U94" s="175">
        <f t="shared" si="31"/>
        <v>1935720.1469843886</v>
      </c>
      <c r="V94" s="175">
        <f t="shared" si="31"/>
        <v>1898444.9851490757</v>
      </c>
      <c r="W94" s="175">
        <f t="shared" si="31"/>
        <v>1903139.8038092677</v>
      </c>
      <c r="X94" s="175">
        <f t="shared" si="31"/>
        <v>1865854.2972604528</v>
      </c>
      <c r="Y94" s="175">
        <f t="shared" si="31"/>
        <v>1828143.7116556612</v>
      </c>
      <c r="Z94" s="175">
        <f t="shared" si="31"/>
        <v>1789999.5454137751</v>
      </c>
      <c r="AA94" s="175">
        <f t="shared" si="31"/>
        <v>0</v>
      </c>
      <c r="AB94" s="175">
        <f t="shared" si="31"/>
        <v>0</v>
      </c>
      <c r="AC94" s="175">
        <f t="shared" si="31"/>
        <v>0</v>
      </c>
      <c r="AD94" s="175">
        <f t="shared" si="31"/>
        <v>0</v>
      </c>
      <c r="AE94" s="175">
        <f t="shared" si="31"/>
        <v>0</v>
      </c>
      <c r="AF94" s="175">
        <f t="shared" si="31"/>
        <v>0</v>
      </c>
      <c r="AG94" s="175">
        <f t="shared" si="31"/>
        <v>0</v>
      </c>
      <c r="AH94" s="175">
        <f t="shared" si="31"/>
        <v>0</v>
      </c>
      <c r="AI94" s="175">
        <f t="shared" si="31"/>
        <v>0</v>
      </c>
      <c r="AJ94" s="175">
        <f t="shared" si="31"/>
        <v>0</v>
      </c>
      <c r="AK94" s="175">
        <f t="shared" si="31"/>
        <v>0</v>
      </c>
    </row>
    <row r="95" spans="2:37" s="5" customFormat="1" hidden="1" outlineLevel="1" x14ac:dyDescent="0.2">
      <c r="B95" s="5" t="str">
        <f>TEXT(G86,"")&amp;" DSCR"</f>
        <v>P99 DSCR</v>
      </c>
      <c r="G95" s="52">
        <f>K38</f>
        <v>1</v>
      </c>
      <c r="H95" s="53">
        <f>$G$95</f>
        <v>1</v>
      </c>
      <c r="I95" s="53">
        <f t="shared" ref="I95:AK95" si="32">$G$95</f>
        <v>1</v>
      </c>
      <c r="J95" s="53">
        <f t="shared" si="32"/>
        <v>1</v>
      </c>
      <c r="K95" s="53">
        <f t="shared" si="32"/>
        <v>1</v>
      </c>
      <c r="L95" s="53">
        <f t="shared" si="32"/>
        <v>1</v>
      </c>
      <c r="M95" s="53">
        <f t="shared" si="32"/>
        <v>1</v>
      </c>
      <c r="N95" s="53">
        <f t="shared" si="32"/>
        <v>1</v>
      </c>
      <c r="O95" s="53">
        <f t="shared" si="32"/>
        <v>1</v>
      </c>
      <c r="P95" s="53">
        <f t="shared" si="32"/>
        <v>1</v>
      </c>
      <c r="Q95" s="53">
        <f t="shared" si="32"/>
        <v>1</v>
      </c>
      <c r="R95" s="53">
        <f t="shared" si="32"/>
        <v>1</v>
      </c>
      <c r="S95" s="53">
        <f t="shared" si="32"/>
        <v>1</v>
      </c>
      <c r="T95" s="53">
        <f t="shared" si="32"/>
        <v>1</v>
      </c>
      <c r="U95" s="53">
        <f t="shared" si="32"/>
        <v>1</v>
      </c>
      <c r="V95" s="53">
        <f t="shared" si="32"/>
        <v>1</v>
      </c>
      <c r="W95" s="53">
        <f t="shared" si="32"/>
        <v>1</v>
      </c>
      <c r="X95" s="53">
        <f t="shared" si="32"/>
        <v>1</v>
      </c>
      <c r="Y95" s="53">
        <f t="shared" si="32"/>
        <v>1</v>
      </c>
      <c r="Z95" s="53">
        <f t="shared" si="32"/>
        <v>1</v>
      </c>
      <c r="AA95" s="53">
        <f t="shared" si="32"/>
        <v>1</v>
      </c>
      <c r="AB95" s="53">
        <f t="shared" si="32"/>
        <v>1</v>
      </c>
      <c r="AC95" s="53">
        <f t="shared" si="32"/>
        <v>1</v>
      </c>
      <c r="AD95" s="53">
        <f t="shared" si="32"/>
        <v>1</v>
      </c>
      <c r="AE95" s="53">
        <f t="shared" si="32"/>
        <v>1</v>
      </c>
      <c r="AF95" s="53">
        <f t="shared" si="32"/>
        <v>1</v>
      </c>
      <c r="AG95" s="53">
        <f t="shared" si="32"/>
        <v>1</v>
      </c>
      <c r="AH95" s="53">
        <f t="shared" si="32"/>
        <v>1</v>
      </c>
      <c r="AI95" s="53">
        <f t="shared" si="32"/>
        <v>1</v>
      </c>
      <c r="AJ95" s="53">
        <f t="shared" si="32"/>
        <v>1</v>
      </c>
      <c r="AK95" s="53">
        <f t="shared" si="32"/>
        <v>1</v>
      </c>
    </row>
    <row r="96" spans="2:37" s="5" customFormat="1" hidden="1" outlineLevel="1" x14ac:dyDescent="0.2">
      <c r="B96" s="5" t="s">
        <v>66</v>
      </c>
      <c r="G96" s="54">
        <v>0</v>
      </c>
      <c r="H96" s="183">
        <f>H94/H95</f>
        <v>2385210.75</v>
      </c>
      <c r="I96" s="183">
        <f t="shared" ref="I96:AK96" si="33">I94/I95</f>
        <v>2352757.19625</v>
      </c>
      <c r="J96" s="183">
        <f t="shared" si="33"/>
        <v>2319975.2024999997</v>
      </c>
      <c r="K96" s="183">
        <f t="shared" si="33"/>
        <v>2286858.1999500003</v>
      </c>
      <c r="L96" s="183">
        <f t="shared" si="33"/>
        <v>2253399.4884240003</v>
      </c>
      <c r="M96" s="183">
        <f t="shared" si="33"/>
        <v>2219592.2337424797</v>
      </c>
      <c r="N96" s="183">
        <f t="shared" si="33"/>
        <v>2185429.4650423294</v>
      </c>
      <c r="O96" s="183">
        <f t="shared" si="33"/>
        <v>2150904.0720431758</v>
      </c>
      <c r="P96" s="183">
        <f t="shared" si="33"/>
        <v>2116008.8022590401</v>
      </c>
      <c r="Q96" s="183">
        <f t="shared" si="33"/>
        <v>2080736.2581542204</v>
      </c>
      <c r="R96" s="183">
        <f t="shared" si="33"/>
        <v>2045078.8942423048</v>
      </c>
      <c r="S96" s="183">
        <f t="shared" si="33"/>
        <v>2009029.0141271511</v>
      </c>
      <c r="T96" s="183">
        <f t="shared" si="33"/>
        <v>1972578.7674846936</v>
      </c>
      <c r="U96" s="183">
        <f t="shared" si="33"/>
        <v>1935720.1469843886</v>
      </c>
      <c r="V96" s="183">
        <f t="shared" si="33"/>
        <v>1898444.9851490757</v>
      </c>
      <c r="W96" s="183">
        <f t="shared" si="33"/>
        <v>1903139.8038092677</v>
      </c>
      <c r="X96" s="183">
        <f t="shared" si="33"/>
        <v>1865854.2972604528</v>
      </c>
      <c r="Y96" s="183">
        <f t="shared" si="33"/>
        <v>1828143.7116556612</v>
      </c>
      <c r="Z96" s="183">
        <f t="shared" si="33"/>
        <v>1789999.5454137751</v>
      </c>
      <c r="AA96" s="183">
        <f t="shared" si="33"/>
        <v>0</v>
      </c>
      <c r="AB96" s="183">
        <f t="shared" si="33"/>
        <v>0</v>
      </c>
      <c r="AC96" s="183">
        <f t="shared" si="33"/>
        <v>0</v>
      </c>
      <c r="AD96" s="183">
        <f t="shared" si="33"/>
        <v>0</v>
      </c>
      <c r="AE96" s="183">
        <f t="shared" si="33"/>
        <v>0</v>
      </c>
      <c r="AF96" s="183">
        <f t="shared" si="33"/>
        <v>0</v>
      </c>
      <c r="AG96" s="183">
        <f t="shared" si="33"/>
        <v>0</v>
      </c>
      <c r="AH96" s="183">
        <f t="shared" si="33"/>
        <v>0</v>
      </c>
      <c r="AI96" s="183">
        <f t="shared" si="33"/>
        <v>0</v>
      </c>
      <c r="AJ96" s="183">
        <f t="shared" si="33"/>
        <v>0</v>
      </c>
      <c r="AK96" s="183">
        <f t="shared" si="33"/>
        <v>0</v>
      </c>
    </row>
    <row r="97" spans="1:37" s="5" customFormat="1" hidden="1" outlineLevel="1" x14ac:dyDescent="0.2">
      <c r="B97" s="5" t="s">
        <v>67</v>
      </c>
      <c r="H97" s="37">
        <f>-H104</f>
        <v>-1100625.8466019882</v>
      </c>
      <c r="I97" s="37">
        <f t="shared" ref="I97:AK97" si="34">-I104</f>
        <v>-1053868.4568023139</v>
      </c>
      <c r="J97" s="37">
        <f t="shared" si="34"/>
        <v>-1006133.5891686215</v>
      </c>
      <c r="K97" s="37">
        <f t="shared" si="34"/>
        <v>-957387.10391496238</v>
      </c>
      <c r="L97" s="37">
        <f t="shared" si="34"/>
        <v>-910080.05754829303</v>
      </c>
      <c r="M97" s="37">
        <f t="shared" si="34"/>
        <v>-856831.48134984367</v>
      </c>
      <c r="N97" s="37">
        <f t="shared" si="34"/>
        <v>-804836.77216064814</v>
      </c>
      <c r="O97" s="37">
        <f t="shared" si="34"/>
        <v>-751679.92274521594</v>
      </c>
      <c r="P97" s="37">
        <f t="shared" si="34"/>
        <v>-699229.84804123431</v>
      </c>
      <c r="Q97" s="37">
        <f t="shared" si="34"/>
        <v>-641800.76107609831</v>
      </c>
      <c r="R97" s="37">
        <f t="shared" si="34"/>
        <v>-584905.52498110267</v>
      </c>
      <c r="S97" s="37">
        <f t="shared" si="34"/>
        <v>-526671.75466048892</v>
      </c>
      <c r="T97" s="37">
        <f t="shared" si="34"/>
        <v>-468330.31931169279</v>
      </c>
      <c r="U97" s="37">
        <f t="shared" si="34"/>
        <v>-406051.22980439861</v>
      </c>
      <c r="V97" s="37">
        <f t="shared" si="34"/>
        <v>-343504.22454000748</v>
      </c>
      <c r="W97" s="37">
        <f t="shared" si="34"/>
        <v>-279411.60193431634</v>
      </c>
      <c r="X97" s="37">
        <f t="shared" si="34"/>
        <v>-212837.38101840019</v>
      </c>
      <c r="Y97" s="37">
        <f t="shared" si="34"/>
        <v>-143367.5877533828</v>
      </c>
      <c r="Z97" s="37">
        <f t="shared" si="34"/>
        <v>-72626.788333831195</v>
      </c>
      <c r="AA97" s="37">
        <f t="shared" si="34"/>
        <v>0</v>
      </c>
      <c r="AB97" s="37">
        <f t="shared" si="34"/>
        <v>0</v>
      </c>
      <c r="AC97" s="37">
        <f t="shared" si="34"/>
        <v>0</v>
      </c>
      <c r="AD97" s="37">
        <f t="shared" si="34"/>
        <v>0</v>
      </c>
      <c r="AE97" s="37">
        <f t="shared" si="34"/>
        <v>0</v>
      </c>
      <c r="AF97" s="37">
        <f t="shared" si="34"/>
        <v>0</v>
      </c>
      <c r="AG97" s="37">
        <f t="shared" si="34"/>
        <v>0</v>
      </c>
      <c r="AH97" s="37">
        <f t="shared" si="34"/>
        <v>0</v>
      </c>
      <c r="AI97" s="37">
        <f t="shared" si="34"/>
        <v>0</v>
      </c>
      <c r="AJ97" s="37">
        <f t="shared" si="34"/>
        <v>0</v>
      </c>
      <c r="AK97" s="37">
        <f t="shared" si="34"/>
        <v>0</v>
      </c>
    </row>
    <row r="98" spans="1:37" s="48" customFormat="1" hidden="1" outlineLevel="1" x14ac:dyDescent="0.2">
      <c r="B98" s="5" t="s">
        <v>68</v>
      </c>
      <c r="C98" s="5"/>
      <c r="D98" s="5"/>
      <c r="E98" s="5"/>
      <c r="F98" s="5"/>
      <c r="G98" s="5"/>
      <c r="H98" s="183">
        <f>H96+H97</f>
        <v>1284584.9033980118</v>
      </c>
      <c r="I98" s="183">
        <f t="shared" ref="I98:AK98" si="35">I96+I97</f>
        <v>1298888.7394476861</v>
      </c>
      <c r="J98" s="183">
        <f t="shared" si="35"/>
        <v>1313841.6133313782</v>
      </c>
      <c r="K98" s="183">
        <f t="shared" si="35"/>
        <v>1329471.0960350379</v>
      </c>
      <c r="L98" s="183">
        <f t="shared" si="35"/>
        <v>1343319.4308757074</v>
      </c>
      <c r="M98" s="183">
        <f t="shared" si="35"/>
        <v>1362760.7523926361</v>
      </c>
      <c r="N98" s="183">
        <f t="shared" si="35"/>
        <v>1380592.6928816813</v>
      </c>
      <c r="O98" s="183">
        <f t="shared" si="35"/>
        <v>1399224.1492979599</v>
      </c>
      <c r="P98" s="183">
        <f t="shared" si="35"/>
        <v>1416778.9542178058</v>
      </c>
      <c r="Q98" s="183">
        <f t="shared" si="35"/>
        <v>1438935.4970781221</v>
      </c>
      <c r="R98" s="183">
        <f t="shared" si="35"/>
        <v>1460173.3692612022</v>
      </c>
      <c r="S98" s="183">
        <f t="shared" si="35"/>
        <v>1482357.2594666621</v>
      </c>
      <c r="T98" s="183">
        <f t="shared" si="35"/>
        <v>1504248.4481730007</v>
      </c>
      <c r="U98" s="183">
        <f t="shared" si="35"/>
        <v>1529668.9171799901</v>
      </c>
      <c r="V98" s="183">
        <f t="shared" si="35"/>
        <v>1554940.7606090682</v>
      </c>
      <c r="W98" s="183">
        <f t="shared" si="35"/>
        <v>1623728.2018749514</v>
      </c>
      <c r="X98" s="183">
        <f t="shared" si="35"/>
        <v>1653016.9162420526</v>
      </c>
      <c r="Y98" s="183">
        <f t="shared" si="35"/>
        <v>1684776.1239022785</v>
      </c>
      <c r="Z98" s="183">
        <f t="shared" si="35"/>
        <v>1717372.757079944</v>
      </c>
      <c r="AA98" s="183">
        <f t="shared" si="35"/>
        <v>0</v>
      </c>
      <c r="AB98" s="183">
        <f t="shared" si="35"/>
        <v>0</v>
      </c>
      <c r="AC98" s="183">
        <f t="shared" si="35"/>
        <v>0</v>
      </c>
      <c r="AD98" s="183">
        <f t="shared" si="35"/>
        <v>0</v>
      </c>
      <c r="AE98" s="183">
        <f t="shared" si="35"/>
        <v>0</v>
      </c>
      <c r="AF98" s="183">
        <f t="shared" si="35"/>
        <v>0</v>
      </c>
      <c r="AG98" s="183">
        <f t="shared" si="35"/>
        <v>0</v>
      </c>
      <c r="AH98" s="183">
        <f t="shared" si="35"/>
        <v>0</v>
      </c>
      <c r="AI98" s="183">
        <f t="shared" si="35"/>
        <v>0</v>
      </c>
      <c r="AJ98" s="183">
        <f t="shared" si="35"/>
        <v>0</v>
      </c>
      <c r="AK98" s="183">
        <f t="shared" si="35"/>
        <v>0</v>
      </c>
    </row>
    <row r="99" spans="1:37" s="48" customFormat="1" hidden="1" outlineLevel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s="38" customFormat="1" hidden="1" outlineLevel="1" x14ac:dyDescent="0.2">
      <c r="B100" s="5" t="str">
        <f>"Maximum Sizing at "&amp;TEXT(K32,"#.#0%")&amp;" percent of capex"</f>
        <v>Maximum Sizing at 85.0% percent of capex</v>
      </c>
      <c r="C100" s="5"/>
      <c r="D100" s="5"/>
      <c r="E100" s="5"/>
      <c r="F100" s="5"/>
      <c r="G100" s="194">
        <f>K32*L26</f>
        <v>25957874.415319484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s="38" customFormat="1" hidden="1" outlineLevel="1" x14ac:dyDescent="0.2">
      <c r="B101" s="5" t="s">
        <v>72</v>
      </c>
      <c r="C101" s="5"/>
      <c r="D101" s="5"/>
      <c r="E101" s="5"/>
      <c r="F101" s="5"/>
      <c r="G101" s="195">
        <f>MIN(XNPV($K$36,$G$90:$AK$90,$G$82:$AK$82),XNPV($K$36,$G$96:$AK$96,$G$82:$AK$82))</f>
        <v>23669373.045204047</v>
      </c>
      <c r="H101" s="3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s="38" customFormat="1" hidden="1" outlineLevel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s="38" customFormat="1" hidden="1" outlineLevel="1" x14ac:dyDescent="0.2">
      <c r="B103" s="5" t="s">
        <v>69</v>
      </c>
      <c r="C103" s="5"/>
      <c r="D103" s="5"/>
      <c r="E103" s="5"/>
      <c r="F103" s="5"/>
      <c r="G103" s="5"/>
      <c r="H103" s="184">
        <f>MIN(G100,G101)</f>
        <v>23669373.045204047</v>
      </c>
      <c r="I103" s="183">
        <f>H106</f>
        <v>22663837.780694924</v>
      </c>
      <c r="J103" s="183">
        <f t="shared" ref="J103:AK103" si="36">I106</f>
        <v>21637281.487497237</v>
      </c>
      <c r="K103" s="183">
        <f t="shared" si="36"/>
        <v>20588969.976665858</v>
      </c>
      <c r="L103" s="183">
        <f t="shared" si="36"/>
        <v>19518139.785247486</v>
      </c>
      <c r="M103" s="183">
        <f t="shared" si="36"/>
        <v>18426483.469889112</v>
      </c>
      <c r="N103" s="183">
        <f t="shared" si="36"/>
        <v>17308317.680874154</v>
      </c>
      <c r="O103" s="183">
        <f t="shared" si="36"/>
        <v>16165159.628929373</v>
      </c>
      <c r="P103" s="183">
        <f t="shared" si="36"/>
        <v>14996115.784420384</v>
      </c>
      <c r="Q103" s="183">
        <f t="shared" si="36"/>
        <v>13802166.904862329</v>
      </c>
      <c r="R103" s="183">
        <f t="shared" si="36"/>
        <v>12578613.44045382</v>
      </c>
      <c r="S103" s="183">
        <f t="shared" si="36"/>
        <v>11326274.293773957</v>
      </c>
      <c r="T103" s="183">
        <f t="shared" si="36"/>
        <v>10044101.683340259</v>
      </c>
      <c r="U103" s="183">
        <f t="shared" si="36"/>
        <v>8732284.5119225495</v>
      </c>
      <c r="V103" s="183">
        <f t="shared" si="36"/>
        <v>7387187.6245162897</v>
      </c>
      <c r="W103" s="183">
        <f t="shared" si="36"/>
        <v>6008851.654501426</v>
      </c>
      <c r="X103" s="183">
        <f t="shared" si="36"/>
        <v>4564642.1100955438</v>
      </c>
      <c r="Y103" s="183">
        <f t="shared" si="36"/>
        <v>3083173.9301802753</v>
      </c>
      <c r="Z103" s="183">
        <f t="shared" si="36"/>
        <v>1561866.4157813161</v>
      </c>
      <c r="AA103" s="183">
        <f t="shared" si="36"/>
        <v>0</v>
      </c>
      <c r="AB103" s="183">
        <f t="shared" si="36"/>
        <v>0</v>
      </c>
      <c r="AC103" s="183">
        <f t="shared" si="36"/>
        <v>0</v>
      </c>
      <c r="AD103" s="183">
        <f t="shared" si="36"/>
        <v>0</v>
      </c>
      <c r="AE103" s="183">
        <f t="shared" si="36"/>
        <v>0</v>
      </c>
      <c r="AF103" s="183">
        <f t="shared" si="36"/>
        <v>0</v>
      </c>
      <c r="AG103" s="183">
        <f t="shared" si="36"/>
        <v>0</v>
      </c>
      <c r="AH103" s="183">
        <f t="shared" si="36"/>
        <v>0</v>
      </c>
      <c r="AI103" s="183">
        <f t="shared" si="36"/>
        <v>0</v>
      </c>
      <c r="AJ103" s="183">
        <f t="shared" si="36"/>
        <v>0</v>
      </c>
      <c r="AK103" s="185">
        <f t="shared" si="36"/>
        <v>0</v>
      </c>
    </row>
    <row r="104" spans="1:37" s="38" customFormat="1" hidden="1" outlineLevel="1" x14ac:dyDescent="0.2">
      <c r="B104" s="5" t="s">
        <v>67</v>
      </c>
      <c r="C104" s="5"/>
      <c r="D104" s="5"/>
      <c r="E104" s="5"/>
      <c r="F104" s="5"/>
      <c r="G104" s="5"/>
      <c r="H104" s="186">
        <f t="shared" ref="H104:AK104" si="37">H103*$K$36*H83/$H$83</f>
        <v>1100625.8466019882</v>
      </c>
      <c r="I104" s="182">
        <f t="shared" si="37"/>
        <v>1053868.4568023139</v>
      </c>
      <c r="J104" s="182">
        <f t="shared" si="37"/>
        <v>1006133.5891686215</v>
      </c>
      <c r="K104" s="182">
        <f t="shared" si="37"/>
        <v>957387.10391496238</v>
      </c>
      <c r="L104" s="182">
        <f t="shared" si="37"/>
        <v>910080.05754829303</v>
      </c>
      <c r="M104" s="182">
        <f t="shared" si="37"/>
        <v>856831.48134984367</v>
      </c>
      <c r="N104" s="182">
        <f t="shared" si="37"/>
        <v>804836.77216064814</v>
      </c>
      <c r="O104" s="182">
        <f t="shared" si="37"/>
        <v>751679.92274521594</v>
      </c>
      <c r="P104" s="182">
        <f t="shared" si="37"/>
        <v>699229.84804123431</v>
      </c>
      <c r="Q104" s="182">
        <f t="shared" si="37"/>
        <v>641800.76107609831</v>
      </c>
      <c r="R104" s="182">
        <f t="shared" si="37"/>
        <v>584905.52498110267</v>
      </c>
      <c r="S104" s="182">
        <f t="shared" si="37"/>
        <v>526671.75466048892</v>
      </c>
      <c r="T104" s="182">
        <f t="shared" si="37"/>
        <v>468330.31931169279</v>
      </c>
      <c r="U104" s="182">
        <f t="shared" si="37"/>
        <v>406051.22980439861</v>
      </c>
      <c r="V104" s="182">
        <f t="shared" si="37"/>
        <v>343504.22454000748</v>
      </c>
      <c r="W104" s="182">
        <f t="shared" si="37"/>
        <v>279411.60193431634</v>
      </c>
      <c r="X104" s="182">
        <f t="shared" si="37"/>
        <v>212837.38101840019</v>
      </c>
      <c r="Y104" s="182">
        <f t="shared" si="37"/>
        <v>143367.5877533828</v>
      </c>
      <c r="Z104" s="182">
        <f t="shared" si="37"/>
        <v>72626.788333831195</v>
      </c>
      <c r="AA104" s="182">
        <f t="shared" si="37"/>
        <v>0</v>
      </c>
      <c r="AB104" s="182">
        <f t="shared" si="37"/>
        <v>0</v>
      </c>
      <c r="AC104" s="182">
        <f t="shared" si="37"/>
        <v>0</v>
      </c>
      <c r="AD104" s="182">
        <f t="shared" si="37"/>
        <v>0</v>
      </c>
      <c r="AE104" s="182">
        <f t="shared" si="37"/>
        <v>0</v>
      </c>
      <c r="AF104" s="182">
        <f t="shared" si="37"/>
        <v>0</v>
      </c>
      <c r="AG104" s="182">
        <f t="shared" si="37"/>
        <v>0</v>
      </c>
      <c r="AH104" s="182">
        <f t="shared" si="37"/>
        <v>0</v>
      </c>
      <c r="AI104" s="182">
        <f t="shared" si="37"/>
        <v>0</v>
      </c>
      <c r="AJ104" s="182">
        <f t="shared" si="37"/>
        <v>0</v>
      </c>
      <c r="AK104" s="187">
        <f t="shared" si="37"/>
        <v>0</v>
      </c>
    </row>
    <row r="105" spans="1:37" s="38" customFormat="1" hidden="1" outlineLevel="1" x14ac:dyDescent="0.2">
      <c r="B105" s="5" t="s">
        <v>70</v>
      </c>
      <c r="C105" s="5"/>
      <c r="D105" s="5"/>
      <c r="E105" s="5"/>
      <c r="F105" s="5"/>
      <c r="G105" s="5"/>
      <c r="H105" s="188">
        <f>IF($H$103=$G$100,MIN(MIN(H92,H98)*$G$100/$G$101,H103),MIN(H92,H98,H103))</f>
        <v>1005535.2645091233</v>
      </c>
      <c r="I105" s="189">
        <f>IF($H$103=$G$100,MIN(MIN(I92,I98)*$G$100/$G$101,I103),MIN(I92,I98,I103))</f>
        <v>1026556.2931976863</v>
      </c>
      <c r="J105" s="189">
        <f t="shared" ref="J105:AK105" si="38">IF($H$103=$G$100,MIN(MIN(J92,J98)*$G$100/$G$101,J103),MIN(J92,J98,J103))</f>
        <v>1048311.5108313789</v>
      </c>
      <c r="K105" s="189">
        <f t="shared" si="38"/>
        <v>1070830.1914183707</v>
      </c>
      <c r="L105" s="189">
        <f t="shared" si="38"/>
        <v>1091656.3153583738</v>
      </c>
      <c r="M105" s="189">
        <f t="shared" si="38"/>
        <v>1118165.7890149564</v>
      </c>
      <c r="N105" s="189">
        <f t="shared" si="38"/>
        <v>1143158.0519447816</v>
      </c>
      <c r="O105" s="189">
        <f t="shared" si="38"/>
        <v>1169043.8445089885</v>
      </c>
      <c r="P105" s="189">
        <f t="shared" si="38"/>
        <v>1193948.8795580545</v>
      </c>
      <c r="Q105" s="189">
        <f t="shared" si="38"/>
        <v>1223553.4644085097</v>
      </c>
      <c r="R105" s="189">
        <f t="shared" si="38"/>
        <v>1252339.1466798643</v>
      </c>
      <c r="S105" s="189">
        <f t="shared" si="38"/>
        <v>1282172.6104336972</v>
      </c>
      <c r="T105" s="189">
        <f t="shared" si="38"/>
        <v>1311817.1714177104</v>
      </c>
      <c r="U105" s="189">
        <f t="shared" si="38"/>
        <v>1345096.8874062598</v>
      </c>
      <c r="V105" s="189">
        <f t="shared" si="38"/>
        <v>1378335.9700148634</v>
      </c>
      <c r="W105" s="189">
        <f t="shared" si="38"/>
        <v>1444209.544405882</v>
      </c>
      <c r="X105" s="189">
        <f t="shared" si="38"/>
        <v>1481468.1799152684</v>
      </c>
      <c r="Y105" s="189">
        <f t="shared" si="38"/>
        <v>1521307.5143989592</v>
      </c>
      <c r="Z105" s="189">
        <f t="shared" si="38"/>
        <v>1561866.4157813161</v>
      </c>
      <c r="AA105" s="189">
        <f t="shared" si="38"/>
        <v>0</v>
      </c>
      <c r="AB105" s="189">
        <f t="shared" si="38"/>
        <v>0</v>
      </c>
      <c r="AC105" s="189">
        <f t="shared" si="38"/>
        <v>0</v>
      </c>
      <c r="AD105" s="189">
        <f t="shared" si="38"/>
        <v>0</v>
      </c>
      <c r="AE105" s="189">
        <f t="shared" si="38"/>
        <v>0</v>
      </c>
      <c r="AF105" s="189">
        <f t="shared" si="38"/>
        <v>0</v>
      </c>
      <c r="AG105" s="189">
        <f t="shared" si="38"/>
        <v>0</v>
      </c>
      <c r="AH105" s="189">
        <f t="shared" si="38"/>
        <v>0</v>
      </c>
      <c r="AI105" s="189">
        <f t="shared" si="38"/>
        <v>0</v>
      </c>
      <c r="AJ105" s="189">
        <f t="shared" si="38"/>
        <v>0</v>
      </c>
      <c r="AK105" s="190">
        <f t="shared" si="38"/>
        <v>0</v>
      </c>
    </row>
    <row r="106" spans="1:37" s="38" customFormat="1" hidden="1" outlineLevel="1" x14ac:dyDescent="0.2">
      <c r="B106" s="5" t="s">
        <v>71</v>
      </c>
      <c r="C106" s="5"/>
      <c r="D106" s="5"/>
      <c r="E106" s="5"/>
      <c r="F106" s="5"/>
      <c r="G106" s="5"/>
      <c r="H106" s="191">
        <f>H103-H105</f>
        <v>22663837.780694924</v>
      </c>
      <c r="I106" s="192">
        <f>I103-I105</f>
        <v>21637281.487497237</v>
      </c>
      <c r="J106" s="192">
        <f t="shared" ref="J106:AK106" si="39">J103-J105</f>
        <v>20588969.976665858</v>
      </c>
      <c r="K106" s="192">
        <f t="shared" si="39"/>
        <v>19518139.785247486</v>
      </c>
      <c r="L106" s="192">
        <f t="shared" si="39"/>
        <v>18426483.469889112</v>
      </c>
      <c r="M106" s="192">
        <f t="shared" si="39"/>
        <v>17308317.680874154</v>
      </c>
      <c r="N106" s="192">
        <f t="shared" si="39"/>
        <v>16165159.628929373</v>
      </c>
      <c r="O106" s="192">
        <f t="shared" si="39"/>
        <v>14996115.784420384</v>
      </c>
      <c r="P106" s="192">
        <f t="shared" si="39"/>
        <v>13802166.904862329</v>
      </c>
      <c r="Q106" s="192">
        <f t="shared" si="39"/>
        <v>12578613.44045382</v>
      </c>
      <c r="R106" s="192">
        <f t="shared" si="39"/>
        <v>11326274.293773957</v>
      </c>
      <c r="S106" s="192">
        <f t="shared" si="39"/>
        <v>10044101.683340259</v>
      </c>
      <c r="T106" s="192">
        <f t="shared" si="39"/>
        <v>8732284.5119225495</v>
      </c>
      <c r="U106" s="192">
        <f t="shared" si="39"/>
        <v>7387187.6245162897</v>
      </c>
      <c r="V106" s="192">
        <f t="shared" si="39"/>
        <v>6008851.654501426</v>
      </c>
      <c r="W106" s="192">
        <f t="shared" si="39"/>
        <v>4564642.1100955438</v>
      </c>
      <c r="X106" s="192">
        <f t="shared" si="39"/>
        <v>3083173.9301802753</v>
      </c>
      <c r="Y106" s="192">
        <f t="shared" si="39"/>
        <v>1561866.4157813161</v>
      </c>
      <c r="Z106" s="192">
        <f t="shared" si="39"/>
        <v>0</v>
      </c>
      <c r="AA106" s="192">
        <f t="shared" si="39"/>
        <v>0</v>
      </c>
      <c r="AB106" s="192">
        <f t="shared" si="39"/>
        <v>0</v>
      </c>
      <c r="AC106" s="192">
        <f t="shared" si="39"/>
        <v>0</v>
      </c>
      <c r="AD106" s="192">
        <f t="shared" si="39"/>
        <v>0</v>
      </c>
      <c r="AE106" s="192">
        <f t="shared" si="39"/>
        <v>0</v>
      </c>
      <c r="AF106" s="192">
        <f t="shared" si="39"/>
        <v>0</v>
      </c>
      <c r="AG106" s="192">
        <f t="shared" si="39"/>
        <v>0</v>
      </c>
      <c r="AH106" s="192">
        <f t="shared" si="39"/>
        <v>0</v>
      </c>
      <c r="AI106" s="192">
        <f t="shared" si="39"/>
        <v>0</v>
      </c>
      <c r="AJ106" s="192">
        <f t="shared" si="39"/>
        <v>0</v>
      </c>
      <c r="AK106" s="193">
        <f t="shared" si="39"/>
        <v>0</v>
      </c>
    </row>
    <row r="107" spans="1:37" s="38" customFormat="1" hidden="1" outlineLevel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s="38" customFormat="1" hidden="1" outlineLevel="1" x14ac:dyDescent="0.2">
      <c r="B108" s="5" t="str">
        <f>"DSCR - "&amp;TEXT(G85,"")</f>
        <v>DSCR - P50</v>
      </c>
      <c r="C108" s="5"/>
      <c r="D108" s="5"/>
      <c r="E108" s="5"/>
      <c r="F108" s="5"/>
      <c r="G108" s="5"/>
      <c r="H108" s="55">
        <f>IFERROR(H85/SUM(H$104:H$105),"")</f>
        <v>1.35</v>
      </c>
      <c r="I108" s="55">
        <f t="shared" ref="I108:AK108" si="40">IFERROR(I85/SUM(I$104:I$105),"")</f>
        <v>1.35</v>
      </c>
      <c r="J108" s="55">
        <f t="shared" si="40"/>
        <v>1.35</v>
      </c>
      <c r="K108" s="55">
        <f t="shared" si="40"/>
        <v>1.35</v>
      </c>
      <c r="L108" s="55">
        <f t="shared" si="40"/>
        <v>1.3500000000000003</v>
      </c>
      <c r="M108" s="55">
        <f t="shared" si="40"/>
        <v>1.3500000000000003</v>
      </c>
      <c r="N108" s="55">
        <f t="shared" si="40"/>
        <v>1.35</v>
      </c>
      <c r="O108" s="55">
        <f t="shared" si="40"/>
        <v>1.35</v>
      </c>
      <c r="P108" s="55">
        <f t="shared" si="40"/>
        <v>1.35</v>
      </c>
      <c r="Q108" s="55">
        <f t="shared" si="40"/>
        <v>1.35</v>
      </c>
      <c r="R108" s="55">
        <f t="shared" si="40"/>
        <v>1.35</v>
      </c>
      <c r="S108" s="55">
        <f t="shared" si="40"/>
        <v>1.3499999999999999</v>
      </c>
      <c r="T108" s="55">
        <f t="shared" si="40"/>
        <v>1.35</v>
      </c>
      <c r="U108" s="55">
        <f t="shared" si="40"/>
        <v>1.35</v>
      </c>
      <c r="V108" s="55">
        <f t="shared" si="40"/>
        <v>1.35</v>
      </c>
      <c r="W108" s="55">
        <f t="shared" si="40"/>
        <v>1.35</v>
      </c>
      <c r="X108" s="55">
        <f t="shared" si="40"/>
        <v>1.35</v>
      </c>
      <c r="Y108" s="55">
        <f t="shared" si="40"/>
        <v>1.35</v>
      </c>
      <c r="Z108" s="55">
        <f t="shared" si="40"/>
        <v>1.3501901888350125</v>
      </c>
      <c r="AA108" s="55" t="str">
        <f t="shared" si="40"/>
        <v/>
      </c>
      <c r="AB108" s="55" t="str">
        <f t="shared" si="40"/>
        <v/>
      </c>
      <c r="AC108" s="55" t="str">
        <f t="shared" si="40"/>
        <v/>
      </c>
      <c r="AD108" s="55" t="str">
        <f t="shared" si="40"/>
        <v/>
      </c>
      <c r="AE108" s="55" t="str">
        <f t="shared" si="40"/>
        <v/>
      </c>
      <c r="AF108" s="55" t="str">
        <f t="shared" si="40"/>
        <v/>
      </c>
      <c r="AG108" s="55" t="str">
        <f t="shared" si="40"/>
        <v/>
      </c>
      <c r="AH108" s="55" t="str">
        <f t="shared" si="40"/>
        <v/>
      </c>
      <c r="AI108" s="55" t="str">
        <f t="shared" si="40"/>
        <v/>
      </c>
      <c r="AJ108" s="55" t="str">
        <f t="shared" si="40"/>
        <v/>
      </c>
      <c r="AK108" s="55" t="str">
        <f t="shared" si="40"/>
        <v/>
      </c>
    </row>
    <row r="109" spans="1:37" s="38" customFormat="1" hidden="1" outlineLevel="1" x14ac:dyDescent="0.2">
      <c r="B109" s="5" t="str">
        <f>"DSCR - "&amp;TEXT(G86,"")</f>
        <v>DSCR - P99</v>
      </c>
      <c r="C109" s="5"/>
      <c r="D109" s="5"/>
      <c r="E109" s="5"/>
      <c r="F109" s="5"/>
      <c r="G109" s="5"/>
      <c r="H109" s="55">
        <f>IFERROR(H86/SUM(H$104:H$105),"")</f>
        <v>1.1324920669253431</v>
      </c>
      <c r="I109" s="55">
        <f t="shared" ref="I109:AK109" si="41">IFERROR(I86/SUM(I$104:I$105),"")</f>
        <v>1.1309023295603458</v>
      </c>
      <c r="J109" s="55">
        <f t="shared" si="41"/>
        <v>1.1292466284448288</v>
      </c>
      <c r="K109" s="55">
        <f t="shared" si="41"/>
        <v>1.1275212992275367</v>
      </c>
      <c r="L109" s="55">
        <f t="shared" si="41"/>
        <v>1.1257224072677965</v>
      </c>
      <c r="M109" s="55">
        <f t="shared" si="41"/>
        <v>1.1238457222437075</v>
      </c>
      <c r="N109" s="55">
        <f t="shared" si="41"/>
        <v>1.1218866898406343</v>
      </c>
      <c r="O109" s="55">
        <f t="shared" si="41"/>
        <v>1.1198404001206423</v>
      </c>
      <c r="P109" s="55">
        <f t="shared" si="41"/>
        <v>1.117701552109831</v>
      </c>
      <c r="Q109" s="55">
        <f t="shared" si="41"/>
        <v>1.1154644140651933</v>
      </c>
      <c r="R109" s="55">
        <f t="shared" si="41"/>
        <v>1.1131227787932267</v>
      </c>
      <c r="S109" s="55">
        <f t="shared" si="41"/>
        <v>1.1106699132860671</v>
      </c>
      <c r="T109" s="55">
        <f t="shared" si="41"/>
        <v>1.1080985018137137</v>
      </c>
      <c r="U109" s="55">
        <f t="shared" si="41"/>
        <v>1.1054005814583683</v>
      </c>
      <c r="V109" s="55">
        <f t="shared" si="41"/>
        <v>1.1025674688932794</v>
      </c>
      <c r="W109" s="55">
        <f t="shared" si="41"/>
        <v>1.1041520393563546</v>
      </c>
      <c r="X109" s="55">
        <f t="shared" si="41"/>
        <v>1.1012501760498561</v>
      </c>
      <c r="Y109" s="55">
        <f t="shared" si="41"/>
        <v>1.0981985068990114</v>
      </c>
      <c r="Z109" s="55">
        <f t="shared" si="41"/>
        <v>1.0951404024850706</v>
      </c>
      <c r="AA109" s="55" t="str">
        <f t="shared" si="41"/>
        <v/>
      </c>
      <c r="AB109" s="55" t="str">
        <f t="shared" si="41"/>
        <v/>
      </c>
      <c r="AC109" s="55" t="str">
        <f t="shared" si="41"/>
        <v/>
      </c>
      <c r="AD109" s="55" t="str">
        <f t="shared" si="41"/>
        <v/>
      </c>
      <c r="AE109" s="55" t="str">
        <f t="shared" si="41"/>
        <v/>
      </c>
      <c r="AF109" s="55" t="str">
        <f t="shared" si="41"/>
        <v/>
      </c>
      <c r="AG109" s="55" t="str">
        <f t="shared" si="41"/>
        <v/>
      </c>
      <c r="AH109" s="55" t="str">
        <f t="shared" si="41"/>
        <v/>
      </c>
      <c r="AI109" s="55" t="str">
        <f t="shared" si="41"/>
        <v/>
      </c>
      <c r="AJ109" s="55" t="str">
        <f t="shared" si="41"/>
        <v/>
      </c>
      <c r="AK109" s="55" t="str">
        <f t="shared" si="41"/>
        <v/>
      </c>
    </row>
    <row r="110" spans="1:37" s="38" customFormat="1" hidden="1" outlineLevel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s="38" customFormat="1" collapsed="1" x14ac:dyDescent="0.2">
      <c r="B111" s="37"/>
      <c r="C111" s="37"/>
      <c r="D111" s="37"/>
      <c r="E111" s="42"/>
      <c r="F111" s="42"/>
      <c r="G111" s="42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s="2" customFormat="1" ht="18.75" customHeight="1" x14ac:dyDescent="0.2">
      <c r="A112" s="2" t="s">
        <v>147</v>
      </c>
      <c r="B112" s="128" t="s">
        <v>105</v>
      </c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</row>
    <row r="113" spans="2:37" hidden="1" outlineLevel="1" x14ac:dyDescent="0.2"/>
    <row r="114" spans="2:37" hidden="1" outlineLevel="1" x14ac:dyDescent="0.2">
      <c r="B114" s="37"/>
      <c r="C114" s="37"/>
      <c r="D114" s="56" t="str">
        <f t="shared" ref="D114:E119" si="42">D44</f>
        <v>% of Capex</v>
      </c>
      <c r="E114" s="57" t="str">
        <f t="shared" si="42"/>
        <v>Depreciation Rate</v>
      </c>
    </row>
    <row r="115" spans="2:37" hidden="1" outlineLevel="1" x14ac:dyDescent="0.2">
      <c r="B115" s="37" t="str">
        <f>B45</f>
        <v>Class A</v>
      </c>
      <c r="C115" s="37"/>
      <c r="D115" s="58">
        <f t="shared" si="42"/>
        <v>2.1677670139799671E-3</v>
      </c>
      <c r="E115" s="58">
        <f t="shared" si="42"/>
        <v>0.05</v>
      </c>
    </row>
    <row r="116" spans="2:37" s="38" customFormat="1" hidden="1" outlineLevel="1" x14ac:dyDescent="0.2">
      <c r="B116" s="37" t="str">
        <f>B46</f>
        <v>Class B</v>
      </c>
      <c r="C116" s="37"/>
      <c r="D116" s="59">
        <f t="shared" si="42"/>
        <v>0</v>
      </c>
      <c r="E116" s="59">
        <f t="shared" si="42"/>
        <v>0.2</v>
      </c>
      <c r="F116" s="42"/>
      <c r="G116" s="42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2:37" s="38" customFormat="1" hidden="1" outlineLevel="1" x14ac:dyDescent="0.2">
      <c r="B117" s="37" t="str">
        <f>B47</f>
        <v>Class C</v>
      </c>
      <c r="C117" s="37"/>
      <c r="D117" s="59">
        <f t="shared" si="42"/>
        <v>3.2074278137527175E-2</v>
      </c>
      <c r="E117" s="59">
        <f t="shared" si="42"/>
        <v>0.05</v>
      </c>
      <c r="F117" s="42"/>
      <c r="G117" s="42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2:37" s="38" customFormat="1" hidden="1" outlineLevel="1" x14ac:dyDescent="0.2">
      <c r="B118" s="37" t="str">
        <f>B48</f>
        <v>Class D</v>
      </c>
      <c r="C118" s="37"/>
      <c r="D118" s="59">
        <f t="shared" si="42"/>
        <v>5.7539534536502858E-3</v>
      </c>
      <c r="E118" s="59">
        <f t="shared" si="42"/>
        <v>0.1</v>
      </c>
      <c r="F118" s="42"/>
      <c r="G118" s="42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2:37" s="38" customFormat="1" hidden="1" outlineLevel="1" x14ac:dyDescent="0.2">
      <c r="B119" s="37" t="str">
        <f>B49</f>
        <v>Class E</v>
      </c>
      <c r="C119" s="37"/>
      <c r="D119" s="60">
        <f t="shared" si="42"/>
        <v>0.92793487430529409</v>
      </c>
      <c r="E119" s="60">
        <f t="shared" si="42"/>
        <v>0.25</v>
      </c>
      <c r="F119" s="42"/>
      <c r="G119" s="42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2:37" s="38" customFormat="1" hidden="1" outlineLevel="1" x14ac:dyDescent="0.2">
      <c r="F120" s="42"/>
      <c r="G120" s="42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2:37" s="38" customFormat="1" hidden="1" outlineLevel="1" x14ac:dyDescent="0.2">
      <c r="B121" s="61" t="str">
        <f>B115</f>
        <v>Class A</v>
      </c>
      <c r="C121" s="37"/>
      <c r="D121" s="37"/>
      <c r="E121" s="42"/>
      <c r="F121" s="42"/>
      <c r="G121" s="42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2:37" s="38" customFormat="1" hidden="1" outlineLevel="1" x14ac:dyDescent="0.2">
      <c r="B122" s="37" t="s">
        <v>77</v>
      </c>
      <c r="C122" s="37"/>
      <c r="D122" s="37"/>
      <c r="E122" s="42"/>
      <c r="F122" s="42"/>
      <c r="G122" s="42"/>
      <c r="H122" s="62">
        <f>$D$115*$L$26</f>
        <v>66200.734012428351</v>
      </c>
      <c r="I122" s="63">
        <f>H124</f>
        <v>62890.697311806936</v>
      </c>
      <c r="J122" s="63">
        <f t="shared" ref="J122:AK122" si="43">I124</f>
        <v>59580.660611185522</v>
      </c>
      <c r="K122" s="63">
        <f t="shared" si="43"/>
        <v>56270.623910564107</v>
      </c>
      <c r="L122" s="63">
        <f t="shared" si="43"/>
        <v>52960.587209942692</v>
      </c>
      <c r="M122" s="63">
        <f t="shared" si="43"/>
        <v>49650.550509321278</v>
      </c>
      <c r="N122" s="63">
        <f t="shared" si="43"/>
        <v>46340.513808699863</v>
      </c>
      <c r="O122" s="63">
        <f t="shared" si="43"/>
        <v>43030.477108078449</v>
      </c>
      <c r="P122" s="63">
        <f t="shared" si="43"/>
        <v>39720.440407457034</v>
      </c>
      <c r="Q122" s="63">
        <f t="shared" si="43"/>
        <v>36410.403706835619</v>
      </c>
      <c r="R122" s="63">
        <f t="shared" si="43"/>
        <v>33100.367006214205</v>
      </c>
      <c r="S122" s="63">
        <f t="shared" si="43"/>
        <v>29790.330305592786</v>
      </c>
      <c r="T122" s="63">
        <f t="shared" si="43"/>
        <v>26480.293604971368</v>
      </c>
      <c r="U122" s="63">
        <f t="shared" si="43"/>
        <v>23170.25690434995</v>
      </c>
      <c r="V122" s="63">
        <f t="shared" si="43"/>
        <v>19860.220203728531</v>
      </c>
      <c r="W122" s="63">
        <f t="shared" si="43"/>
        <v>16550.183503107113</v>
      </c>
      <c r="X122" s="63">
        <f t="shared" si="43"/>
        <v>13240.146802485695</v>
      </c>
      <c r="Y122" s="63">
        <f t="shared" si="43"/>
        <v>9930.1101018642767</v>
      </c>
      <c r="Z122" s="63">
        <f t="shared" si="43"/>
        <v>6620.0734012428584</v>
      </c>
      <c r="AA122" s="63">
        <f t="shared" si="43"/>
        <v>3310.0367006214406</v>
      </c>
      <c r="AB122" s="63">
        <f t="shared" si="43"/>
        <v>2.2737367544323206E-11</v>
      </c>
      <c r="AC122" s="63">
        <f t="shared" si="43"/>
        <v>0</v>
      </c>
      <c r="AD122" s="63">
        <f t="shared" si="43"/>
        <v>0</v>
      </c>
      <c r="AE122" s="63">
        <f t="shared" si="43"/>
        <v>0</v>
      </c>
      <c r="AF122" s="63">
        <f t="shared" si="43"/>
        <v>0</v>
      </c>
      <c r="AG122" s="63">
        <f t="shared" si="43"/>
        <v>0</v>
      </c>
      <c r="AH122" s="63">
        <f t="shared" si="43"/>
        <v>0</v>
      </c>
      <c r="AI122" s="63">
        <f t="shared" si="43"/>
        <v>0</v>
      </c>
      <c r="AJ122" s="63">
        <f t="shared" si="43"/>
        <v>0</v>
      </c>
      <c r="AK122" s="64">
        <f t="shared" si="43"/>
        <v>0</v>
      </c>
    </row>
    <row r="123" spans="2:37" s="38" customFormat="1" hidden="1" outlineLevel="1" x14ac:dyDescent="0.2">
      <c r="B123" s="37" t="s">
        <v>79</v>
      </c>
      <c r="C123" s="37"/>
      <c r="D123" s="37"/>
      <c r="E123" s="42"/>
      <c r="F123" s="42"/>
      <c r="G123" s="42"/>
      <c r="H123" s="65">
        <f>MIN($E$115*$H$122,H122)</f>
        <v>3310.0367006214178</v>
      </c>
      <c r="I123" s="39">
        <f>MIN($E$115*$H$122,I122)</f>
        <v>3310.0367006214178</v>
      </c>
      <c r="J123" s="39">
        <f t="shared" ref="J123:AK123" si="44">MIN($E$115*$H$122,J122)</f>
        <v>3310.0367006214178</v>
      </c>
      <c r="K123" s="39">
        <f t="shared" si="44"/>
        <v>3310.0367006214178</v>
      </c>
      <c r="L123" s="39">
        <f t="shared" si="44"/>
        <v>3310.0367006214178</v>
      </c>
      <c r="M123" s="39">
        <f t="shared" si="44"/>
        <v>3310.0367006214178</v>
      </c>
      <c r="N123" s="39">
        <f t="shared" si="44"/>
        <v>3310.0367006214178</v>
      </c>
      <c r="O123" s="39">
        <f t="shared" si="44"/>
        <v>3310.0367006214178</v>
      </c>
      <c r="P123" s="39">
        <f t="shared" si="44"/>
        <v>3310.0367006214178</v>
      </c>
      <c r="Q123" s="39">
        <f t="shared" si="44"/>
        <v>3310.0367006214178</v>
      </c>
      <c r="R123" s="39">
        <f t="shared" si="44"/>
        <v>3310.0367006214178</v>
      </c>
      <c r="S123" s="39">
        <f t="shared" si="44"/>
        <v>3310.0367006214178</v>
      </c>
      <c r="T123" s="39">
        <f t="shared" si="44"/>
        <v>3310.0367006214178</v>
      </c>
      <c r="U123" s="39">
        <f t="shared" si="44"/>
        <v>3310.0367006214178</v>
      </c>
      <c r="V123" s="39">
        <f t="shared" si="44"/>
        <v>3310.0367006214178</v>
      </c>
      <c r="W123" s="39">
        <f t="shared" si="44"/>
        <v>3310.0367006214178</v>
      </c>
      <c r="X123" s="39">
        <f t="shared" si="44"/>
        <v>3310.0367006214178</v>
      </c>
      <c r="Y123" s="39">
        <f t="shared" si="44"/>
        <v>3310.0367006214178</v>
      </c>
      <c r="Z123" s="39">
        <f t="shared" si="44"/>
        <v>3310.0367006214178</v>
      </c>
      <c r="AA123" s="39">
        <f t="shared" si="44"/>
        <v>3310.0367006214178</v>
      </c>
      <c r="AB123" s="39">
        <f t="shared" si="44"/>
        <v>2.2737367544323206E-11</v>
      </c>
      <c r="AC123" s="39">
        <f t="shared" si="44"/>
        <v>0</v>
      </c>
      <c r="AD123" s="39">
        <f t="shared" si="44"/>
        <v>0</v>
      </c>
      <c r="AE123" s="39">
        <f t="shared" si="44"/>
        <v>0</v>
      </c>
      <c r="AF123" s="39">
        <f t="shared" si="44"/>
        <v>0</v>
      </c>
      <c r="AG123" s="39">
        <f t="shared" si="44"/>
        <v>0</v>
      </c>
      <c r="AH123" s="39">
        <f t="shared" si="44"/>
        <v>0</v>
      </c>
      <c r="AI123" s="39">
        <f t="shared" si="44"/>
        <v>0</v>
      </c>
      <c r="AJ123" s="39">
        <f t="shared" si="44"/>
        <v>0</v>
      </c>
      <c r="AK123" s="66">
        <f t="shared" si="44"/>
        <v>0</v>
      </c>
    </row>
    <row r="124" spans="2:37" s="38" customFormat="1" hidden="1" outlineLevel="1" x14ac:dyDescent="0.2">
      <c r="B124" s="37" t="s">
        <v>80</v>
      </c>
      <c r="C124" s="37"/>
      <c r="D124" s="37"/>
      <c r="E124" s="42"/>
      <c r="F124" s="42"/>
      <c r="G124" s="42"/>
      <c r="H124" s="65">
        <f>H122-H123</f>
        <v>62890.697311806936</v>
      </c>
      <c r="I124" s="39">
        <f>I122-I123</f>
        <v>59580.660611185522</v>
      </c>
      <c r="J124" s="39">
        <f t="shared" ref="J124:AK124" si="45">J122-J123</f>
        <v>56270.623910564107</v>
      </c>
      <c r="K124" s="39">
        <f t="shared" si="45"/>
        <v>52960.587209942692</v>
      </c>
      <c r="L124" s="39">
        <f t="shared" si="45"/>
        <v>49650.550509321278</v>
      </c>
      <c r="M124" s="39">
        <f t="shared" si="45"/>
        <v>46340.513808699863</v>
      </c>
      <c r="N124" s="39">
        <f t="shared" si="45"/>
        <v>43030.477108078449</v>
      </c>
      <c r="O124" s="39">
        <f t="shared" si="45"/>
        <v>39720.440407457034</v>
      </c>
      <c r="P124" s="39">
        <f t="shared" si="45"/>
        <v>36410.403706835619</v>
      </c>
      <c r="Q124" s="39">
        <f t="shared" si="45"/>
        <v>33100.367006214205</v>
      </c>
      <c r="R124" s="39">
        <f t="shared" si="45"/>
        <v>29790.330305592786</v>
      </c>
      <c r="S124" s="39">
        <f t="shared" si="45"/>
        <v>26480.293604971368</v>
      </c>
      <c r="T124" s="39">
        <f t="shared" si="45"/>
        <v>23170.25690434995</v>
      </c>
      <c r="U124" s="39">
        <f t="shared" si="45"/>
        <v>19860.220203728531</v>
      </c>
      <c r="V124" s="39">
        <f t="shared" si="45"/>
        <v>16550.183503107113</v>
      </c>
      <c r="W124" s="39">
        <f t="shared" si="45"/>
        <v>13240.146802485695</v>
      </c>
      <c r="X124" s="39">
        <f t="shared" si="45"/>
        <v>9930.1101018642767</v>
      </c>
      <c r="Y124" s="39">
        <f t="shared" si="45"/>
        <v>6620.0734012428584</v>
      </c>
      <c r="Z124" s="39">
        <f t="shared" si="45"/>
        <v>3310.0367006214406</v>
      </c>
      <c r="AA124" s="39">
        <f t="shared" si="45"/>
        <v>2.2737367544323206E-11</v>
      </c>
      <c r="AB124" s="39">
        <f t="shared" si="45"/>
        <v>0</v>
      </c>
      <c r="AC124" s="39">
        <f t="shared" si="45"/>
        <v>0</v>
      </c>
      <c r="AD124" s="39">
        <f t="shared" si="45"/>
        <v>0</v>
      </c>
      <c r="AE124" s="39">
        <f t="shared" si="45"/>
        <v>0</v>
      </c>
      <c r="AF124" s="39">
        <f t="shared" si="45"/>
        <v>0</v>
      </c>
      <c r="AG124" s="39">
        <f t="shared" si="45"/>
        <v>0</v>
      </c>
      <c r="AH124" s="39">
        <f t="shared" si="45"/>
        <v>0</v>
      </c>
      <c r="AI124" s="39">
        <f t="shared" si="45"/>
        <v>0</v>
      </c>
      <c r="AJ124" s="39">
        <f t="shared" si="45"/>
        <v>0</v>
      </c>
      <c r="AK124" s="66">
        <f t="shared" si="45"/>
        <v>0</v>
      </c>
    </row>
    <row r="125" spans="2:37" s="38" customFormat="1" hidden="1" outlineLevel="1" x14ac:dyDescent="0.2">
      <c r="B125" s="37"/>
      <c r="C125" s="37"/>
      <c r="D125" s="37"/>
      <c r="E125" s="42"/>
      <c r="F125" s="42"/>
      <c r="G125" s="42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2:37" s="38" customFormat="1" hidden="1" outlineLevel="1" x14ac:dyDescent="0.2">
      <c r="B126" s="61" t="str">
        <f>B116</f>
        <v>Class B</v>
      </c>
      <c r="C126" s="37"/>
      <c r="D126" s="37"/>
      <c r="E126" s="42"/>
      <c r="F126" s="42"/>
      <c r="G126" s="42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2:37" s="38" customFormat="1" hidden="1" outlineLevel="1" x14ac:dyDescent="0.2">
      <c r="B127" s="37" t="s">
        <v>77</v>
      </c>
      <c r="C127" s="37"/>
      <c r="D127" s="37"/>
      <c r="E127" s="42"/>
      <c r="F127" s="42"/>
      <c r="G127" s="42"/>
      <c r="H127" s="62">
        <f>D116*$L$26</f>
        <v>0</v>
      </c>
      <c r="I127" s="63">
        <f>H129</f>
        <v>0</v>
      </c>
      <c r="J127" s="63">
        <f t="shared" ref="J127:AK127" si="46">I129</f>
        <v>0</v>
      </c>
      <c r="K127" s="63">
        <f t="shared" si="46"/>
        <v>0</v>
      </c>
      <c r="L127" s="63">
        <f t="shared" si="46"/>
        <v>0</v>
      </c>
      <c r="M127" s="63">
        <f t="shared" si="46"/>
        <v>0</v>
      </c>
      <c r="N127" s="63">
        <f t="shared" si="46"/>
        <v>0</v>
      </c>
      <c r="O127" s="63">
        <f t="shared" si="46"/>
        <v>0</v>
      </c>
      <c r="P127" s="63">
        <f t="shared" si="46"/>
        <v>0</v>
      </c>
      <c r="Q127" s="63">
        <f t="shared" si="46"/>
        <v>0</v>
      </c>
      <c r="R127" s="63">
        <f t="shared" si="46"/>
        <v>0</v>
      </c>
      <c r="S127" s="63">
        <f t="shared" si="46"/>
        <v>0</v>
      </c>
      <c r="T127" s="63">
        <f t="shared" si="46"/>
        <v>0</v>
      </c>
      <c r="U127" s="63">
        <f t="shared" si="46"/>
        <v>0</v>
      </c>
      <c r="V127" s="63">
        <f t="shared" si="46"/>
        <v>0</v>
      </c>
      <c r="W127" s="63">
        <f t="shared" si="46"/>
        <v>0</v>
      </c>
      <c r="X127" s="63">
        <f t="shared" si="46"/>
        <v>0</v>
      </c>
      <c r="Y127" s="63">
        <f t="shared" si="46"/>
        <v>0</v>
      </c>
      <c r="Z127" s="63">
        <f t="shared" si="46"/>
        <v>0</v>
      </c>
      <c r="AA127" s="63">
        <f t="shared" si="46"/>
        <v>0</v>
      </c>
      <c r="AB127" s="63">
        <f t="shared" si="46"/>
        <v>0</v>
      </c>
      <c r="AC127" s="63">
        <f t="shared" si="46"/>
        <v>0</v>
      </c>
      <c r="AD127" s="63">
        <f t="shared" si="46"/>
        <v>0</v>
      </c>
      <c r="AE127" s="63">
        <f t="shared" si="46"/>
        <v>0</v>
      </c>
      <c r="AF127" s="63">
        <f t="shared" si="46"/>
        <v>0</v>
      </c>
      <c r="AG127" s="63">
        <f t="shared" si="46"/>
        <v>0</v>
      </c>
      <c r="AH127" s="63">
        <f t="shared" si="46"/>
        <v>0</v>
      </c>
      <c r="AI127" s="63">
        <f t="shared" si="46"/>
        <v>0</v>
      </c>
      <c r="AJ127" s="63">
        <f t="shared" si="46"/>
        <v>0</v>
      </c>
      <c r="AK127" s="64">
        <f t="shared" si="46"/>
        <v>0</v>
      </c>
    </row>
    <row r="128" spans="2:37" s="38" customFormat="1" hidden="1" outlineLevel="1" x14ac:dyDescent="0.2">
      <c r="B128" s="37" t="s">
        <v>79</v>
      </c>
      <c r="C128" s="37"/>
      <c r="D128" s="37"/>
      <c r="E128" s="42"/>
      <c r="F128" s="42"/>
      <c r="G128" s="42"/>
      <c r="H128" s="65">
        <f>MIN($E$116*$H$127,H127)</f>
        <v>0</v>
      </c>
      <c r="I128" s="39">
        <f>MIN($E$116*$H$127,I127)</f>
        <v>0</v>
      </c>
      <c r="J128" s="39">
        <f t="shared" ref="J128:AK128" si="47">MIN($E$116*$H$127,J127)</f>
        <v>0</v>
      </c>
      <c r="K128" s="39">
        <f t="shared" si="47"/>
        <v>0</v>
      </c>
      <c r="L128" s="39">
        <f t="shared" si="47"/>
        <v>0</v>
      </c>
      <c r="M128" s="39">
        <f t="shared" si="47"/>
        <v>0</v>
      </c>
      <c r="N128" s="39">
        <f t="shared" si="47"/>
        <v>0</v>
      </c>
      <c r="O128" s="39">
        <f t="shared" si="47"/>
        <v>0</v>
      </c>
      <c r="P128" s="39">
        <f t="shared" si="47"/>
        <v>0</v>
      </c>
      <c r="Q128" s="39">
        <f t="shared" si="47"/>
        <v>0</v>
      </c>
      <c r="R128" s="39">
        <f t="shared" si="47"/>
        <v>0</v>
      </c>
      <c r="S128" s="39">
        <f t="shared" si="47"/>
        <v>0</v>
      </c>
      <c r="T128" s="39">
        <f t="shared" si="47"/>
        <v>0</v>
      </c>
      <c r="U128" s="39">
        <f t="shared" si="47"/>
        <v>0</v>
      </c>
      <c r="V128" s="39">
        <f t="shared" si="47"/>
        <v>0</v>
      </c>
      <c r="W128" s="39">
        <f t="shared" si="47"/>
        <v>0</v>
      </c>
      <c r="X128" s="39">
        <f t="shared" si="47"/>
        <v>0</v>
      </c>
      <c r="Y128" s="39">
        <f t="shared" si="47"/>
        <v>0</v>
      </c>
      <c r="Z128" s="39">
        <f t="shared" si="47"/>
        <v>0</v>
      </c>
      <c r="AA128" s="39">
        <f t="shared" si="47"/>
        <v>0</v>
      </c>
      <c r="AB128" s="39">
        <f t="shared" si="47"/>
        <v>0</v>
      </c>
      <c r="AC128" s="39">
        <f t="shared" si="47"/>
        <v>0</v>
      </c>
      <c r="AD128" s="39">
        <f t="shared" si="47"/>
        <v>0</v>
      </c>
      <c r="AE128" s="39">
        <f t="shared" si="47"/>
        <v>0</v>
      </c>
      <c r="AF128" s="39">
        <f t="shared" si="47"/>
        <v>0</v>
      </c>
      <c r="AG128" s="39">
        <f t="shared" si="47"/>
        <v>0</v>
      </c>
      <c r="AH128" s="39">
        <f t="shared" si="47"/>
        <v>0</v>
      </c>
      <c r="AI128" s="39">
        <f t="shared" si="47"/>
        <v>0</v>
      </c>
      <c r="AJ128" s="39">
        <f t="shared" si="47"/>
        <v>0</v>
      </c>
      <c r="AK128" s="66">
        <f t="shared" si="47"/>
        <v>0</v>
      </c>
    </row>
    <row r="129" spans="2:37" s="38" customFormat="1" hidden="1" outlineLevel="1" x14ac:dyDescent="0.2">
      <c r="B129" s="37" t="s">
        <v>80</v>
      </c>
      <c r="C129" s="37"/>
      <c r="D129" s="37"/>
      <c r="E129" s="42"/>
      <c r="F129" s="42"/>
      <c r="G129" s="42"/>
      <c r="H129" s="65">
        <f>H127-H128</f>
        <v>0</v>
      </c>
      <c r="I129" s="39">
        <f>I127-I128</f>
        <v>0</v>
      </c>
      <c r="J129" s="39">
        <f t="shared" ref="J129:AK129" si="48">J127-J128</f>
        <v>0</v>
      </c>
      <c r="K129" s="39">
        <f t="shared" si="48"/>
        <v>0</v>
      </c>
      <c r="L129" s="39">
        <f t="shared" si="48"/>
        <v>0</v>
      </c>
      <c r="M129" s="39">
        <f t="shared" si="48"/>
        <v>0</v>
      </c>
      <c r="N129" s="39">
        <f t="shared" si="48"/>
        <v>0</v>
      </c>
      <c r="O129" s="39">
        <f t="shared" si="48"/>
        <v>0</v>
      </c>
      <c r="P129" s="39">
        <f t="shared" si="48"/>
        <v>0</v>
      </c>
      <c r="Q129" s="39">
        <f t="shared" si="48"/>
        <v>0</v>
      </c>
      <c r="R129" s="39">
        <f t="shared" si="48"/>
        <v>0</v>
      </c>
      <c r="S129" s="39">
        <f t="shared" si="48"/>
        <v>0</v>
      </c>
      <c r="T129" s="39">
        <f t="shared" si="48"/>
        <v>0</v>
      </c>
      <c r="U129" s="39">
        <f t="shared" si="48"/>
        <v>0</v>
      </c>
      <c r="V129" s="39">
        <f t="shared" si="48"/>
        <v>0</v>
      </c>
      <c r="W129" s="39">
        <f t="shared" si="48"/>
        <v>0</v>
      </c>
      <c r="X129" s="39">
        <f t="shared" si="48"/>
        <v>0</v>
      </c>
      <c r="Y129" s="39">
        <f t="shared" si="48"/>
        <v>0</v>
      </c>
      <c r="Z129" s="39">
        <f t="shared" si="48"/>
        <v>0</v>
      </c>
      <c r="AA129" s="39">
        <f t="shared" si="48"/>
        <v>0</v>
      </c>
      <c r="AB129" s="39">
        <f t="shared" si="48"/>
        <v>0</v>
      </c>
      <c r="AC129" s="39">
        <f t="shared" si="48"/>
        <v>0</v>
      </c>
      <c r="AD129" s="39">
        <f t="shared" si="48"/>
        <v>0</v>
      </c>
      <c r="AE129" s="39">
        <f t="shared" si="48"/>
        <v>0</v>
      </c>
      <c r="AF129" s="39">
        <f t="shared" si="48"/>
        <v>0</v>
      </c>
      <c r="AG129" s="39">
        <f t="shared" si="48"/>
        <v>0</v>
      </c>
      <c r="AH129" s="39">
        <f t="shared" si="48"/>
        <v>0</v>
      </c>
      <c r="AI129" s="39">
        <f t="shared" si="48"/>
        <v>0</v>
      </c>
      <c r="AJ129" s="39">
        <f t="shared" si="48"/>
        <v>0</v>
      </c>
      <c r="AK129" s="66">
        <f t="shared" si="48"/>
        <v>0</v>
      </c>
    </row>
    <row r="130" spans="2:37" s="38" customFormat="1" hidden="1" outlineLevel="1" x14ac:dyDescent="0.2">
      <c r="B130" s="37"/>
      <c r="C130" s="37"/>
      <c r="D130" s="37"/>
      <c r="E130" s="42"/>
      <c r="F130" s="42"/>
      <c r="G130" s="42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2:37" s="38" customFormat="1" hidden="1" outlineLevel="1" x14ac:dyDescent="0.2">
      <c r="B131" s="61" t="str">
        <f>B117</f>
        <v>Class C</v>
      </c>
      <c r="C131" s="37"/>
      <c r="D131" s="37"/>
      <c r="E131" s="42"/>
      <c r="F131" s="42"/>
      <c r="G131" s="42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2:37" s="38" customFormat="1" hidden="1" outlineLevel="1" x14ac:dyDescent="0.2">
      <c r="B132" s="37" t="s">
        <v>77</v>
      </c>
      <c r="C132" s="37"/>
      <c r="D132" s="37"/>
      <c r="E132" s="42"/>
      <c r="F132" s="42"/>
      <c r="G132" s="42"/>
      <c r="H132" s="62">
        <f>D117*$L$26</f>
        <v>979505.98100700916</v>
      </c>
      <c r="I132" s="63">
        <f>H134</f>
        <v>930530.68195665872</v>
      </c>
      <c r="J132" s="63">
        <f t="shared" ref="J132:AK132" si="49">I134</f>
        <v>881555.38290630828</v>
      </c>
      <c r="K132" s="63">
        <f t="shared" si="49"/>
        <v>832580.08385595784</v>
      </c>
      <c r="L132" s="63">
        <f t="shared" si="49"/>
        <v>783604.7848056074</v>
      </c>
      <c r="M132" s="63">
        <f t="shared" si="49"/>
        <v>734629.48575525696</v>
      </c>
      <c r="N132" s="63">
        <f t="shared" si="49"/>
        <v>685654.18670490652</v>
      </c>
      <c r="O132" s="63">
        <f t="shared" si="49"/>
        <v>636678.88765455608</v>
      </c>
      <c r="P132" s="63">
        <f t="shared" si="49"/>
        <v>587703.58860420564</v>
      </c>
      <c r="Q132" s="63">
        <f t="shared" si="49"/>
        <v>538728.2895538552</v>
      </c>
      <c r="R132" s="63">
        <f t="shared" si="49"/>
        <v>489752.99050350476</v>
      </c>
      <c r="S132" s="63">
        <f t="shared" si="49"/>
        <v>440777.69145315432</v>
      </c>
      <c r="T132" s="63">
        <f t="shared" si="49"/>
        <v>391802.39240280387</v>
      </c>
      <c r="U132" s="63">
        <f t="shared" si="49"/>
        <v>342827.09335245343</v>
      </c>
      <c r="V132" s="63">
        <f t="shared" si="49"/>
        <v>293851.79430210299</v>
      </c>
      <c r="W132" s="63">
        <f t="shared" si="49"/>
        <v>244876.49525175252</v>
      </c>
      <c r="X132" s="63">
        <f t="shared" si="49"/>
        <v>195901.19620140205</v>
      </c>
      <c r="Y132" s="63">
        <f t="shared" si="49"/>
        <v>146925.89715105158</v>
      </c>
      <c r="Z132" s="63">
        <f t="shared" si="49"/>
        <v>97950.598100701114</v>
      </c>
      <c r="AA132" s="63">
        <f t="shared" si="49"/>
        <v>48975.299050350652</v>
      </c>
      <c r="AB132" s="63">
        <f t="shared" si="49"/>
        <v>1.8917489796876907E-10</v>
      </c>
      <c r="AC132" s="63">
        <f t="shared" si="49"/>
        <v>0</v>
      </c>
      <c r="AD132" s="63">
        <f t="shared" si="49"/>
        <v>0</v>
      </c>
      <c r="AE132" s="63">
        <f t="shared" si="49"/>
        <v>0</v>
      </c>
      <c r="AF132" s="63">
        <f t="shared" si="49"/>
        <v>0</v>
      </c>
      <c r="AG132" s="63">
        <f t="shared" si="49"/>
        <v>0</v>
      </c>
      <c r="AH132" s="63">
        <f t="shared" si="49"/>
        <v>0</v>
      </c>
      <c r="AI132" s="63">
        <f t="shared" si="49"/>
        <v>0</v>
      </c>
      <c r="AJ132" s="63">
        <f t="shared" si="49"/>
        <v>0</v>
      </c>
      <c r="AK132" s="64">
        <f t="shared" si="49"/>
        <v>0</v>
      </c>
    </row>
    <row r="133" spans="2:37" s="38" customFormat="1" hidden="1" outlineLevel="1" x14ac:dyDescent="0.2">
      <c r="B133" s="37" t="s">
        <v>79</v>
      </c>
      <c r="C133" s="37"/>
      <c r="D133" s="37"/>
      <c r="E133" s="42"/>
      <c r="F133" s="42"/>
      <c r="G133" s="42"/>
      <c r="H133" s="65">
        <f>MIN($E$117*$H$132,H132)</f>
        <v>48975.299050350462</v>
      </c>
      <c r="I133" s="39">
        <f>MIN($E$117*$H$132,I132)</f>
        <v>48975.299050350462</v>
      </c>
      <c r="J133" s="39">
        <f t="shared" ref="J133:AK133" si="50">MIN($E$117*$H$132,J132)</f>
        <v>48975.299050350462</v>
      </c>
      <c r="K133" s="39">
        <f t="shared" si="50"/>
        <v>48975.299050350462</v>
      </c>
      <c r="L133" s="39">
        <f t="shared" si="50"/>
        <v>48975.299050350462</v>
      </c>
      <c r="M133" s="39">
        <f t="shared" si="50"/>
        <v>48975.299050350462</v>
      </c>
      <c r="N133" s="39">
        <f t="shared" si="50"/>
        <v>48975.299050350462</v>
      </c>
      <c r="O133" s="39">
        <f t="shared" si="50"/>
        <v>48975.299050350462</v>
      </c>
      <c r="P133" s="39">
        <f t="shared" si="50"/>
        <v>48975.299050350462</v>
      </c>
      <c r="Q133" s="39">
        <f t="shared" si="50"/>
        <v>48975.299050350462</v>
      </c>
      <c r="R133" s="39">
        <f t="shared" si="50"/>
        <v>48975.299050350462</v>
      </c>
      <c r="S133" s="39">
        <f t="shared" si="50"/>
        <v>48975.299050350462</v>
      </c>
      <c r="T133" s="39">
        <f t="shared" si="50"/>
        <v>48975.299050350462</v>
      </c>
      <c r="U133" s="39">
        <f t="shared" si="50"/>
        <v>48975.299050350462</v>
      </c>
      <c r="V133" s="39">
        <f t="shared" si="50"/>
        <v>48975.299050350462</v>
      </c>
      <c r="W133" s="39">
        <f t="shared" si="50"/>
        <v>48975.299050350462</v>
      </c>
      <c r="X133" s="39">
        <f t="shared" si="50"/>
        <v>48975.299050350462</v>
      </c>
      <c r="Y133" s="39">
        <f t="shared" si="50"/>
        <v>48975.299050350462</v>
      </c>
      <c r="Z133" s="39">
        <f t="shared" si="50"/>
        <v>48975.299050350462</v>
      </c>
      <c r="AA133" s="39">
        <f t="shared" si="50"/>
        <v>48975.299050350462</v>
      </c>
      <c r="AB133" s="39">
        <f t="shared" si="50"/>
        <v>1.8917489796876907E-10</v>
      </c>
      <c r="AC133" s="39">
        <f t="shared" si="50"/>
        <v>0</v>
      </c>
      <c r="AD133" s="39">
        <f t="shared" si="50"/>
        <v>0</v>
      </c>
      <c r="AE133" s="39">
        <f t="shared" si="50"/>
        <v>0</v>
      </c>
      <c r="AF133" s="39">
        <f t="shared" si="50"/>
        <v>0</v>
      </c>
      <c r="AG133" s="39">
        <f t="shared" si="50"/>
        <v>0</v>
      </c>
      <c r="AH133" s="39">
        <f t="shared" si="50"/>
        <v>0</v>
      </c>
      <c r="AI133" s="39">
        <f t="shared" si="50"/>
        <v>0</v>
      </c>
      <c r="AJ133" s="39">
        <f t="shared" si="50"/>
        <v>0</v>
      </c>
      <c r="AK133" s="66">
        <f t="shared" si="50"/>
        <v>0</v>
      </c>
    </row>
    <row r="134" spans="2:37" s="38" customFormat="1" hidden="1" outlineLevel="1" x14ac:dyDescent="0.2">
      <c r="B134" s="37" t="s">
        <v>80</v>
      </c>
      <c r="C134" s="37"/>
      <c r="D134" s="37"/>
      <c r="E134" s="42"/>
      <c r="F134" s="42"/>
      <c r="G134" s="42"/>
      <c r="H134" s="65">
        <f>H132-H133</f>
        <v>930530.68195665872</v>
      </c>
      <c r="I134" s="39">
        <f>I132-I133</f>
        <v>881555.38290630828</v>
      </c>
      <c r="J134" s="39">
        <f t="shared" ref="J134:AK134" si="51">J132-J133</f>
        <v>832580.08385595784</v>
      </c>
      <c r="K134" s="39">
        <f t="shared" si="51"/>
        <v>783604.7848056074</v>
      </c>
      <c r="L134" s="39">
        <f t="shared" si="51"/>
        <v>734629.48575525696</v>
      </c>
      <c r="M134" s="39">
        <f t="shared" si="51"/>
        <v>685654.18670490652</v>
      </c>
      <c r="N134" s="39">
        <f t="shared" si="51"/>
        <v>636678.88765455608</v>
      </c>
      <c r="O134" s="39">
        <f t="shared" si="51"/>
        <v>587703.58860420564</v>
      </c>
      <c r="P134" s="39">
        <f t="shared" si="51"/>
        <v>538728.2895538552</v>
      </c>
      <c r="Q134" s="39">
        <f t="shared" si="51"/>
        <v>489752.99050350476</v>
      </c>
      <c r="R134" s="39">
        <f t="shared" si="51"/>
        <v>440777.69145315432</v>
      </c>
      <c r="S134" s="39">
        <f t="shared" si="51"/>
        <v>391802.39240280387</v>
      </c>
      <c r="T134" s="39">
        <f t="shared" si="51"/>
        <v>342827.09335245343</v>
      </c>
      <c r="U134" s="39">
        <f t="shared" si="51"/>
        <v>293851.79430210299</v>
      </c>
      <c r="V134" s="39">
        <f t="shared" si="51"/>
        <v>244876.49525175252</v>
      </c>
      <c r="W134" s="39">
        <f t="shared" si="51"/>
        <v>195901.19620140205</v>
      </c>
      <c r="X134" s="39">
        <f t="shared" si="51"/>
        <v>146925.89715105158</v>
      </c>
      <c r="Y134" s="39">
        <f t="shared" si="51"/>
        <v>97950.598100701114</v>
      </c>
      <c r="Z134" s="39">
        <f t="shared" si="51"/>
        <v>48975.299050350652</v>
      </c>
      <c r="AA134" s="39">
        <f t="shared" si="51"/>
        <v>1.8917489796876907E-10</v>
      </c>
      <c r="AB134" s="39">
        <f t="shared" si="51"/>
        <v>0</v>
      </c>
      <c r="AC134" s="39">
        <f t="shared" si="51"/>
        <v>0</v>
      </c>
      <c r="AD134" s="39">
        <f t="shared" si="51"/>
        <v>0</v>
      </c>
      <c r="AE134" s="39">
        <f t="shared" si="51"/>
        <v>0</v>
      </c>
      <c r="AF134" s="39">
        <f t="shared" si="51"/>
        <v>0</v>
      </c>
      <c r="AG134" s="39">
        <f t="shared" si="51"/>
        <v>0</v>
      </c>
      <c r="AH134" s="39">
        <f t="shared" si="51"/>
        <v>0</v>
      </c>
      <c r="AI134" s="39">
        <f t="shared" si="51"/>
        <v>0</v>
      </c>
      <c r="AJ134" s="39">
        <f t="shared" si="51"/>
        <v>0</v>
      </c>
      <c r="AK134" s="66">
        <f t="shared" si="51"/>
        <v>0</v>
      </c>
    </row>
    <row r="135" spans="2:37" s="38" customFormat="1" hidden="1" outlineLevel="1" x14ac:dyDescent="0.2">
      <c r="B135" s="37"/>
      <c r="C135" s="37"/>
      <c r="D135" s="37"/>
      <c r="E135" s="42"/>
      <c r="F135" s="42"/>
      <c r="G135" s="42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2:37" s="38" customFormat="1" hidden="1" outlineLevel="1" x14ac:dyDescent="0.2">
      <c r="B136" s="61" t="str">
        <f>B118</f>
        <v>Class D</v>
      </c>
      <c r="C136" s="37"/>
      <c r="D136" s="37"/>
      <c r="E136" s="42"/>
      <c r="F136" s="42"/>
      <c r="G136" s="42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2:37" s="38" customFormat="1" hidden="1" outlineLevel="1" x14ac:dyDescent="0.2">
      <c r="B137" s="37" t="s">
        <v>77</v>
      </c>
      <c r="C137" s="37"/>
      <c r="D137" s="37"/>
      <c r="E137" s="42"/>
      <c r="F137" s="42"/>
      <c r="G137" s="42"/>
      <c r="H137" s="62">
        <f>D118*$L$26</f>
        <v>175718.11898993875</v>
      </c>
      <c r="I137" s="63">
        <f>H139</f>
        <v>158146.30709094487</v>
      </c>
      <c r="J137" s="63">
        <f t="shared" ref="J137:AK137" si="52">I139</f>
        <v>140574.49519195099</v>
      </c>
      <c r="K137" s="63">
        <f t="shared" si="52"/>
        <v>123002.68329295711</v>
      </c>
      <c r="L137" s="63">
        <f t="shared" si="52"/>
        <v>105430.87139396323</v>
      </c>
      <c r="M137" s="63">
        <f t="shared" si="52"/>
        <v>87859.059494969348</v>
      </c>
      <c r="N137" s="63">
        <f t="shared" si="52"/>
        <v>70287.247595975467</v>
      </c>
      <c r="O137" s="63">
        <f t="shared" si="52"/>
        <v>52715.435696981585</v>
      </c>
      <c r="P137" s="63">
        <f t="shared" si="52"/>
        <v>35143.623797987704</v>
      </c>
      <c r="Q137" s="63">
        <f t="shared" si="52"/>
        <v>17571.811898993827</v>
      </c>
      <c r="R137" s="63">
        <f t="shared" si="52"/>
        <v>0</v>
      </c>
      <c r="S137" s="63">
        <f t="shared" si="52"/>
        <v>0</v>
      </c>
      <c r="T137" s="63">
        <f t="shared" si="52"/>
        <v>0</v>
      </c>
      <c r="U137" s="63">
        <f t="shared" si="52"/>
        <v>0</v>
      </c>
      <c r="V137" s="63">
        <f t="shared" si="52"/>
        <v>0</v>
      </c>
      <c r="W137" s="63">
        <f t="shared" si="52"/>
        <v>0</v>
      </c>
      <c r="X137" s="63">
        <f t="shared" si="52"/>
        <v>0</v>
      </c>
      <c r="Y137" s="63">
        <f t="shared" si="52"/>
        <v>0</v>
      </c>
      <c r="Z137" s="63">
        <f t="shared" si="52"/>
        <v>0</v>
      </c>
      <c r="AA137" s="63">
        <f t="shared" si="52"/>
        <v>0</v>
      </c>
      <c r="AB137" s="63">
        <f t="shared" si="52"/>
        <v>0</v>
      </c>
      <c r="AC137" s="63">
        <f t="shared" si="52"/>
        <v>0</v>
      </c>
      <c r="AD137" s="63">
        <f t="shared" si="52"/>
        <v>0</v>
      </c>
      <c r="AE137" s="63">
        <f t="shared" si="52"/>
        <v>0</v>
      </c>
      <c r="AF137" s="63">
        <f t="shared" si="52"/>
        <v>0</v>
      </c>
      <c r="AG137" s="63">
        <f t="shared" si="52"/>
        <v>0</v>
      </c>
      <c r="AH137" s="63">
        <f t="shared" si="52"/>
        <v>0</v>
      </c>
      <c r="AI137" s="63">
        <f t="shared" si="52"/>
        <v>0</v>
      </c>
      <c r="AJ137" s="63">
        <f t="shared" si="52"/>
        <v>0</v>
      </c>
      <c r="AK137" s="64">
        <f t="shared" si="52"/>
        <v>0</v>
      </c>
    </row>
    <row r="138" spans="2:37" s="38" customFormat="1" hidden="1" outlineLevel="1" x14ac:dyDescent="0.2">
      <c r="B138" s="37" t="s">
        <v>79</v>
      </c>
      <c r="C138" s="37"/>
      <c r="D138" s="37"/>
      <c r="E138" s="42"/>
      <c r="F138" s="42"/>
      <c r="G138" s="42"/>
      <c r="H138" s="65">
        <f>MIN($E$118*$H$137,H137)</f>
        <v>17571.811898993878</v>
      </c>
      <c r="I138" s="39">
        <f>MIN($E$118*$H$137,I137)</f>
        <v>17571.811898993878</v>
      </c>
      <c r="J138" s="39">
        <f t="shared" ref="J138:AK138" si="53">MIN($E$118*$H$137,J137)</f>
        <v>17571.811898993878</v>
      </c>
      <c r="K138" s="39">
        <f t="shared" si="53"/>
        <v>17571.811898993878</v>
      </c>
      <c r="L138" s="39">
        <f t="shared" si="53"/>
        <v>17571.811898993878</v>
      </c>
      <c r="M138" s="39">
        <f t="shared" si="53"/>
        <v>17571.811898993878</v>
      </c>
      <c r="N138" s="39">
        <f t="shared" si="53"/>
        <v>17571.811898993878</v>
      </c>
      <c r="O138" s="39">
        <f t="shared" si="53"/>
        <v>17571.811898993878</v>
      </c>
      <c r="P138" s="39">
        <f t="shared" si="53"/>
        <v>17571.811898993878</v>
      </c>
      <c r="Q138" s="39">
        <f t="shared" si="53"/>
        <v>17571.811898993827</v>
      </c>
      <c r="R138" s="39">
        <f t="shared" si="53"/>
        <v>0</v>
      </c>
      <c r="S138" s="39">
        <f t="shared" si="53"/>
        <v>0</v>
      </c>
      <c r="T138" s="39">
        <f t="shared" si="53"/>
        <v>0</v>
      </c>
      <c r="U138" s="39">
        <f t="shared" si="53"/>
        <v>0</v>
      </c>
      <c r="V138" s="39">
        <f t="shared" si="53"/>
        <v>0</v>
      </c>
      <c r="W138" s="39">
        <f t="shared" si="53"/>
        <v>0</v>
      </c>
      <c r="X138" s="39">
        <f t="shared" si="53"/>
        <v>0</v>
      </c>
      <c r="Y138" s="39">
        <f t="shared" si="53"/>
        <v>0</v>
      </c>
      <c r="Z138" s="39">
        <f t="shared" si="53"/>
        <v>0</v>
      </c>
      <c r="AA138" s="39">
        <f t="shared" si="53"/>
        <v>0</v>
      </c>
      <c r="AB138" s="39">
        <f t="shared" si="53"/>
        <v>0</v>
      </c>
      <c r="AC138" s="39">
        <f t="shared" si="53"/>
        <v>0</v>
      </c>
      <c r="AD138" s="39">
        <f t="shared" si="53"/>
        <v>0</v>
      </c>
      <c r="AE138" s="39">
        <f t="shared" si="53"/>
        <v>0</v>
      </c>
      <c r="AF138" s="39">
        <f t="shared" si="53"/>
        <v>0</v>
      </c>
      <c r="AG138" s="39">
        <f t="shared" si="53"/>
        <v>0</v>
      </c>
      <c r="AH138" s="39">
        <f t="shared" si="53"/>
        <v>0</v>
      </c>
      <c r="AI138" s="39">
        <f t="shared" si="53"/>
        <v>0</v>
      </c>
      <c r="AJ138" s="39">
        <f t="shared" si="53"/>
        <v>0</v>
      </c>
      <c r="AK138" s="66">
        <f t="shared" si="53"/>
        <v>0</v>
      </c>
    </row>
    <row r="139" spans="2:37" s="38" customFormat="1" hidden="1" outlineLevel="1" x14ac:dyDescent="0.2">
      <c r="B139" s="37" t="s">
        <v>80</v>
      </c>
      <c r="C139" s="37"/>
      <c r="D139" s="37"/>
      <c r="E139" s="42"/>
      <c r="F139" s="42"/>
      <c r="G139" s="42"/>
      <c r="H139" s="65">
        <f>H137-H138</f>
        <v>158146.30709094487</v>
      </c>
      <c r="I139" s="39">
        <f>I137-I138</f>
        <v>140574.49519195099</v>
      </c>
      <c r="J139" s="39">
        <f t="shared" ref="J139:AK139" si="54">J137-J138</f>
        <v>123002.68329295711</v>
      </c>
      <c r="K139" s="39">
        <f t="shared" si="54"/>
        <v>105430.87139396323</v>
      </c>
      <c r="L139" s="39">
        <f t="shared" si="54"/>
        <v>87859.059494969348</v>
      </c>
      <c r="M139" s="39">
        <f t="shared" si="54"/>
        <v>70287.247595975467</v>
      </c>
      <c r="N139" s="39">
        <f t="shared" si="54"/>
        <v>52715.435696981585</v>
      </c>
      <c r="O139" s="39">
        <f t="shared" si="54"/>
        <v>35143.623797987704</v>
      </c>
      <c r="P139" s="39">
        <f t="shared" si="54"/>
        <v>17571.811898993827</v>
      </c>
      <c r="Q139" s="39">
        <f t="shared" si="54"/>
        <v>0</v>
      </c>
      <c r="R139" s="39">
        <f t="shared" si="54"/>
        <v>0</v>
      </c>
      <c r="S139" s="39">
        <f t="shared" si="54"/>
        <v>0</v>
      </c>
      <c r="T139" s="39">
        <f t="shared" si="54"/>
        <v>0</v>
      </c>
      <c r="U139" s="39">
        <f t="shared" si="54"/>
        <v>0</v>
      </c>
      <c r="V139" s="39">
        <f t="shared" si="54"/>
        <v>0</v>
      </c>
      <c r="W139" s="39">
        <f t="shared" si="54"/>
        <v>0</v>
      </c>
      <c r="X139" s="39">
        <f t="shared" si="54"/>
        <v>0</v>
      </c>
      <c r="Y139" s="39">
        <f t="shared" si="54"/>
        <v>0</v>
      </c>
      <c r="Z139" s="39">
        <f t="shared" si="54"/>
        <v>0</v>
      </c>
      <c r="AA139" s="39">
        <f t="shared" si="54"/>
        <v>0</v>
      </c>
      <c r="AB139" s="39">
        <f t="shared" si="54"/>
        <v>0</v>
      </c>
      <c r="AC139" s="39">
        <f t="shared" si="54"/>
        <v>0</v>
      </c>
      <c r="AD139" s="39">
        <f t="shared" si="54"/>
        <v>0</v>
      </c>
      <c r="AE139" s="39">
        <f t="shared" si="54"/>
        <v>0</v>
      </c>
      <c r="AF139" s="39">
        <f t="shared" si="54"/>
        <v>0</v>
      </c>
      <c r="AG139" s="39">
        <f t="shared" si="54"/>
        <v>0</v>
      </c>
      <c r="AH139" s="39">
        <f t="shared" si="54"/>
        <v>0</v>
      </c>
      <c r="AI139" s="39">
        <f t="shared" si="54"/>
        <v>0</v>
      </c>
      <c r="AJ139" s="39">
        <f t="shared" si="54"/>
        <v>0</v>
      </c>
      <c r="AK139" s="66">
        <f t="shared" si="54"/>
        <v>0</v>
      </c>
    </row>
    <row r="140" spans="2:37" s="38" customFormat="1" hidden="1" outlineLevel="1" x14ac:dyDescent="0.2">
      <c r="B140" s="37"/>
      <c r="C140" s="37"/>
      <c r="D140" s="37"/>
      <c r="E140" s="42"/>
      <c r="F140" s="42"/>
      <c r="G140" s="42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2:37" s="38" customFormat="1" hidden="1" outlineLevel="1" x14ac:dyDescent="0.2">
      <c r="B141" s="61" t="str">
        <f>B119</f>
        <v>Class E</v>
      </c>
      <c r="C141" s="37"/>
      <c r="D141" s="37"/>
      <c r="E141" s="42"/>
      <c r="F141" s="42"/>
      <c r="G141" s="42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2:37" s="38" customFormat="1" hidden="1" outlineLevel="1" x14ac:dyDescent="0.2">
      <c r="B142" s="37" t="s">
        <v>77</v>
      </c>
      <c r="C142" s="37"/>
      <c r="D142" s="37"/>
      <c r="E142" s="42"/>
      <c r="F142" s="42"/>
      <c r="G142" s="42"/>
      <c r="H142" s="62">
        <f>D119*$L$26</f>
        <v>28337902.273896582</v>
      </c>
      <c r="I142" s="63">
        <f>H144</f>
        <v>21253426.705422439</v>
      </c>
      <c r="J142" s="63">
        <f t="shared" ref="J142:AK142" si="55">I144</f>
        <v>14168951.136948293</v>
      </c>
      <c r="K142" s="63">
        <f t="shared" si="55"/>
        <v>7084475.5684741475</v>
      </c>
      <c r="L142" s="63">
        <f t="shared" si="55"/>
        <v>0</v>
      </c>
      <c r="M142" s="63">
        <f t="shared" si="55"/>
        <v>0</v>
      </c>
      <c r="N142" s="63">
        <f t="shared" si="55"/>
        <v>0</v>
      </c>
      <c r="O142" s="63">
        <f t="shared" si="55"/>
        <v>0</v>
      </c>
      <c r="P142" s="63">
        <f t="shared" si="55"/>
        <v>0</v>
      </c>
      <c r="Q142" s="63">
        <f t="shared" si="55"/>
        <v>0</v>
      </c>
      <c r="R142" s="63">
        <f t="shared" si="55"/>
        <v>0</v>
      </c>
      <c r="S142" s="63">
        <f t="shared" si="55"/>
        <v>0</v>
      </c>
      <c r="T142" s="63">
        <f t="shared" si="55"/>
        <v>0</v>
      </c>
      <c r="U142" s="63">
        <f t="shared" si="55"/>
        <v>0</v>
      </c>
      <c r="V142" s="63">
        <f t="shared" si="55"/>
        <v>0</v>
      </c>
      <c r="W142" s="63">
        <f t="shared" si="55"/>
        <v>0</v>
      </c>
      <c r="X142" s="63">
        <f t="shared" si="55"/>
        <v>0</v>
      </c>
      <c r="Y142" s="63">
        <f t="shared" si="55"/>
        <v>0</v>
      </c>
      <c r="Z142" s="63">
        <f t="shared" si="55"/>
        <v>0</v>
      </c>
      <c r="AA142" s="63">
        <f t="shared" si="55"/>
        <v>0</v>
      </c>
      <c r="AB142" s="63">
        <f t="shared" si="55"/>
        <v>0</v>
      </c>
      <c r="AC142" s="63">
        <f t="shared" si="55"/>
        <v>0</v>
      </c>
      <c r="AD142" s="63">
        <f t="shared" si="55"/>
        <v>0</v>
      </c>
      <c r="AE142" s="63">
        <f t="shared" si="55"/>
        <v>0</v>
      </c>
      <c r="AF142" s="63">
        <f t="shared" si="55"/>
        <v>0</v>
      </c>
      <c r="AG142" s="63">
        <f t="shared" si="55"/>
        <v>0</v>
      </c>
      <c r="AH142" s="63">
        <f t="shared" si="55"/>
        <v>0</v>
      </c>
      <c r="AI142" s="63">
        <f t="shared" si="55"/>
        <v>0</v>
      </c>
      <c r="AJ142" s="63">
        <f t="shared" si="55"/>
        <v>0</v>
      </c>
      <c r="AK142" s="64">
        <f t="shared" si="55"/>
        <v>0</v>
      </c>
    </row>
    <row r="143" spans="2:37" s="38" customFormat="1" hidden="1" outlineLevel="1" x14ac:dyDescent="0.2">
      <c r="B143" s="37" t="s">
        <v>79</v>
      </c>
      <c r="C143" s="37"/>
      <c r="D143" s="37"/>
      <c r="E143" s="42"/>
      <c r="F143" s="42"/>
      <c r="G143" s="42"/>
      <c r="H143" s="65">
        <f>MIN($E$119*$H$142,H142)</f>
        <v>7084475.5684741456</v>
      </c>
      <c r="I143" s="39">
        <f>MIN($E$119*$H$142,I142)</f>
        <v>7084475.5684741456</v>
      </c>
      <c r="J143" s="39">
        <f t="shared" ref="J143:AK143" si="56">MIN($E$119*$H$142,J142)</f>
        <v>7084475.5684741456</v>
      </c>
      <c r="K143" s="39">
        <f t="shared" si="56"/>
        <v>7084475.5684741456</v>
      </c>
      <c r="L143" s="39">
        <f t="shared" si="56"/>
        <v>0</v>
      </c>
      <c r="M143" s="39">
        <f t="shared" si="56"/>
        <v>0</v>
      </c>
      <c r="N143" s="39">
        <f t="shared" si="56"/>
        <v>0</v>
      </c>
      <c r="O143" s="39">
        <f t="shared" si="56"/>
        <v>0</v>
      </c>
      <c r="P143" s="39">
        <f t="shared" si="56"/>
        <v>0</v>
      </c>
      <c r="Q143" s="39">
        <f t="shared" si="56"/>
        <v>0</v>
      </c>
      <c r="R143" s="39">
        <f t="shared" si="56"/>
        <v>0</v>
      </c>
      <c r="S143" s="39">
        <f t="shared" si="56"/>
        <v>0</v>
      </c>
      <c r="T143" s="39">
        <f t="shared" si="56"/>
        <v>0</v>
      </c>
      <c r="U143" s="39">
        <f t="shared" si="56"/>
        <v>0</v>
      </c>
      <c r="V143" s="39">
        <f t="shared" si="56"/>
        <v>0</v>
      </c>
      <c r="W143" s="39">
        <f t="shared" si="56"/>
        <v>0</v>
      </c>
      <c r="X143" s="39">
        <f t="shared" si="56"/>
        <v>0</v>
      </c>
      <c r="Y143" s="39">
        <f t="shared" si="56"/>
        <v>0</v>
      </c>
      <c r="Z143" s="39">
        <f t="shared" si="56"/>
        <v>0</v>
      </c>
      <c r="AA143" s="39">
        <f t="shared" si="56"/>
        <v>0</v>
      </c>
      <c r="AB143" s="39">
        <f t="shared" si="56"/>
        <v>0</v>
      </c>
      <c r="AC143" s="39">
        <f t="shared" si="56"/>
        <v>0</v>
      </c>
      <c r="AD143" s="39">
        <f t="shared" si="56"/>
        <v>0</v>
      </c>
      <c r="AE143" s="39">
        <f t="shared" si="56"/>
        <v>0</v>
      </c>
      <c r="AF143" s="39">
        <f t="shared" si="56"/>
        <v>0</v>
      </c>
      <c r="AG143" s="39">
        <f t="shared" si="56"/>
        <v>0</v>
      </c>
      <c r="AH143" s="39">
        <f t="shared" si="56"/>
        <v>0</v>
      </c>
      <c r="AI143" s="39">
        <f t="shared" si="56"/>
        <v>0</v>
      </c>
      <c r="AJ143" s="39">
        <f t="shared" si="56"/>
        <v>0</v>
      </c>
      <c r="AK143" s="66">
        <f t="shared" si="56"/>
        <v>0</v>
      </c>
    </row>
    <row r="144" spans="2:37" s="38" customFormat="1" hidden="1" outlineLevel="1" x14ac:dyDescent="0.2">
      <c r="B144" s="37" t="s">
        <v>80</v>
      </c>
      <c r="C144" s="37"/>
      <c r="D144" s="37"/>
      <c r="E144" s="42"/>
      <c r="F144" s="42"/>
      <c r="G144" s="42"/>
      <c r="H144" s="65">
        <f>H142-H143</f>
        <v>21253426.705422439</v>
      </c>
      <c r="I144" s="39">
        <f>I142-I143</f>
        <v>14168951.136948293</v>
      </c>
      <c r="J144" s="39">
        <f t="shared" ref="J144:AK144" si="57">J142-J143</f>
        <v>7084475.5684741475</v>
      </c>
      <c r="K144" s="39">
        <f t="shared" si="57"/>
        <v>0</v>
      </c>
      <c r="L144" s="39">
        <f t="shared" si="57"/>
        <v>0</v>
      </c>
      <c r="M144" s="39">
        <f t="shared" si="57"/>
        <v>0</v>
      </c>
      <c r="N144" s="39">
        <f t="shared" si="57"/>
        <v>0</v>
      </c>
      <c r="O144" s="39">
        <f t="shared" si="57"/>
        <v>0</v>
      </c>
      <c r="P144" s="39">
        <f t="shared" si="57"/>
        <v>0</v>
      </c>
      <c r="Q144" s="39">
        <f t="shared" si="57"/>
        <v>0</v>
      </c>
      <c r="R144" s="39">
        <f t="shared" si="57"/>
        <v>0</v>
      </c>
      <c r="S144" s="39">
        <f t="shared" si="57"/>
        <v>0</v>
      </c>
      <c r="T144" s="39">
        <f t="shared" si="57"/>
        <v>0</v>
      </c>
      <c r="U144" s="39">
        <f t="shared" si="57"/>
        <v>0</v>
      </c>
      <c r="V144" s="39">
        <f t="shared" si="57"/>
        <v>0</v>
      </c>
      <c r="W144" s="39">
        <f t="shared" si="57"/>
        <v>0</v>
      </c>
      <c r="X144" s="39">
        <f t="shared" si="57"/>
        <v>0</v>
      </c>
      <c r="Y144" s="39">
        <f t="shared" si="57"/>
        <v>0</v>
      </c>
      <c r="Z144" s="39">
        <f t="shared" si="57"/>
        <v>0</v>
      </c>
      <c r="AA144" s="39">
        <f t="shared" si="57"/>
        <v>0</v>
      </c>
      <c r="AB144" s="39">
        <f t="shared" si="57"/>
        <v>0</v>
      </c>
      <c r="AC144" s="39">
        <f t="shared" si="57"/>
        <v>0</v>
      </c>
      <c r="AD144" s="39">
        <f t="shared" si="57"/>
        <v>0</v>
      </c>
      <c r="AE144" s="39">
        <f t="shared" si="57"/>
        <v>0</v>
      </c>
      <c r="AF144" s="39">
        <f t="shared" si="57"/>
        <v>0</v>
      </c>
      <c r="AG144" s="39">
        <f t="shared" si="57"/>
        <v>0</v>
      </c>
      <c r="AH144" s="39">
        <f t="shared" si="57"/>
        <v>0</v>
      </c>
      <c r="AI144" s="39">
        <f t="shared" si="57"/>
        <v>0</v>
      </c>
      <c r="AJ144" s="39">
        <f t="shared" si="57"/>
        <v>0</v>
      </c>
      <c r="AK144" s="66">
        <f t="shared" si="57"/>
        <v>0</v>
      </c>
    </row>
    <row r="145" spans="1:37" s="38" customFormat="1" hidden="1" outlineLevel="1" x14ac:dyDescent="0.2">
      <c r="B145" s="37"/>
      <c r="C145" s="37"/>
      <c r="D145" s="37"/>
      <c r="E145" s="42"/>
      <c r="F145" s="42"/>
      <c r="G145" s="42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s="38" customFormat="1" hidden="1" outlineLevel="1" x14ac:dyDescent="0.2">
      <c r="B146" s="37" t="s">
        <v>81</v>
      </c>
      <c r="C146" s="37"/>
      <c r="D146" s="37"/>
      <c r="E146" s="42"/>
      <c r="F146" s="42"/>
      <c r="G146" s="42"/>
      <c r="H146" s="67">
        <f>H143+H138+H133+H128+H123</f>
        <v>7154332.7161241118</v>
      </c>
      <c r="I146" s="68">
        <f t="shared" ref="I146:AK146" si="58">I143+I138+I133+I128+I123</f>
        <v>7154332.7161241118</v>
      </c>
      <c r="J146" s="68">
        <f t="shared" si="58"/>
        <v>7154332.7161241118</v>
      </c>
      <c r="K146" s="68">
        <f t="shared" si="58"/>
        <v>7154332.7161241118</v>
      </c>
      <c r="L146" s="68">
        <f t="shared" si="58"/>
        <v>69857.147649965758</v>
      </c>
      <c r="M146" s="68">
        <f t="shared" si="58"/>
        <v>69857.147649965758</v>
      </c>
      <c r="N146" s="68">
        <f t="shared" si="58"/>
        <v>69857.147649965758</v>
      </c>
      <c r="O146" s="68">
        <f t="shared" si="58"/>
        <v>69857.147649965758</v>
      </c>
      <c r="P146" s="68">
        <f t="shared" si="58"/>
        <v>69857.147649965758</v>
      </c>
      <c r="Q146" s="68">
        <f t="shared" si="58"/>
        <v>69857.147649965715</v>
      </c>
      <c r="R146" s="68">
        <f t="shared" si="58"/>
        <v>52285.335750971877</v>
      </c>
      <c r="S146" s="68">
        <f t="shared" si="58"/>
        <v>52285.335750971877</v>
      </c>
      <c r="T146" s="68">
        <f t="shared" si="58"/>
        <v>52285.335750971877</v>
      </c>
      <c r="U146" s="68">
        <f t="shared" si="58"/>
        <v>52285.335750971877</v>
      </c>
      <c r="V146" s="68">
        <f t="shared" si="58"/>
        <v>52285.335750971877</v>
      </c>
      <c r="W146" s="68">
        <f t="shared" si="58"/>
        <v>52285.335750971877</v>
      </c>
      <c r="X146" s="68">
        <f t="shared" si="58"/>
        <v>52285.335750971877</v>
      </c>
      <c r="Y146" s="68">
        <f t="shared" si="58"/>
        <v>52285.335750971877</v>
      </c>
      <c r="Z146" s="68">
        <f t="shared" si="58"/>
        <v>52285.335750971877</v>
      </c>
      <c r="AA146" s="68">
        <f t="shared" si="58"/>
        <v>52285.335750971877</v>
      </c>
      <c r="AB146" s="68">
        <f t="shared" si="58"/>
        <v>2.1191226551309228E-10</v>
      </c>
      <c r="AC146" s="68">
        <f t="shared" si="58"/>
        <v>0</v>
      </c>
      <c r="AD146" s="68">
        <f t="shared" si="58"/>
        <v>0</v>
      </c>
      <c r="AE146" s="68">
        <f t="shared" si="58"/>
        <v>0</v>
      </c>
      <c r="AF146" s="68">
        <f t="shared" si="58"/>
        <v>0</v>
      </c>
      <c r="AG146" s="68">
        <f t="shared" si="58"/>
        <v>0</v>
      </c>
      <c r="AH146" s="68">
        <f t="shared" si="58"/>
        <v>0</v>
      </c>
      <c r="AI146" s="68">
        <f t="shared" si="58"/>
        <v>0</v>
      </c>
      <c r="AJ146" s="68">
        <f t="shared" si="58"/>
        <v>0</v>
      </c>
      <c r="AK146" s="69">
        <f t="shared" si="58"/>
        <v>0</v>
      </c>
    </row>
    <row r="147" spans="1:37" s="38" customFormat="1" hidden="1" outlineLevel="1" x14ac:dyDescent="0.2">
      <c r="B147" s="37"/>
      <c r="C147" s="37"/>
      <c r="D147" s="37"/>
      <c r="E147" s="42"/>
      <c r="F147" s="42"/>
      <c r="G147" s="42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s="38" customFormat="1" hidden="1" outlineLevel="1" x14ac:dyDescent="0.2">
      <c r="B148" s="40" t="s">
        <v>143</v>
      </c>
      <c r="C148" s="40"/>
      <c r="D148" s="40"/>
      <c r="E148" s="70"/>
      <c r="F148" s="70"/>
      <c r="G148" s="70"/>
      <c r="H148" s="71">
        <f t="shared" ref="H148:AK148" si="59">H78</f>
        <v>2843317.5000000005</v>
      </c>
      <c r="I148" s="72">
        <f t="shared" si="59"/>
        <v>2808573.4125000006</v>
      </c>
      <c r="J148" s="72">
        <f t="shared" si="59"/>
        <v>2773500.8850000007</v>
      </c>
      <c r="K148" s="72">
        <f t="shared" si="59"/>
        <v>2738093.3487</v>
      </c>
      <c r="L148" s="72">
        <f t="shared" si="59"/>
        <v>2702344.1034240006</v>
      </c>
      <c r="M148" s="72">
        <f t="shared" si="59"/>
        <v>2666246.3149924804</v>
      </c>
      <c r="N148" s="72">
        <f t="shared" si="59"/>
        <v>2629793.0125423302</v>
      </c>
      <c r="O148" s="72">
        <f t="shared" si="59"/>
        <v>2592977.0857931762</v>
      </c>
      <c r="P148" s="72">
        <f t="shared" si="59"/>
        <v>2555791.28225904</v>
      </c>
      <c r="Q148" s="72">
        <f t="shared" si="59"/>
        <v>2518228.2044042209</v>
      </c>
      <c r="R148" s="72">
        <f t="shared" si="59"/>
        <v>2480280.3067423054</v>
      </c>
      <c r="S148" s="72">
        <f t="shared" si="59"/>
        <v>2441939.8928771513</v>
      </c>
      <c r="T148" s="72">
        <f t="shared" si="59"/>
        <v>2403199.1124846945</v>
      </c>
      <c r="U148" s="72">
        <f t="shared" si="59"/>
        <v>2364049.9582343888</v>
      </c>
      <c r="V148" s="72">
        <f t="shared" si="59"/>
        <v>2324484.2626490761</v>
      </c>
      <c r="W148" s="72">
        <f t="shared" si="59"/>
        <v>2326888.5475592678</v>
      </c>
      <c r="X148" s="72">
        <f t="shared" si="59"/>
        <v>2287312.507260453</v>
      </c>
      <c r="Y148" s="72">
        <f t="shared" si="59"/>
        <v>2247311.3879056619</v>
      </c>
      <c r="Z148" s="72">
        <f t="shared" si="59"/>
        <v>2206876.6879137754</v>
      </c>
      <c r="AA148" s="72">
        <f t="shared" si="59"/>
        <v>2165999.7356720511</v>
      </c>
      <c r="AB148" s="72">
        <f t="shared" si="59"/>
        <v>335338.69784662826</v>
      </c>
      <c r="AC148" s="72">
        <f t="shared" si="59"/>
        <v>301497.62180356076</v>
      </c>
      <c r="AD148" s="72">
        <f t="shared" si="59"/>
        <v>267156.01923963218</v>
      </c>
      <c r="AE148" s="72">
        <f t="shared" si="59"/>
        <v>232303.87962442497</v>
      </c>
      <c r="AF148" s="72">
        <f t="shared" si="59"/>
        <v>196930.99221691326</v>
      </c>
      <c r="AG148" s="72">
        <f t="shared" si="59"/>
        <v>161026.94206125126</v>
      </c>
      <c r="AH148" s="72">
        <f t="shared" si="59"/>
        <v>124581.10590247624</v>
      </c>
      <c r="AI148" s="72">
        <f t="shared" si="59"/>
        <v>87582.648020525929</v>
      </c>
      <c r="AJ148" s="72">
        <f t="shared" si="59"/>
        <v>50020.515980936354</v>
      </c>
      <c r="AK148" s="73">
        <f t="shared" si="59"/>
        <v>11883.436300555244</v>
      </c>
    </row>
    <row r="149" spans="1:37" s="38" customFormat="1" hidden="1" outlineLevel="1" x14ac:dyDescent="0.2">
      <c r="B149" s="37" t="s">
        <v>67</v>
      </c>
      <c r="C149" s="37"/>
      <c r="D149" s="37"/>
      <c r="E149" s="42"/>
      <c r="F149" s="42"/>
      <c r="G149" s="42"/>
      <c r="H149" s="74">
        <f t="shared" ref="H149:AK149" si="60">-H104</f>
        <v>-1100625.8466019882</v>
      </c>
      <c r="I149" s="75">
        <f t="shared" si="60"/>
        <v>-1053868.4568023139</v>
      </c>
      <c r="J149" s="75">
        <f t="shared" si="60"/>
        <v>-1006133.5891686215</v>
      </c>
      <c r="K149" s="75">
        <f t="shared" si="60"/>
        <v>-957387.10391496238</v>
      </c>
      <c r="L149" s="75">
        <f t="shared" si="60"/>
        <v>-910080.05754829303</v>
      </c>
      <c r="M149" s="75">
        <f t="shared" si="60"/>
        <v>-856831.48134984367</v>
      </c>
      <c r="N149" s="75">
        <f t="shared" si="60"/>
        <v>-804836.77216064814</v>
      </c>
      <c r="O149" s="75">
        <f t="shared" si="60"/>
        <v>-751679.92274521594</v>
      </c>
      <c r="P149" s="75">
        <f t="shared" si="60"/>
        <v>-699229.84804123431</v>
      </c>
      <c r="Q149" s="75">
        <f t="shared" si="60"/>
        <v>-641800.76107609831</v>
      </c>
      <c r="R149" s="75">
        <f t="shared" si="60"/>
        <v>-584905.52498110267</v>
      </c>
      <c r="S149" s="75">
        <f t="shared" si="60"/>
        <v>-526671.75466048892</v>
      </c>
      <c r="T149" s="75">
        <f t="shared" si="60"/>
        <v>-468330.31931169279</v>
      </c>
      <c r="U149" s="75">
        <f t="shared" si="60"/>
        <v>-406051.22980439861</v>
      </c>
      <c r="V149" s="75">
        <f t="shared" si="60"/>
        <v>-343504.22454000748</v>
      </c>
      <c r="W149" s="75">
        <f t="shared" si="60"/>
        <v>-279411.60193431634</v>
      </c>
      <c r="X149" s="75">
        <f t="shared" si="60"/>
        <v>-212837.38101840019</v>
      </c>
      <c r="Y149" s="75">
        <f t="shared" si="60"/>
        <v>-143367.5877533828</v>
      </c>
      <c r="Z149" s="75">
        <f t="shared" si="60"/>
        <v>-72626.788333831195</v>
      </c>
      <c r="AA149" s="75">
        <f t="shared" si="60"/>
        <v>0</v>
      </c>
      <c r="AB149" s="75">
        <f t="shared" si="60"/>
        <v>0</v>
      </c>
      <c r="AC149" s="75">
        <f t="shared" si="60"/>
        <v>0</v>
      </c>
      <c r="AD149" s="75">
        <f t="shared" si="60"/>
        <v>0</v>
      </c>
      <c r="AE149" s="75">
        <f t="shared" si="60"/>
        <v>0</v>
      </c>
      <c r="AF149" s="75">
        <f t="shared" si="60"/>
        <v>0</v>
      </c>
      <c r="AG149" s="75">
        <f t="shared" si="60"/>
        <v>0</v>
      </c>
      <c r="AH149" s="75">
        <f t="shared" si="60"/>
        <v>0</v>
      </c>
      <c r="AI149" s="75">
        <f t="shared" si="60"/>
        <v>0</v>
      </c>
      <c r="AJ149" s="75">
        <f t="shared" si="60"/>
        <v>0</v>
      </c>
      <c r="AK149" s="76">
        <f t="shared" si="60"/>
        <v>0</v>
      </c>
    </row>
    <row r="150" spans="1:37" s="38" customFormat="1" hidden="1" outlineLevel="1" x14ac:dyDescent="0.2">
      <c r="B150" s="37" t="s">
        <v>112</v>
      </c>
      <c r="C150" s="37"/>
      <c r="D150" s="37"/>
      <c r="E150" s="42"/>
      <c r="F150" s="42"/>
      <c r="G150" s="42"/>
      <c r="H150" s="65">
        <f>H156</f>
        <v>-1742691.6533980123</v>
      </c>
      <c r="I150" s="39">
        <f t="shared" ref="I150:AK150" si="61">I156</f>
        <v>-1754704.9556976866</v>
      </c>
      <c r="J150" s="39">
        <f t="shared" si="61"/>
        <v>-1767367.2958313792</v>
      </c>
      <c r="K150" s="39">
        <f t="shared" si="61"/>
        <v>-1780706.2447850376</v>
      </c>
      <c r="L150" s="39">
        <f t="shared" si="61"/>
        <v>-1792264.0458757076</v>
      </c>
      <c r="M150" s="39">
        <f t="shared" si="61"/>
        <v>-1809414.8336426369</v>
      </c>
      <c r="N150" s="39">
        <f t="shared" si="61"/>
        <v>-1824956.2403816821</v>
      </c>
      <c r="O150" s="39">
        <f t="shared" si="61"/>
        <v>-1841297.1630479603</v>
      </c>
      <c r="P150" s="39">
        <f t="shared" si="61"/>
        <v>-1856561.4342178057</v>
      </c>
      <c r="Q150" s="39">
        <f t="shared" si="61"/>
        <v>-1876427.4433281226</v>
      </c>
      <c r="R150" s="39">
        <f t="shared" si="61"/>
        <v>-1895374.7817612027</v>
      </c>
      <c r="S150" s="39">
        <f t="shared" si="61"/>
        <v>-1915268.1382166622</v>
      </c>
      <c r="T150" s="39">
        <f t="shared" si="61"/>
        <v>-1934868.7931730016</v>
      </c>
      <c r="U150" s="39">
        <f t="shared" si="61"/>
        <v>-1957998.7284299904</v>
      </c>
      <c r="V150" s="39">
        <f t="shared" si="61"/>
        <v>-1980980.0381090685</v>
      </c>
      <c r="W150" s="39">
        <f t="shared" si="61"/>
        <v>-1619303.9750061219</v>
      </c>
      <c r="X150" s="39">
        <f t="shared" si="61"/>
        <v>-52285.335750971877</v>
      </c>
      <c r="Y150" s="39">
        <f t="shared" si="61"/>
        <v>-52285.335750971877</v>
      </c>
      <c r="Z150" s="39">
        <f t="shared" si="61"/>
        <v>-52285.335750971877</v>
      </c>
      <c r="AA150" s="39">
        <f t="shared" si="61"/>
        <v>-52285.335750971877</v>
      </c>
      <c r="AB150" s="39">
        <f t="shared" si="61"/>
        <v>-2.1191226551309228E-10</v>
      </c>
      <c r="AC150" s="39">
        <f t="shared" si="61"/>
        <v>0</v>
      </c>
      <c r="AD150" s="39">
        <f t="shared" si="61"/>
        <v>0</v>
      </c>
      <c r="AE150" s="39">
        <f t="shared" si="61"/>
        <v>0</v>
      </c>
      <c r="AF150" s="39">
        <f t="shared" si="61"/>
        <v>0</v>
      </c>
      <c r="AG150" s="39">
        <f t="shared" si="61"/>
        <v>0</v>
      </c>
      <c r="AH150" s="39">
        <f t="shared" si="61"/>
        <v>0</v>
      </c>
      <c r="AI150" s="39">
        <f t="shared" si="61"/>
        <v>0</v>
      </c>
      <c r="AJ150" s="39">
        <f t="shared" si="61"/>
        <v>0</v>
      </c>
      <c r="AK150" s="66">
        <f t="shared" si="61"/>
        <v>0</v>
      </c>
    </row>
    <row r="151" spans="1:37" s="38" customFormat="1" hidden="1" outlineLevel="1" x14ac:dyDescent="0.2">
      <c r="B151" s="40" t="s">
        <v>83</v>
      </c>
      <c r="C151" s="40"/>
      <c r="D151" s="40"/>
      <c r="E151" s="70"/>
      <c r="F151" s="70"/>
      <c r="G151" s="70"/>
      <c r="H151" s="77">
        <f>SUM(H148:H150)</f>
        <v>0</v>
      </c>
      <c r="I151" s="78">
        <f t="shared" ref="I151:AK151" si="62">SUM(I148:I150)</f>
        <v>0</v>
      </c>
      <c r="J151" s="78">
        <f t="shared" si="62"/>
        <v>0</v>
      </c>
      <c r="K151" s="78">
        <f t="shared" si="62"/>
        <v>0</v>
      </c>
      <c r="L151" s="78">
        <f t="shared" si="62"/>
        <v>0</v>
      </c>
      <c r="M151" s="78">
        <f t="shared" si="62"/>
        <v>0</v>
      </c>
      <c r="N151" s="78">
        <f t="shared" si="62"/>
        <v>0</v>
      </c>
      <c r="O151" s="78">
        <f t="shared" si="62"/>
        <v>0</v>
      </c>
      <c r="P151" s="78">
        <f t="shared" si="62"/>
        <v>0</v>
      </c>
      <c r="Q151" s="78">
        <f t="shared" si="62"/>
        <v>0</v>
      </c>
      <c r="R151" s="78">
        <f t="shared" si="62"/>
        <v>0</v>
      </c>
      <c r="S151" s="78">
        <f t="shared" si="62"/>
        <v>0</v>
      </c>
      <c r="T151" s="78">
        <f t="shared" si="62"/>
        <v>0</v>
      </c>
      <c r="U151" s="78">
        <f t="shared" si="62"/>
        <v>0</v>
      </c>
      <c r="V151" s="78">
        <f t="shared" si="62"/>
        <v>0</v>
      </c>
      <c r="W151" s="78">
        <f t="shared" si="62"/>
        <v>428172.9706188296</v>
      </c>
      <c r="X151" s="78">
        <f t="shared" si="62"/>
        <v>2022189.7904910808</v>
      </c>
      <c r="Y151" s="78">
        <f t="shared" si="62"/>
        <v>2051658.4644013071</v>
      </c>
      <c r="Z151" s="78">
        <f t="shared" si="62"/>
        <v>2081964.5638289722</v>
      </c>
      <c r="AA151" s="78">
        <f t="shared" si="62"/>
        <v>2113714.3999210792</v>
      </c>
      <c r="AB151" s="78">
        <f t="shared" si="62"/>
        <v>335338.69784662803</v>
      </c>
      <c r="AC151" s="78">
        <f t="shared" si="62"/>
        <v>301497.62180356076</v>
      </c>
      <c r="AD151" s="78">
        <f t="shared" si="62"/>
        <v>267156.01923963218</v>
      </c>
      <c r="AE151" s="78">
        <f t="shared" si="62"/>
        <v>232303.87962442497</v>
      </c>
      <c r="AF151" s="78">
        <f t="shared" si="62"/>
        <v>196930.99221691326</v>
      </c>
      <c r="AG151" s="78">
        <f t="shared" si="62"/>
        <v>161026.94206125126</v>
      </c>
      <c r="AH151" s="78">
        <f t="shared" si="62"/>
        <v>124581.10590247624</v>
      </c>
      <c r="AI151" s="78">
        <f t="shared" si="62"/>
        <v>87582.648020525929</v>
      </c>
      <c r="AJ151" s="78">
        <f t="shared" si="62"/>
        <v>50020.515980936354</v>
      </c>
      <c r="AK151" s="79">
        <f t="shared" si="62"/>
        <v>11883.436300555244</v>
      </c>
    </row>
    <row r="152" spans="1:37" s="38" customFormat="1" hidden="1" outlineLevel="1" x14ac:dyDescent="0.2">
      <c r="B152" s="37" t="s">
        <v>84</v>
      </c>
      <c r="C152" s="37"/>
      <c r="D152" s="37"/>
      <c r="E152" s="42"/>
      <c r="F152" s="42"/>
      <c r="G152" s="42"/>
      <c r="H152" s="67">
        <f>H151*$I$45</f>
        <v>0</v>
      </c>
      <c r="I152" s="68">
        <f t="shared" ref="I152:AK152" si="63">I151*$I$45</f>
        <v>0</v>
      </c>
      <c r="J152" s="68">
        <f t="shared" si="63"/>
        <v>0</v>
      </c>
      <c r="K152" s="68">
        <f t="shared" si="63"/>
        <v>0</v>
      </c>
      <c r="L152" s="68">
        <f t="shared" si="63"/>
        <v>0</v>
      </c>
      <c r="M152" s="68">
        <f t="shared" si="63"/>
        <v>0</v>
      </c>
      <c r="N152" s="68">
        <f t="shared" si="63"/>
        <v>0</v>
      </c>
      <c r="O152" s="68">
        <f t="shared" si="63"/>
        <v>0</v>
      </c>
      <c r="P152" s="68">
        <f t="shared" si="63"/>
        <v>0</v>
      </c>
      <c r="Q152" s="68">
        <f t="shared" si="63"/>
        <v>0</v>
      </c>
      <c r="R152" s="68">
        <f t="shared" si="63"/>
        <v>0</v>
      </c>
      <c r="S152" s="68">
        <f t="shared" si="63"/>
        <v>0</v>
      </c>
      <c r="T152" s="68">
        <f t="shared" si="63"/>
        <v>0</v>
      </c>
      <c r="U152" s="68">
        <f t="shared" si="63"/>
        <v>0</v>
      </c>
      <c r="V152" s="68">
        <f t="shared" si="63"/>
        <v>0</v>
      </c>
      <c r="W152" s="68">
        <f t="shared" si="63"/>
        <v>107043.2426547074</v>
      </c>
      <c r="X152" s="68">
        <f t="shared" si="63"/>
        <v>505547.44762277021</v>
      </c>
      <c r="Y152" s="68">
        <f t="shared" si="63"/>
        <v>512914.61610032676</v>
      </c>
      <c r="Z152" s="68">
        <f t="shared" si="63"/>
        <v>520491.14095724304</v>
      </c>
      <c r="AA152" s="68">
        <f t="shared" si="63"/>
        <v>528428.59998026979</v>
      </c>
      <c r="AB152" s="68">
        <f t="shared" si="63"/>
        <v>83834.674461657007</v>
      </c>
      <c r="AC152" s="68">
        <f t="shared" si="63"/>
        <v>75374.40545089019</v>
      </c>
      <c r="AD152" s="68">
        <f t="shared" si="63"/>
        <v>66789.004809908045</v>
      </c>
      <c r="AE152" s="68">
        <f t="shared" si="63"/>
        <v>58075.969906106242</v>
      </c>
      <c r="AF152" s="68">
        <f t="shared" si="63"/>
        <v>49232.748054228316</v>
      </c>
      <c r="AG152" s="68">
        <f t="shared" si="63"/>
        <v>40256.735515312816</v>
      </c>
      <c r="AH152" s="68">
        <f t="shared" si="63"/>
        <v>31145.276475619059</v>
      </c>
      <c r="AI152" s="68">
        <f t="shared" si="63"/>
        <v>21895.662005131482</v>
      </c>
      <c r="AJ152" s="68">
        <f t="shared" si="63"/>
        <v>12505.128995234089</v>
      </c>
      <c r="AK152" s="69">
        <f t="shared" si="63"/>
        <v>2970.859075138811</v>
      </c>
    </row>
    <row r="153" spans="1:37" s="38" customFormat="1" hidden="1" outlineLevel="1" x14ac:dyDescent="0.2">
      <c r="B153" s="37"/>
      <c r="C153" s="37"/>
      <c r="D153" s="37"/>
      <c r="E153" s="42"/>
      <c r="F153" s="42"/>
      <c r="G153" s="42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s="38" customFormat="1" hidden="1" outlineLevel="1" x14ac:dyDescent="0.2">
      <c r="B154" s="37" t="s">
        <v>144</v>
      </c>
      <c r="C154" s="37"/>
      <c r="D154" s="37"/>
      <c r="E154" s="42"/>
      <c r="F154" s="42"/>
      <c r="G154" s="42"/>
      <c r="H154" s="62">
        <v>0</v>
      </c>
      <c r="I154" s="63">
        <f>H157</f>
        <v>5411641.062726099</v>
      </c>
      <c r="J154" s="63">
        <f t="shared" ref="J154:AK154" si="64">I157</f>
        <v>10811268.823152523</v>
      </c>
      <c r="K154" s="63">
        <f t="shared" si="64"/>
        <v>16198234.243445259</v>
      </c>
      <c r="L154" s="63">
        <f t="shared" si="64"/>
        <v>21571860.714784335</v>
      </c>
      <c r="M154" s="63">
        <f t="shared" si="64"/>
        <v>19849453.816558592</v>
      </c>
      <c r="N154" s="63">
        <f t="shared" si="64"/>
        <v>18109896.130565923</v>
      </c>
      <c r="O154" s="63">
        <f t="shared" si="64"/>
        <v>16354797.037834207</v>
      </c>
      <c r="P154" s="63">
        <f t="shared" si="64"/>
        <v>14583357.022436213</v>
      </c>
      <c r="Q154" s="63">
        <f t="shared" si="64"/>
        <v>12796652.735868374</v>
      </c>
      <c r="R154" s="63">
        <f t="shared" si="64"/>
        <v>10990082.440190218</v>
      </c>
      <c r="S154" s="63">
        <f t="shared" si="64"/>
        <v>9146992.9941799864</v>
      </c>
      <c r="T154" s="63">
        <f t="shared" si="64"/>
        <v>7284010.1917142952</v>
      </c>
      <c r="U154" s="63">
        <f t="shared" si="64"/>
        <v>5401426.734292265</v>
      </c>
      <c r="V154" s="63">
        <f t="shared" si="64"/>
        <v>3495713.3416132466</v>
      </c>
      <c r="W154" s="63">
        <f t="shared" si="64"/>
        <v>1567018.63925515</v>
      </c>
      <c r="X154" s="63">
        <f t="shared" si="64"/>
        <v>0</v>
      </c>
      <c r="Y154" s="63">
        <f t="shared" si="64"/>
        <v>0</v>
      </c>
      <c r="Z154" s="63">
        <f t="shared" si="64"/>
        <v>0</v>
      </c>
      <c r="AA154" s="63">
        <f t="shared" si="64"/>
        <v>0</v>
      </c>
      <c r="AB154" s="63">
        <f t="shared" si="64"/>
        <v>0</v>
      </c>
      <c r="AC154" s="63">
        <f t="shared" si="64"/>
        <v>0</v>
      </c>
      <c r="AD154" s="63">
        <f t="shared" si="64"/>
        <v>0</v>
      </c>
      <c r="AE154" s="63">
        <f t="shared" si="64"/>
        <v>0</v>
      </c>
      <c r="AF154" s="63">
        <f t="shared" si="64"/>
        <v>0</v>
      </c>
      <c r="AG154" s="63">
        <f t="shared" si="64"/>
        <v>0</v>
      </c>
      <c r="AH154" s="63">
        <f t="shared" si="64"/>
        <v>0</v>
      </c>
      <c r="AI154" s="63">
        <f t="shared" si="64"/>
        <v>0</v>
      </c>
      <c r="AJ154" s="63">
        <f t="shared" si="64"/>
        <v>0</v>
      </c>
      <c r="AK154" s="64">
        <f t="shared" si="64"/>
        <v>0</v>
      </c>
    </row>
    <row r="155" spans="1:37" s="38" customFormat="1" hidden="1" outlineLevel="1" x14ac:dyDescent="0.2">
      <c r="B155" s="37" t="s">
        <v>78</v>
      </c>
      <c r="C155" s="37"/>
      <c r="D155" s="37"/>
      <c r="E155" s="42"/>
      <c r="F155" s="42"/>
      <c r="G155" s="42"/>
      <c r="H155" s="74">
        <f>H146</f>
        <v>7154332.7161241118</v>
      </c>
      <c r="I155" s="75">
        <f>I146</f>
        <v>7154332.7161241118</v>
      </c>
      <c r="J155" s="75">
        <f t="shared" ref="J155:AK155" si="65">J146</f>
        <v>7154332.7161241118</v>
      </c>
      <c r="K155" s="75">
        <f t="shared" si="65"/>
        <v>7154332.7161241118</v>
      </c>
      <c r="L155" s="75">
        <f t="shared" si="65"/>
        <v>69857.147649965758</v>
      </c>
      <c r="M155" s="75">
        <f t="shared" si="65"/>
        <v>69857.147649965758</v>
      </c>
      <c r="N155" s="75">
        <f t="shared" si="65"/>
        <v>69857.147649965758</v>
      </c>
      <c r="O155" s="75">
        <f t="shared" si="65"/>
        <v>69857.147649965758</v>
      </c>
      <c r="P155" s="75">
        <f t="shared" si="65"/>
        <v>69857.147649965758</v>
      </c>
      <c r="Q155" s="75">
        <f t="shared" si="65"/>
        <v>69857.147649965715</v>
      </c>
      <c r="R155" s="75">
        <f t="shared" si="65"/>
        <v>52285.335750971877</v>
      </c>
      <c r="S155" s="75">
        <f t="shared" si="65"/>
        <v>52285.335750971877</v>
      </c>
      <c r="T155" s="75">
        <f t="shared" si="65"/>
        <v>52285.335750971877</v>
      </c>
      <c r="U155" s="75">
        <f t="shared" si="65"/>
        <v>52285.335750971877</v>
      </c>
      <c r="V155" s="75">
        <f t="shared" si="65"/>
        <v>52285.335750971877</v>
      </c>
      <c r="W155" s="75">
        <f t="shared" si="65"/>
        <v>52285.335750971877</v>
      </c>
      <c r="X155" s="75">
        <f t="shared" si="65"/>
        <v>52285.335750971877</v>
      </c>
      <c r="Y155" s="75">
        <f t="shared" si="65"/>
        <v>52285.335750971877</v>
      </c>
      <c r="Z155" s="75">
        <f t="shared" si="65"/>
        <v>52285.335750971877</v>
      </c>
      <c r="AA155" s="75">
        <f t="shared" si="65"/>
        <v>52285.335750971877</v>
      </c>
      <c r="AB155" s="75">
        <f t="shared" si="65"/>
        <v>2.1191226551309228E-10</v>
      </c>
      <c r="AC155" s="75">
        <f t="shared" si="65"/>
        <v>0</v>
      </c>
      <c r="AD155" s="75">
        <f t="shared" si="65"/>
        <v>0</v>
      </c>
      <c r="AE155" s="75">
        <f t="shared" si="65"/>
        <v>0</v>
      </c>
      <c r="AF155" s="75">
        <f t="shared" si="65"/>
        <v>0</v>
      </c>
      <c r="AG155" s="75">
        <f t="shared" si="65"/>
        <v>0</v>
      </c>
      <c r="AH155" s="75">
        <f t="shared" si="65"/>
        <v>0</v>
      </c>
      <c r="AI155" s="75">
        <f t="shared" si="65"/>
        <v>0</v>
      </c>
      <c r="AJ155" s="75">
        <f t="shared" si="65"/>
        <v>0</v>
      </c>
      <c r="AK155" s="76">
        <f t="shared" si="65"/>
        <v>0</v>
      </c>
    </row>
    <row r="156" spans="1:37" s="38" customFormat="1" hidden="1" outlineLevel="1" x14ac:dyDescent="0.2">
      <c r="B156" s="37" t="s">
        <v>82</v>
      </c>
      <c r="C156" s="37"/>
      <c r="D156" s="37"/>
      <c r="E156" s="42"/>
      <c r="F156" s="42"/>
      <c r="G156" s="42"/>
      <c r="H156" s="65">
        <f>-MIN(SUM(H148:H149),SUM(H154:H155))</f>
        <v>-1742691.6533980123</v>
      </c>
      <c r="I156" s="39">
        <f>-MIN(SUM(I148:I149),SUM(I154:I155))</f>
        <v>-1754704.9556976866</v>
      </c>
      <c r="J156" s="39">
        <f t="shared" ref="J156:AK156" si="66">-MIN(SUM(J148:J149),SUM(J154:J155))</f>
        <v>-1767367.2958313792</v>
      </c>
      <c r="K156" s="39">
        <f t="shared" si="66"/>
        <v>-1780706.2447850376</v>
      </c>
      <c r="L156" s="39">
        <f t="shared" si="66"/>
        <v>-1792264.0458757076</v>
      </c>
      <c r="M156" s="39">
        <f t="shared" si="66"/>
        <v>-1809414.8336426369</v>
      </c>
      <c r="N156" s="39">
        <f t="shared" si="66"/>
        <v>-1824956.2403816821</v>
      </c>
      <c r="O156" s="39">
        <f t="shared" si="66"/>
        <v>-1841297.1630479603</v>
      </c>
      <c r="P156" s="39">
        <f t="shared" si="66"/>
        <v>-1856561.4342178057</v>
      </c>
      <c r="Q156" s="39">
        <f t="shared" si="66"/>
        <v>-1876427.4433281226</v>
      </c>
      <c r="R156" s="39">
        <f t="shared" si="66"/>
        <v>-1895374.7817612027</v>
      </c>
      <c r="S156" s="39">
        <f t="shared" si="66"/>
        <v>-1915268.1382166622</v>
      </c>
      <c r="T156" s="39">
        <f t="shared" si="66"/>
        <v>-1934868.7931730016</v>
      </c>
      <c r="U156" s="39">
        <f t="shared" si="66"/>
        <v>-1957998.7284299904</v>
      </c>
      <c r="V156" s="39">
        <f t="shared" si="66"/>
        <v>-1980980.0381090685</v>
      </c>
      <c r="W156" s="39">
        <f t="shared" si="66"/>
        <v>-1619303.9750061219</v>
      </c>
      <c r="X156" s="39">
        <f t="shared" si="66"/>
        <v>-52285.335750971877</v>
      </c>
      <c r="Y156" s="39">
        <f t="shared" si="66"/>
        <v>-52285.335750971877</v>
      </c>
      <c r="Z156" s="39">
        <f t="shared" si="66"/>
        <v>-52285.335750971877</v>
      </c>
      <c r="AA156" s="39">
        <f t="shared" si="66"/>
        <v>-52285.335750971877</v>
      </c>
      <c r="AB156" s="39">
        <f t="shared" si="66"/>
        <v>-2.1191226551309228E-10</v>
      </c>
      <c r="AC156" s="39">
        <f t="shared" si="66"/>
        <v>0</v>
      </c>
      <c r="AD156" s="39">
        <f t="shared" si="66"/>
        <v>0</v>
      </c>
      <c r="AE156" s="39">
        <f t="shared" si="66"/>
        <v>0</v>
      </c>
      <c r="AF156" s="39">
        <f t="shared" si="66"/>
        <v>0</v>
      </c>
      <c r="AG156" s="39">
        <f t="shared" si="66"/>
        <v>0</v>
      </c>
      <c r="AH156" s="39">
        <f t="shared" si="66"/>
        <v>0</v>
      </c>
      <c r="AI156" s="39">
        <f t="shared" si="66"/>
        <v>0</v>
      </c>
      <c r="AJ156" s="39">
        <f t="shared" si="66"/>
        <v>0</v>
      </c>
      <c r="AK156" s="66">
        <f t="shared" si="66"/>
        <v>0</v>
      </c>
    </row>
    <row r="157" spans="1:37" s="38" customFormat="1" hidden="1" outlineLevel="1" x14ac:dyDescent="0.2">
      <c r="B157" s="37" t="s">
        <v>142</v>
      </c>
      <c r="C157" s="37"/>
      <c r="D157" s="37"/>
      <c r="E157" s="42"/>
      <c r="F157" s="42"/>
      <c r="G157" s="42"/>
      <c r="H157" s="65">
        <f>SUM(H154:H156)</f>
        <v>5411641.062726099</v>
      </c>
      <c r="I157" s="39">
        <f>SUM(I154:I156)</f>
        <v>10811268.823152523</v>
      </c>
      <c r="J157" s="39">
        <f t="shared" ref="J157:AK157" si="67">SUM(J154:J156)</f>
        <v>16198234.243445259</v>
      </c>
      <c r="K157" s="39">
        <f t="shared" si="67"/>
        <v>21571860.714784335</v>
      </c>
      <c r="L157" s="39">
        <f t="shared" si="67"/>
        <v>19849453.816558592</v>
      </c>
      <c r="M157" s="39">
        <f t="shared" si="67"/>
        <v>18109896.130565923</v>
      </c>
      <c r="N157" s="39">
        <f t="shared" si="67"/>
        <v>16354797.037834207</v>
      </c>
      <c r="O157" s="39">
        <f t="shared" si="67"/>
        <v>14583357.022436213</v>
      </c>
      <c r="P157" s="39">
        <f t="shared" si="67"/>
        <v>12796652.735868374</v>
      </c>
      <c r="Q157" s="39">
        <f t="shared" si="67"/>
        <v>10990082.440190218</v>
      </c>
      <c r="R157" s="39">
        <f t="shared" si="67"/>
        <v>9146992.9941799864</v>
      </c>
      <c r="S157" s="39">
        <f t="shared" si="67"/>
        <v>7284010.1917142952</v>
      </c>
      <c r="T157" s="39">
        <f t="shared" si="67"/>
        <v>5401426.734292265</v>
      </c>
      <c r="U157" s="39">
        <f t="shared" si="67"/>
        <v>3495713.3416132466</v>
      </c>
      <c r="V157" s="39">
        <f t="shared" si="67"/>
        <v>1567018.63925515</v>
      </c>
      <c r="W157" s="39">
        <f t="shared" si="67"/>
        <v>0</v>
      </c>
      <c r="X157" s="39">
        <f t="shared" si="67"/>
        <v>0</v>
      </c>
      <c r="Y157" s="39">
        <f t="shared" si="67"/>
        <v>0</v>
      </c>
      <c r="Z157" s="39">
        <f t="shared" si="67"/>
        <v>0</v>
      </c>
      <c r="AA157" s="39">
        <f t="shared" si="67"/>
        <v>0</v>
      </c>
      <c r="AB157" s="39">
        <f t="shared" si="67"/>
        <v>0</v>
      </c>
      <c r="AC157" s="39">
        <f t="shared" si="67"/>
        <v>0</v>
      </c>
      <c r="AD157" s="39">
        <f t="shared" si="67"/>
        <v>0</v>
      </c>
      <c r="AE157" s="39">
        <f t="shared" si="67"/>
        <v>0</v>
      </c>
      <c r="AF157" s="39">
        <f t="shared" si="67"/>
        <v>0</v>
      </c>
      <c r="AG157" s="39">
        <f t="shared" si="67"/>
        <v>0</v>
      </c>
      <c r="AH157" s="39">
        <f t="shared" si="67"/>
        <v>0</v>
      </c>
      <c r="AI157" s="39">
        <f t="shared" si="67"/>
        <v>0</v>
      </c>
      <c r="AJ157" s="39">
        <f t="shared" si="67"/>
        <v>0</v>
      </c>
      <c r="AK157" s="66">
        <f t="shared" si="67"/>
        <v>0</v>
      </c>
    </row>
    <row r="158" spans="1:37" s="38" customFormat="1" collapsed="1" x14ac:dyDescent="0.2">
      <c r="B158" s="37"/>
      <c r="C158" s="37"/>
      <c r="D158" s="37"/>
      <c r="E158" s="42"/>
      <c r="F158" s="42"/>
      <c r="G158" s="42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s="2" customFormat="1" ht="18.75" customHeight="1" x14ac:dyDescent="0.2">
      <c r="A159" s="2" t="s">
        <v>147</v>
      </c>
      <c r="B159" s="128" t="s">
        <v>122</v>
      </c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</row>
    <row r="160" spans="1:37" s="38" customFormat="1" hidden="1" outlineLevel="1" x14ac:dyDescent="0.2">
      <c r="B160" s="37"/>
      <c r="C160" s="37"/>
      <c r="D160" s="37"/>
      <c r="E160" s="42"/>
      <c r="F160" s="42"/>
      <c r="G160" s="42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</row>
    <row r="161" spans="2:37" s="5" customFormat="1" hidden="1" outlineLevel="1" x14ac:dyDescent="0.2">
      <c r="B161" s="5" t="s">
        <v>85</v>
      </c>
      <c r="E161" s="31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</row>
    <row r="162" spans="2:37" hidden="1" outlineLevel="1" x14ac:dyDescent="0.2"/>
    <row r="163" spans="2:37" s="38" customFormat="1" hidden="1" outlineLevel="1" x14ac:dyDescent="0.2">
      <c r="B163" s="40" t="s">
        <v>4</v>
      </c>
      <c r="C163" s="37"/>
      <c r="D163" s="37"/>
      <c r="E163" s="42"/>
      <c r="F163" s="81"/>
    </row>
    <row r="164" spans="2:37" s="38" customFormat="1" hidden="1" outlineLevel="1" x14ac:dyDescent="0.2">
      <c r="B164" s="37" t="s">
        <v>2</v>
      </c>
      <c r="C164" s="37"/>
      <c r="D164" s="37"/>
      <c r="E164" s="42"/>
      <c r="G164" s="82"/>
      <c r="H164" s="38">
        <f t="shared" ref="H164:AK164" si="68">H148</f>
        <v>2843317.5000000005</v>
      </c>
      <c r="I164" s="38">
        <f t="shared" si="68"/>
        <v>2808573.4125000006</v>
      </c>
      <c r="J164" s="38">
        <f t="shared" si="68"/>
        <v>2773500.8850000007</v>
      </c>
      <c r="K164" s="38">
        <f t="shared" si="68"/>
        <v>2738093.3487</v>
      </c>
      <c r="L164" s="38">
        <f t="shared" si="68"/>
        <v>2702344.1034240006</v>
      </c>
      <c r="M164" s="38">
        <f t="shared" si="68"/>
        <v>2666246.3149924804</v>
      </c>
      <c r="N164" s="38">
        <f t="shared" si="68"/>
        <v>2629793.0125423302</v>
      </c>
      <c r="O164" s="38">
        <f t="shared" si="68"/>
        <v>2592977.0857931762</v>
      </c>
      <c r="P164" s="38">
        <f t="shared" si="68"/>
        <v>2555791.28225904</v>
      </c>
      <c r="Q164" s="38">
        <f t="shared" si="68"/>
        <v>2518228.2044042209</v>
      </c>
      <c r="R164" s="38">
        <f t="shared" si="68"/>
        <v>2480280.3067423054</v>
      </c>
      <c r="S164" s="38">
        <f t="shared" si="68"/>
        <v>2441939.8928771513</v>
      </c>
      <c r="T164" s="38">
        <f t="shared" si="68"/>
        <v>2403199.1124846945</v>
      </c>
      <c r="U164" s="38">
        <f t="shared" si="68"/>
        <v>2364049.9582343888</v>
      </c>
      <c r="V164" s="38">
        <f t="shared" si="68"/>
        <v>2324484.2626490761</v>
      </c>
      <c r="W164" s="38">
        <f t="shared" si="68"/>
        <v>2326888.5475592678</v>
      </c>
      <c r="X164" s="38">
        <f t="shared" si="68"/>
        <v>2287312.507260453</v>
      </c>
      <c r="Y164" s="38">
        <f t="shared" si="68"/>
        <v>2247311.3879056619</v>
      </c>
      <c r="Z164" s="38">
        <f t="shared" si="68"/>
        <v>2206876.6879137754</v>
      </c>
      <c r="AA164" s="38">
        <f t="shared" si="68"/>
        <v>2165999.7356720511</v>
      </c>
      <c r="AB164" s="38">
        <f t="shared" si="68"/>
        <v>335338.69784662826</v>
      </c>
      <c r="AC164" s="38">
        <f t="shared" si="68"/>
        <v>301497.62180356076</v>
      </c>
      <c r="AD164" s="38">
        <f t="shared" si="68"/>
        <v>267156.01923963218</v>
      </c>
      <c r="AE164" s="38">
        <f t="shared" si="68"/>
        <v>232303.87962442497</v>
      </c>
      <c r="AF164" s="38">
        <f t="shared" si="68"/>
        <v>196930.99221691326</v>
      </c>
      <c r="AG164" s="38">
        <f t="shared" si="68"/>
        <v>161026.94206125126</v>
      </c>
      <c r="AH164" s="38">
        <f t="shared" si="68"/>
        <v>124581.10590247624</v>
      </c>
      <c r="AI164" s="38">
        <f t="shared" si="68"/>
        <v>87582.648020525929</v>
      </c>
      <c r="AJ164" s="38">
        <f t="shared" si="68"/>
        <v>50020.515980936354</v>
      </c>
      <c r="AK164" s="38">
        <f t="shared" si="68"/>
        <v>11883.436300555244</v>
      </c>
    </row>
    <row r="165" spans="2:37" s="38" customFormat="1" hidden="1" outlineLevel="1" x14ac:dyDescent="0.2">
      <c r="B165" s="37" t="s">
        <v>87</v>
      </c>
      <c r="C165" s="37"/>
      <c r="D165" s="37"/>
      <c r="E165" s="42"/>
      <c r="G165" s="81"/>
    </row>
    <row r="166" spans="2:37" s="38" customFormat="1" hidden="1" outlineLevel="1" x14ac:dyDescent="0.2">
      <c r="B166" s="37"/>
      <c r="C166" s="37" t="s">
        <v>74</v>
      </c>
      <c r="D166" s="37"/>
      <c r="E166" s="42"/>
      <c r="G166" s="82"/>
      <c r="H166" s="37">
        <f t="shared" ref="H166:AK166" si="69">-IF(H$54=$E$40,$D$40,0)</f>
        <v>0</v>
      </c>
      <c r="I166" s="37">
        <f t="shared" si="69"/>
        <v>0</v>
      </c>
      <c r="J166" s="37">
        <f t="shared" si="69"/>
        <v>0</v>
      </c>
      <c r="K166" s="37">
        <f t="shared" si="69"/>
        <v>0</v>
      </c>
      <c r="L166" s="37">
        <f t="shared" si="69"/>
        <v>0</v>
      </c>
      <c r="M166" s="37">
        <f t="shared" si="69"/>
        <v>0</v>
      </c>
      <c r="N166" s="37">
        <f t="shared" si="69"/>
        <v>0</v>
      </c>
      <c r="O166" s="37">
        <f t="shared" si="69"/>
        <v>0</v>
      </c>
      <c r="P166" s="37">
        <f t="shared" si="69"/>
        <v>0</v>
      </c>
      <c r="Q166" s="37">
        <f t="shared" si="69"/>
        <v>0</v>
      </c>
      <c r="R166" s="37">
        <f t="shared" si="69"/>
        <v>0</v>
      </c>
      <c r="S166" s="37">
        <f t="shared" si="69"/>
        <v>0</v>
      </c>
      <c r="T166" s="37">
        <f t="shared" si="69"/>
        <v>0</v>
      </c>
      <c r="U166" s="37">
        <f t="shared" si="69"/>
        <v>0</v>
      </c>
      <c r="V166" s="37">
        <f t="shared" si="69"/>
        <v>-450000</v>
      </c>
      <c r="W166" s="37">
        <f t="shared" si="69"/>
        <v>0</v>
      </c>
      <c r="X166" s="37">
        <f t="shared" si="69"/>
        <v>0</v>
      </c>
      <c r="Y166" s="37">
        <f t="shared" si="69"/>
        <v>0</v>
      </c>
      <c r="Z166" s="37">
        <f t="shared" si="69"/>
        <v>0</v>
      </c>
      <c r="AA166" s="37">
        <f t="shared" si="69"/>
        <v>0</v>
      </c>
      <c r="AB166" s="37">
        <f t="shared" si="69"/>
        <v>0</v>
      </c>
      <c r="AC166" s="37">
        <f t="shared" si="69"/>
        <v>0</v>
      </c>
      <c r="AD166" s="37">
        <f t="shared" si="69"/>
        <v>0</v>
      </c>
      <c r="AE166" s="37">
        <f t="shared" si="69"/>
        <v>0</v>
      </c>
      <c r="AF166" s="37">
        <f t="shared" si="69"/>
        <v>0</v>
      </c>
      <c r="AG166" s="37">
        <f t="shared" si="69"/>
        <v>0</v>
      </c>
      <c r="AH166" s="37">
        <f t="shared" si="69"/>
        <v>0</v>
      </c>
      <c r="AI166" s="37">
        <f t="shared" si="69"/>
        <v>0</v>
      </c>
      <c r="AJ166" s="37">
        <f t="shared" si="69"/>
        <v>0</v>
      </c>
      <c r="AK166" s="37">
        <f t="shared" si="69"/>
        <v>0</v>
      </c>
    </row>
    <row r="167" spans="2:37" s="38" customFormat="1" hidden="1" outlineLevel="1" x14ac:dyDescent="0.2">
      <c r="B167" s="37"/>
      <c r="C167" s="37" t="s">
        <v>108</v>
      </c>
      <c r="D167" s="37"/>
      <c r="E167" s="42"/>
      <c r="F167" s="42"/>
      <c r="G167" s="82"/>
      <c r="H167" s="37">
        <f>-IF(H166=0,0,MAX(H166,SUM($H$73:H73)))</f>
        <v>0</v>
      </c>
      <c r="I167" s="37">
        <f>-IF(I166=0,0,MAX(I166,SUM($H$73:I73)))</f>
        <v>0</v>
      </c>
      <c r="J167" s="37">
        <f>-IF(J166=0,0,MAX(J166,SUM($H$73:J73)))</f>
        <v>0</v>
      </c>
      <c r="K167" s="37">
        <f>-IF(K166=0,0,MAX(K166,SUM($H$73:K73)))</f>
        <v>0</v>
      </c>
      <c r="L167" s="37">
        <f>-IF(L166=0,0,MAX(L166,SUM($H$73:L73)))</f>
        <v>0</v>
      </c>
      <c r="M167" s="37">
        <f>-IF(M166=0,0,MAX(M166,SUM($H$73:M73)))</f>
        <v>0</v>
      </c>
      <c r="N167" s="37">
        <f>-IF(N166=0,0,MAX(N166,SUM($H$73:N73)))</f>
        <v>0</v>
      </c>
      <c r="O167" s="37">
        <f>-IF(O166=0,0,MAX(O166,SUM($H$73:O73)))</f>
        <v>0</v>
      </c>
      <c r="P167" s="37">
        <f>-IF(P166=0,0,MAX(P166,SUM($H$73:P73)))</f>
        <v>0</v>
      </c>
      <c r="Q167" s="37">
        <f>-IF(Q166=0,0,MAX(Q166,SUM($H$73:Q73)))</f>
        <v>0</v>
      </c>
      <c r="R167" s="37">
        <f>-IF(R166=0,0,MAX(R166,SUM($H$73:R73)))</f>
        <v>0</v>
      </c>
      <c r="S167" s="37">
        <f>-IF(S166=0,0,MAX(S166,SUM($H$73:S73)))</f>
        <v>0</v>
      </c>
      <c r="T167" s="37">
        <f>-IF(T166=0,0,MAX(T166,SUM($H$73:T73)))</f>
        <v>0</v>
      </c>
      <c r="U167" s="37">
        <f>-IF(U166=0,0,MAX(U166,SUM($H$73:U73)))</f>
        <v>0</v>
      </c>
      <c r="V167" s="37">
        <f>-IF(V166=0,0,MAX(V166,SUM($H$73:V73)))</f>
        <v>450000</v>
      </c>
      <c r="W167" s="37">
        <f>-IF(W166=0,0,MAX(W166,SUM($H$73:W73)))</f>
        <v>0</v>
      </c>
      <c r="X167" s="37">
        <f>-IF(X166=0,0,MAX(X166,SUM($H$73:X73)))</f>
        <v>0</v>
      </c>
      <c r="Y167" s="37">
        <f>-IF(Y166=0,0,MAX(Y166,SUM($H$73:Y73)))</f>
        <v>0</v>
      </c>
      <c r="Z167" s="37">
        <f>-IF(Z166=0,0,MAX(Z166,SUM($H$73:Z73)))</f>
        <v>0</v>
      </c>
      <c r="AA167" s="37">
        <f>-IF(AA166=0,0,MAX(AA166,SUM($H$73:AA73)))</f>
        <v>0</v>
      </c>
      <c r="AB167" s="37">
        <f>-IF(AB166=0,0,MAX(AB166,SUM($H$73:AB73)))</f>
        <v>0</v>
      </c>
      <c r="AC167" s="37">
        <f>-IF(AC166=0,0,MAX(AC166,SUM($H$73:AC73)))</f>
        <v>0</v>
      </c>
      <c r="AD167" s="37">
        <f>-IF(AD166=0,0,MAX(AD166,SUM($H$73:AD73)))</f>
        <v>0</v>
      </c>
      <c r="AE167" s="37">
        <f>-IF(AE166=0,0,MAX(AE166,SUM($H$73:AE73)))</f>
        <v>0</v>
      </c>
      <c r="AF167" s="37">
        <f>-IF(AF166=0,0,MAX(AF166,SUM($H$73:AF73)))</f>
        <v>0</v>
      </c>
      <c r="AG167" s="37">
        <f>-IF(AG166=0,0,MAX(AG166,SUM($H$73:AG73)))</f>
        <v>0</v>
      </c>
      <c r="AH167" s="37">
        <f>-IF(AH166=0,0,MAX(AH166,SUM($H$73:AH73)))</f>
        <v>0</v>
      </c>
      <c r="AI167" s="37">
        <f>-IF(AI166=0,0,MAX(AI166,SUM($H$73:AI73)))</f>
        <v>0</v>
      </c>
      <c r="AJ167" s="37">
        <f>-IF(AJ166=0,0,MAX(AJ166,SUM($H$73:AJ73)))</f>
        <v>0</v>
      </c>
      <c r="AK167" s="37">
        <f>-IF(AK166=0,0,MAX(AK166,SUM($H$73:AK73)))</f>
        <v>0</v>
      </c>
    </row>
    <row r="168" spans="2:37" s="38" customFormat="1" hidden="1" outlineLevel="1" x14ac:dyDescent="0.2">
      <c r="B168" s="37"/>
      <c r="C168" s="37" t="s">
        <v>89</v>
      </c>
      <c r="D168" s="37"/>
      <c r="E168" s="42"/>
      <c r="F168" s="42"/>
      <c r="G168" s="82"/>
      <c r="H168" s="37">
        <f t="shared" ref="H168:AK168" si="70">-H104</f>
        <v>-1100625.8466019882</v>
      </c>
      <c r="I168" s="37">
        <f t="shared" si="70"/>
        <v>-1053868.4568023139</v>
      </c>
      <c r="J168" s="37">
        <f t="shared" si="70"/>
        <v>-1006133.5891686215</v>
      </c>
      <c r="K168" s="37">
        <f t="shared" si="70"/>
        <v>-957387.10391496238</v>
      </c>
      <c r="L168" s="37">
        <f t="shared" si="70"/>
        <v>-910080.05754829303</v>
      </c>
      <c r="M168" s="37">
        <f t="shared" si="70"/>
        <v>-856831.48134984367</v>
      </c>
      <c r="N168" s="37">
        <f t="shared" si="70"/>
        <v>-804836.77216064814</v>
      </c>
      <c r="O168" s="37">
        <f t="shared" si="70"/>
        <v>-751679.92274521594</v>
      </c>
      <c r="P168" s="37">
        <f t="shared" si="70"/>
        <v>-699229.84804123431</v>
      </c>
      <c r="Q168" s="37">
        <f t="shared" si="70"/>
        <v>-641800.76107609831</v>
      </c>
      <c r="R168" s="37">
        <f t="shared" si="70"/>
        <v>-584905.52498110267</v>
      </c>
      <c r="S168" s="37">
        <f t="shared" si="70"/>
        <v>-526671.75466048892</v>
      </c>
      <c r="T168" s="37">
        <f t="shared" si="70"/>
        <v>-468330.31931169279</v>
      </c>
      <c r="U168" s="37">
        <f t="shared" si="70"/>
        <v>-406051.22980439861</v>
      </c>
      <c r="V168" s="37">
        <f t="shared" si="70"/>
        <v>-343504.22454000748</v>
      </c>
      <c r="W168" s="37">
        <f t="shared" si="70"/>
        <v>-279411.60193431634</v>
      </c>
      <c r="X168" s="37">
        <f t="shared" si="70"/>
        <v>-212837.38101840019</v>
      </c>
      <c r="Y168" s="37">
        <f t="shared" si="70"/>
        <v>-143367.5877533828</v>
      </c>
      <c r="Z168" s="37">
        <f t="shared" si="70"/>
        <v>-72626.788333831195</v>
      </c>
      <c r="AA168" s="37">
        <f t="shared" si="70"/>
        <v>0</v>
      </c>
      <c r="AB168" s="37">
        <f t="shared" si="70"/>
        <v>0</v>
      </c>
      <c r="AC168" s="37">
        <f t="shared" si="70"/>
        <v>0</v>
      </c>
      <c r="AD168" s="37">
        <f t="shared" si="70"/>
        <v>0</v>
      </c>
      <c r="AE168" s="37">
        <f t="shared" si="70"/>
        <v>0</v>
      </c>
      <c r="AF168" s="37">
        <f t="shared" si="70"/>
        <v>0</v>
      </c>
      <c r="AG168" s="37">
        <f t="shared" si="70"/>
        <v>0</v>
      </c>
      <c r="AH168" s="37">
        <f t="shared" si="70"/>
        <v>0</v>
      </c>
      <c r="AI168" s="37">
        <f t="shared" si="70"/>
        <v>0</v>
      </c>
      <c r="AJ168" s="37">
        <f t="shared" si="70"/>
        <v>0</v>
      </c>
      <c r="AK168" s="38">
        <f t="shared" si="70"/>
        <v>0</v>
      </c>
    </row>
    <row r="169" spans="2:37" s="38" customFormat="1" hidden="1" outlineLevel="1" x14ac:dyDescent="0.2">
      <c r="B169" s="37"/>
      <c r="C169" s="37" t="s">
        <v>88</v>
      </c>
      <c r="D169" s="37"/>
      <c r="E169" s="42"/>
      <c r="F169" s="42"/>
      <c r="G169" s="82"/>
      <c r="H169" s="37">
        <f t="shared" ref="H169:AK169" si="71">-H105</f>
        <v>-1005535.2645091233</v>
      </c>
      <c r="I169" s="37">
        <f t="shared" si="71"/>
        <v>-1026556.2931976863</v>
      </c>
      <c r="J169" s="37">
        <f t="shared" si="71"/>
        <v>-1048311.5108313789</v>
      </c>
      <c r="K169" s="37">
        <f t="shared" si="71"/>
        <v>-1070830.1914183707</v>
      </c>
      <c r="L169" s="37">
        <f t="shared" si="71"/>
        <v>-1091656.3153583738</v>
      </c>
      <c r="M169" s="37">
        <f t="shared" si="71"/>
        <v>-1118165.7890149564</v>
      </c>
      <c r="N169" s="37">
        <f t="shared" si="71"/>
        <v>-1143158.0519447816</v>
      </c>
      <c r="O169" s="37">
        <f t="shared" si="71"/>
        <v>-1169043.8445089885</v>
      </c>
      <c r="P169" s="37">
        <f t="shared" si="71"/>
        <v>-1193948.8795580545</v>
      </c>
      <c r="Q169" s="37">
        <f t="shared" si="71"/>
        <v>-1223553.4644085097</v>
      </c>
      <c r="R169" s="37">
        <f t="shared" si="71"/>
        <v>-1252339.1466798643</v>
      </c>
      <c r="S169" s="37">
        <f t="shared" si="71"/>
        <v>-1282172.6104336972</v>
      </c>
      <c r="T169" s="37">
        <f t="shared" si="71"/>
        <v>-1311817.1714177104</v>
      </c>
      <c r="U169" s="37">
        <f t="shared" si="71"/>
        <v>-1345096.8874062598</v>
      </c>
      <c r="V169" s="37">
        <f t="shared" si="71"/>
        <v>-1378335.9700148634</v>
      </c>
      <c r="W169" s="37">
        <f t="shared" si="71"/>
        <v>-1444209.544405882</v>
      </c>
      <c r="X169" s="37">
        <f t="shared" si="71"/>
        <v>-1481468.1799152684</v>
      </c>
      <c r="Y169" s="37">
        <f t="shared" si="71"/>
        <v>-1521307.5143989592</v>
      </c>
      <c r="Z169" s="37">
        <f t="shared" si="71"/>
        <v>-1561866.4157813161</v>
      </c>
      <c r="AA169" s="37">
        <f t="shared" si="71"/>
        <v>0</v>
      </c>
      <c r="AB169" s="37">
        <f t="shared" si="71"/>
        <v>0</v>
      </c>
      <c r="AC169" s="37">
        <f t="shared" si="71"/>
        <v>0</v>
      </c>
      <c r="AD169" s="37">
        <f t="shared" si="71"/>
        <v>0</v>
      </c>
      <c r="AE169" s="37">
        <f t="shared" si="71"/>
        <v>0</v>
      </c>
      <c r="AF169" s="37">
        <f t="shared" si="71"/>
        <v>0</v>
      </c>
      <c r="AG169" s="37">
        <f t="shared" si="71"/>
        <v>0</v>
      </c>
      <c r="AH169" s="37">
        <f t="shared" si="71"/>
        <v>0</v>
      </c>
      <c r="AI169" s="37">
        <f t="shared" si="71"/>
        <v>0</v>
      </c>
      <c r="AJ169" s="37">
        <f t="shared" si="71"/>
        <v>0</v>
      </c>
      <c r="AK169" s="38">
        <f t="shared" si="71"/>
        <v>0</v>
      </c>
    </row>
    <row r="170" spans="2:37" s="38" customFormat="1" hidden="1" outlineLevel="1" x14ac:dyDescent="0.2">
      <c r="B170" s="37"/>
      <c r="C170" s="37" t="s">
        <v>3</v>
      </c>
      <c r="D170" s="37"/>
      <c r="E170" s="42"/>
      <c r="F170" s="42"/>
      <c r="G170" s="82"/>
      <c r="H170" s="38">
        <f t="shared" ref="H170:AK170" si="72">-H152</f>
        <v>0</v>
      </c>
      <c r="I170" s="38">
        <f t="shared" si="72"/>
        <v>0</v>
      </c>
      <c r="J170" s="38">
        <f t="shared" si="72"/>
        <v>0</v>
      </c>
      <c r="K170" s="38">
        <f t="shared" si="72"/>
        <v>0</v>
      </c>
      <c r="L170" s="38">
        <f t="shared" si="72"/>
        <v>0</v>
      </c>
      <c r="M170" s="38">
        <f t="shared" si="72"/>
        <v>0</v>
      </c>
      <c r="N170" s="38">
        <f t="shared" si="72"/>
        <v>0</v>
      </c>
      <c r="O170" s="38">
        <f t="shared" si="72"/>
        <v>0</v>
      </c>
      <c r="P170" s="38">
        <f t="shared" si="72"/>
        <v>0</v>
      </c>
      <c r="Q170" s="38">
        <f t="shared" si="72"/>
        <v>0</v>
      </c>
      <c r="R170" s="38">
        <f t="shared" si="72"/>
        <v>0</v>
      </c>
      <c r="S170" s="38">
        <f t="shared" si="72"/>
        <v>0</v>
      </c>
      <c r="T170" s="38">
        <f t="shared" si="72"/>
        <v>0</v>
      </c>
      <c r="U170" s="38">
        <f t="shared" si="72"/>
        <v>0</v>
      </c>
      <c r="V170" s="38">
        <f t="shared" si="72"/>
        <v>0</v>
      </c>
      <c r="W170" s="38">
        <f t="shared" si="72"/>
        <v>-107043.2426547074</v>
      </c>
      <c r="X170" s="38">
        <f t="shared" si="72"/>
        <v>-505547.44762277021</v>
      </c>
      <c r="Y170" s="38">
        <f t="shared" si="72"/>
        <v>-512914.61610032676</v>
      </c>
      <c r="Z170" s="38">
        <f t="shared" si="72"/>
        <v>-520491.14095724304</v>
      </c>
      <c r="AA170" s="38">
        <f t="shared" si="72"/>
        <v>-528428.59998026979</v>
      </c>
      <c r="AB170" s="38">
        <f t="shared" si="72"/>
        <v>-83834.674461657007</v>
      </c>
      <c r="AC170" s="38">
        <f t="shared" si="72"/>
        <v>-75374.40545089019</v>
      </c>
      <c r="AD170" s="38">
        <f t="shared" si="72"/>
        <v>-66789.004809908045</v>
      </c>
      <c r="AE170" s="38">
        <f t="shared" si="72"/>
        <v>-58075.969906106242</v>
      </c>
      <c r="AF170" s="38">
        <f t="shared" si="72"/>
        <v>-49232.748054228316</v>
      </c>
      <c r="AG170" s="38">
        <f t="shared" si="72"/>
        <v>-40256.735515312816</v>
      </c>
      <c r="AH170" s="38">
        <f t="shared" si="72"/>
        <v>-31145.276475619059</v>
      </c>
      <c r="AI170" s="38">
        <f t="shared" si="72"/>
        <v>-21895.662005131482</v>
      </c>
      <c r="AJ170" s="38">
        <f t="shared" si="72"/>
        <v>-12505.128995234089</v>
      </c>
      <c r="AK170" s="83">
        <f t="shared" si="72"/>
        <v>-2970.859075138811</v>
      </c>
    </row>
    <row r="171" spans="2:37" s="38" customFormat="1" hidden="1" outlineLevel="1" x14ac:dyDescent="0.2">
      <c r="B171" s="63"/>
      <c r="C171" s="63" t="s">
        <v>10</v>
      </c>
      <c r="D171" s="63"/>
      <c r="E171" s="84"/>
      <c r="F171" s="84"/>
      <c r="G171" s="85"/>
      <c r="H171" s="86">
        <f>SUM(H166:H170)</f>
        <v>-2106161.1111111115</v>
      </c>
      <c r="I171" s="86">
        <f t="shared" ref="I171:AK171" si="73">SUM(I166:I170)</f>
        <v>-2080424.7500000002</v>
      </c>
      <c r="J171" s="86">
        <f t="shared" si="73"/>
        <v>-2054445.1000000003</v>
      </c>
      <c r="K171" s="86">
        <f t="shared" si="73"/>
        <v>-2028217.2953333331</v>
      </c>
      <c r="L171" s="86">
        <f t="shared" si="73"/>
        <v>-2001736.3729066667</v>
      </c>
      <c r="M171" s="86">
        <f t="shared" si="73"/>
        <v>-1974997.2703648</v>
      </c>
      <c r="N171" s="86">
        <f t="shared" si="73"/>
        <v>-1947994.8241054297</v>
      </c>
      <c r="O171" s="86">
        <f t="shared" si="73"/>
        <v>-1920723.7672542045</v>
      </c>
      <c r="P171" s="86">
        <f t="shared" si="73"/>
        <v>-1893178.7275992888</v>
      </c>
      <c r="Q171" s="86">
        <f t="shared" si="73"/>
        <v>-1865354.225484608</v>
      </c>
      <c r="R171" s="86">
        <f t="shared" si="73"/>
        <v>-1837244.6716609669</v>
      </c>
      <c r="S171" s="86">
        <f t="shared" si="73"/>
        <v>-1808844.3650941863</v>
      </c>
      <c r="T171" s="86">
        <f t="shared" si="73"/>
        <v>-1780147.4907294032</v>
      </c>
      <c r="U171" s="86">
        <f t="shared" si="73"/>
        <v>-1751148.1172106583</v>
      </c>
      <c r="V171" s="86">
        <f t="shared" si="73"/>
        <v>-1721840.1945548709</v>
      </c>
      <c r="W171" s="86">
        <f t="shared" si="73"/>
        <v>-1830664.3889949056</v>
      </c>
      <c r="X171" s="86">
        <f t="shared" si="73"/>
        <v>-2199853.0085564386</v>
      </c>
      <c r="Y171" s="86">
        <f t="shared" si="73"/>
        <v>-2177589.7182526686</v>
      </c>
      <c r="Z171" s="86">
        <f t="shared" si="73"/>
        <v>-2154984.3450723905</v>
      </c>
      <c r="AA171" s="86">
        <f t="shared" si="73"/>
        <v>-528428.59998026979</v>
      </c>
      <c r="AB171" s="86">
        <f t="shared" si="73"/>
        <v>-83834.674461657007</v>
      </c>
      <c r="AC171" s="86">
        <f t="shared" si="73"/>
        <v>-75374.40545089019</v>
      </c>
      <c r="AD171" s="86">
        <f t="shared" si="73"/>
        <v>-66789.004809908045</v>
      </c>
      <c r="AE171" s="86">
        <f t="shared" si="73"/>
        <v>-58075.969906106242</v>
      </c>
      <c r="AF171" s="86">
        <f t="shared" si="73"/>
        <v>-49232.748054228316</v>
      </c>
      <c r="AG171" s="86">
        <f t="shared" si="73"/>
        <v>-40256.735515312816</v>
      </c>
      <c r="AH171" s="86">
        <f t="shared" si="73"/>
        <v>-31145.276475619059</v>
      </c>
      <c r="AI171" s="86">
        <f t="shared" si="73"/>
        <v>-21895.662005131482</v>
      </c>
      <c r="AJ171" s="86">
        <f t="shared" si="73"/>
        <v>-12505.128995234089</v>
      </c>
      <c r="AK171" s="38">
        <f t="shared" si="73"/>
        <v>-2970.859075138811</v>
      </c>
    </row>
    <row r="172" spans="2:37" s="38" customFormat="1" hidden="1" outlineLevel="1" x14ac:dyDescent="0.2">
      <c r="B172" s="37"/>
      <c r="C172" s="37"/>
      <c r="D172" s="37"/>
      <c r="E172" s="42"/>
      <c r="G172" s="81"/>
    </row>
    <row r="173" spans="2:37" s="38" customFormat="1" hidden="1" outlineLevel="1" x14ac:dyDescent="0.2">
      <c r="B173" s="37"/>
      <c r="C173" s="37"/>
      <c r="D173" s="37"/>
      <c r="E173" s="42"/>
      <c r="G173" s="81"/>
    </row>
    <row r="174" spans="2:37" s="38" customFormat="1" hidden="1" outlineLevel="1" x14ac:dyDescent="0.2">
      <c r="B174" s="37" t="s">
        <v>4</v>
      </c>
      <c r="C174" s="37"/>
      <c r="D174" s="37"/>
      <c r="E174" s="42"/>
      <c r="G174" s="87"/>
      <c r="H174" s="86">
        <f>H164+H171</f>
        <v>737156.38888888899</v>
      </c>
      <c r="I174" s="86">
        <f t="shared" ref="I174:AK174" si="74">I164+I171</f>
        <v>728148.66250000033</v>
      </c>
      <c r="J174" s="86">
        <f t="shared" si="74"/>
        <v>719055.78500000038</v>
      </c>
      <c r="K174" s="86">
        <f t="shared" si="74"/>
        <v>709876.05336666689</v>
      </c>
      <c r="L174" s="86">
        <f t="shared" si="74"/>
        <v>700607.73051733384</v>
      </c>
      <c r="M174" s="86">
        <f t="shared" si="74"/>
        <v>691249.04462768044</v>
      </c>
      <c r="N174" s="86">
        <f t="shared" si="74"/>
        <v>681798.1884369005</v>
      </c>
      <c r="O174" s="86">
        <f t="shared" si="74"/>
        <v>672253.31853897171</v>
      </c>
      <c r="P174" s="86">
        <f t="shared" si="74"/>
        <v>662612.55465975124</v>
      </c>
      <c r="Q174" s="86">
        <f t="shared" si="74"/>
        <v>652873.97891961294</v>
      </c>
      <c r="R174" s="86">
        <f t="shared" si="74"/>
        <v>643035.63508133846</v>
      </c>
      <c r="S174" s="86">
        <f t="shared" si="74"/>
        <v>633095.52778296499</v>
      </c>
      <c r="T174" s="86">
        <f t="shared" si="74"/>
        <v>623051.62175529124</v>
      </c>
      <c r="U174" s="86">
        <f t="shared" si="74"/>
        <v>612901.84102373058</v>
      </c>
      <c r="V174" s="86">
        <f t="shared" si="74"/>
        <v>602644.06809420511</v>
      </c>
      <c r="W174" s="86">
        <f t="shared" si="74"/>
        <v>496224.15856436221</v>
      </c>
      <c r="X174" s="86">
        <f t="shared" si="74"/>
        <v>87459.498704014346</v>
      </c>
      <c r="Y174" s="86">
        <f t="shared" si="74"/>
        <v>69721.669652993325</v>
      </c>
      <c r="Z174" s="86">
        <f t="shared" si="74"/>
        <v>51892.342841384932</v>
      </c>
      <c r="AA174" s="86">
        <f t="shared" si="74"/>
        <v>1637571.1356917813</v>
      </c>
      <c r="AB174" s="86">
        <f t="shared" si="74"/>
        <v>251504.02338497125</v>
      </c>
      <c r="AC174" s="86">
        <f t="shared" si="74"/>
        <v>226123.21635267057</v>
      </c>
      <c r="AD174" s="86">
        <f t="shared" si="74"/>
        <v>200367.01442972413</v>
      </c>
      <c r="AE174" s="86">
        <f t="shared" si="74"/>
        <v>174227.90971831873</v>
      </c>
      <c r="AF174" s="86">
        <f t="shared" si="74"/>
        <v>147698.24416268495</v>
      </c>
      <c r="AG174" s="86">
        <f t="shared" si="74"/>
        <v>120770.20654593845</v>
      </c>
      <c r="AH174" s="86">
        <f t="shared" si="74"/>
        <v>93435.829426857177</v>
      </c>
      <c r="AI174" s="86">
        <f t="shared" si="74"/>
        <v>65686.986015394446</v>
      </c>
      <c r="AJ174" s="86">
        <f t="shared" si="74"/>
        <v>37515.386985702266</v>
      </c>
      <c r="AK174" s="88">
        <f t="shared" si="74"/>
        <v>8912.5772254164331</v>
      </c>
    </row>
    <row r="175" spans="2:37" s="38" customFormat="1" hidden="1" outlineLevel="1" x14ac:dyDescent="0.2">
      <c r="B175" s="37" t="s">
        <v>86</v>
      </c>
      <c r="C175" s="37"/>
      <c r="D175" s="37"/>
      <c r="E175" s="42"/>
      <c r="G175" s="89">
        <f>-L26</f>
        <v>-30538675.782728806</v>
      </c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1"/>
    </row>
    <row r="176" spans="2:37" s="38" customFormat="1" hidden="1" outlineLevel="1" x14ac:dyDescent="0.2">
      <c r="B176" s="37" t="s">
        <v>92</v>
      </c>
      <c r="C176" s="37"/>
      <c r="D176" s="37"/>
      <c r="E176" s="42"/>
      <c r="G176" s="89">
        <f>H103</f>
        <v>23669373.045204047</v>
      </c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1"/>
    </row>
    <row r="177" spans="1:37" s="38" customFormat="1" hidden="1" outlineLevel="1" x14ac:dyDescent="0.2">
      <c r="B177" s="37" t="s">
        <v>145</v>
      </c>
      <c r="C177" s="37"/>
      <c r="D177" s="37"/>
      <c r="E177" s="42"/>
      <c r="G177" s="92">
        <f>SUM(G174:G176)</f>
        <v>-6869302.737524759</v>
      </c>
      <c r="H177" s="93">
        <f t="shared" ref="H177:AK177" si="75">SUM(H174:H176)</f>
        <v>737156.38888888899</v>
      </c>
      <c r="I177" s="93">
        <f t="shared" si="75"/>
        <v>728148.66250000033</v>
      </c>
      <c r="J177" s="93">
        <f t="shared" si="75"/>
        <v>719055.78500000038</v>
      </c>
      <c r="K177" s="93">
        <f t="shared" si="75"/>
        <v>709876.05336666689</v>
      </c>
      <c r="L177" s="93">
        <f t="shared" si="75"/>
        <v>700607.73051733384</v>
      </c>
      <c r="M177" s="93">
        <f t="shared" si="75"/>
        <v>691249.04462768044</v>
      </c>
      <c r="N177" s="93">
        <f t="shared" si="75"/>
        <v>681798.1884369005</v>
      </c>
      <c r="O177" s="93">
        <f t="shared" si="75"/>
        <v>672253.31853897171</v>
      </c>
      <c r="P177" s="93">
        <f t="shared" si="75"/>
        <v>662612.55465975124</v>
      </c>
      <c r="Q177" s="93">
        <f t="shared" si="75"/>
        <v>652873.97891961294</v>
      </c>
      <c r="R177" s="93">
        <f t="shared" si="75"/>
        <v>643035.63508133846</v>
      </c>
      <c r="S177" s="93">
        <f t="shared" si="75"/>
        <v>633095.52778296499</v>
      </c>
      <c r="T177" s="93">
        <f t="shared" si="75"/>
        <v>623051.62175529124</v>
      </c>
      <c r="U177" s="93">
        <f t="shared" si="75"/>
        <v>612901.84102373058</v>
      </c>
      <c r="V177" s="93">
        <f t="shared" si="75"/>
        <v>602644.06809420511</v>
      </c>
      <c r="W177" s="93">
        <f t="shared" si="75"/>
        <v>496224.15856436221</v>
      </c>
      <c r="X177" s="93">
        <f t="shared" si="75"/>
        <v>87459.498704014346</v>
      </c>
      <c r="Y177" s="93">
        <f t="shared" si="75"/>
        <v>69721.669652993325</v>
      </c>
      <c r="Z177" s="93">
        <f t="shared" si="75"/>
        <v>51892.342841384932</v>
      </c>
      <c r="AA177" s="93">
        <f t="shared" si="75"/>
        <v>1637571.1356917813</v>
      </c>
      <c r="AB177" s="93">
        <f t="shared" si="75"/>
        <v>251504.02338497125</v>
      </c>
      <c r="AC177" s="93">
        <f t="shared" si="75"/>
        <v>226123.21635267057</v>
      </c>
      <c r="AD177" s="93">
        <f t="shared" si="75"/>
        <v>200367.01442972413</v>
      </c>
      <c r="AE177" s="93">
        <f t="shared" si="75"/>
        <v>174227.90971831873</v>
      </c>
      <c r="AF177" s="93">
        <f t="shared" si="75"/>
        <v>147698.24416268495</v>
      </c>
      <c r="AG177" s="93">
        <f t="shared" si="75"/>
        <v>120770.20654593845</v>
      </c>
      <c r="AH177" s="93">
        <f t="shared" si="75"/>
        <v>93435.829426857177</v>
      </c>
      <c r="AI177" s="93">
        <f t="shared" si="75"/>
        <v>65686.986015394446</v>
      </c>
      <c r="AJ177" s="93">
        <f t="shared" si="75"/>
        <v>37515.386985702266</v>
      </c>
      <c r="AK177" s="94">
        <f t="shared" si="75"/>
        <v>8912.5772254164331</v>
      </c>
    </row>
    <row r="178" spans="1:37" s="38" customFormat="1" hidden="1" outlineLevel="1" x14ac:dyDescent="0.2">
      <c r="B178" s="37"/>
      <c r="C178" s="37"/>
      <c r="D178" s="37"/>
      <c r="E178" s="42"/>
      <c r="G178" s="81"/>
    </row>
    <row r="179" spans="1:37" s="38" customFormat="1" hidden="1" outlineLevel="1" x14ac:dyDescent="0.2">
      <c r="B179" s="37" t="s">
        <v>113</v>
      </c>
      <c r="C179" s="37"/>
      <c r="D179" s="37"/>
      <c r="E179" s="42"/>
      <c r="G179" s="81"/>
      <c r="H179" s="81">
        <f>G177+H177</f>
        <v>-6132146.34863587</v>
      </c>
      <c r="I179" s="81">
        <f>H179+I177</f>
        <v>-5403997.6861358695</v>
      </c>
      <c r="J179" s="81">
        <f t="shared" ref="J179:AK179" si="76">I179+J177</f>
        <v>-4684941.9011358693</v>
      </c>
      <c r="K179" s="81">
        <f t="shared" si="76"/>
        <v>-3975065.8477692027</v>
      </c>
      <c r="L179" s="81">
        <f t="shared" si="76"/>
        <v>-3274458.1172518688</v>
      </c>
      <c r="M179" s="81">
        <f t="shared" si="76"/>
        <v>-2583209.0726241884</v>
      </c>
      <c r="N179" s="81">
        <f t="shared" si="76"/>
        <v>-1901410.8841872879</v>
      </c>
      <c r="O179" s="81">
        <f t="shared" si="76"/>
        <v>-1229157.5656483162</v>
      </c>
      <c r="P179" s="81">
        <f t="shared" si="76"/>
        <v>-566545.01098856493</v>
      </c>
      <c r="Q179" s="81">
        <f t="shared" si="76"/>
        <v>86328.967931048013</v>
      </c>
      <c r="R179" s="81">
        <f t="shared" si="76"/>
        <v>729364.60301238648</v>
      </c>
      <c r="S179" s="81">
        <f t="shared" si="76"/>
        <v>1362460.1307953515</v>
      </c>
      <c r="T179" s="81">
        <f t="shared" si="76"/>
        <v>1985511.7525506427</v>
      </c>
      <c r="U179" s="81">
        <f t="shared" si="76"/>
        <v>2598413.5935743731</v>
      </c>
      <c r="V179" s="81">
        <f t="shared" si="76"/>
        <v>3201057.6616685782</v>
      </c>
      <c r="W179" s="81">
        <f t="shared" si="76"/>
        <v>3697281.8202329404</v>
      </c>
      <c r="X179" s="81">
        <f t="shared" si="76"/>
        <v>3784741.3189369547</v>
      </c>
      <c r="Y179" s="81">
        <f t="shared" si="76"/>
        <v>3854462.988589948</v>
      </c>
      <c r="Z179" s="81">
        <f t="shared" si="76"/>
        <v>3906355.331431333</v>
      </c>
      <c r="AA179" s="81">
        <f t="shared" si="76"/>
        <v>5543926.4671231145</v>
      </c>
      <c r="AB179" s="81">
        <f t="shared" si="76"/>
        <v>5795430.490508086</v>
      </c>
      <c r="AC179" s="81">
        <f t="shared" si="76"/>
        <v>6021553.7068607565</v>
      </c>
      <c r="AD179" s="81">
        <f t="shared" si="76"/>
        <v>6221920.7212904803</v>
      </c>
      <c r="AE179" s="81">
        <f t="shared" si="76"/>
        <v>6396148.6310087992</v>
      </c>
      <c r="AF179" s="81">
        <f t="shared" si="76"/>
        <v>6543846.8751714844</v>
      </c>
      <c r="AG179" s="81">
        <f t="shared" si="76"/>
        <v>6664617.0817174232</v>
      </c>
      <c r="AH179" s="81">
        <f t="shared" si="76"/>
        <v>6758052.9111442808</v>
      </c>
      <c r="AI179" s="81">
        <f t="shared" si="76"/>
        <v>6823739.8971596751</v>
      </c>
      <c r="AJ179" s="81">
        <f t="shared" si="76"/>
        <v>6861255.2841453776</v>
      </c>
      <c r="AK179" s="81">
        <f t="shared" si="76"/>
        <v>6870167.8613707945</v>
      </c>
    </row>
    <row r="180" spans="1:37" s="38" customFormat="1" hidden="1" outlineLevel="1" x14ac:dyDescent="0.2">
      <c r="B180" s="37"/>
      <c r="C180" s="37"/>
      <c r="D180" s="37"/>
      <c r="E180" s="42"/>
      <c r="G180" s="81"/>
    </row>
    <row r="181" spans="1:37" s="38" customFormat="1" hidden="1" outlineLevel="1" x14ac:dyDescent="0.2">
      <c r="B181" s="37" t="s">
        <v>93</v>
      </c>
      <c r="C181" s="37"/>
      <c r="D181" s="37"/>
      <c r="E181" s="42"/>
      <c r="G181" s="95">
        <f>XIRR(G177:AK177,G2:AK2)</f>
        <v>7.5091174244880696E-2</v>
      </c>
    </row>
    <row r="182" spans="1:37" s="38" customFormat="1" hidden="1" outlineLevel="1" x14ac:dyDescent="0.2">
      <c r="B182" s="37" t="s">
        <v>94</v>
      </c>
      <c r="C182" s="37"/>
      <c r="D182" s="37"/>
      <c r="E182" s="42"/>
      <c r="G182" s="96" t="str">
        <f>IFERROR(XIRR($G$177:G177,$G$2:G2),"N/A")</f>
        <v>N/A</v>
      </c>
      <c r="H182" s="97">
        <f>IFERROR(XIRR($G$177:H177,$G$2:H2),"N/A")</f>
        <v>-0.89203189387917514</v>
      </c>
      <c r="I182" s="97">
        <f>IFERROR(XIRR($G$177:I177,$G$2:I2),"N/A")</f>
        <v>-0.61579056046903147</v>
      </c>
      <c r="J182" s="97">
        <f>IFERROR(XIRR($G$177:J177,$G$2:J2),"N/A")</f>
        <v>-0.41062986478209507</v>
      </c>
      <c r="K182" s="97">
        <f>IFERROR(XIRR($G$177:K177,$G$2:K2),"N/A")</f>
        <v>-0.27517959699034689</v>
      </c>
      <c r="L182" s="97">
        <f>IFERROR(XIRR($G$177:L177,$G$2:L2),"N/A")</f>
        <v>-0.18422594293951994</v>
      </c>
      <c r="M182" s="97">
        <f>IFERROR(XIRR($G$177:M177,$G$2:M2),"N/A")</f>
        <v>-0.12110480405390261</v>
      </c>
      <c r="N182" s="97">
        <f>IFERROR(XIRR($G$177:N177,$G$2:N2),"N/A")</f>
        <v>-7.5828650593757638E-2</v>
      </c>
      <c r="O182" s="97">
        <f>IFERROR(XIRR($G$177:O177,$G$2:O2),"N/A")</f>
        <v>-4.2415717244148249E-2</v>
      </c>
      <c r="P182" s="97">
        <f>IFERROR(XIRR($G$177:P177,$G$2:P2),"N/A")</f>
        <v>-1.7157831788063051E-2</v>
      </c>
      <c r="Q182" s="97">
        <f>IFERROR(XIRR($G$177:Q177,$G$2:Q2),"N/A")</f>
        <v>2.322247624397279E-3</v>
      </c>
      <c r="R182" s="97">
        <f>IFERROR(XIRR($G$177:R177,$G$2:R2),"N/A")</f>
        <v>1.7606088519096372E-2</v>
      </c>
      <c r="S182" s="97">
        <f>IFERROR(XIRR($G$177:S177,$G$2:S2),"N/A")</f>
        <v>2.9773858189582825E-2</v>
      </c>
      <c r="T182" s="97">
        <f>IFERROR(XIRR($G$177:T177,$G$2:T2),"N/A")</f>
        <v>3.958179652690888E-2</v>
      </c>
      <c r="U182" s="97">
        <f>IFERROR(XIRR($G$177:U177,$G$2:U2),"N/A")</f>
        <v>4.7573909163475023E-2</v>
      </c>
      <c r="V182" s="97">
        <f>IFERROR(XIRR($G$177:V177,$G$2:V2),"N/A")</f>
        <v>5.414773523807527E-2</v>
      </c>
      <c r="W182" s="97">
        <f>IFERROR(XIRR($G$177:W177,$G$2:W2),"N/A")</f>
        <v>5.8754995465278625E-2</v>
      </c>
      <c r="X182" s="97">
        <f>IFERROR(XIRR($G$177:X177,$G$2:X2),"N/A")</f>
        <v>5.9481397271156311E-2</v>
      </c>
      <c r="Y182" s="97">
        <f>IFERROR(XIRR($G$177:Y177,$G$2:Y2),"N/A")</f>
        <v>6.0020181536674488E-2</v>
      </c>
      <c r="Z182" s="97">
        <f>IFERROR(XIRR($G$177:Z177,$G$2:Z2),"N/A")</f>
        <v>6.0394278168678275E-2</v>
      </c>
      <c r="AA182" s="97">
        <f>IFERROR(XIRR($G$177:AA177,$G$2:AA2),"N/A")</f>
        <v>7.0095357298850997E-2</v>
      </c>
      <c r="AB182" s="97">
        <f>IFERROR(XIRR($G$177:AB177,$G$2:AB2),"N/A")</f>
        <v>7.1303781867027294E-2</v>
      </c>
      <c r="AC182" s="97">
        <f>IFERROR(XIRR($G$177:AC177,$G$2:AC2),"N/A")</f>
        <v>7.2286996245384219E-2</v>
      </c>
      <c r="AD182" s="97">
        <f>IFERROR(XIRR($G$177:AD177,$G$2:AD2),"N/A")</f>
        <v>7.3078182339668299E-2</v>
      </c>
      <c r="AE182" s="97">
        <f>IFERROR(XIRR($G$177:AE177,$G$2:AE2),"N/A")</f>
        <v>7.3705080151557953E-2</v>
      </c>
      <c r="AF182" s="97">
        <f>IFERROR(XIRR($G$177:AF177,$G$2:AF2),"N/A")</f>
        <v>7.419085204601289E-2</v>
      </c>
      <c r="AG182" s="97">
        <f>IFERROR(XIRR($G$177:AG177,$G$2:AG2),"N/A")</f>
        <v>7.4555161595344546E-2</v>
      </c>
      <c r="AH182" s="97">
        <f>IFERROR(XIRR($G$177:AH177,$G$2:AH2),"N/A")</f>
        <v>7.4814465641975428E-2</v>
      </c>
      <c r="AI182" s="97">
        <f>IFERROR(XIRR($G$177:AI177,$G$2:AI2),"N/A")</f>
        <v>7.4982681870460519E-2</v>
      </c>
      <c r="AJ182" s="97">
        <f>IFERROR(XIRR($G$177:AJ177,$G$2:AJ2),"N/A")</f>
        <v>7.5071576237678531E-2</v>
      </c>
      <c r="AK182" s="98">
        <f>IFERROR(XIRR($G$177:AK177,$G$2:AK2),"N/A")</f>
        <v>7.5091174244880696E-2</v>
      </c>
    </row>
    <row r="183" spans="1:37" s="38" customFormat="1" hidden="1" outlineLevel="1" x14ac:dyDescent="0.2">
      <c r="B183" s="37" t="s">
        <v>96</v>
      </c>
      <c r="C183" s="37"/>
      <c r="D183" s="37"/>
      <c r="E183" s="42"/>
      <c r="G183" s="99">
        <f>SUM(H177:AK177)/-G177</f>
        <v>2.0001259405618135</v>
      </c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</row>
    <row r="184" spans="1:37" s="38" customFormat="1" ht="15.75" hidden="1" customHeight="1" outlineLevel="1" x14ac:dyDescent="0.2">
      <c r="B184" s="37" t="s">
        <v>95</v>
      </c>
      <c r="C184" s="37"/>
      <c r="D184" s="37"/>
      <c r="E184" s="42"/>
      <c r="G184" s="101" t="s">
        <v>126</v>
      </c>
      <c r="H184" s="102">
        <f>SUM($H$177:H177)/-$G$177</f>
        <v>0.10731167587971399</v>
      </c>
      <c r="I184" s="102">
        <f>SUM($H$177:I177)/-$G$177</f>
        <v>0.21331205034601344</v>
      </c>
      <c r="J184" s="102">
        <f>SUM($H$177:J177)/-$G$177</f>
        <v>0.31798872751035406</v>
      </c>
      <c r="K184" s="102">
        <f>SUM($H$177:K177)/-$G$177</f>
        <v>0.42132906356642064</v>
      </c>
      <c r="L184" s="102">
        <f>SUM($H$177:L177)/-$G$177</f>
        <v>0.52332016183177188</v>
      </c>
      <c r="M184" s="102">
        <f>SUM($H$177:M177)/-$G$177</f>
        <v>0.62394886769031743</v>
      </c>
      <c r="N184" s="102">
        <f>SUM($H$177:N177)/-$G$177</f>
        <v>0.72320176343364506</v>
      </c>
      <c r="O184" s="102">
        <f>SUM($H$177:O177)/-$G$177</f>
        <v>0.82106516299917476</v>
      </c>
      <c r="P184" s="102">
        <f>SUM($H$177:P177)/-$G$177</f>
        <v>0.91752510660307429</v>
      </c>
      <c r="Q184" s="102">
        <f>SUM($H$177:Q177)/-$G$177</f>
        <v>1.0125673552658354</v>
      </c>
      <c r="R184" s="102">
        <f>SUM($H$177:R177)/-$G$177</f>
        <v>1.106177385228359</v>
      </c>
      <c r="S184" s="102">
        <f>SUM($H$177:S177)/-$G$177</f>
        <v>1.1983403822563645</v>
      </c>
      <c r="T184" s="102">
        <f>SUM($H$177:T177)/-$G$177</f>
        <v>1.2890412358308858</v>
      </c>
      <c r="U184" s="102">
        <f>SUM($H$177:U177)/-$G$177</f>
        <v>1.3782645332225769</v>
      </c>
      <c r="V184" s="102">
        <f>SUM($H$177:V177)/-$G$177</f>
        <v>1.4659945534475056</v>
      </c>
      <c r="W184" s="102">
        <f>SUM($H$177:W177)/-$G$177</f>
        <v>1.5382324759157719</v>
      </c>
      <c r="X184" s="102">
        <f>SUM($H$177:X177)/-$G$177</f>
        <v>1.550964408405259</v>
      </c>
      <c r="Y184" s="102">
        <f>SUM($H$177:Y177)/-$G$177</f>
        <v>1.5611141531926196</v>
      </c>
      <c r="Z184" s="102">
        <f>SUM($H$177:Z177)/-$G$177</f>
        <v>1.568668390474653</v>
      </c>
      <c r="AA184" s="102">
        <f>SUM($H$177:AA177)/-$G$177</f>
        <v>1.8070581074900736</v>
      </c>
      <c r="AB184" s="102">
        <f>SUM($H$177:AB177)/-$G$177</f>
        <v>1.8436708516061666</v>
      </c>
      <c r="AC184" s="102">
        <f>SUM($H$177:AC177)/-$G$177</f>
        <v>1.8765887801052898</v>
      </c>
      <c r="AD184" s="102">
        <f>SUM($H$177:AD177)/-$G$177</f>
        <v>1.9057572448077091</v>
      </c>
      <c r="AE184" s="102">
        <f>SUM($H$177:AE177)/-$G$177</f>
        <v>1.9311205045700963</v>
      </c>
      <c r="AF184" s="102">
        <f>SUM($H$177:AF177)/-$G$177</f>
        <v>1.9526217034262565</v>
      </c>
      <c r="AG184" s="102">
        <f>SUM($H$177:AG177)/-$G$177</f>
        <v>1.9702028482906704</v>
      </c>
      <c r="AH184" s="102">
        <f>SUM($H$177:AH177)/-$G$177</f>
        <v>1.9838047862161088</v>
      </c>
      <c r="AI184" s="102">
        <f>SUM($H$177:AI177)/-$G$177</f>
        <v>1.9933671811963982</v>
      </c>
      <c r="AJ184" s="102">
        <f>SUM($H$177:AJ177)/-$G$177</f>
        <v>1.9988284905052409</v>
      </c>
      <c r="AK184" s="103">
        <f>SUM($H$177:AK177)/-$G$177</f>
        <v>2.0001259405618135</v>
      </c>
    </row>
    <row r="185" spans="1:37" s="38" customFormat="1" hidden="1" outlineLevel="1" x14ac:dyDescent="0.2">
      <c r="B185" s="37" t="s">
        <v>9</v>
      </c>
      <c r="C185" s="37"/>
      <c r="D185" s="37"/>
      <c r="E185" s="42"/>
      <c r="G185" s="104">
        <f>COUNTIF($H$179:$AK$179,"&lt;"&amp;0)+(-INDEX($H$179:$AK$179,MATCH(COUNTIF($H$179:$AK$179,"&lt;"&amp;0),$H$54:$AK$54,0)))/INDEX($H$177:$AK$177,MATCH(COUNTIF($H$179:$AK$179,"&lt;"&amp;0)+1,$H$54:$AK$54,0))</f>
        <v>9.8677708551443466</v>
      </c>
      <c r="H185" s="42"/>
      <c r="I185" s="37"/>
      <c r="J185" s="37"/>
      <c r="K185" s="105"/>
      <c r="L185" s="105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</row>
    <row r="186" spans="1:37" s="38" customFormat="1" collapsed="1" x14ac:dyDescent="0.2">
      <c r="B186" s="37"/>
      <c r="C186" s="37"/>
      <c r="D186" s="37"/>
      <c r="E186" s="42"/>
      <c r="F186" s="42"/>
      <c r="G186" s="42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</row>
    <row r="187" spans="1:37" s="2" customFormat="1" ht="18.75" customHeight="1" x14ac:dyDescent="0.2">
      <c r="A187" s="2" t="s">
        <v>147</v>
      </c>
      <c r="B187" s="128" t="s">
        <v>6</v>
      </c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</row>
    <row r="188" spans="1:37" ht="15" hidden="1" customHeight="1" outlineLevel="1" x14ac:dyDescent="0.2">
      <c r="I188" s="106"/>
    </row>
    <row r="189" spans="1:37" ht="15.75" hidden="1" customHeight="1" outlineLevel="1" x14ac:dyDescent="0.2">
      <c r="G189" s="217" t="s">
        <v>5</v>
      </c>
      <c r="H189" s="217"/>
      <c r="I189" s="217"/>
      <c r="J189" s="217"/>
      <c r="K189" s="217"/>
      <c r="L189" s="217"/>
      <c r="M189" s="217"/>
    </row>
    <row r="190" spans="1:37" hidden="1" outlineLevel="1" x14ac:dyDescent="0.2">
      <c r="H190" s="107"/>
      <c r="I190" s="108" t="s">
        <v>97</v>
      </c>
      <c r="J190" s="108"/>
      <c r="K190" s="108"/>
      <c r="L190" s="108"/>
      <c r="M190" s="108"/>
    </row>
    <row r="191" spans="1:37" hidden="1" outlineLevel="1" x14ac:dyDescent="0.2">
      <c r="H191" s="109">
        <f>G181</f>
        <v>7.5091174244880696E-2</v>
      </c>
      <c r="I191" s="196">
        <v>76.75</v>
      </c>
      <c r="J191" s="197">
        <f>I191-4</f>
        <v>72.75</v>
      </c>
      <c r="K191" s="197">
        <f t="shared" ref="K191:M191" si="77">J191-4</f>
        <v>68.75</v>
      </c>
      <c r="L191" s="197">
        <f t="shared" si="77"/>
        <v>64.75</v>
      </c>
      <c r="M191" s="197">
        <f t="shared" si="77"/>
        <v>60.75</v>
      </c>
    </row>
    <row r="192" spans="1:37" hidden="1" outlineLevel="1" x14ac:dyDescent="0.2">
      <c r="G192" s="218" t="s">
        <v>19</v>
      </c>
      <c r="H192" s="152">
        <v>22</v>
      </c>
      <c r="I192" s="110">
        <f t="dataTable" ref="I192:M200" dt2D="1" dtr="1" r1="Q22" r2="R15" ca="1"/>
        <v>0.13536931872367863</v>
      </c>
      <c r="J192" s="110">
        <v>8.4279569983482364E-2</v>
      </c>
      <c r="K192" s="110">
        <v>5.2218857407569902E-2</v>
      </c>
      <c r="L192" s="110">
        <v>2.9363587498664856E-2</v>
      </c>
      <c r="M192" s="110">
        <v>1.1865803599357603E-2</v>
      </c>
    </row>
    <row r="193" spans="7:13" hidden="1" outlineLevel="1" x14ac:dyDescent="0.2">
      <c r="G193" s="218"/>
      <c r="H193" s="111">
        <f>H192-1</f>
        <v>21</v>
      </c>
      <c r="I193" s="106">
        <v>0.13242802023887632</v>
      </c>
      <c r="J193" s="106">
        <v>8.0154576897621163E-2</v>
      </c>
      <c r="K193" s="106">
        <v>4.7536596655845628E-2</v>
      </c>
      <c r="L193" s="106">
        <v>2.4569341540336614E-2</v>
      </c>
      <c r="M193" s="106">
        <v>7.2860330343246455E-3</v>
      </c>
    </row>
    <row r="194" spans="7:13" hidden="1" outlineLevel="1" x14ac:dyDescent="0.2">
      <c r="G194" s="218"/>
      <c r="H194" s="111">
        <f t="shared" ref="H194:H200" si="78">H193-1</f>
        <v>20</v>
      </c>
      <c r="I194" s="106">
        <v>0.12876279950141911</v>
      </c>
      <c r="J194" s="106">
        <v>7.5091174244880696E-2</v>
      </c>
      <c r="K194" s="106">
        <v>4.1894784569740301E-2</v>
      </c>
      <c r="L194" s="106">
        <v>1.8925973773002629E-2</v>
      </c>
      <c r="M194" s="106">
        <v>2.0403176546096805E-3</v>
      </c>
    </row>
    <row r="195" spans="7:13" hidden="1" outlineLevel="1" x14ac:dyDescent="0.2">
      <c r="G195" s="218"/>
      <c r="H195" s="111">
        <f t="shared" si="78"/>
        <v>19</v>
      </c>
      <c r="I195" s="106">
        <v>0.1241250693798065</v>
      </c>
      <c r="J195" s="112">
        <v>6.8762633204460161E-2</v>
      </c>
      <c r="K195" s="112">
        <v>3.4990254044532779E-2</v>
      </c>
      <c r="L195" s="112">
        <v>1.2215402722358704E-2</v>
      </c>
      <c r="M195" s="106">
        <v>-3.9699822664260856E-3</v>
      </c>
    </row>
    <row r="196" spans="7:13" hidden="1" outlineLevel="1" x14ac:dyDescent="0.2">
      <c r="G196" s="218"/>
      <c r="H196" s="111">
        <f t="shared" si="78"/>
        <v>18</v>
      </c>
      <c r="I196" s="106">
        <v>0.10329220890998841</v>
      </c>
      <c r="J196" s="112">
        <v>5.7152476906776439E-2</v>
      </c>
      <c r="K196" s="112">
        <v>2.7667245268821715E-2</v>
      </c>
      <c r="L196" s="112">
        <v>7.2741419076919559E-3</v>
      </c>
      <c r="M196" s="106">
        <v>-7.590851187705994E-3</v>
      </c>
    </row>
    <row r="197" spans="7:13" hidden="1" outlineLevel="1" x14ac:dyDescent="0.2">
      <c r="G197" s="218"/>
      <c r="H197" s="111">
        <f t="shared" si="78"/>
        <v>17</v>
      </c>
      <c r="I197" s="106">
        <v>8.4700825810432451E-2</v>
      </c>
      <c r="J197" s="112">
        <v>4.6151724457740795E-2</v>
      </c>
      <c r="K197" s="112">
        <v>2.0502498745918276E-2</v>
      </c>
      <c r="L197" s="112">
        <v>2.3338288068771359E-3</v>
      </c>
      <c r="M197" s="106">
        <v>-1.2340405583381654E-2</v>
      </c>
    </row>
    <row r="198" spans="7:13" hidden="1" outlineLevel="1" x14ac:dyDescent="0.2">
      <c r="G198" s="218"/>
      <c r="H198" s="111">
        <f t="shared" si="78"/>
        <v>16</v>
      </c>
      <c r="I198" s="106">
        <v>6.7906740307807925E-2</v>
      </c>
      <c r="J198" s="106">
        <v>3.5698375105857855E-2</v>
      </c>
      <c r="K198" s="106">
        <v>1.3499513268470764E-2</v>
      </c>
      <c r="L198" s="106">
        <v>-2.5363594293594371E-3</v>
      </c>
      <c r="M198" s="106">
        <v>-1.7181161046028137E-2</v>
      </c>
    </row>
    <row r="199" spans="7:13" hidden="1" outlineLevel="1" x14ac:dyDescent="0.2">
      <c r="G199" s="218"/>
      <c r="H199" s="111">
        <f t="shared" si="78"/>
        <v>15</v>
      </c>
      <c r="I199" s="106">
        <v>5.2555897831916817E-2</v>
      </c>
      <c r="J199" s="106">
        <v>2.5733360648155214E-2</v>
      </c>
      <c r="K199" s="106">
        <v>6.6265493631362934E-3</v>
      </c>
      <c r="L199" s="106">
        <v>-7.2062209248542775E-3</v>
      </c>
      <c r="M199" s="106">
        <v>-2.2076134383678434E-2</v>
      </c>
    </row>
    <row r="200" spans="7:13" hidden="1" outlineLevel="1" x14ac:dyDescent="0.2">
      <c r="G200" s="218"/>
      <c r="H200" s="111">
        <f t="shared" si="78"/>
        <v>14</v>
      </c>
      <c r="I200" s="106">
        <v>3.8513937592506417E-2</v>
      </c>
      <c r="J200" s="106">
        <v>1.6256764531135559E-2</v>
      </c>
      <c r="K200" s="106">
        <v>-8.2045793533325216E-6</v>
      </c>
      <c r="L200" s="106">
        <v>-1.3547895848751068E-2</v>
      </c>
      <c r="M200" s="106">
        <v>-2.6982851326465614E-2</v>
      </c>
    </row>
    <row r="201" spans="7:13" hidden="1" outlineLevel="1" x14ac:dyDescent="0.2"/>
    <row r="202" spans="7:13" hidden="1" outlineLevel="1" x14ac:dyDescent="0.2"/>
    <row r="203" spans="7:13" ht="15.75" hidden="1" customHeight="1" outlineLevel="1" x14ac:dyDescent="0.2">
      <c r="G203" s="217" t="s">
        <v>9</v>
      </c>
      <c r="H203" s="217"/>
      <c r="I203" s="217"/>
      <c r="J203" s="217"/>
      <c r="K203" s="217"/>
      <c r="L203" s="217"/>
      <c r="M203" s="217"/>
    </row>
    <row r="204" spans="7:13" hidden="1" outlineLevel="1" x14ac:dyDescent="0.2">
      <c r="I204" s="108" t="s">
        <v>97</v>
      </c>
      <c r="J204" s="108"/>
      <c r="K204" s="108"/>
      <c r="L204" s="108"/>
      <c r="M204" s="108"/>
    </row>
    <row r="205" spans="7:13" hidden="1" outlineLevel="1" x14ac:dyDescent="0.2">
      <c r="H205" s="113">
        <f>G185</f>
        <v>9.8677708551443466</v>
      </c>
      <c r="I205" s="196">
        <v>72.75</v>
      </c>
      <c r="J205" s="197">
        <f>I205+4</f>
        <v>76.75</v>
      </c>
      <c r="K205" s="197">
        <f t="shared" ref="K205:M205" si="79">J205+4</f>
        <v>80.75</v>
      </c>
      <c r="L205" s="197">
        <f t="shared" si="79"/>
        <v>84.75</v>
      </c>
      <c r="M205" s="197">
        <f t="shared" si="79"/>
        <v>88.75</v>
      </c>
    </row>
    <row r="206" spans="7:13" hidden="1" outlineLevel="1" x14ac:dyDescent="0.2">
      <c r="G206" s="218" t="s">
        <v>98</v>
      </c>
      <c r="H206" s="198">
        <v>50</v>
      </c>
      <c r="I206" s="114">
        <f t="dataTable" ref="I206:M213" dt2D="1" dtr="1" r1="Q22" r2="S22" ca="1"/>
        <v>9.8677708551443466</v>
      </c>
      <c r="J206" s="114">
        <v>6.6673935259605175</v>
      </c>
      <c r="K206" s="114">
        <v>5.2303926689421267</v>
      </c>
      <c r="L206" s="114">
        <v>4.2513153892048532</v>
      </c>
      <c r="M206" s="114">
        <v>3.5809114737938796</v>
      </c>
    </row>
    <row r="207" spans="7:13" hidden="1" outlineLevel="1" x14ac:dyDescent="0.2">
      <c r="G207" s="218"/>
      <c r="H207" s="199">
        <f>H206-5</f>
        <v>45</v>
      </c>
      <c r="I207" s="114">
        <v>9.8677708551443466</v>
      </c>
      <c r="J207" s="114">
        <v>6.6673935259605175</v>
      </c>
      <c r="K207" s="114">
        <v>5.2303926689421267</v>
      </c>
      <c r="L207" s="114">
        <v>4.2513153892048532</v>
      </c>
      <c r="M207" s="114">
        <v>3.5809114737938796</v>
      </c>
    </row>
    <row r="208" spans="7:13" hidden="1" outlineLevel="1" x14ac:dyDescent="0.2">
      <c r="G208" s="218"/>
      <c r="H208" s="199">
        <f t="shared" ref="H208:H213" si="80">H207-5</f>
        <v>40</v>
      </c>
      <c r="I208" s="114">
        <v>9.8677708551443466</v>
      </c>
      <c r="J208" s="114">
        <v>6.6673935259605175</v>
      </c>
      <c r="K208" s="114">
        <v>5.2303926689421267</v>
      </c>
      <c r="L208" s="114">
        <v>4.2513153892048532</v>
      </c>
      <c r="M208" s="114">
        <v>3.5809114737938796</v>
      </c>
    </row>
    <row r="209" spans="1:37" hidden="1" outlineLevel="1" x14ac:dyDescent="0.2">
      <c r="G209" s="218"/>
      <c r="H209" s="199">
        <f t="shared" si="80"/>
        <v>35</v>
      </c>
      <c r="I209" s="114">
        <v>9.8677708551443466</v>
      </c>
      <c r="J209" s="114">
        <v>6.6673935259605175</v>
      </c>
      <c r="K209" s="114">
        <v>5.2303926689421267</v>
      </c>
      <c r="L209" s="114">
        <v>4.2513153892048532</v>
      </c>
      <c r="M209" s="114">
        <v>3.5809114737938796</v>
      </c>
    </row>
    <row r="210" spans="1:37" hidden="1" outlineLevel="1" x14ac:dyDescent="0.2">
      <c r="G210" s="218"/>
      <c r="H210" s="199">
        <f t="shared" si="80"/>
        <v>30</v>
      </c>
      <c r="I210" s="114">
        <v>9.8677708551443466</v>
      </c>
      <c r="J210" s="114">
        <v>6.6673935259605175</v>
      </c>
      <c r="K210" s="114">
        <v>5.2303926689421267</v>
      </c>
      <c r="L210" s="114">
        <v>4.2513153892048532</v>
      </c>
      <c r="M210" s="114">
        <v>3.5809114737938796</v>
      </c>
    </row>
    <row r="211" spans="1:37" hidden="1" outlineLevel="1" x14ac:dyDescent="0.2">
      <c r="G211" s="218"/>
      <c r="H211" s="199">
        <f t="shared" si="80"/>
        <v>25</v>
      </c>
      <c r="I211" s="114">
        <v>9.8677708551443466</v>
      </c>
      <c r="J211" s="114">
        <v>6.6673935259605175</v>
      </c>
      <c r="K211" s="114">
        <v>5.2303926689421267</v>
      </c>
      <c r="L211" s="114">
        <v>4.2513153892048532</v>
      </c>
      <c r="M211" s="114">
        <v>3.5809114737938796</v>
      </c>
    </row>
    <row r="212" spans="1:37" hidden="1" outlineLevel="1" x14ac:dyDescent="0.2">
      <c r="G212" s="218"/>
      <c r="H212" s="199">
        <f t="shared" si="80"/>
        <v>20</v>
      </c>
      <c r="I212" s="114">
        <v>9.8677708551443466</v>
      </c>
      <c r="J212" s="114">
        <v>6.6673935259605175</v>
      </c>
      <c r="K212" s="114">
        <v>5.2303926689421267</v>
      </c>
      <c r="L212" s="114">
        <v>4.2513153892048532</v>
      </c>
      <c r="M212" s="114">
        <v>3.5809114737938796</v>
      </c>
    </row>
    <row r="213" spans="1:37" hidden="1" outlineLevel="1" x14ac:dyDescent="0.2">
      <c r="G213" s="218"/>
      <c r="H213" s="199">
        <f t="shared" si="80"/>
        <v>15</v>
      </c>
      <c r="I213" s="114">
        <v>9.8479391008075101</v>
      </c>
      <c r="J213" s="114">
        <v>6.6673935259605175</v>
      </c>
      <c r="K213" s="114">
        <v>5.2303926689421267</v>
      </c>
      <c r="L213" s="114">
        <v>4.2513153892048532</v>
      </c>
      <c r="M213" s="114">
        <v>3.5809114737938796</v>
      </c>
    </row>
    <row r="214" spans="1:37" collapsed="1" x14ac:dyDescent="0.2">
      <c r="H214" s="115"/>
      <c r="I214" s="116"/>
      <c r="J214" s="116"/>
      <c r="K214" s="116"/>
      <c r="L214" s="116"/>
      <c r="M214" s="116"/>
    </row>
    <row r="215" spans="1:37" s="2" customFormat="1" ht="18.75" customHeight="1" x14ac:dyDescent="0.2">
      <c r="A215" s="2" t="s">
        <v>147</v>
      </c>
      <c r="B215" s="128" t="s">
        <v>146</v>
      </c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</row>
    <row r="216" spans="1:37" s="5" customFormat="1" ht="15" customHeight="1" x14ac:dyDescent="0.2">
      <c r="H216" s="204"/>
      <c r="I216" s="204"/>
      <c r="J216" s="204"/>
      <c r="K216" s="204"/>
      <c r="L216" s="204"/>
      <c r="M216" s="204"/>
      <c r="N216" s="204"/>
      <c r="O216" s="204"/>
      <c r="P216" s="204"/>
      <c r="Q216" s="204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04"/>
      <c r="AE216" s="204"/>
      <c r="AF216" s="204"/>
      <c r="AG216" s="204"/>
      <c r="AH216" s="204"/>
      <c r="AI216" s="204"/>
      <c r="AJ216" s="204"/>
      <c r="AK216" s="204"/>
    </row>
    <row r="217" spans="1:37" s="5" customFormat="1" ht="24" hidden="1" customHeight="1" outlineLevel="1" x14ac:dyDescent="0.2">
      <c r="G217" s="80"/>
      <c r="H217" s="204">
        <f>H2</f>
        <v>44012</v>
      </c>
      <c r="I217" s="204">
        <f t="shared" ref="I217:AK217" si="81">I2</f>
        <v>44377</v>
      </c>
      <c r="J217" s="204">
        <f t="shared" si="81"/>
        <v>44742</v>
      </c>
      <c r="K217" s="204">
        <f t="shared" si="81"/>
        <v>45107</v>
      </c>
      <c r="L217" s="204">
        <f t="shared" si="81"/>
        <v>45473</v>
      </c>
      <c r="M217" s="204">
        <f t="shared" si="81"/>
        <v>45838</v>
      </c>
      <c r="N217" s="204">
        <f t="shared" si="81"/>
        <v>46203</v>
      </c>
      <c r="O217" s="204">
        <f t="shared" si="81"/>
        <v>46568</v>
      </c>
      <c r="P217" s="204">
        <f t="shared" si="81"/>
        <v>46934</v>
      </c>
      <c r="Q217" s="204">
        <f t="shared" si="81"/>
        <v>47299</v>
      </c>
      <c r="R217" s="204">
        <f t="shared" si="81"/>
        <v>47664</v>
      </c>
      <c r="S217" s="204">
        <f t="shared" si="81"/>
        <v>48029</v>
      </c>
      <c r="T217" s="204">
        <f t="shared" si="81"/>
        <v>48395</v>
      </c>
      <c r="U217" s="204">
        <f t="shared" si="81"/>
        <v>48760</v>
      </c>
      <c r="V217" s="204">
        <f t="shared" si="81"/>
        <v>49125</v>
      </c>
      <c r="W217" s="204">
        <f t="shared" si="81"/>
        <v>49490</v>
      </c>
      <c r="X217" s="204">
        <f t="shared" si="81"/>
        <v>49856</v>
      </c>
      <c r="Y217" s="204">
        <f t="shared" si="81"/>
        <v>50221</v>
      </c>
      <c r="Z217" s="204">
        <f t="shared" si="81"/>
        <v>50586</v>
      </c>
      <c r="AA217" s="204">
        <f t="shared" si="81"/>
        <v>50951</v>
      </c>
      <c r="AB217" s="204">
        <f t="shared" si="81"/>
        <v>51317</v>
      </c>
      <c r="AC217" s="204">
        <f t="shared" si="81"/>
        <v>51682</v>
      </c>
      <c r="AD217" s="204">
        <f t="shared" si="81"/>
        <v>52047</v>
      </c>
      <c r="AE217" s="204">
        <f t="shared" si="81"/>
        <v>52412</v>
      </c>
      <c r="AF217" s="204">
        <f t="shared" si="81"/>
        <v>52778</v>
      </c>
      <c r="AG217" s="204">
        <f t="shared" si="81"/>
        <v>53143</v>
      </c>
      <c r="AH217" s="204">
        <f t="shared" si="81"/>
        <v>53508</v>
      </c>
      <c r="AI217" s="204">
        <f t="shared" si="81"/>
        <v>53873</v>
      </c>
      <c r="AJ217" s="204">
        <f t="shared" si="81"/>
        <v>54239</v>
      </c>
      <c r="AK217" s="204">
        <f t="shared" si="81"/>
        <v>54604</v>
      </c>
    </row>
    <row r="218" spans="1:37" s="5" customFormat="1" hidden="1" outlineLevel="1" x14ac:dyDescent="0.2">
      <c r="B218" s="117" t="s">
        <v>53</v>
      </c>
      <c r="C218" s="117"/>
      <c r="D218" s="117"/>
      <c r="E218" s="117"/>
      <c r="F218" s="117"/>
      <c r="G218" s="117"/>
      <c r="H218" s="205">
        <f t="shared" ref="H218:AK218" si="82">H63</f>
        <v>3664417.5000000005</v>
      </c>
      <c r="I218" s="205">
        <f t="shared" si="82"/>
        <v>3646095.4125000006</v>
      </c>
      <c r="J218" s="205">
        <f t="shared" si="82"/>
        <v>3627773.3250000007</v>
      </c>
      <c r="K218" s="205">
        <f t="shared" si="82"/>
        <v>3609451.2375000003</v>
      </c>
      <c r="L218" s="205">
        <f t="shared" si="82"/>
        <v>3591129.1500000004</v>
      </c>
      <c r="M218" s="205">
        <f t="shared" si="82"/>
        <v>3572807.0625000005</v>
      </c>
      <c r="N218" s="205">
        <f t="shared" si="82"/>
        <v>3554484.9750000006</v>
      </c>
      <c r="O218" s="205">
        <f t="shared" si="82"/>
        <v>3536162.8875000002</v>
      </c>
      <c r="P218" s="205">
        <f t="shared" si="82"/>
        <v>3517840.8000000003</v>
      </c>
      <c r="Q218" s="205">
        <f t="shared" si="82"/>
        <v>3499518.7125000004</v>
      </c>
      <c r="R218" s="205">
        <f t="shared" si="82"/>
        <v>3481196.6250000005</v>
      </c>
      <c r="S218" s="205">
        <f t="shared" si="82"/>
        <v>3462874.5375000001</v>
      </c>
      <c r="T218" s="205">
        <f t="shared" si="82"/>
        <v>3444552.45</v>
      </c>
      <c r="U218" s="205">
        <f t="shared" si="82"/>
        <v>3426230.3625000007</v>
      </c>
      <c r="V218" s="205">
        <f t="shared" si="82"/>
        <v>3407908.2750000004</v>
      </c>
      <c r="W218" s="205">
        <f t="shared" si="82"/>
        <v>3389586.1875000005</v>
      </c>
      <c r="X218" s="205">
        <f t="shared" si="82"/>
        <v>3371264.1000000006</v>
      </c>
      <c r="Y218" s="205">
        <f t="shared" si="82"/>
        <v>3352942.0125000007</v>
      </c>
      <c r="Z218" s="205">
        <f t="shared" si="82"/>
        <v>3334619.9250000007</v>
      </c>
      <c r="AA218" s="205">
        <f t="shared" si="82"/>
        <v>3316297.8375000004</v>
      </c>
      <c r="AB218" s="205">
        <f t="shared" si="82"/>
        <v>1586655.0000000002</v>
      </c>
      <c r="AC218" s="205">
        <f t="shared" si="82"/>
        <v>1577840.2500000002</v>
      </c>
      <c r="AD218" s="205">
        <f t="shared" si="82"/>
        <v>1569025.5000000005</v>
      </c>
      <c r="AE218" s="205">
        <f t="shared" si="82"/>
        <v>1560210.7500000002</v>
      </c>
      <c r="AF218" s="205">
        <f t="shared" si="82"/>
        <v>1551396.0000000002</v>
      </c>
      <c r="AG218" s="205">
        <f t="shared" si="82"/>
        <v>1542581.2500000002</v>
      </c>
      <c r="AH218" s="205">
        <f t="shared" si="82"/>
        <v>1533766.5000000002</v>
      </c>
      <c r="AI218" s="205">
        <f t="shared" si="82"/>
        <v>1524951.75</v>
      </c>
      <c r="AJ218" s="205">
        <f t="shared" si="82"/>
        <v>1516137.0000000002</v>
      </c>
      <c r="AK218" s="205">
        <f t="shared" si="82"/>
        <v>1507322.2500000002</v>
      </c>
    </row>
    <row r="219" spans="1:37" s="5" customFormat="1" hidden="1" outlineLevel="1" x14ac:dyDescent="0.2">
      <c r="B219" s="5" t="s">
        <v>60</v>
      </c>
      <c r="H219" s="206">
        <f t="shared" ref="H219:AK219" si="83">-H75</f>
        <v>821100</v>
      </c>
      <c r="I219" s="206">
        <f t="shared" si="83"/>
        <v>837522</v>
      </c>
      <c r="J219" s="206">
        <f t="shared" si="83"/>
        <v>854272.44000000006</v>
      </c>
      <c r="K219" s="206">
        <f t="shared" si="83"/>
        <v>871357.88880000007</v>
      </c>
      <c r="L219" s="206">
        <f t="shared" si="83"/>
        <v>888785.04657600005</v>
      </c>
      <c r="M219" s="206">
        <f t="shared" si="83"/>
        <v>906560.74750752002</v>
      </c>
      <c r="N219" s="206">
        <f t="shared" si="83"/>
        <v>924691.96245767048</v>
      </c>
      <c r="O219" s="206">
        <f t="shared" si="83"/>
        <v>943185.80170682387</v>
      </c>
      <c r="P219" s="206">
        <f t="shared" si="83"/>
        <v>962049.51774096012</v>
      </c>
      <c r="Q219" s="206">
        <f t="shared" si="83"/>
        <v>981290.50809577946</v>
      </c>
      <c r="R219" s="206">
        <f t="shared" si="83"/>
        <v>1000916.3182576951</v>
      </c>
      <c r="S219" s="206">
        <f t="shared" si="83"/>
        <v>1020934.6446228487</v>
      </c>
      <c r="T219" s="206">
        <f t="shared" si="83"/>
        <v>1041353.337515306</v>
      </c>
      <c r="U219" s="206">
        <f t="shared" si="83"/>
        <v>1062180.4042656119</v>
      </c>
      <c r="V219" s="206">
        <f t="shared" si="83"/>
        <v>1083424.0123509243</v>
      </c>
      <c r="W219" s="206">
        <f t="shared" si="83"/>
        <v>1062697.6399407324</v>
      </c>
      <c r="X219" s="206">
        <f t="shared" si="83"/>
        <v>1083951.5927395474</v>
      </c>
      <c r="Y219" s="206">
        <f t="shared" si="83"/>
        <v>1105630.6245943385</v>
      </c>
      <c r="Z219" s="206">
        <f t="shared" si="83"/>
        <v>1127743.2370862251</v>
      </c>
      <c r="AA219" s="206">
        <f t="shared" si="83"/>
        <v>1150298.1018279495</v>
      </c>
      <c r="AB219" s="206">
        <f t="shared" si="83"/>
        <v>1251316.302153372</v>
      </c>
      <c r="AC219" s="206">
        <f t="shared" si="83"/>
        <v>1276342.6281964395</v>
      </c>
      <c r="AD219" s="206">
        <f t="shared" si="83"/>
        <v>1301869.4807603683</v>
      </c>
      <c r="AE219" s="206">
        <f t="shared" si="83"/>
        <v>1327906.8703755753</v>
      </c>
      <c r="AF219" s="206">
        <f t="shared" si="83"/>
        <v>1354465.007783087</v>
      </c>
      <c r="AG219" s="206">
        <f t="shared" si="83"/>
        <v>1381554.307938749</v>
      </c>
      <c r="AH219" s="206">
        <f t="shared" si="83"/>
        <v>1409185.394097524</v>
      </c>
      <c r="AI219" s="206">
        <f t="shared" si="83"/>
        <v>1437369.1019794741</v>
      </c>
      <c r="AJ219" s="206">
        <f t="shared" si="83"/>
        <v>1466116.4840190639</v>
      </c>
      <c r="AK219" s="206">
        <f t="shared" si="83"/>
        <v>1495438.813699445</v>
      </c>
    </row>
    <row r="220" spans="1:37" s="5" customFormat="1" hidden="1" outlineLevel="1" x14ac:dyDescent="0.2">
      <c r="B220" s="5" t="s">
        <v>2</v>
      </c>
      <c r="H220" s="206">
        <f t="shared" ref="H220:AK220" si="84">H78</f>
        <v>2843317.5000000005</v>
      </c>
      <c r="I220" s="206">
        <f t="shared" si="84"/>
        <v>2808573.4125000006</v>
      </c>
      <c r="J220" s="206">
        <f t="shared" si="84"/>
        <v>2773500.8850000007</v>
      </c>
      <c r="K220" s="206">
        <f t="shared" si="84"/>
        <v>2738093.3487</v>
      </c>
      <c r="L220" s="206">
        <f t="shared" si="84"/>
        <v>2702344.1034240006</v>
      </c>
      <c r="M220" s="206">
        <f t="shared" si="84"/>
        <v>2666246.3149924804</v>
      </c>
      <c r="N220" s="206">
        <f t="shared" si="84"/>
        <v>2629793.0125423302</v>
      </c>
      <c r="O220" s="206">
        <f t="shared" si="84"/>
        <v>2592977.0857931762</v>
      </c>
      <c r="P220" s="206">
        <f t="shared" si="84"/>
        <v>2555791.28225904</v>
      </c>
      <c r="Q220" s="206">
        <f t="shared" si="84"/>
        <v>2518228.2044042209</v>
      </c>
      <c r="R220" s="206">
        <f t="shared" si="84"/>
        <v>2480280.3067423054</v>
      </c>
      <c r="S220" s="206">
        <f t="shared" si="84"/>
        <v>2441939.8928771513</v>
      </c>
      <c r="T220" s="206">
        <f t="shared" si="84"/>
        <v>2403199.1124846945</v>
      </c>
      <c r="U220" s="206">
        <f t="shared" si="84"/>
        <v>2364049.9582343888</v>
      </c>
      <c r="V220" s="206">
        <f t="shared" si="84"/>
        <v>2324484.2626490761</v>
      </c>
      <c r="W220" s="206">
        <f t="shared" si="84"/>
        <v>2326888.5475592678</v>
      </c>
      <c r="X220" s="206">
        <f t="shared" si="84"/>
        <v>2287312.507260453</v>
      </c>
      <c r="Y220" s="206">
        <f t="shared" si="84"/>
        <v>2247311.3879056619</v>
      </c>
      <c r="Z220" s="206">
        <f t="shared" si="84"/>
        <v>2206876.6879137754</v>
      </c>
      <c r="AA220" s="206">
        <f t="shared" si="84"/>
        <v>2165999.7356720511</v>
      </c>
      <c r="AB220" s="206">
        <f t="shared" si="84"/>
        <v>335338.69784662826</v>
      </c>
      <c r="AC220" s="206">
        <f t="shared" si="84"/>
        <v>301497.62180356076</v>
      </c>
      <c r="AD220" s="206">
        <f t="shared" si="84"/>
        <v>267156.01923963218</v>
      </c>
      <c r="AE220" s="206">
        <f t="shared" si="84"/>
        <v>232303.87962442497</v>
      </c>
      <c r="AF220" s="206">
        <f t="shared" si="84"/>
        <v>196930.99221691326</v>
      </c>
      <c r="AG220" s="206">
        <f t="shared" si="84"/>
        <v>161026.94206125126</v>
      </c>
      <c r="AH220" s="206">
        <f t="shared" si="84"/>
        <v>124581.10590247624</v>
      </c>
      <c r="AI220" s="206">
        <f t="shared" si="84"/>
        <v>87582.648020525929</v>
      </c>
      <c r="AJ220" s="206">
        <f t="shared" si="84"/>
        <v>50020.515980936354</v>
      </c>
      <c r="AK220" s="206">
        <f t="shared" si="84"/>
        <v>11883.436300555244</v>
      </c>
    </row>
    <row r="221" spans="1:37" s="5" customFormat="1" hidden="1" outlineLevel="1" x14ac:dyDescent="0.2">
      <c r="B221" s="5" t="s">
        <v>99</v>
      </c>
      <c r="H221" s="206">
        <f t="shared" ref="H221:AK221" si="85">H174</f>
        <v>737156.38888888899</v>
      </c>
      <c r="I221" s="206">
        <f t="shared" si="85"/>
        <v>728148.66250000033</v>
      </c>
      <c r="J221" s="206">
        <f t="shared" si="85"/>
        <v>719055.78500000038</v>
      </c>
      <c r="K221" s="206">
        <f t="shared" si="85"/>
        <v>709876.05336666689</v>
      </c>
      <c r="L221" s="206">
        <f t="shared" si="85"/>
        <v>700607.73051733384</v>
      </c>
      <c r="M221" s="206">
        <f t="shared" si="85"/>
        <v>691249.04462768044</v>
      </c>
      <c r="N221" s="206">
        <f t="shared" si="85"/>
        <v>681798.1884369005</v>
      </c>
      <c r="O221" s="206">
        <f t="shared" si="85"/>
        <v>672253.31853897171</v>
      </c>
      <c r="P221" s="206">
        <f t="shared" si="85"/>
        <v>662612.55465975124</v>
      </c>
      <c r="Q221" s="206">
        <f t="shared" si="85"/>
        <v>652873.97891961294</v>
      </c>
      <c r="R221" s="206">
        <f t="shared" si="85"/>
        <v>643035.63508133846</v>
      </c>
      <c r="S221" s="206">
        <f t="shared" si="85"/>
        <v>633095.52778296499</v>
      </c>
      <c r="T221" s="206">
        <f t="shared" si="85"/>
        <v>623051.62175529124</v>
      </c>
      <c r="U221" s="206">
        <f t="shared" si="85"/>
        <v>612901.84102373058</v>
      </c>
      <c r="V221" s="206">
        <f t="shared" si="85"/>
        <v>602644.06809420511</v>
      </c>
      <c r="W221" s="206">
        <f t="shared" si="85"/>
        <v>496224.15856436221</v>
      </c>
      <c r="X221" s="206">
        <f t="shared" si="85"/>
        <v>87459.498704014346</v>
      </c>
      <c r="Y221" s="206">
        <f t="shared" si="85"/>
        <v>69721.669652993325</v>
      </c>
      <c r="Z221" s="206">
        <f t="shared" si="85"/>
        <v>51892.342841384932</v>
      </c>
      <c r="AA221" s="206">
        <f t="shared" si="85"/>
        <v>1637571.1356917813</v>
      </c>
      <c r="AB221" s="206">
        <f t="shared" si="85"/>
        <v>251504.02338497125</v>
      </c>
      <c r="AC221" s="206">
        <f t="shared" si="85"/>
        <v>226123.21635267057</v>
      </c>
      <c r="AD221" s="206">
        <f t="shared" si="85"/>
        <v>200367.01442972413</v>
      </c>
      <c r="AE221" s="206">
        <f t="shared" si="85"/>
        <v>174227.90971831873</v>
      </c>
      <c r="AF221" s="206">
        <f t="shared" si="85"/>
        <v>147698.24416268495</v>
      </c>
      <c r="AG221" s="206">
        <f t="shared" si="85"/>
        <v>120770.20654593845</v>
      </c>
      <c r="AH221" s="206">
        <f t="shared" si="85"/>
        <v>93435.829426857177</v>
      </c>
      <c r="AI221" s="206">
        <f t="shared" si="85"/>
        <v>65686.986015394446</v>
      </c>
      <c r="AJ221" s="206">
        <f t="shared" si="85"/>
        <v>37515.386985702266</v>
      </c>
      <c r="AK221" s="206">
        <f t="shared" si="85"/>
        <v>8912.5772254164331</v>
      </c>
    </row>
    <row r="222" spans="1:37" s="5" customFormat="1" hidden="1" outlineLevel="1" x14ac:dyDescent="0.2">
      <c r="B222" s="5" t="s">
        <v>100</v>
      </c>
      <c r="H222" s="200">
        <f>MAX(H61,H62)</f>
        <v>72.75</v>
      </c>
      <c r="I222" s="200">
        <f t="shared" ref="I222:AK222" si="86">MAX(I61,I62)</f>
        <v>72.75</v>
      </c>
      <c r="J222" s="200">
        <f t="shared" si="86"/>
        <v>72.75</v>
      </c>
      <c r="K222" s="200">
        <f t="shared" si="86"/>
        <v>72.75</v>
      </c>
      <c r="L222" s="200">
        <f t="shared" si="86"/>
        <v>72.75</v>
      </c>
      <c r="M222" s="200">
        <f t="shared" si="86"/>
        <v>72.75</v>
      </c>
      <c r="N222" s="200">
        <f t="shared" si="86"/>
        <v>72.75</v>
      </c>
      <c r="O222" s="200">
        <f t="shared" si="86"/>
        <v>72.75</v>
      </c>
      <c r="P222" s="200">
        <f t="shared" si="86"/>
        <v>72.75</v>
      </c>
      <c r="Q222" s="200">
        <f t="shared" si="86"/>
        <v>72.75</v>
      </c>
      <c r="R222" s="200">
        <f t="shared" si="86"/>
        <v>72.75</v>
      </c>
      <c r="S222" s="200">
        <f t="shared" si="86"/>
        <v>72.75</v>
      </c>
      <c r="T222" s="200">
        <f t="shared" si="86"/>
        <v>72.75</v>
      </c>
      <c r="U222" s="200">
        <f t="shared" si="86"/>
        <v>72.75</v>
      </c>
      <c r="V222" s="200">
        <f t="shared" si="86"/>
        <v>72.75</v>
      </c>
      <c r="W222" s="200">
        <f t="shared" si="86"/>
        <v>72.75</v>
      </c>
      <c r="X222" s="200">
        <f t="shared" si="86"/>
        <v>72.75</v>
      </c>
      <c r="Y222" s="200">
        <f t="shared" si="86"/>
        <v>72.75</v>
      </c>
      <c r="Z222" s="200">
        <f t="shared" si="86"/>
        <v>72.75</v>
      </c>
      <c r="AA222" s="200">
        <f t="shared" si="86"/>
        <v>72.75</v>
      </c>
      <c r="AB222" s="200">
        <f t="shared" si="86"/>
        <v>35</v>
      </c>
      <c r="AC222" s="200">
        <f t="shared" si="86"/>
        <v>35</v>
      </c>
      <c r="AD222" s="200">
        <f t="shared" si="86"/>
        <v>35</v>
      </c>
      <c r="AE222" s="200">
        <f t="shared" si="86"/>
        <v>35</v>
      </c>
      <c r="AF222" s="200">
        <f t="shared" si="86"/>
        <v>35</v>
      </c>
      <c r="AG222" s="200">
        <f t="shared" si="86"/>
        <v>35</v>
      </c>
      <c r="AH222" s="200">
        <f t="shared" si="86"/>
        <v>35</v>
      </c>
      <c r="AI222" s="200">
        <f t="shared" si="86"/>
        <v>35</v>
      </c>
      <c r="AJ222" s="200">
        <f t="shared" si="86"/>
        <v>35</v>
      </c>
      <c r="AK222" s="200">
        <f t="shared" si="86"/>
        <v>35</v>
      </c>
    </row>
    <row r="223" spans="1:37" s="5" customFormat="1" hidden="1" outlineLevel="1" x14ac:dyDescent="0.2"/>
    <row r="224" spans="1:37" s="5" customFormat="1" hidden="1" outlineLevel="1" x14ac:dyDescent="0.2">
      <c r="C224" s="211" t="s">
        <v>101</v>
      </c>
      <c r="D224" s="212"/>
      <c r="E224" s="213"/>
      <c r="F224" s="211" t="s">
        <v>102</v>
      </c>
      <c r="G224" s="212"/>
      <c r="H224" s="213"/>
    </row>
    <row r="225" spans="3:8" s="5" customFormat="1" hidden="1" outlineLevel="1" x14ac:dyDescent="0.2">
      <c r="C225" s="118" t="s">
        <v>103</v>
      </c>
      <c r="D225" s="119">
        <f>E225/$E$234</f>
        <v>0.77506219371143448</v>
      </c>
      <c r="E225" s="201">
        <f>H103</f>
        <v>23669373.045204047</v>
      </c>
      <c r="F225" s="120" t="str">
        <f t="shared" ref="F225:F233" si="87">J17</f>
        <v>EPC Contract</v>
      </c>
      <c r="G225" s="117"/>
      <c r="H225" s="203">
        <f>L17</f>
        <v>24675000</v>
      </c>
    </row>
    <row r="226" spans="3:8" s="5" customFormat="1" hidden="1" outlineLevel="1" x14ac:dyDescent="0.2">
      <c r="C226" s="118" t="s">
        <v>104</v>
      </c>
      <c r="D226" s="119">
        <f>E226/$E$234</f>
        <v>0.22493780628856552</v>
      </c>
      <c r="E226" s="201">
        <f>H234-E225</f>
        <v>6869302.737524759</v>
      </c>
      <c r="F226" s="118" t="str">
        <f t="shared" si="87"/>
        <v>Land</v>
      </c>
      <c r="H226" s="201">
        <f t="shared" ref="H226:H233" si="88">L18</f>
        <v>0</v>
      </c>
    </row>
    <row r="227" spans="3:8" s="5" customFormat="1" hidden="1" outlineLevel="1" x14ac:dyDescent="0.2">
      <c r="C227" s="118"/>
      <c r="E227" s="201"/>
      <c r="F227" s="118" t="str">
        <f t="shared" si="87"/>
        <v>Other Costs</v>
      </c>
      <c r="H227" s="201">
        <f t="shared" si="88"/>
        <v>780000</v>
      </c>
    </row>
    <row r="228" spans="3:8" s="5" customFormat="1" hidden="1" outlineLevel="1" x14ac:dyDescent="0.2">
      <c r="C228" s="118"/>
      <c r="E228" s="201"/>
      <c r="F228" s="118" t="str">
        <f t="shared" si="87"/>
        <v>Interconnection Costs</v>
      </c>
      <c r="H228" s="201">
        <f t="shared" si="88"/>
        <v>1350000</v>
      </c>
    </row>
    <row r="229" spans="3:8" s="5" customFormat="1" hidden="1" outlineLevel="1" x14ac:dyDescent="0.2">
      <c r="C229" s="118"/>
      <c r="E229" s="201"/>
      <c r="F229" s="118" t="str">
        <f>J21</f>
        <v>Acquisition cost</v>
      </c>
      <c r="H229" s="201">
        <f t="shared" si="88"/>
        <v>530595.22717325005</v>
      </c>
    </row>
    <row r="230" spans="3:8" s="5" customFormat="1" hidden="1" outlineLevel="1" x14ac:dyDescent="0.2">
      <c r="C230" s="118"/>
      <c r="E230" s="201"/>
      <c r="F230" s="118" t="str">
        <f t="shared" si="87"/>
        <v>Transaction Costs</v>
      </c>
      <c r="H230" s="201">
        <f t="shared" si="88"/>
        <v>450000</v>
      </c>
    </row>
    <row r="231" spans="3:8" s="5" customFormat="1" hidden="1" outlineLevel="1" x14ac:dyDescent="0.2">
      <c r="C231" s="118"/>
      <c r="E231" s="201"/>
      <c r="F231" s="118" t="str">
        <f t="shared" si="87"/>
        <v>Arrangement costs</v>
      </c>
      <c r="H231" s="201">
        <f t="shared" si="88"/>
        <v>200000</v>
      </c>
    </row>
    <row r="232" spans="3:8" s="5" customFormat="1" hidden="1" outlineLevel="1" x14ac:dyDescent="0.2">
      <c r="C232" s="118"/>
      <c r="E232" s="187"/>
      <c r="F232" s="118" t="str">
        <f t="shared" si="87"/>
        <v>Debt service reserve account</v>
      </c>
      <c r="H232" s="201">
        <f t="shared" si="88"/>
        <v>1053080.5555555557</v>
      </c>
    </row>
    <row r="233" spans="3:8" s="5" customFormat="1" hidden="1" outlineLevel="1" x14ac:dyDescent="0.2">
      <c r="C233" s="121"/>
      <c r="D233" s="122"/>
      <c r="E233" s="190"/>
      <c r="F233" s="121" t="str">
        <f t="shared" si="87"/>
        <v>Contingency</v>
      </c>
      <c r="G233" s="122"/>
      <c r="H233" s="201">
        <f t="shared" si="88"/>
        <v>1500000</v>
      </c>
    </row>
    <row r="234" spans="3:8" s="5" customFormat="1" hidden="1" outlineLevel="1" x14ac:dyDescent="0.2">
      <c r="C234" s="123" t="s">
        <v>1</v>
      </c>
      <c r="D234" s="124"/>
      <c r="E234" s="202">
        <f>SUM(E225:E233)</f>
        <v>30538675.782728806</v>
      </c>
      <c r="F234" s="123" t="s">
        <v>1</v>
      </c>
      <c r="G234" s="124"/>
      <c r="H234" s="202">
        <f>SUM(H225:H233)</f>
        <v>30538675.782728806</v>
      </c>
    </row>
    <row r="235" spans="3:8" s="5" customFormat="1" hidden="1" outlineLevel="1" x14ac:dyDescent="0.2">
      <c r="E235" s="125"/>
      <c r="H235" s="125"/>
    </row>
    <row r="236" spans="3:8" s="5" customFormat="1" hidden="1" outlineLevel="1" x14ac:dyDescent="0.2">
      <c r="E236" s="125"/>
      <c r="H236" s="125"/>
    </row>
    <row r="237" spans="3:8" s="5" customFormat="1" hidden="1" outlineLevel="1" x14ac:dyDescent="0.2">
      <c r="E237" s="125"/>
      <c r="H237" s="125"/>
    </row>
    <row r="238" spans="3:8" s="5" customFormat="1" hidden="1" outlineLevel="1" x14ac:dyDescent="0.2">
      <c r="E238" s="125"/>
      <c r="H238" s="125"/>
    </row>
    <row r="239" spans="3:8" s="5" customFormat="1" hidden="1" outlineLevel="1" x14ac:dyDescent="0.2">
      <c r="E239" s="125"/>
      <c r="H239" s="125"/>
    </row>
    <row r="240" spans="3:8" s="5" customFormat="1" hidden="1" outlineLevel="1" x14ac:dyDescent="0.2">
      <c r="E240" s="125"/>
      <c r="H240" s="125"/>
    </row>
    <row r="241" spans="5:8" s="5" customFormat="1" hidden="1" outlineLevel="1" x14ac:dyDescent="0.2">
      <c r="E241" s="125"/>
      <c r="H241" s="125"/>
    </row>
    <row r="242" spans="5:8" s="5" customFormat="1" hidden="1" outlineLevel="1" x14ac:dyDescent="0.2"/>
    <row r="243" spans="5:8" s="5" customFormat="1" hidden="1" outlineLevel="1" x14ac:dyDescent="0.2"/>
    <row r="244" spans="5:8" s="5" customFormat="1" hidden="1" outlineLevel="1" x14ac:dyDescent="0.2"/>
    <row r="245" spans="5:8" s="5" customFormat="1" hidden="1" outlineLevel="1" x14ac:dyDescent="0.2"/>
    <row r="246" spans="5:8" s="5" customFormat="1" hidden="1" outlineLevel="1" x14ac:dyDescent="0.2"/>
    <row r="247" spans="5:8" s="5" customFormat="1" hidden="1" outlineLevel="1" x14ac:dyDescent="0.2"/>
    <row r="248" spans="5:8" s="5" customFormat="1" hidden="1" outlineLevel="1" x14ac:dyDescent="0.2"/>
    <row r="249" spans="5:8" s="5" customFormat="1" hidden="1" outlineLevel="1" x14ac:dyDescent="0.2"/>
    <row r="250" spans="5:8" s="5" customFormat="1" hidden="1" outlineLevel="1" x14ac:dyDescent="0.2"/>
    <row r="251" spans="5:8" s="5" customFormat="1" hidden="1" outlineLevel="1" x14ac:dyDescent="0.2"/>
    <row r="252" spans="5:8" s="5" customFormat="1" hidden="1" outlineLevel="1" x14ac:dyDescent="0.2"/>
    <row r="253" spans="5:8" s="5" customFormat="1" hidden="1" outlineLevel="1" x14ac:dyDescent="0.2"/>
    <row r="254" spans="5:8" s="5" customFormat="1" hidden="1" outlineLevel="1" x14ac:dyDescent="0.2"/>
    <row r="255" spans="5:8" s="5" customFormat="1" hidden="1" outlineLevel="1" x14ac:dyDescent="0.2"/>
    <row r="256" spans="5:8" s="5" customFormat="1" hidden="1" outlineLevel="1" x14ac:dyDescent="0.2"/>
    <row r="257" s="5" customFormat="1" hidden="1" outlineLevel="1" x14ac:dyDescent="0.2"/>
    <row r="258" s="5" customFormat="1" hidden="1" outlineLevel="1" x14ac:dyDescent="0.2"/>
    <row r="259" s="5" customFormat="1" hidden="1" outlineLevel="1" x14ac:dyDescent="0.2"/>
    <row r="260" s="5" customFormat="1" hidden="1" outlineLevel="1" x14ac:dyDescent="0.2"/>
    <row r="261" s="5" customFormat="1" hidden="1" outlineLevel="1" x14ac:dyDescent="0.2"/>
    <row r="262" s="5" customFormat="1" hidden="1" outlineLevel="1" x14ac:dyDescent="0.2"/>
    <row r="263" hidden="1" outlineLevel="1" x14ac:dyDescent="0.2"/>
    <row r="264" hidden="1" outlineLevel="1" x14ac:dyDescent="0.2"/>
    <row r="265" hidden="1" outlineLevel="1" x14ac:dyDescent="0.2"/>
    <row r="266" hidden="1" outlineLevel="1" x14ac:dyDescent="0.2"/>
    <row r="267" hidden="1" outlineLevel="1" x14ac:dyDescent="0.2"/>
    <row r="268" hidden="1" outlineLevel="1" x14ac:dyDescent="0.2"/>
    <row r="269" hidden="1" outlineLevel="1" x14ac:dyDescent="0.2"/>
    <row r="270" hidden="1" outlineLevel="1" x14ac:dyDescent="0.2"/>
    <row r="271" hidden="1" outlineLevel="1" x14ac:dyDescent="0.2"/>
    <row r="272" hidden="1" outlineLevel="1" x14ac:dyDescent="0.2"/>
    <row r="273" hidden="1" outlineLevel="1" x14ac:dyDescent="0.2"/>
    <row r="274" hidden="1" outlineLevel="1" x14ac:dyDescent="0.2"/>
    <row r="275" hidden="1" outlineLevel="1" x14ac:dyDescent="0.2"/>
    <row r="276" hidden="1" outlineLevel="1" x14ac:dyDescent="0.2"/>
    <row r="277" hidden="1" outlineLevel="1" x14ac:dyDescent="0.2"/>
    <row r="278" hidden="1" outlineLevel="1" x14ac:dyDescent="0.2"/>
    <row r="279" hidden="1" outlineLevel="1" x14ac:dyDescent="0.2"/>
    <row r="280" hidden="1" outlineLevel="1" x14ac:dyDescent="0.2"/>
    <row r="281" hidden="1" outlineLevel="1" x14ac:dyDescent="0.2"/>
    <row r="282" hidden="1" outlineLevel="1" x14ac:dyDescent="0.2"/>
    <row r="283" collapsed="1" x14ac:dyDescent="0.2"/>
  </sheetData>
  <mergeCells count="9">
    <mergeCell ref="C224:E224"/>
    <mergeCell ref="F224:H224"/>
    <mergeCell ref="P19:S19"/>
    <mergeCell ref="R20:S20"/>
    <mergeCell ref="P20:Q20"/>
    <mergeCell ref="G203:M203"/>
    <mergeCell ref="G189:M189"/>
    <mergeCell ref="G192:G200"/>
    <mergeCell ref="G206:G213"/>
  </mergeCells>
  <conditionalFormatting sqref="G100:G101">
    <cfRule type="cellIs" dxfId="5" priority="8" operator="equal">
      <formula>$H$103</formula>
    </cfRule>
  </conditionalFormatting>
  <conditionalFormatting sqref="H108:AK108">
    <cfRule type="cellIs" dxfId="4" priority="5" operator="lessThan">
      <formula>$G$89</formula>
    </cfRule>
    <cfRule type="cellIs" dxfId="3" priority="7" operator="greaterThanOrEqual">
      <formula>$G$89</formula>
    </cfRule>
  </conditionalFormatting>
  <conditionalFormatting sqref="H109:AK109">
    <cfRule type="cellIs" dxfId="2" priority="3" operator="lessThan">
      <formula>$G$95</formula>
    </cfRule>
    <cfRule type="cellIs" dxfId="1" priority="4" operator="greaterThanOrEqual">
      <formula>$G$95</formula>
    </cfRule>
  </conditionalFormatting>
  <conditionalFormatting sqref="I192:M200">
    <cfRule type="cellIs" dxfId="0" priority="14" operator="equal">
      <formula>$G$181</formula>
    </cfRule>
  </conditionalFormatting>
  <dataValidations count="1">
    <dataValidation type="list" allowBlank="1" showInputMessage="1" showErrorMessage="1" sqref="H15 G86:G88" xr:uid="{D1124049-26F3-4B52-986E-8CF52AA1AD67}">
      <formula1>$F$18:$F$21</formula1>
    </dataValidation>
  </dataValidations>
  <printOptions horizontalCentered="1"/>
  <pageMargins left="3.937007874015748E-2" right="3.937007874015748E-2" top="1.5748031496062993" bottom="1.5748031496062993" header="7.874015748031496E-2" footer="7.874015748031496E-2"/>
  <pageSetup paperSize="17" scale="35" orientation="landscape" r:id="rId1"/>
  <headerFooter>
    <oddHeader>&amp;L&amp;"Calibri,Regular"&amp;K000000Solar Financial Modeling</oddHeader>
    <oddFooter>&amp;C&amp;"Calibri,Regular"&amp;K000000Prepared by Dogukan Dogu&amp;R&amp;"Calibri,Regular"&amp;K000000Page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Model</vt:lpstr>
      <vt:lpstr>Model!Print_Area</vt:lpstr>
      <vt:lpstr>Model!Print_Titles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Solar Financial Modeling</dc:title>
  <dc:subject/>
  <dc:creator>Dogukan Dogu</dc:creator>
  <cp:keywords/>
  <dc:description/>
  <cp:lastModifiedBy>Doğukan Doğu</cp:lastModifiedBy>
  <cp:lastPrinted>2024-11-17T20:40:20Z</cp:lastPrinted>
  <dcterms:created xsi:type="dcterms:W3CDTF">2016-03-28T18:22:40Z</dcterms:created>
  <dcterms:modified xsi:type="dcterms:W3CDTF">2024-11-18T01:52:04Z</dcterms:modified>
  <cp:category/>
</cp:coreProperties>
</file>