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hu Chi phí HDKD" sheetId="1" r:id="rId4"/>
    <sheet state="visible" name="Sản lượng điện" sheetId="2" r:id="rId5"/>
    <sheet state="visible" name="Giá bán điện" sheetId="3" r:id="rId6"/>
    <sheet state="visible" name="Giá thanDP Quý 4" sheetId="4" r:id="rId7"/>
    <sheet state="visible" name="dự phóng 2022" sheetId="5" r:id="rId8"/>
    <sheet state="visible" name="bctc" sheetId="6" r:id="rId9"/>
    <sheet state="visible" name="PE trailing" sheetId="7" r:id="rId10"/>
  </sheets>
  <definedNames/>
  <calcPr/>
  <extLst>
    <ext uri="GoogleSheetsCustomDataVersion1">
      <go:sheetsCustomData xmlns:go="http://customooxmlschemas.google.com/" r:id="rId11" roundtripDataSignature="AMtx7mgkO2nqTr5euipN7Shn0hBAuY9jVA=="/>
    </ext>
  </extLst>
</workbook>
</file>

<file path=xl/sharedStrings.xml><?xml version="1.0" encoding="utf-8"?>
<sst xmlns="http://schemas.openxmlformats.org/spreadsheetml/2006/main" count="318" uniqueCount="193">
  <si>
    <t>ppc</t>
  </si>
  <si>
    <t>GVHB</t>
  </si>
  <si>
    <t>9t2022</t>
  </si>
  <si>
    <t>Chi phí nguyên vật liệu, phụ liệu</t>
  </si>
  <si>
    <t>Chi phí sửa chữa lớn TSCD</t>
  </si>
  <si>
    <t>Chi phí nhân công</t>
  </si>
  <si>
    <t>Chi phí bảo trì</t>
  </si>
  <si>
    <t>Chi phí khác</t>
  </si>
  <si>
    <t>tổng</t>
  </si>
  <si>
    <t>Cơ cấu</t>
  </si>
  <si>
    <t>Doanh thu bán điện</t>
  </si>
  <si>
    <t>Doanh thu bán xỉ và phế liệu</t>
  </si>
  <si>
    <t>Tổng Doanh thu bán hàng</t>
  </si>
  <si>
    <t>Tong dthu</t>
  </si>
  <si>
    <t>tỷ trọng</t>
  </si>
  <si>
    <t>Lượng than sử dụng sx điện</t>
  </si>
  <si>
    <t>Lượng dầu sử dụng để sản xuất điện</t>
  </si>
  <si>
    <t>Chi phí than</t>
  </si>
  <si>
    <t>chi phí dầu FO</t>
  </si>
  <si>
    <t>chi phí khác</t>
  </si>
  <si>
    <t>PPC</t>
  </si>
  <si>
    <t>Điện sản xuất</t>
  </si>
  <si>
    <t>5.776,73</t>
  </si>
  <si>
    <t>triệu kWh</t>
  </si>
  <si>
    <t>Điện thương phẩm</t>
  </si>
  <si>
    <t>5.265,47</t>
  </si>
  <si>
    <t>Sản lượng điện sản xuất toàn hệ thống</t>
  </si>
  <si>
    <t>Sản lượng điện theo tháng (tỷ kWh)</t>
  </si>
  <si>
    <t>TT</t>
  </si>
  <si>
    <t>Loại nguồn</t>
  </si>
  <si>
    <t>Năm 2020</t>
  </si>
  <si>
    <t>10T2022</t>
  </si>
  <si>
    <t>T112021</t>
  </si>
  <si>
    <t>T122021</t>
  </si>
  <si>
    <t>T12022</t>
  </si>
  <si>
    <t>T22022</t>
  </si>
  <si>
    <t>T32022</t>
  </si>
  <si>
    <t>T42022</t>
  </si>
  <si>
    <t>T52022</t>
  </si>
  <si>
    <t>T62022</t>
  </si>
  <si>
    <t>T72022</t>
  </si>
  <si>
    <t>T82022</t>
  </si>
  <si>
    <t>T92022</t>
  </si>
  <si>
    <t>T102022</t>
  </si>
  <si>
    <t>T112022</t>
  </si>
  <si>
    <t>Sản lượng</t>
  </si>
  <si>
    <t>Thuỷ điện</t>
  </si>
  <si>
    <t>tỷ kWh</t>
  </si>
  <si>
    <t>Nhiệt điện than</t>
  </si>
  <si>
    <t>Điện truyền tải</t>
  </si>
  <si>
    <t>Tua bin khí</t>
  </si>
  <si>
    <t>Sản lượng lũy kế</t>
  </si>
  <si>
    <t>Nhiệt điện dầu</t>
  </si>
  <si>
    <t>Thủy điện</t>
  </si>
  <si>
    <t>Nhập khẩu</t>
  </si>
  <si>
    <t>NL tái tạo</t>
  </si>
  <si>
    <t>Tỷ trọng than so với toàn hệ thống</t>
  </si>
  <si>
    <t>Năng lượng tái tạo</t>
  </si>
  <si>
    <t>Nhiện điện dầu</t>
  </si>
  <si>
    <t>Điện nhập khẩu</t>
  </si>
  <si>
    <t>Nguồn khác</t>
  </si>
  <si>
    <t>TỔNG slg điện trong nước</t>
  </si>
  <si>
    <t>Thương phẩm</t>
  </si>
  <si>
    <t>Tổng công suất lắp đặt nguồn điện toàn hệ thống</t>
  </si>
  <si>
    <t>Điện 8 (tờ trình CP tháng 11/2022)</t>
  </si>
  <si>
    <t>Nhiệt than/sinh khối/amoniac</t>
  </si>
  <si>
    <t>Nhiệt điện khí</t>
  </si>
  <si>
    <t>NLTT</t>
  </si>
  <si>
    <t>Nhập khẩu + khác</t>
  </si>
  <si>
    <t xml:space="preserve">Tổng </t>
  </si>
  <si>
    <t>Tỷ trọng điện than/ sinh khối</t>
  </si>
  <si>
    <t>Nguồn: BCT</t>
  </si>
  <si>
    <t>giá điện Qc tb năm</t>
  </si>
  <si>
    <t>9T2022</t>
  </si>
  <si>
    <t>tỷ đồng</t>
  </si>
  <si>
    <t>Sản lượng điện thương phẩm</t>
  </si>
  <si>
    <t>tr kWh</t>
  </si>
  <si>
    <t>Tỷ lệ Qm</t>
  </si>
  <si>
    <t>Tỷ lệ Qc hợp đồng cho EVN</t>
  </si>
  <si>
    <t>Sản lượng Qm</t>
  </si>
  <si>
    <t>Sản lượng Qc</t>
  </si>
  <si>
    <t>giá điện CGM tb năm</t>
  </si>
  <si>
    <t>nghìn đồng/kWh</t>
  </si>
  <si>
    <t>Doanh thu Qm</t>
  </si>
  <si>
    <t>Doanh thu Qc</t>
  </si>
  <si>
    <t>Giá điện Qm (đồng/kWh)</t>
  </si>
  <si>
    <t xml:space="preserve">Trung bình </t>
  </si>
  <si>
    <t>Nguồn: Tt ngành điện EVN</t>
  </si>
  <si>
    <t>Q4/2022</t>
  </si>
  <si>
    <t>triệu tấn</t>
  </si>
  <si>
    <t>nghìn tấn</t>
  </si>
  <si>
    <t>Sản lượng điện tự dùng</t>
  </si>
  <si>
    <t>chi phí NVL/than</t>
  </si>
  <si>
    <t>giá than ppc</t>
  </si>
  <si>
    <t>Hiệu quả 1 tr tấn than</t>
  </si>
  <si>
    <t>giá than trong nước</t>
  </si>
  <si>
    <t>giá cộng thêm</t>
  </si>
  <si>
    <t>Dự phóng</t>
  </si>
  <si>
    <t>Quý 4</t>
  </si>
  <si>
    <t>%</t>
  </si>
  <si>
    <t>SL</t>
  </si>
  <si>
    <t>giá</t>
  </si>
  <si>
    <t>Dthu</t>
  </si>
  <si>
    <t>Doanh thu</t>
  </si>
  <si>
    <t>SL điện Qm</t>
  </si>
  <si>
    <t>SL điện Qc</t>
  </si>
  <si>
    <t>Chi phí</t>
  </si>
  <si>
    <t>Than</t>
  </si>
  <si>
    <t>Dầu FO</t>
  </si>
  <si>
    <t>NVL khác</t>
  </si>
  <si>
    <t>Vận hành,máy móc, nhân công</t>
  </si>
  <si>
    <t>Q3/2021</t>
  </si>
  <si>
    <t>Q4/2021</t>
  </si>
  <si>
    <t>Q1/2022</t>
  </si>
  <si>
    <t>Q2/2022</t>
  </si>
  <si>
    <t>Q3/2022</t>
  </si>
  <si>
    <t>3Q/2022</t>
  </si>
  <si>
    <t>1. Doanh thu bán hàng và cung cấp dịch vụ</t>
  </si>
  <si>
    <t>2. Các khoản giảm trừ doanh thu</t>
  </si>
  <si>
    <t>3. Doanh thu thuần về bán hàng và cung cấp dịch vụ</t>
  </si>
  <si>
    <t>4. Giá vốn hàng bán</t>
  </si>
  <si>
    <t>5. Lợi nhuận gộp về bán hàng và cung cấp dịch vụ</t>
  </si>
  <si>
    <t>6.Doanh thu hoạt động tài chính</t>
  </si>
  <si>
    <t>7. Chi phí tài chính</t>
  </si>
  <si>
    <t>Trong đó :Chi phí lãi vay</t>
  </si>
  <si>
    <t>8. Phần lãi/lỗ trong công ty liên doanh, liên kết</t>
  </si>
  <si>
    <t>9. Chi phí bán hàng</t>
  </si>
  <si>
    <t>10. Chi phí quản lý doanh nghiệp</t>
  </si>
  <si>
    <t xml:space="preserve">doanh thu </t>
  </si>
  <si>
    <t>lntt</t>
  </si>
  <si>
    <t>lnst</t>
  </si>
  <si>
    <t>11. Lợi nhuận thuần từ hoạt động kinh doanh</t>
  </si>
  <si>
    <t>12. Thu nhập khác</t>
  </si>
  <si>
    <t>Kế hoạch 2022</t>
  </si>
  <si>
    <t>13. Chi phí khác</t>
  </si>
  <si>
    <t>2021TH</t>
  </si>
  <si>
    <t>14. Lợi nhuận khác</t>
  </si>
  <si>
    <t>dự phóng 2022</t>
  </si>
  <si>
    <t>Phần lợi nhuận/lỗ từ công ty liên kết liên doanh</t>
  </si>
  <si>
    <t>DP/KH</t>
  </si>
  <si>
    <t>15. Tổng lợi nhuận kế toán trước thuế</t>
  </si>
  <si>
    <t>DP/TH</t>
  </si>
  <si>
    <t>16. Chi phí thuế TNDN hiện hành</t>
  </si>
  <si>
    <t>17. Chi phí thuế TNDN hoãn lại</t>
  </si>
  <si>
    <t>18. Lợi nhuận sau thuế thu nhập doanh nghiệp</t>
  </si>
  <si>
    <t>Lợi ích của cổ đông thiểu số</t>
  </si>
  <si>
    <t>Lợi nhuận sau thuế của cổ đông của Công ty mẹ</t>
  </si>
  <si>
    <t>19. Lãi cơ bản trên cổ phiếu (*)</t>
  </si>
  <si>
    <t>EPS</t>
  </si>
  <si>
    <t>tr cp</t>
  </si>
  <si>
    <t>20. Lãi suy giảm trên cổ phiếu (*)</t>
  </si>
  <si>
    <t>PE</t>
  </si>
  <si>
    <t>HĐKD (tỷ đồng)</t>
  </si>
  <si>
    <t>2022F</t>
  </si>
  <si>
    <t>Q4/2022F</t>
  </si>
  <si>
    <t>Doanh thu thuần</t>
  </si>
  <si>
    <t>- Giá vốn hàng bán</t>
  </si>
  <si>
    <t>Lợi nhuận gộp</t>
  </si>
  <si>
    <t>- Chi phí bán hàng</t>
  </si>
  <si>
    <t>- Chi phí quản lí DN</t>
  </si>
  <si>
    <t>Lợi nhuận thuần HĐKD</t>
  </si>
  <si>
    <t>- (Lỗ)/lãi HĐTC</t>
  </si>
  <si>
    <t>- Lợi nhuận khác</t>
  </si>
  <si>
    <t>Lợi nhuận trước thuế, lãi</t>
  </si>
  <si>
    <t>vay</t>
  </si>
  <si>
    <t>- Chi phí lãi vay</t>
  </si>
  <si>
    <t>Lợi nhuận trước thuế</t>
  </si>
  <si>
    <t>-Thuế TNDN</t>
  </si>
  <si>
    <t>- Thuế hoãn lại</t>
  </si>
  <si>
    <t>LNST</t>
  </si>
  <si>
    <t>- Lợi ích cổ đông thiểu số</t>
  </si>
  <si>
    <t>LNST của cổ đông CT Mẹ</t>
  </si>
  <si>
    <t>EPS (đ)</t>
  </si>
  <si>
    <t>So sánh P/E một số doanh nghiệp tương đồng ngày 09/12/2022</t>
  </si>
  <si>
    <t>Mã chứng khoán</t>
  </si>
  <si>
    <t>Giá hiện tại (đồng/cổ phiếu)</t>
  </si>
  <si>
    <t>Vốn hóa (tỷ đồng)</t>
  </si>
  <si>
    <t>Doanh thu 2021 (tỷ đồng)</t>
  </si>
  <si>
    <t>LNST 2021 (tỷ đồng)</t>
  </si>
  <si>
    <t>EPS trailing (đồng)</t>
  </si>
  <si>
    <t>P/E trailing (lần)</t>
  </si>
  <si>
    <t>Số lượng CPLH (tr cổ phiếu)</t>
  </si>
  <si>
    <t>POW</t>
  </si>
  <si>
    <t>HND</t>
  </si>
  <si>
    <t>QTP</t>
  </si>
  <si>
    <t>NT2</t>
  </si>
  <si>
    <t>BTP</t>
  </si>
  <si>
    <t>Trung bình</t>
  </si>
  <si>
    <t>LNST Q4/2021</t>
  </si>
  <si>
    <t>LNST Q1/2022</t>
  </si>
  <si>
    <t>LNST Q2/2022</t>
  </si>
  <si>
    <t>LNST Q3/2022</t>
  </si>
  <si>
    <t>Tổng LNST 4 quý gần nhất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</si>
</sst>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#,##0.0"/>
    <numFmt numFmtId="166" formatCode="0.000"/>
    <numFmt numFmtId="167" formatCode="mm/dd/yyyy"/>
    <numFmt numFmtId="168" formatCode="0.0000"/>
  </numFmts>
  <fonts count="20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15096"/>
      <name val="Helvetica"/>
    </font>
    <font>
      <color rgb="FF000000"/>
      <name val="Calibri"/>
      <scheme val="minor"/>
    </font>
    <font>
      <color rgb="FF333333"/>
      <name val="&quot;Helvetica Neue&quot;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rgb="FF333333"/>
      <name val="Arial"/>
    </font>
    <font>
      <b/>
      <sz val="11.0"/>
      <color rgb="FF333333"/>
      <name val="Arial"/>
    </font>
    <font>
      <sz val="11.0"/>
      <color rgb="FF333333"/>
      <name val="Helvetica"/>
    </font>
    <font>
      <sz val="9.0"/>
      <color rgb="FF333333"/>
      <name val="Arial"/>
    </font>
    <font>
      <b/>
      <sz val="11.0"/>
      <color rgb="FF333333"/>
      <name val="Helvetica"/>
    </font>
    <font>
      <sz val="11.0"/>
      <color rgb="FF000000"/>
      <name val="Inconsolata"/>
    </font>
    <font>
      <sz val="11.0"/>
      <color theme="1"/>
      <name val="Inconsolata"/>
    </font>
    <font>
      <sz val="11.0"/>
      <color rgb="FF7E3794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1F5FE"/>
        <bgColor rgb="FFE1F5FE"/>
      </patternFill>
    </fill>
    <fill>
      <patternFill patternType="solid">
        <fgColor rgb="FFF1F0CD"/>
        <bgColor rgb="FFF1F0CD"/>
      </patternFill>
    </fill>
    <fill>
      <patternFill patternType="solid">
        <fgColor rgb="FFFFDEAD"/>
        <bgColor rgb="FFFFDEAD"/>
      </patternFill>
    </fill>
  </fills>
  <borders count="4">
    <border/>
    <border>
      <bottom style="medium">
        <color rgb="FFDDDDDD"/>
      </bottom>
    </border>
    <border>
      <left style="thin">
        <color rgb="FF000000"/>
      </left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4" numFmtId="9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4" numFmtId="165" xfId="0" applyAlignment="1" applyFont="1" applyNumberFormat="1">
      <alignment readingOrder="0"/>
    </xf>
    <xf borderId="0" fillId="0" fontId="4" numFmtId="3" xfId="0" applyFont="1" applyNumberFormat="1"/>
    <xf borderId="0" fillId="0" fontId="4" numFmtId="3" xfId="0" applyAlignment="1" applyFont="1" applyNumberFormat="1">
      <alignment readingOrder="0"/>
    </xf>
    <xf borderId="0" fillId="0" fontId="1" numFmtId="165" xfId="0" applyFont="1" applyNumberFormat="1"/>
    <xf borderId="0" fillId="0" fontId="1" numFmtId="3" xfId="0" applyFont="1" applyNumberFormat="1"/>
    <xf borderId="0" fillId="2" fontId="1" numFmtId="0" xfId="0" applyAlignment="1" applyFill="1" applyFont="1">
      <alignment horizontal="center"/>
    </xf>
    <xf borderId="1" fillId="2" fontId="5" numFmtId="0" xfId="0" applyAlignment="1" applyBorder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4" xfId="0" applyFont="1" applyNumberFormat="1"/>
    <xf borderId="0" fillId="2" fontId="7" numFmtId="0" xfId="0" applyAlignment="1" applyFont="1">
      <alignment readingOrder="0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horizontal="left" vertical="top"/>
    </xf>
    <xf borderId="0" fillId="0" fontId="11" numFmtId="10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1" numFmtId="9" xfId="0" applyAlignment="1" applyFont="1" applyNumberFormat="1">
      <alignment readingOrder="0" vertical="top"/>
    </xf>
    <xf borderId="0" fillId="0" fontId="9" numFmtId="0" xfId="0" applyFont="1"/>
    <xf borderId="0" fillId="2" fontId="12" numFmtId="0" xfId="0" applyAlignment="1" applyFont="1">
      <alignment readingOrder="0"/>
    </xf>
    <xf borderId="0" fillId="2" fontId="12" numFmtId="0" xfId="0" applyAlignment="1" applyFont="1">
      <alignment readingOrder="0" shrinkToFit="0" wrapText="1"/>
    </xf>
    <xf borderId="0" fillId="2" fontId="1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0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 vertical="bottom"/>
    </xf>
    <xf borderId="0" fillId="0" fontId="1" numFmtId="10" xfId="0" applyAlignment="1" applyFont="1" applyNumberFormat="1">
      <alignment readingOrder="0"/>
    </xf>
    <xf borderId="0" fillId="0" fontId="1" numFmtId="1" xfId="0" applyFont="1" applyNumberForma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2" fillId="0" fontId="1" numFmtId="0" xfId="0" applyBorder="1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4" numFmtId="4" xfId="0" applyAlignment="1" applyFont="1" applyNumberFormat="1">
      <alignment readingOrder="0" vertical="bottom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2" fillId="0" fontId="1" numFmtId="1" xfId="0" applyBorder="1" applyFont="1" applyNumberFormat="1"/>
    <xf borderId="0" fillId="0" fontId="1" numFmtId="1" xfId="0" applyAlignment="1" applyFont="1" applyNumberFormat="1">
      <alignment readingOrder="0"/>
    </xf>
    <xf borderId="2" fillId="0" fontId="1" numFmtId="164" xfId="0" applyBorder="1" applyFont="1" applyNumberFormat="1"/>
    <xf borderId="0" fillId="0" fontId="1" numFmtId="9" xfId="0" applyAlignment="1" applyFont="1" applyNumberFormat="1">
      <alignment readingOrder="0"/>
    </xf>
    <xf borderId="1" fillId="3" fontId="5" numFmtId="0" xfId="0" applyAlignment="1" applyBorder="1" applyFill="1" applyFont="1">
      <alignment horizontal="left" readingOrder="0"/>
    </xf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horizontal="left"/>
    </xf>
    <xf borderId="1" fillId="3" fontId="5" numFmtId="0" xfId="0" applyAlignment="1" applyBorder="1" applyFont="1">
      <alignment horizontal="center" readingOrder="0"/>
    </xf>
    <xf borderId="3" fillId="0" fontId="14" numFmtId="0" xfId="0" applyAlignment="1" applyBorder="1" applyFont="1">
      <alignment vertical="top"/>
    </xf>
    <xf borderId="3" fillId="0" fontId="14" numFmtId="0" xfId="0" applyAlignment="1" applyBorder="1" applyFont="1">
      <alignment horizontal="center" vertical="top"/>
    </xf>
    <xf borderId="3" fillId="2" fontId="14" numFmtId="0" xfId="0" applyAlignment="1" applyBorder="1" applyFont="1">
      <alignment horizontal="center" vertical="top"/>
    </xf>
    <xf borderId="3" fillId="4" fontId="14" numFmtId="0" xfId="0" applyAlignment="1" applyBorder="1" applyFill="1" applyFont="1">
      <alignment horizontal="center" vertical="top"/>
    </xf>
    <xf borderId="0" fillId="2" fontId="15" numFmtId="0" xfId="0" applyAlignment="1" applyFont="1">
      <alignment readingOrder="0"/>
    </xf>
    <xf borderId="3" fillId="0" fontId="16" numFmtId="0" xfId="0" applyAlignment="1" applyBorder="1" applyFont="1">
      <alignment readingOrder="0" shrinkToFit="0" vertical="top" wrapText="0"/>
    </xf>
    <xf borderId="3" fillId="0" fontId="16" numFmtId="0" xfId="0" applyAlignment="1" applyBorder="1" applyFont="1">
      <alignment horizontal="center" vertical="top"/>
    </xf>
    <xf borderId="3" fillId="0" fontId="16" numFmtId="0" xfId="0" applyAlignment="1" applyBorder="1" applyFont="1">
      <alignment vertical="top"/>
    </xf>
    <xf borderId="3" fillId="2" fontId="16" numFmtId="3" xfId="0" applyAlignment="1" applyBorder="1" applyFont="1" applyNumberFormat="1">
      <alignment horizontal="right" readingOrder="0" vertical="top"/>
    </xf>
    <xf borderId="3" fillId="4" fontId="16" numFmtId="0" xfId="0" applyAlignment="1" applyBorder="1" applyFont="1">
      <alignment horizontal="right" readingOrder="0" vertical="top"/>
    </xf>
    <xf borderId="0" fillId="0" fontId="2" numFmtId="3" xfId="0" applyFont="1" applyNumberFormat="1"/>
    <xf borderId="0" fillId="0" fontId="2" numFmtId="1" xfId="0" applyFont="1" applyNumberFormat="1"/>
    <xf borderId="3" fillId="0" fontId="14" numFmtId="0" xfId="0" applyAlignment="1" applyBorder="1" applyFont="1">
      <alignment readingOrder="0" shrinkToFit="0" vertical="top" wrapText="0"/>
    </xf>
    <xf borderId="3" fillId="2" fontId="14" numFmtId="0" xfId="0" applyAlignment="1" applyBorder="1" applyFont="1">
      <alignment horizontal="right" vertical="top"/>
    </xf>
    <xf borderId="3" fillId="4" fontId="14" numFmtId="0" xfId="0" applyAlignment="1" applyBorder="1" applyFont="1">
      <alignment horizontal="right" vertical="top"/>
    </xf>
    <xf borderId="0" fillId="2" fontId="17" numFmtId="0" xfId="0" applyAlignment="1" applyFont="1">
      <alignment readingOrder="0"/>
    </xf>
    <xf borderId="3" fillId="2" fontId="14" numFmtId="3" xfId="0" applyAlignment="1" applyBorder="1" applyFont="1" applyNumberFormat="1">
      <alignment horizontal="right" readingOrder="0" vertical="top"/>
    </xf>
    <xf borderId="3" fillId="4" fontId="14" numFmtId="0" xfId="0" applyAlignment="1" applyBorder="1" applyFont="1">
      <alignment horizontal="right" readingOrder="0" vertical="top"/>
    </xf>
    <xf borderId="3" fillId="2" fontId="16" numFmtId="0" xfId="0" applyAlignment="1" applyBorder="1" applyFont="1">
      <alignment horizontal="right" readingOrder="0" vertical="top"/>
    </xf>
    <xf borderId="0" fillId="0" fontId="2" numFmtId="0" xfId="0" applyFont="1"/>
    <xf borderId="3" fillId="2" fontId="14" numFmtId="0" xfId="0" applyAlignment="1" applyBorder="1" applyFont="1">
      <alignment horizontal="right" readingOrder="0" vertical="top"/>
    </xf>
    <xf borderId="0" fillId="2" fontId="18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3" fillId="2" fontId="16" numFmtId="0" xfId="0" applyAlignment="1" applyBorder="1" applyFont="1">
      <alignment horizontal="right" vertical="top"/>
    </xf>
    <xf borderId="3" fillId="4" fontId="16" numFmtId="0" xfId="0" applyAlignment="1" applyBorder="1" applyFont="1">
      <alignment horizontal="right" vertical="top"/>
    </xf>
    <xf borderId="0" fillId="2" fontId="19" numFmtId="10" xfId="0" applyFont="1" applyNumberFormat="1"/>
    <xf borderId="0" fillId="0" fontId="10" numFmtId="167" xfId="0" applyAlignment="1" applyFont="1" applyNumberFormat="1">
      <alignment readingOrder="0"/>
    </xf>
    <xf borderId="3" fillId="0" fontId="14" numFmtId="0" xfId="0" applyAlignment="1" applyBorder="1" applyFont="1">
      <alignment horizontal="center" vertical="top"/>
    </xf>
    <xf borderId="3" fillId="5" fontId="16" numFmtId="0" xfId="0" applyAlignment="1" applyBorder="1" applyFill="1" applyFont="1">
      <alignment horizontal="right" readingOrder="0" vertical="top"/>
    </xf>
    <xf borderId="3" fillId="2" fontId="14" numFmtId="0" xfId="0" applyAlignment="1" applyBorder="1" applyFont="1">
      <alignment horizontal="right" vertical="top"/>
    </xf>
    <xf borderId="3" fillId="5" fontId="14" numFmtId="0" xfId="0" applyAlignment="1" applyBorder="1" applyFont="1">
      <alignment horizontal="right" readingOrder="0" vertical="top"/>
    </xf>
    <xf borderId="3" fillId="5" fontId="14" numFmtId="0" xfId="0" applyAlignment="1" applyBorder="1" applyFont="1">
      <alignment horizontal="right" vertical="top"/>
    </xf>
    <xf borderId="3" fillId="2" fontId="14" numFmtId="3" xfId="0" applyAlignment="1" applyBorder="1" applyFont="1" applyNumberFormat="1">
      <alignment horizontal="right" vertical="top"/>
    </xf>
    <xf borderId="3" fillId="0" fontId="14" numFmtId="3" xfId="0" applyAlignment="1" applyBorder="1" applyFont="1" applyNumberFormat="1">
      <alignment horizontal="center" vertical="top"/>
    </xf>
    <xf borderId="3" fillId="0" fontId="14" numFmtId="3" xfId="0" applyAlignment="1" applyBorder="1" applyFont="1" applyNumberFormat="1">
      <alignment vertical="top"/>
    </xf>
    <xf borderId="3" fillId="0" fontId="16" numFmtId="3" xfId="0" applyAlignment="1" applyBorder="1" applyFont="1" applyNumberFormat="1">
      <alignment horizontal="center" vertical="top"/>
    </xf>
    <xf borderId="3" fillId="0" fontId="16" numFmtId="3" xfId="0" applyAlignment="1" applyBorder="1" applyFont="1" applyNumberFormat="1">
      <alignment vertical="top"/>
    </xf>
    <xf borderId="3" fillId="0" fontId="14" numFmtId="0" xfId="0" applyAlignment="1" applyBorder="1" applyFont="1">
      <alignment vertical="top"/>
    </xf>
    <xf borderId="3" fillId="0" fontId="16" numFmtId="0" xfId="0" applyAlignment="1" applyBorder="1" applyFont="1">
      <alignment horizontal="center" vertical="top"/>
    </xf>
    <xf borderId="3" fillId="0" fontId="16" numFmtId="0" xfId="0" applyAlignment="1" applyBorder="1" applyFont="1">
      <alignment vertical="top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1" xfId="0" applyAlignment="1" applyFont="1" applyNumberFormat="1">
      <alignment shrinkToFit="0" vertical="bottom" wrapText="0"/>
    </xf>
    <xf borderId="0" fillId="0" fontId="10" numFmtId="1" xfId="0" applyAlignment="1" applyFont="1" applyNumberFormat="1">
      <alignment horizontal="right" readingOrder="0" shrinkToFit="0" vertical="bottom" wrapText="0"/>
    </xf>
    <xf borderId="0" fillId="0" fontId="10" numFmtId="166" xfId="0" applyAlignment="1" applyFont="1" applyNumberFormat="1">
      <alignment shrinkToFit="0" vertical="bottom" wrapText="0"/>
    </xf>
    <xf borderId="0" fillId="0" fontId="10" numFmtId="2" xfId="0" applyAlignment="1" applyFont="1" applyNumberFormat="1">
      <alignment shrinkToFit="0" vertical="bottom" wrapText="0"/>
    </xf>
    <xf borderId="0" fillId="0" fontId="10" numFmtId="168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161925</xdr:colOff>
      <xdr:row>2</xdr:row>
      <xdr:rowOff>85725</xdr:rowOff>
    </xdr:from>
    <xdr:ext cx="3914775" cy="3105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4.86"/>
    <col customWidth="1" min="3" max="3" width="7.71"/>
    <col customWidth="1" min="4" max="10" width="8.71"/>
    <col customWidth="1" min="11" max="11" width="11.0"/>
    <col customWidth="1" min="12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3">
        <v>2017.0</v>
      </c>
      <c r="D2" s="3">
        <v>2018.0</v>
      </c>
      <c r="E2" s="3">
        <v>2019.0</v>
      </c>
      <c r="F2" s="3">
        <v>2020.0</v>
      </c>
      <c r="G2" s="3">
        <v>2021.0</v>
      </c>
      <c r="H2" s="4" t="s">
        <v>2</v>
      </c>
    </row>
    <row r="3" ht="14.25" customHeight="1">
      <c r="B3" s="1" t="s">
        <v>3</v>
      </c>
      <c r="C3" s="1">
        <v>4551.0</v>
      </c>
      <c r="D3" s="1">
        <v>5081.0</v>
      </c>
      <c r="E3" s="1">
        <v>6117.0</v>
      </c>
      <c r="F3" s="1">
        <v>5956.0</v>
      </c>
      <c r="G3" s="1">
        <v>3173.0</v>
      </c>
    </row>
    <row r="4" ht="14.25" customHeight="1">
      <c r="B4" s="1" t="s">
        <v>4</v>
      </c>
      <c r="C4" s="1">
        <v>320.0</v>
      </c>
      <c r="D4" s="1">
        <v>264.0</v>
      </c>
      <c r="E4" s="1">
        <v>144.0</v>
      </c>
      <c r="F4" s="1">
        <v>352.0</v>
      </c>
      <c r="G4" s="1">
        <v>382.0</v>
      </c>
    </row>
    <row r="5" ht="14.25" customHeight="1">
      <c r="B5" s="1" t="s">
        <v>5</v>
      </c>
      <c r="C5" s="1">
        <v>226.0</v>
      </c>
      <c r="D5" s="1">
        <v>233.0</v>
      </c>
      <c r="E5" s="1">
        <v>230.0</v>
      </c>
      <c r="F5" s="1">
        <v>226.0</v>
      </c>
      <c r="G5" s="1">
        <v>168.0</v>
      </c>
    </row>
    <row r="6" ht="14.25" customHeight="1">
      <c r="B6" s="1" t="s">
        <v>6</v>
      </c>
      <c r="C6" s="1">
        <v>81.0</v>
      </c>
      <c r="D6" s="1">
        <v>84.0</v>
      </c>
      <c r="E6" s="1">
        <v>179.0</v>
      </c>
      <c r="F6" s="1">
        <v>167.0</v>
      </c>
      <c r="G6" s="1">
        <v>157.0</v>
      </c>
    </row>
    <row r="7" ht="14.25" customHeight="1">
      <c r="B7" s="1" t="s">
        <v>7</v>
      </c>
      <c r="C7" s="1">
        <f t="shared" ref="C7:G7" si="1">C8-SUM(C3:C6)</f>
        <v>267</v>
      </c>
      <c r="D7" s="1">
        <f t="shared" si="1"/>
        <v>307</v>
      </c>
      <c r="E7" s="1">
        <f t="shared" si="1"/>
        <v>234</v>
      </c>
      <c r="F7" s="1">
        <f t="shared" si="1"/>
        <v>219</v>
      </c>
      <c r="G7" s="1">
        <f t="shared" si="1"/>
        <v>221</v>
      </c>
    </row>
    <row r="8" ht="14.25" customHeight="1">
      <c r="B8" s="1" t="s">
        <v>8</v>
      </c>
      <c r="C8" s="1">
        <v>5445.0</v>
      </c>
      <c r="D8" s="1">
        <v>5969.0</v>
      </c>
      <c r="E8" s="1">
        <v>6904.0</v>
      </c>
      <c r="F8" s="1">
        <v>6920.0</v>
      </c>
      <c r="G8" s="1">
        <v>4101.0</v>
      </c>
    </row>
    <row r="9" ht="14.25" customHeight="1"/>
    <row r="10" ht="14.25" customHeight="1">
      <c r="B10" s="5" t="s">
        <v>9</v>
      </c>
      <c r="C10" s="3">
        <v>2017.0</v>
      </c>
      <c r="D10" s="3">
        <v>2018.0</v>
      </c>
      <c r="E10" s="3">
        <v>2019.0</v>
      </c>
      <c r="F10" s="3">
        <v>2020.0</v>
      </c>
      <c r="G10" s="3">
        <v>2021.0</v>
      </c>
    </row>
    <row r="11" ht="14.25" customHeight="1">
      <c r="B11" s="1" t="s">
        <v>3</v>
      </c>
      <c r="C11" s="6">
        <f t="shared" ref="C11:C16" si="2">C3/$C$8</f>
        <v>0.8358126722</v>
      </c>
      <c r="D11" s="6">
        <f t="shared" ref="D11:D16" si="3">D3/$D$8</f>
        <v>0.851231362</v>
      </c>
      <c r="E11" s="6">
        <f t="shared" ref="E11:E16" si="4">E3/$E$8</f>
        <v>0.8860081112</v>
      </c>
      <c r="F11" s="6">
        <f t="shared" ref="F11:F16" si="5">F3/$F$8</f>
        <v>0.8606936416</v>
      </c>
      <c r="G11" s="6">
        <f t="shared" ref="G11:G16" si="6">G3/$G$8</f>
        <v>0.7737137284</v>
      </c>
    </row>
    <row r="12" ht="14.25" customHeight="1">
      <c r="B12" s="1" t="s">
        <v>4</v>
      </c>
      <c r="C12" s="6">
        <f t="shared" si="2"/>
        <v>0.05876951331</v>
      </c>
      <c r="D12" s="6">
        <f t="shared" si="3"/>
        <v>0.04422851399</v>
      </c>
      <c r="E12" s="6">
        <f t="shared" si="4"/>
        <v>0.02085747393</v>
      </c>
      <c r="F12" s="6">
        <f t="shared" si="5"/>
        <v>0.05086705202</v>
      </c>
      <c r="G12" s="6">
        <f t="shared" si="6"/>
        <v>0.09314801268</v>
      </c>
    </row>
    <row r="13" ht="14.25" customHeight="1">
      <c r="B13" s="1" t="s">
        <v>5</v>
      </c>
      <c r="C13" s="6">
        <f t="shared" si="2"/>
        <v>0.04150596878</v>
      </c>
      <c r="D13" s="6">
        <f t="shared" si="3"/>
        <v>0.03903501424</v>
      </c>
      <c r="E13" s="6">
        <f t="shared" si="4"/>
        <v>0.03331402086</v>
      </c>
      <c r="F13" s="6">
        <f t="shared" si="5"/>
        <v>0.03265895954</v>
      </c>
      <c r="G13" s="6">
        <f t="shared" si="6"/>
        <v>0.04096561814</v>
      </c>
      <c r="M13" s="7"/>
      <c r="N13" s="8"/>
    </row>
    <row r="14" ht="14.25" customHeight="1">
      <c r="B14" s="1" t="s">
        <v>6</v>
      </c>
      <c r="C14" s="6">
        <f t="shared" si="2"/>
        <v>0.01487603306</v>
      </c>
      <c r="D14" s="6">
        <f t="shared" si="3"/>
        <v>0.014072709</v>
      </c>
      <c r="E14" s="6">
        <f t="shared" si="4"/>
        <v>0.02592699884</v>
      </c>
      <c r="F14" s="6">
        <f t="shared" si="5"/>
        <v>0.02413294798</v>
      </c>
      <c r="G14" s="6">
        <f t="shared" si="6"/>
        <v>0.03828334553</v>
      </c>
      <c r="M14" s="7"/>
      <c r="N14" s="8"/>
    </row>
    <row r="15" ht="14.25" customHeight="1">
      <c r="B15" s="1" t="s">
        <v>7</v>
      </c>
      <c r="C15" s="6">
        <f t="shared" si="2"/>
        <v>0.04903581267</v>
      </c>
      <c r="D15" s="6">
        <f t="shared" si="3"/>
        <v>0.05143240074</v>
      </c>
      <c r="E15" s="6">
        <f t="shared" si="4"/>
        <v>0.03389339513</v>
      </c>
      <c r="F15" s="6">
        <f t="shared" si="5"/>
        <v>0.03164739884</v>
      </c>
      <c r="G15" s="6">
        <f t="shared" si="6"/>
        <v>0.05388929529</v>
      </c>
      <c r="N15" s="8"/>
    </row>
    <row r="16" ht="14.25" customHeight="1">
      <c r="B16" s="1" t="s">
        <v>8</v>
      </c>
      <c r="C16" s="6">
        <f t="shared" si="2"/>
        <v>1</v>
      </c>
      <c r="D16" s="6">
        <f t="shared" si="3"/>
        <v>1</v>
      </c>
      <c r="E16" s="6">
        <f t="shared" si="4"/>
        <v>1</v>
      </c>
      <c r="F16" s="6">
        <f t="shared" si="5"/>
        <v>1</v>
      </c>
      <c r="G16" s="6">
        <f t="shared" si="6"/>
        <v>1</v>
      </c>
    </row>
    <row r="17" ht="14.25" customHeight="1"/>
    <row r="18" ht="14.25" customHeight="1">
      <c r="D18" s="1">
        <v>2018.0</v>
      </c>
      <c r="E18" s="1">
        <v>2019.0</v>
      </c>
      <c r="F18" s="1">
        <v>2020.0</v>
      </c>
      <c r="G18" s="1">
        <v>2021.0</v>
      </c>
      <c r="H18" s="4" t="s">
        <v>2</v>
      </c>
    </row>
    <row r="19" ht="14.25" customHeight="1">
      <c r="B19" s="1" t="s">
        <v>10</v>
      </c>
      <c r="D19" s="4">
        <v>7101.9</v>
      </c>
      <c r="E19" s="9">
        <v>8165.3</v>
      </c>
      <c r="F19" s="10">
        <v>7908.0</v>
      </c>
      <c r="G19" s="1">
        <v>3857.0</v>
      </c>
      <c r="I19" s="8"/>
      <c r="J19" s="8">
        <v>0.9973514945138101</v>
      </c>
      <c r="K19" s="8">
        <v>0.9971561530506722</v>
      </c>
    </row>
    <row r="20" ht="14.25" customHeight="1">
      <c r="B20" s="1" t="s">
        <v>11</v>
      </c>
      <c r="D20" s="4">
        <v>15.0</v>
      </c>
      <c r="E20" s="11">
        <v>18.0</v>
      </c>
      <c r="F20" s="10">
        <v>21.0</v>
      </c>
      <c r="G20" s="1">
        <v>11.0</v>
      </c>
      <c r="H20" s="8"/>
      <c r="I20" s="8"/>
      <c r="J20" s="8">
        <v>0.0026485054861899358</v>
      </c>
      <c r="K20" s="8">
        <v>0.002843846949327818</v>
      </c>
    </row>
    <row r="21" ht="14.25" customHeight="1">
      <c r="B21" s="1" t="s">
        <v>12</v>
      </c>
      <c r="D21" s="1">
        <f t="shared" ref="D21:G21" si="7">sum(D19:D20)</f>
        <v>7116.9</v>
      </c>
      <c r="E21" s="12">
        <f t="shared" si="7"/>
        <v>8183.3</v>
      </c>
      <c r="F21" s="13">
        <f t="shared" si="7"/>
        <v>7929</v>
      </c>
      <c r="G21" s="1">
        <f t="shared" si="7"/>
        <v>3868</v>
      </c>
      <c r="H21" s="4">
        <v>3540.0</v>
      </c>
    </row>
    <row r="22" ht="14.25" customHeight="1">
      <c r="B22" s="4" t="s">
        <v>13</v>
      </c>
    </row>
    <row r="23" ht="14.25" customHeight="1"/>
    <row r="24" ht="14.25" customHeight="1">
      <c r="C24" s="1">
        <v>2020.0</v>
      </c>
      <c r="D24" s="1">
        <v>2021.0</v>
      </c>
      <c r="E24" s="4" t="s">
        <v>14</v>
      </c>
      <c r="G24" s="4">
        <v>4772.0</v>
      </c>
    </row>
    <row r="25" ht="14.25" customHeight="1">
      <c r="B25" s="1" t="s">
        <v>15</v>
      </c>
      <c r="C25" s="1">
        <v>3.12</v>
      </c>
      <c r="D25" s="1">
        <v>1.66</v>
      </c>
    </row>
    <row r="26" ht="14.25" customHeight="1">
      <c r="B26" s="1" t="s">
        <v>16</v>
      </c>
      <c r="C26" s="1">
        <v>5.38</v>
      </c>
      <c r="D26" s="1">
        <v>5.99</v>
      </c>
    </row>
    <row r="27" ht="14.25" customHeight="1">
      <c r="B27" s="4" t="s">
        <v>17</v>
      </c>
      <c r="D27" s="7">
        <f>D30-D28-D29</f>
        <v>3053.694</v>
      </c>
      <c r="E27" s="8">
        <f>D27/D30</f>
        <v>0.9623996218</v>
      </c>
    </row>
    <row r="28" ht="14.25" customHeight="1">
      <c r="B28" s="4" t="s">
        <v>18</v>
      </c>
      <c r="D28" s="7">
        <f>D26*0.4*23.5</f>
        <v>56.306</v>
      </c>
      <c r="E28" s="8">
        <f>D28/D30</f>
        <v>0.0177453514</v>
      </c>
    </row>
    <row r="29" ht="14.25" customHeight="1">
      <c r="B29" s="4" t="s">
        <v>19</v>
      </c>
      <c r="D29" s="4">
        <v>63.0</v>
      </c>
      <c r="E29" s="8">
        <f>D29/D30</f>
        <v>0.01985502679</v>
      </c>
    </row>
    <row r="30" ht="14.25" customHeight="1">
      <c r="B30" s="4" t="s">
        <v>8</v>
      </c>
      <c r="D30" s="4">
        <v>3173.0</v>
      </c>
    </row>
    <row r="31" ht="14.25" customHeight="1"/>
    <row r="32" ht="14.25" customHeight="1"/>
    <row r="33" ht="14.25" customHeight="1">
      <c r="B33" s="14"/>
      <c r="C33" s="15"/>
      <c r="D33" s="15"/>
      <c r="E33" s="15"/>
      <c r="F33" s="15"/>
      <c r="G33" s="15"/>
      <c r="H33" s="15"/>
      <c r="I33" s="16"/>
    </row>
    <row r="34" ht="14.25" customHeight="1">
      <c r="B34" s="17"/>
      <c r="C34" s="17"/>
      <c r="D34" s="17"/>
      <c r="E34" s="17"/>
      <c r="F34" s="17"/>
      <c r="G34" s="17"/>
      <c r="H34" s="16"/>
      <c r="I34" s="16"/>
    </row>
    <row r="35" ht="14.25" customHeight="1">
      <c r="B35" s="18"/>
      <c r="C35" s="16"/>
      <c r="D35" s="16"/>
      <c r="E35" s="16"/>
      <c r="F35" s="16"/>
      <c r="G35" s="16"/>
      <c r="H35" s="16"/>
      <c r="I35" s="16"/>
    </row>
    <row r="36" ht="14.25" customHeight="1">
      <c r="B36" s="16"/>
      <c r="C36" s="16"/>
      <c r="D36" s="16"/>
      <c r="E36" s="16"/>
      <c r="F36" s="16"/>
      <c r="G36" s="16"/>
      <c r="H36" s="16"/>
      <c r="I36" s="16"/>
    </row>
    <row r="37" ht="14.25" customHeight="1">
      <c r="B37" s="16"/>
      <c r="C37" s="16"/>
      <c r="D37" s="16"/>
      <c r="E37" s="16"/>
      <c r="F37" s="16"/>
      <c r="G37" s="16"/>
      <c r="H37" s="16"/>
      <c r="I37" s="16"/>
    </row>
    <row r="38" ht="14.25" customHeight="1">
      <c r="B38" s="16"/>
      <c r="C38" s="16"/>
      <c r="D38" s="16"/>
      <c r="E38" s="16"/>
      <c r="F38" s="16"/>
      <c r="G38" s="16"/>
      <c r="H38" s="16"/>
      <c r="I38" s="16"/>
    </row>
    <row r="39" ht="14.25" customHeight="1"/>
    <row r="40" ht="14.25" customHeight="1"/>
    <row r="41" ht="14.25" customHeight="1"/>
    <row r="42" ht="14.25" customHeight="1">
      <c r="J42" s="19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3" width="20.71"/>
    <col customWidth="1" min="4" max="4" width="13.71"/>
    <col customWidth="1" min="5" max="5" width="11.43"/>
    <col customWidth="1" min="6" max="6" width="10.86"/>
    <col customWidth="1" min="7" max="7" width="10.43"/>
    <col customWidth="1" min="8" max="8" width="10.0"/>
    <col customWidth="1" min="9" max="9" width="8.71"/>
    <col customWidth="1" min="10" max="10" width="11.86"/>
    <col customWidth="1" min="11" max="11" width="14.43"/>
    <col customWidth="1" min="12" max="13" width="8.71"/>
    <col customWidth="1" min="14" max="14" width="17.29"/>
    <col customWidth="1" min="15" max="28" width="8.71"/>
  </cols>
  <sheetData>
    <row r="1" ht="14.25" customHeight="1"/>
    <row r="2" ht="14.25" customHeight="1">
      <c r="B2" s="4" t="s">
        <v>20</v>
      </c>
      <c r="D2" s="20">
        <v>2018.0</v>
      </c>
      <c r="E2" s="20">
        <v>2019.0</v>
      </c>
      <c r="F2" s="20">
        <v>2020.0</v>
      </c>
      <c r="G2" s="20">
        <v>2021.0</v>
      </c>
      <c r="H2" s="21"/>
    </row>
    <row r="3" ht="14.25" customHeight="1">
      <c r="B3" s="1" t="s">
        <v>21</v>
      </c>
      <c r="D3" s="22">
        <v>5607.46</v>
      </c>
      <c r="E3" s="22">
        <v>6056.26</v>
      </c>
      <c r="F3" s="23" t="s">
        <v>22</v>
      </c>
      <c r="G3" s="24">
        <v>2965.62</v>
      </c>
      <c r="H3" s="21" t="s">
        <v>23</v>
      </c>
    </row>
    <row r="4" ht="14.25" customHeight="1">
      <c r="B4" s="1" t="s">
        <v>24</v>
      </c>
      <c r="D4" s="20">
        <v>5120.35</v>
      </c>
      <c r="E4" s="20">
        <v>5507.94</v>
      </c>
      <c r="F4" s="21" t="s">
        <v>25</v>
      </c>
      <c r="G4" s="24">
        <v>2682.79</v>
      </c>
      <c r="H4" s="21"/>
    </row>
    <row r="5" ht="14.25" customHeight="1">
      <c r="D5" s="25"/>
      <c r="E5" s="25"/>
      <c r="F5" s="25"/>
      <c r="G5" s="25"/>
      <c r="H5" s="25"/>
      <c r="I5" s="25"/>
    </row>
    <row r="6" ht="14.25" customHeight="1">
      <c r="B6" s="26" t="s">
        <v>26</v>
      </c>
      <c r="M6" s="4" t="s">
        <v>27</v>
      </c>
    </row>
    <row r="7" ht="14.25" customHeight="1">
      <c r="B7" s="27" t="s">
        <v>28</v>
      </c>
      <c r="C7" s="27" t="s">
        <v>29</v>
      </c>
      <c r="D7" s="28">
        <v>2018.0</v>
      </c>
      <c r="E7" s="28">
        <v>2019.0</v>
      </c>
      <c r="F7" s="27" t="s">
        <v>30</v>
      </c>
      <c r="G7" s="27">
        <v>2021.0</v>
      </c>
      <c r="H7" s="27" t="s">
        <v>31</v>
      </c>
      <c r="I7" s="27"/>
      <c r="M7" s="29"/>
      <c r="N7" s="29"/>
      <c r="O7" s="30" t="s">
        <v>32</v>
      </c>
      <c r="P7" s="30" t="s">
        <v>33</v>
      </c>
      <c r="Q7" s="30" t="s">
        <v>34</v>
      </c>
      <c r="R7" s="30" t="s">
        <v>35</v>
      </c>
      <c r="S7" s="30" t="s">
        <v>36</v>
      </c>
      <c r="T7" s="30" t="s">
        <v>37</v>
      </c>
      <c r="U7" s="30" t="s">
        <v>38</v>
      </c>
      <c r="V7" s="30" t="s">
        <v>39</v>
      </c>
      <c r="W7" s="30" t="s">
        <v>40</v>
      </c>
      <c r="X7" s="30" t="s">
        <v>41</v>
      </c>
      <c r="Y7" s="30" t="s">
        <v>42</v>
      </c>
      <c r="Z7" s="30" t="s">
        <v>43</v>
      </c>
      <c r="AA7" s="30" t="s">
        <v>44</v>
      </c>
    </row>
    <row r="8" ht="14.25" customHeight="1">
      <c r="D8" s="27"/>
      <c r="E8" s="27"/>
      <c r="F8" s="27"/>
      <c r="G8" s="27"/>
      <c r="H8" s="27"/>
      <c r="I8" s="27"/>
      <c r="M8" s="30" t="s">
        <v>45</v>
      </c>
      <c r="O8" s="31">
        <v>20.71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4.25" customHeight="1">
      <c r="B9" s="32">
        <v>1.0</v>
      </c>
      <c r="C9" s="32" t="s">
        <v>46</v>
      </c>
      <c r="D9" s="32"/>
      <c r="E9" s="32"/>
      <c r="F9" s="32">
        <v>72.867</v>
      </c>
      <c r="G9" s="32">
        <v>78.605</v>
      </c>
      <c r="H9" s="32">
        <v>82.42</v>
      </c>
      <c r="I9" s="8">
        <f t="shared" ref="I9:I15" si="1">H9/$H$19</f>
        <v>0.3647225418</v>
      </c>
      <c r="J9" s="4" t="s">
        <v>47</v>
      </c>
      <c r="M9" s="29"/>
      <c r="N9" s="30" t="s">
        <v>24</v>
      </c>
      <c r="O9" s="30">
        <v>19.03</v>
      </c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4.25" customHeight="1">
      <c r="B10" s="32">
        <v>2.0</v>
      </c>
      <c r="C10" s="32" t="s">
        <v>48</v>
      </c>
      <c r="D10" s="32">
        <v>90.8</v>
      </c>
      <c r="E10" s="32">
        <v>118.3</v>
      </c>
      <c r="F10" s="32">
        <v>122.533</v>
      </c>
      <c r="G10" s="32">
        <v>118.074</v>
      </c>
      <c r="H10" s="32">
        <v>86.65</v>
      </c>
      <c r="I10" s="8">
        <f t="shared" si="1"/>
        <v>0.3834410125</v>
      </c>
      <c r="M10" s="29"/>
      <c r="N10" s="30" t="s">
        <v>49</v>
      </c>
      <c r="O10" s="30">
        <v>15.92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4.25" customHeight="1">
      <c r="B11" s="32">
        <v>3.0</v>
      </c>
      <c r="C11" s="32" t="s">
        <v>50</v>
      </c>
      <c r="D11" s="32"/>
      <c r="E11" s="32"/>
      <c r="F11" s="32">
        <v>34.66</v>
      </c>
      <c r="G11" s="32">
        <v>26.312</v>
      </c>
      <c r="H11" s="32">
        <v>23.87</v>
      </c>
      <c r="I11" s="8">
        <f t="shared" si="1"/>
        <v>0.1056288167</v>
      </c>
      <c r="M11" s="30" t="s">
        <v>51</v>
      </c>
      <c r="O11" s="31">
        <v>233.67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4.25" customHeight="1">
      <c r="B12" s="32">
        <v>4.0</v>
      </c>
      <c r="C12" s="32" t="s">
        <v>52</v>
      </c>
      <c r="D12" s="32"/>
      <c r="E12" s="32"/>
      <c r="F12" s="32">
        <v>1.043</v>
      </c>
      <c r="G12" s="32">
        <v>3.0</v>
      </c>
      <c r="H12" s="32"/>
      <c r="I12" s="8">
        <f t="shared" si="1"/>
        <v>0</v>
      </c>
      <c r="M12" s="29"/>
      <c r="N12" s="30" t="s">
        <v>53</v>
      </c>
      <c r="O12" s="31">
        <v>72.04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4.25" customHeight="1">
      <c r="B13" s="32">
        <v>5.0</v>
      </c>
      <c r="C13" s="32" t="s">
        <v>54</v>
      </c>
      <c r="D13" s="32"/>
      <c r="E13" s="32"/>
      <c r="F13" s="32">
        <v>3.07</v>
      </c>
      <c r="G13" s="32">
        <v>1.403</v>
      </c>
      <c r="H13" s="32">
        <v>2.68</v>
      </c>
      <c r="I13" s="8">
        <f t="shared" si="1"/>
        <v>0.01185945659</v>
      </c>
      <c r="M13" s="29"/>
      <c r="N13" s="30" t="s">
        <v>48</v>
      </c>
      <c r="O13" s="31">
        <v>108.32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4.25" customHeight="1">
      <c r="B14" s="32">
        <v>6.0</v>
      </c>
      <c r="C14" s="32" t="s">
        <v>55</v>
      </c>
      <c r="D14" s="32"/>
      <c r="E14" s="32"/>
      <c r="F14" s="32">
        <v>12.083</v>
      </c>
      <c r="G14" s="32">
        <v>31.508</v>
      </c>
      <c r="H14" s="32">
        <v>29.87</v>
      </c>
      <c r="I14" s="8">
        <f t="shared" si="1"/>
        <v>0.1321798389</v>
      </c>
      <c r="M14" s="29"/>
      <c r="N14" s="30" t="s">
        <v>50</v>
      </c>
      <c r="O14" s="31">
        <v>24.36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4.25" customHeight="1">
      <c r="B15" s="33"/>
      <c r="C15" s="32" t="s">
        <v>56</v>
      </c>
      <c r="D15" s="34">
        <f t="shared" ref="D15:H15" si="2">D10/D19</f>
        <v>0.4265013269</v>
      </c>
      <c r="E15" s="34">
        <f t="shared" si="2"/>
        <v>0.5118996106</v>
      </c>
      <c r="F15" s="34">
        <f t="shared" si="2"/>
        <v>0.4959344329</v>
      </c>
      <c r="G15" s="34">
        <f t="shared" si="2"/>
        <v>0.4599204603</v>
      </c>
      <c r="H15" s="34">
        <f t="shared" si="2"/>
        <v>0.3834410125</v>
      </c>
      <c r="I15" s="8">
        <f t="shared" si="1"/>
        <v>0.001696791807</v>
      </c>
      <c r="M15" s="29"/>
      <c r="N15" s="30" t="s">
        <v>57</v>
      </c>
      <c r="O15" s="31">
        <v>26.88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4.25" customHeight="1">
      <c r="B16" s="33"/>
      <c r="C16" s="32"/>
      <c r="D16" s="32"/>
      <c r="E16" s="32"/>
      <c r="F16" s="32"/>
      <c r="G16" s="32"/>
      <c r="H16" s="32"/>
      <c r="I16" s="32"/>
      <c r="M16" s="29"/>
      <c r="N16" s="30" t="s">
        <v>58</v>
      </c>
      <c r="O16" s="31">
        <v>0.002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4.25" customHeight="1">
      <c r="B17" s="33"/>
      <c r="C17" s="32"/>
      <c r="D17" s="32"/>
      <c r="E17" s="32"/>
      <c r="F17" s="32"/>
      <c r="G17" s="32"/>
      <c r="H17" s="32"/>
      <c r="I17" s="32"/>
      <c r="M17" s="29"/>
      <c r="N17" s="30" t="s">
        <v>59</v>
      </c>
      <c r="O17" s="31">
        <v>1.34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4.25" customHeight="1">
      <c r="B18" s="32">
        <v>7.0</v>
      </c>
      <c r="C18" s="32" t="s">
        <v>60</v>
      </c>
      <c r="D18" s="32"/>
      <c r="E18" s="32"/>
      <c r="F18" s="32">
        <v>820.0</v>
      </c>
      <c r="G18" s="32">
        <v>821.0</v>
      </c>
      <c r="H18" s="32">
        <v>490.0</v>
      </c>
      <c r="I18" s="32"/>
    </row>
    <row r="19" ht="14.25" customHeight="1">
      <c r="B19" s="33"/>
      <c r="C19" s="27" t="s">
        <v>61</v>
      </c>
      <c r="D19" s="4">
        <v>212.895</v>
      </c>
      <c r="E19" s="35">
        <v>231.1</v>
      </c>
      <c r="F19" s="32">
        <v>247.075</v>
      </c>
      <c r="G19" s="32">
        <v>256.727</v>
      </c>
      <c r="H19" s="32">
        <v>225.98</v>
      </c>
      <c r="I19" s="36">
        <v>1.0</v>
      </c>
      <c r="N19" s="30" t="s">
        <v>24</v>
      </c>
      <c r="O19" s="4">
        <v>206.59</v>
      </c>
    </row>
    <row r="20" ht="14.25" customHeight="1">
      <c r="B20" s="37"/>
      <c r="C20" s="35" t="s">
        <v>62</v>
      </c>
      <c r="D20" s="38">
        <v>192.36</v>
      </c>
      <c r="E20" s="38">
        <v>209.42</v>
      </c>
      <c r="F20" s="35">
        <v>216.95</v>
      </c>
      <c r="G20" s="35">
        <v>246.21</v>
      </c>
      <c r="H20" s="37"/>
      <c r="I20" s="37"/>
      <c r="N20" s="30" t="s">
        <v>49</v>
      </c>
      <c r="O20" s="4">
        <v>184.01</v>
      </c>
    </row>
    <row r="21" ht="14.25" customHeight="1">
      <c r="B21" s="37"/>
      <c r="C21" s="39" t="s">
        <v>63</v>
      </c>
      <c r="D21" s="37"/>
      <c r="E21" s="38">
        <v>54.88</v>
      </c>
      <c r="F21" s="40">
        <v>69.3</v>
      </c>
      <c r="G21" s="35">
        <v>76.6</v>
      </c>
      <c r="H21" s="37"/>
      <c r="I21" s="37"/>
    </row>
    <row r="22" ht="14.25" customHeight="1">
      <c r="K22" s="28">
        <v>2018.0</v>
      </c>
      <c r="L22" s="28">
        <v>2019.0</v>
      </c>
      <c r="M22" s="27" t="s">
        <v>30</v>
      </c>
      <c r="N22" s="27">
        <v>2021.0</v>
      </c>
      <c r="O22" s="27" t="s">
        <v>31</v>
      </c>
    </row>
    <row r="23" ht="14.25" customHeight="1">
      <c r="K23" s="27"/>
      <c r="L23" s="27"/>
      <c r="M23" s="27"/>
      <c r="N23" s="27"/>
      <c r="O23" s="27"/>
    </row>
    <row r="24" ht="14.25" customHeight="1">
      <c r="B24" s="4" t="s">
        <v>64</v>
      </c>
      <c r="J24" s="27" t="s">
        <v>61</v>
      </c>
      <c r="K24" s="4">
        <v>212.895</v>
      </c>
      <c r="L24" s="35">
        <v>231.1</v>
      </c>
      <c r="M24" s="32">
        <v>247.075</v>
      </c>
      <c r="N24" s="32">
        <v>256.727</v>
      </c>
      <c r="O24" s="32">
        <v>225.98</v>
      </c>
      <c r="P24" s="4" t="s">
        <v>47</v>
      </c>
    </row>
    <row r="25" ht="14.25" customHeight="1">
      <c r="B25" s="4" t="s">
        <v>63</v>
      </c>
      <c r="C25" s="41">
        <v>2015.0</v>
      </c>
      <c r="D25" s="42">
        <v>2021.0</v>
      </c>
      <c r="E25" s="42">
        <v>2030.0</v>
      </c>
      <c r="F25" s="43">
        <v>2050.0</v>
      </c>
      <c r="J25" s="32" t="s">
        <v>48</v>
      </c>
      <c r="K25" s="32">
        <v>90.8</v>
      </c>
      <c r="L25" s="32">
        <v>118.3</v>
      </c>
      <c r="M25" s="32">
        <v>122.533</v>
      </c>
      <c r="N25" s="32">
        <v>118.074</v>
      </c>
      <c r="O25" s="32">
        <v>86.65</v>
      </c>
      <c r="P25" s="4" t="s">
        <v>47</v>
      </c>
    </row>
    <row r="26" ht="14.25" customHeight="1">
      <c r="B26" s="4" t="s">
        <v>65</v>
      </c>
      <c r="C26" s="4">
        <v>12900.0</v>
      </c>
      <c r="D26" s="20">
        <v>24700.0</v>
      </c>
      <c r="E26" s="20">
        <v>30000.0</v>
      </c>
      <c r="F26" s="20">
        <v>25600.0</v>
      </c>
    </row>
    <row r="27" ht="14.25" customHeight="1">
      <c r="B27" s="4" t="s">
        <v>53</v>
      </c>
      <c r="C27" s="4">
        <v>16500.0</v>
      </c>
      <c r="D27" s="20">
        <v>21800.0</v>
      </c>
      <c r="E27" s="20">
        <v>28946.0</v>
      </c>
      <c r="F27" s="20">
        <v>48000.0</v>
      </c>
    </row>
    <row r="28" ht="14.25" customHeight="1">
      <c r="B28" s="4" t="s">
        <v>66</v>
      </c>
      <c r="C28" s="4">
        <v>8800.0</v>
      </c>
      <c r="D28" s="20">
        <v>8700.0</v>
      </c>
      <c r="E28" s="20">
        <v>39430.0</v>
      </c>
      <c r="F28" s="20">
        <v>40000.0</v>
      </c>
    </row>
    <row r="29" ht="14.25" customHeight="1">
      <c r="B29" s="4" t="s">
        <v>67</v>
      </c>
      <c r="C29" s="4">
        <v>200.0</v>
      </c>
      <c r="D29" s="20">
        <v>20900.0</v>
      </c>
      <c r="E29" s="20">
        <v>39486.0</v>
      </c>
      <c r="F29" s="20">
        <v>230000.0</v>
      </c>
    </row>
    <row r="30" ht="14.25" customHeight="1">
      <c r="B30" s="4" t="s">
        <v>68</v>
      </c>
      <c r="C30" s="4">
        <v>150.0</v>
      </c>
      <c r="D30" s="20">
        <v>520.0</v>
      </c>
      <c r="E30" s="20">
        <v>4000.0</v>
      </c>
      <c r="F30" s="20">
        <v>15000.0</v>
      </c>
    </row>
    <row r="31" ht="14.25" customHeight="1">
      <c r="D31" s="21"/>
      <c r="E31" s="21"/>
      <c r="F31" s="21"/>
    </row>
    <row r="32" ht="14.25" customHeight="1">
      <c r="B32" s="4" t="s">
        <v>69</v>
      </c>
      <c r="C32" s="4">
        <v>38550.0</v>
      </c>
      <c r="D32" s="20">
        <v>76620.0</v>
      </c>
      <c r="E32" s="20">
        <v>145989.0</v>
      </c>
      <c r="F32" s="20">
        <v>501600.0</v>
      </c>
    </row>
    <row r="33" ht="14.25" customHeight="1">
      <c r="B33" s="4" t="s">
        <v>70</v>
      </c>
      <c r="C33" s="44">
        <f t="shared" ref="C33:F33" si="3">C26/C32</f>
        <v>0.3346303502</v>
      </c>
      <c r="D33" s="44">
        <f t="shared" si="3"/>
        <v>0.3223701383</v>
      </c>
      <c r="E33" s="44">
        <f t="shared" si="3"/>
        <v>0.2054949345</v>
      </c>
      <c r="F33" s="44">
        <f t="shared" si="3"/>
        <v>0.05103668262</v>
      </c>
    </row>
    <row r="34" ht="14.25" customHeight="1">
      <c r="B34" s="4" t="s">
        <v>71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7:B8"/>
    <mergeCell ref="C7:C8"/>
    <mergeCell ref="M8:N8"/>
    <mergeCell ref="M11:N11"/>
    <mergeCell ref="B24:G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14"/>
    <col customWidth="1" min="3" max="3" width="5.43"/>
    <col customWidth="1" min="4" max="7" width="8.0"/>
    <col customWidth="1" min="8" max="8" width="7.43"/>
    <col customWidth="1" min="9" max="9" width="15.57"/>
    <col customWidth="1" min="10" max="11" width="5.43"/>
    <col customWidth="1" min="12" max="14" width="4.29"/>
  </cols>
  <sheetData>
    <row r="2">
      <c r="B2" s="45" t="s">
        <v>72</v>
      </c>
      <c r="D2" s="3">
        <v>2018.0</v>
      </c>
      <c r="E2" s="3">
        <v>2019.0</v>
      </c>
      <c r="F2" s="3">
        <v>2020.0</v>
      </c>
      <c r="G2" s="3">
        <v>2021.0</v>
      </c>
      <c r="H2" s="45" t="s">
        <v>73</v>
      </c>
    </row>
    <row r="3">
      <c r="B3" s="4" t="s">
        <v>10</v>
      </c>
      <c r="D3" s="4">
        <v>7101.9</v>
      </c>
      <c r="E3" s="9">
        <v>8165.3</v>
      </c>
      <c r="F3" s="10">
        <v>7908.0</v>
      </c>
      <c r="G3" s="1">
        <v>3857.0</v>
      </c>
      <c r="H3" s="4">
        <v>3540.0</v>
      </c>
      <c r="I3" s="4" t="s">
        <v>74</v>
      </c>
    </row>
    <row r="4">
      <c r="B4" s="4" t="s">
        <v>75</v>
      </c>
      <c r="D4" s="46">
        <v>5120.35</v>
      </c>
      <c r="E4" s="46">
        <v>5507.94</v>
      </c>
      <c r="F4" s="47">
        <v>5265.47</v>
      </c>
      <c r="G4" s="47">
        <v>2682.79</v>
      </c>
      <c r="I4" s="4" t="s">
        <v>76</v>
      </c>
    </row>
    <row r="5">
      <c r="B5" s="4" t="s">
        <v>77</v>
      </c>
      <c r="D5" s="48">
        <v>0.15</v>
      </c>
      <c r="E5" s="48">
        <v>0.25</v>
      </c>
      <c r="F5" s="48">
        <v>0.15</v>
      </c>
      <c r="G5" s="48">
        <v>0.2</v>
      </c>
      <c r="H5" s="48">
        <v>0.2</v>
      </c>
    </row>
    <row r="6">
      <c r="B6" s="4" t="s">
        <v>78</v>
      </c>
      <c r="D6" s="8">
        <f t="shared" ref="D6:H6" si="1">1-D5</f>
        <v>0.85</v>
      </c>
      <c r="E6" s="8">
        <f t="shared" si="1"/>
        <v>0.75</v>
      </c>
      <c r="F6" s="8">
        <f t="shared" si="1"/>
        <v>0.85</v>
      </c>
      <c r="G6" s="8">
        <f t="shared" si="1"/>
        <v>0.8</v>
      </c>
      <c r="H6" s="8">
        <f t="shared" si="1"/>
        <v>0.8</v>
      </c>
    </row>
    <row r="7">
      <c r="B7" s="4" t="s">
        <v>79</v>
      </c>
      <c r="D7" s="7">
        <f t="shared" ref="D7:G7" si="2">D4*D5</f>
        <v>768.0525</v>
      </c>
      <c r="E7" s="7">
        <f t="shared" si="2"/>
        <v>1376.985</v>
      </c>
      <c r="F7" s="7">
        <f t="shared" si="2"/>
        <v>789.8205</v>
      </c>
      <c r="G7" s="7">
        <f t="shared" si="2"/>
        <v>536.558</v>
      </c>
      <c r="I7" s="4" t="s">
        <v>76</v>
      </c>
    </row>
    <row r="8">
      <c r="B8" s="4" t="s">
        <v>80</v>
      </c>
      <c r="D8" s="7">
        <f t="shared" ref="D8:G8" si="3">D4-D7</f>
        <v>4352.2975</v>
      </c>
      <c r="E8" s="7">
        <f t="shared" si="3"/>
        <v>4130.955</v>
      </c>
      <c r="F8" s="7">
        <f t="shared" si="3"/>
        <v>4475.6495</v>
      </c>
      <c r="G8" s="7">
        <f t="shared" si="3"/>
        <v>2146.232</v>
      </c>
      <c r="I8" s="4" t="s">
        <v>76</v>
      </c>
    </row>
    <row r="9">
      <c r="B9" s="4" t="s">
        <v>81</v>
      </c>
      <c r="D9" s="4">
        <v>1.045</v>
      </c>
      <c r="E9" s="4">
        <v>1.208</v>
      </c>
      <c r="F9" s="4">
        <v>0.887</v>
      </c>
      <c r="G9" s="4">
        <v>1.001</v>
      </c>
      <c r="H9" s="4">
        <v>1.478</v>
      </c>
      <c r="I9" s="4" t="s">
        <v>82</v>
      </c>
    </row>
    <row r="10">
      <c r="B10" s="4" t="s">
        <v>83</v>
      </c>
      <c r="D10" s="49">
        <f t="shared" ref="D10:G10" si="4">D7*D9</f>
        <v>802.6148625</v>
      </c>
      <c r="E10" s="49">
        <f t="shared" si="4"/>
        <v>1663.39788</v>
      </c>
      <c r="F10" s="49">
        <f t="shared" si="4"/>
        <v>700.5707835</v>
      </c>
      <c r="G10" s="49">
        <f t="shared" si="4"/>
        <v>537.094558</v>
      </c>
      <c r="I10" s="4" t="s">
        <v>74</v>
      </c>
    </row>
    <row r="11">
      <c r="B11" s="4" t="s">
        <v>84</v>
      </c>
      <c r="D11" s="49">
        <f t="shared" ref="D11:G11" si="5">D3-D10</f>
        <v>6299.285138</v>
      </c>
      <c r="E11" s="12">
        <f t="shared" si="5"/>
        <v>6501.90212</v>
      </c>
      <c r="F11" s="13">
        <f t="shared" si="5"/>
        <v>7207.429217</v>
      </c>
      <c r="G11" s="49">
        <f t="shared" si="5"/>
        <v>3319.905442</v>
      </c>
      <c r="I11" s="4" t="s">
        <v>74</v>
      </c>
    </row>
    <row r="12">
      <c r="B12" s="4" t="s">
        <v>72</v>
      </c>
      <c r="D12" s="50">
        <f t="shared" ref="D12:G12" si="6">D11/D8</f>
        <v>1.447347094</v>
      </c>
      <c r="E12" s="50">
        <f t="shared" si="6"/>
        <v>1.573946489</v>
      </c>
      <c r="F12" s="50">
        <f t="shared" si="6"/>
        <v>1.61036498</v>
      </c>
      <c r="G12" s="50">
        <f t="shared" si="6"/>
        <v>1.546853016</v>
      </c>
      <c r="H12" s="51">
        <f>(G12-0.35)*1.15+0.34</f>
        <v>1.716380968</v>
      </c>
      <c r="I12" s="4" t="s">
        <v>82</v>
      </c>
    </row>
    <row r="15">
      <c r="B15" s="45" t="s">
        <v>85</v>
      </c>
      <c r="C15" s="41">
        <v>1.0</v>
      </c>
      <c r="D15" s="41">
        <v>2.0</v>
      </c>
      <c r="E15" s="41">
        <v>3.0</v>
      </c>
      <c r="F15" s="41">
        <v>4.0</v>
      </c>
      <c r="G15" s="41">
        <v>5.0</v>
      </c>
      <c r="H15" s="41">
        <v>6.0</v>
      </c>
      <c r="I15" s="41">
        <v>7.0</v>
      </c>
      <c r="J15" s="41">
        <v>8.0</v>
      </c>
      <c r="K15" s="41">
        <v>9.0</v>
      </c>
      <c r="L15" s="41">
        <v>10.0</v>
      </c>
      <c r="M15" s="41">
        <v>11.0</v>
      </c>
      <c r="N15" s="41">
        <v>12.0</v>
      </c>
      <c r="O15" s="4" t="s">
        <v>86</v>
      </c>
    </row>
    <row r="16">
      <c r="B16" s="41">
        <v>2020.0</v>
      </c>
      <c r="C16" s="52">
        <v>1125.0</v>
      </c>
      <c r="D16" s="52">
        <v>1186.0</v>
      </c>
      <c r="E16" s="52">
        <v>1157.0</v>
      </c>
      <c r="F16" s="52">
        <v>882.0</v>
      </c>
      <c r="G16" s="52">
        <v>1075.0</v>
      </c>
      <c r="H16" s="52">
        <v>970.0</v>
      </c>
      <c r="I16" s="52">
        <v>903.0</v>
      </c>
      <c r="J16" s="52">
        <v>689.0</v>
      </c>
      <c r="K16" s="52">
        <v>851.0</v>
      </c>
      <c r="L16" s="4">
        <v>335.0</v>
      </c>
      <c r="M16" s="52">
        <v>704.0</v>
      </c>
      <c r="N16" s="52">
        <v>769.0</v>
      </c>
      <c r="O16" s="1">
        <f t="shared" ref="O16:O17" si="7">average(C16:N16)</f>
        <v>887.1666667</v>
      </c>
    </row>
    <row r="17">
      <c r="B17" s="41">
        <v>2021.0</v>
      </c>
      <c r="C17" s="1">
        <v>967.0</v>
      </c>
      <c r="D17" s="1">
        <v>1048.0</v>
      </c>
      <c r="E17" s="1">
        <v>1286.0</v>
      </c>
      <c r="F17" s="1">
        <v>1095.0</v>
      </c>
      <c r="G17" s="1">
        <v>1024.0</v>
      </c>
      <c r="H17" s="1">
        <v>1076.0</v>
      </c>
      <c r="I17" s="1">
        <v>912.0</v>
      </c>
      <c r="J17" s="1">
        <v>1000.0</v>
      </c>
      <c r="K17" s="1">
        <v>941.0</v>
      </c>
      <c r="L17" s="1">
        <v>926.0</v>
      </c>
      <c r="M17" s="1">
        <v>739.0</v>
      </c>
      <c r="N17" s="53">
        <v>996.0</v>
      </c>
      <c r="O17" s="1">
        <f t="shared" si="7"/>
        <v>1000.833333</v>
      </c>
    </row>
    <row r="18">
      <c r="B18" s="41">
        <v>2022.0</v>
      </c>
      <c r="C18" s="52">
        <v>1242.0</v>
      </c>
      <c r="D18" s="52">
        <v>1561.0</v>
      </c>
      <c r="E18" s="52">
        <v>1756.0</v>
      </c>
      <c r="F18" s="52">
        <v>1792.0</v>
      </c>
      <c r="G18" s="52">
        <v>1126.0</v>
      </c>
      <c r="H18" s="52">
        <v>1186.0</v>
      </c>
      <c r="I18" s="52">
        <v>1355.0</v>
      </c>
      <c r="J18" s="52">
        <v>1525.0</v>
      </c>
      <c r="K18" s="52">
        <v>1759.0</v>
      </c>
      <c r="L18" s="45">
        <v>1500.0</v>
      </c>
      <c r="M18" s="45">
        <v>1500.0</v>
      </c>
      <c r="N18" s="45">
        <v>1500.0</v>
      </c>
      <c r="O18" s="1">
        <f>average(C18:K18)</f>
        <v>1478</v>
      </c>
    </row>
    <row r="20">
      <c r="B20" s="4" t="s">
        <v>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2.0"/>
    <col customWidth="1" min="3" max="5" width="8.71"/>
    <col customWidth="1" min="6" max="6" width="10.14"/>
    <col customWidth="1" min="7" max="28" width="8.71"/>
  </cols>
  <sheetData>
    <row r="1" ht="14.25" customHeight="1"/>
    <row r="2" ht="14.25" customHeight="1">
      <c r="D2" s="1">
        <v>2018.0</v>
      </c>
      <c r="E2" s="1">
        <v>2019.0</v>
      </c>
      <c r="F2" s="1">
        <v>2020.0</v>
      </c>
      <c r="G2" s="54">
        <v>2021.0</v>
      </c>
      <c r="H2" s="4" t="s">
        <v>73</v>
      </c>
      <c r="I2" s="4">
        <v>2022.0</v>
      </c>
      <c r="J2" s="4" t="s">
        <v>88</v>
      </c>
    </row>
    <row r="3" ht="14.25" customHeight="1">
      <c r="B3" s="1" t="s">
        <v>15</v>
      </c>
      <c r="D3" s="1">
        <v>2.97</v>
      </c>
      <c r="E3" s="1">
        <v>3.21</v>
      </c>
      <c r="F3" s="1">
        <v>3.12</v>
      </c>
      <c r="G3" s="54">
        <v>1.66</v>
      </c>
      <c r="H3" s="55">
        <f>H8/H9</f>
        <v>1.425263158</v>
      </c>
      <c r="I3" s="4">
        <v>1.9</v>
      </c>
      <c r="J3" s="56">
        <f>I3-H3</f>
        <v>0.4747368421</v>
      </c>
      <c r="K3" s="1" t="s">
        <v>89</v>
      </c>
    </row>
    <row r="4" ht="14.25" customHeight="1">
      <c r="B4" s="1" t="s">
        <v>16</v>
      </c>
      <c r="D4" s="1">
        <v>6.97</v>
      </c>
      <c r="E4" s="1">
        <v>6.05</v>
      </c>
      <c r="F4" s="1">
        <v>5.38</v>
      </c>
      <c r="G4" s="54">
        <v>5.99</v>
      </c>
      <c r="I4" s="4">
        <v>6.0</v>
      </c>
      <c r="K4" s="1" t="s">
        <v>90</v>
      </c>
    </row>
    <row r="5" ht="14.25" customHeight="1">
      <c r="B5" s="1" t="s">
        <v>91</v>
      </c>
      <c r="D5" s="1">
        <v>517.49</v>
      </c>
      <c r="E5" s="1">
        <v>587.68</v>
      </c>
      <c r="F5" s="1">
        <v>537.46</v>
      </c>
      <c r="G5" s="54">
        <v>313.8</v>
      </c>
      <c r="K5" s="1" t="s">
        <v>23</v>
      </c>
    </row>
    <row r="6" ht="14.25" customHeight="1">
      <c r="B6" s="4" t="s">
        <v>21</v>
      </c>
      <c r="D6" s="22">
        <v>5607.46</v>
      </c>
      <c r="E6" s="22">
        <v>6056.26</v>
      </c>
      <c r="F6" s="57">
        <v>5776.73</v>
      </c>
      <c r="G6" s="58">
        <v>2965.62</v>
      </c>
      <c r="H6" s="7">
        <f>H10*H3</f>
        <v>2546.258389</v>
      </c>
      <c r="I6" s="7">
        <f>H6+J6</f>
        <v>3394.384337</v>
      </c>
      <c r="J6" s="1">
        <f>J10*J3</f>
        <v>848.125948</v>
      </c>
    </row>
    <row r="7" ht="14.25" customHeight="1">
      <c r="D7" s="22"/>
      <c r="E7" s="22"/>
      <c r="F7" s="23"/>
      <c r="G7" s="59"/>
    </row>
    <row r="8" ht="14.25" customHeight="1">
      <c r="B8" s="4" t="s">
        <v>92</v>
      </c>
      <c r="D8" s="1">
        <v>5081.0</v>
      </c>
      <c r="E8" s="1">
        <v>6117.0</v>
      </c>
      <c r="F8" s="1">
        <v>5956.0</v>
      </c>
      <c r="G8" s="60">
        <v>3053.0</v>
      </c>
      <c r="H8" s="4">
        <v>3385.0</v>
      </c>
      <c r="I8" s="7">
        <f t="shared" ref="I8:J8" si="1">I9*I3</f>
        <v>4512.5</v>
      </c>
      <c r="J8" s="7">
        <f t="shared" si="1"/>
        <v>1127.5</v>
      </c>
    </row>
    <row r="9" ht="14.25" customHeight="1">
      <c r="B9" s="4" t="s">
        <v>93</v>
      </c>
      <c r="D9" s="49">
        <f t="shared" ref="D9:G9" si="2">D8/D3</f>
        <v>1710.774411</v>
      </c>
      <c r="E9" s="49">
        <f t="shared" si="2"/>
        <v>1905.607477</v>
      </c>
      <c r="F9" s="49">
        <f t="shared" si="2"/>
        <v>1908.974359</v>
      </c>
      <c r="G9" s="61">
        <f t="shared" si="2"/>
        <v>1839.156627</v>
      </c>
      <c r="H9" s="62">
        <f>G11*1.35+350</f>
        <v>2375</v>
      </c>
      <c r="I9" s="62">
        <v>2375.0</v>
      </c>
      <c r="J9" s="62">
        <v>2375.0</v>
      </c>
    </row>
    <row r="10" ht="14.25" customHeight="1">
      <c r="B10" s="4" t="s">
        <v>94</v>
      </c>
      <c r="D10" s="7">
        <f t="shared" ref="D10:G10" si="3">D6/D3</f>
        <v>1888.03367</v>
      </c>
      <c r="E10" s="7">
        <f t="shared" si="3"/>
        <v>1886.685358</v>
      </c>
      <c r="F10" s="7">
        <f t="shared" si="3"/>
        <v>1851.516026</v>
      </c>
      <c r="G10" s="63">
        <f t="shared" si="3"/>
        <v>1786.518072</v>
      </c>
      <c r="H10" s="7">
        <v>1786.5180722891566</v>
      </c>
      <c r="I10" s="7">
        <v>1786.5180722891566</v>
      </c>
      <c r="J10" s="7">
        <v>1786.5180722891566</v>
      </c>
    </row>
    <row r="11" ht="14.25" customHeight="1">
      <c r="B11" s="4" t="s">
        <v>95</v>
      </c>
      <c r="F11" s="4">
        <v>1500.0</v>
      </c>
      <c r="G11" s="4">
        <v>1500.0</v>
      </c>
      <c r="H11" s="49">
        <f>H9-H12</f>
        <v>2025</v>
      </c>
    </row>
    <row r="12" ht="14.25" customHeight="1">
      <c r="A12" s="4"/>
      <c r="B12" s="4" t="s">
        <v>96</v>
      </c>
      <c r="E12" s="9"/>
      <c r="F12" s="10">
        <f t="shared" ref="F12:G12" si="4">F9-F11</f>
        <v>408.974359</v>
      </c>
      <c r="G12" s="10">
        <f t="shared" si="4"/>
        <v>339.1566265</v>
      </c>
      <c r="H12" s="4">
        <v>350.0</v>
      </c>
    </row>
    <row r="13" ht="14.25" customHeight="1">
      <c r="A13" s="4" t="s">
        <v>97</v>
      </c>
      <c r="E13" s="9"/>
      <c r="F13" s="10"/>
      <c r="G13" s="8">
        <f t="shared" ref="G13:H13" si="5">G11/G9</f>
        <v>0.8155912217</v>
      </c>
      <c r="H13" s="8">
        <f t="shared" si="5"/>
        <v>0.8526315789</v>
      </c>
    </row>
    <row r="14" ht="14.25" customHeight="1">
      <c r="B14" s="2" t="s">
        <v>98</v>
      </c>
      <c r="C14" s="2" t="s">
        <v>99</v>
      </c>
      <c r="D14" s="2" t="s">
        <v>100</v>
      </c>
      <c r="E14" s="2" t="s">
        <v>101</v>
      </c>
      <c r="F14" s="2" t="s">
        <v>102</v>
      </c>
      <c r="G14" s="24"/>
    </row>
    <row r="15" ht="14.25" customHeight="1">
      <c r="A15" s="4" t="s">
        <v>103</v>
      </c>
      <c r="B15" s="4" t="s">
        <v>104</v>
      </c>
      <c r="C15" s="64">
        <v>0.2</v>
      </c>
      <c r="D15" s="7">
        <f>J6*C15</f>
        <v>169.6251896</v>
      </c>
      <c r="E15" s="4">
        <f>'Giá bán điện'!L18</f>
        <v>1500</v>
      </c>
      <c r="F15" s="49">
        <f t="shared" ref="F15:F16" si="6">D15*E15</f>
        <v>254437.7844</v>
      </c>
      <c r="G15" s="48"/>
      <c r="H15" s="48"/>
    </row>
    <row r="16" ht="14.25" customHeight="1">
      <c r="B16" s="4" t="s">
        <v>105</v>
      </c>
      <c r="C16" s="64">
        <v>0.8</v>
      </c>
      <c r="D16" s="7">
        <f>J6*C16</f>
        <v>678.5007584</v>
      </c>
      <c r="E16" s="7">
        <f>'Giá bán điện'!H12*1000</f>
        <v>1716.380968</v>
      </c>
      <c r="F16" s="49">
        <f t="shared" si="6"/>
        <v>1164565.789</v>
      </c>
      <c r="G16" s="8"/>
      <c r="H16" s="8"/>
    </row>
    <row r="17" ht="14.25" customHeight="1">
      <c r="A17" s="4" t="s">
        <v>106</v>
      </c>
      <c r="B17" s="4" t="s">
        <v>107</v>
      </c>
      <c r="D17" s="7"/>
      <c r="E17" s="7"/>
      <c r="F17" s="7">
        <f>J8</f>
        <v>1127.5</v>
      </c>
      <c r="G17" s="7"/>
    </row>
    <row r="18" ht="14.25" customHeight="1">
      <c r="B18" s="4" t="s">
        <v>108</v>
      </c>
      <c r="F18" s="4">
        <v>14.5</v>
      </c>
    </row>
    <row r="19" ht="14.25" customHeight="1">
      <c r="B19" s="4" t="s">
        <v>109</v>
      </c>
      <c r="F19" s="4">
        <v>15.0</v>
      </c>
    </row>
    <row r="20" ht="14.25" customHeight="1">
      <c r="B20" s="4" t="s">
        <v>110</v>
      </c>
      <c r="F20" s="4">
        <v>230.0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4" max="4" width="7.0"/>
    <col customWidth="1" min="12" max="12" width="10.43"/>
    <col customWidth="1" min="13" max="13" width="9.43"/>
  </cols>
  <sheetData>
    <row r="1">
      <c r="B1" s="65" t="s">
        <v>20</v>
      </c>
      <c r="C1" s="66"/>
      <c r="D1" s="67"/>
      <c r="E1" s="68" t="s">
        <v>111</v>
      </c>
      <c r="F1" s="68" t="s">
        <v>112</v>
      </c>
      <c r="G1" s="68" t="s">
        <v>113</v>
      </c>
      <c r="H1" s="68" t="s">
        <v>114</v>
      </c>
      <c r="I1" s="68" t="s">
        <v>115</v>
      </c>
      <c r="J1" s="41" t="s">
        <v>116</v>
      </c>
      <c r="K1" s="41" t="s">
        <v>88</v>
      </c>
      <c r="L1" s="41">
        <v>2022.0</v>
      </c>
    </row>
    <row r="2">
      <c r="B2" s="69"/>
      <c r="C2" s="70"/>
      <c r="D2" s="69"/>
      <c r="E2" s="71"/>
      <c r="F2" s="72"/>
      <c r="G2" s="71"/>
      <c r="H2" s="71"/>
      <c r="I2" s="71"/>
      <c r="K2" s="49"/>
      <c r="L2" s="49"/>
      <c r="N2" s="73"/>
    </row>
    <row r="3">
      <c r="B3" s="74" t="s">
        <v>117</v>
      </c>
      <c r="C3" s="75"/>
      <c r="D3" s="76"/>
      <c r="E3" s="77">
        <v>1049.0</v>
      </c>
      <c r="F3" s="78">
        <v>539.0</v>
      </c>
      <c r="G3" s="77">
        <v>1077.0</v>
      </c>
      <c r="H3" s="77">
        <v>1290.0</v>
      </c>
      <c r="I3" s="77">
        <v>1173.0</v>
      </c>
      <c r="J3" s="79">
        <f>sum(G3:I3)</f>
        <v>3540</v>
      </c>
      <c r="K3" s="80">
        <f>sum('Giá thanDP Quý 4'!F15:F16)/1000</f>
        <v>1419.003573</v>
      </c>
      <c r="L3" s="80">
        <f>sum(J3:K3)</f>
        <v>4959.003573</v>
      </c>
    </row>
    <row r="4">
      <c r="B4" s="81" t="s">
        <v>118</v>
      </c>
      <c r="C4" s="70"/>
      <c r="D4" s="69"/>
      <c r="E4" s="82"/>
      <c r="F4" s="83"/>
      <c r="G4" s="82"/>
      <c r="H4" s="82"/>
      <c r="I4" s="82"/>
      <c r="K4" s="49"/>
      <c r="L4" s="49"/>
      <c r="O4" s="84"/>
    </row>
    <row r="5">
      <c r="B5" s="74" t="s">
        <v>119</v>
      </c>
      <c r="C5" s="75"/>
      <c r="D5" s="76"/>
      <c r="E5" s="77">
        <v>1049.0</v>
      </c>
      <c r="F5" s="78">
        <v>539.0</v>
      </c>
      <c r="G5" s="77">
        <v>1077.0</v>
      </c>
      <c r="H5" s="77">
        <v>1290.0</v>
      </c>
      <c r="I5" s="77">
        <v>1173.0</v>
      </c>
      <c r="J5" s="79">
        <f t="shared" ref="J5:J9" si="2">sum(G5:I5)</f>
        <v>3540</v>
      </c>
      <c r="K5" s="80">
        <f t="shared" ref="K5:L5" si="1">K3</f>
        <v>1419.003573</v>
      </c>
      <c r="L5" s="80">
        <f t="shared" si="1"/>
        <v>4959.003573</v>
      </c>
    </row>
    <row r="6">
      <c r="B6" s="81" t="s">
        <v>120</v>
      </c>
      <c r="C6" s="70"/>
      <c r="D6" s="69"/>
      <c r="E6" s="85">
        <v>1093.0</v>
      </c>
      <c r="F6" s="86">
        <v>561.0</v>
      </c>
      <c r="G6" s="85">
        <v>1036.0</v>
      </c>
      <c r="H6" s="85">
        <v>1170.0</v>
      </c>
      <c r="I6" s="85">
        <v>1179.0</v>
      </c>
      <c r="J6" s="13">
        <f t="shared" si="2"/>
        <v>3385</v>
      </c>
      <c r="K6" s="49">
        <f>sum('Giá thanDP Quý 4'!F17:F20)</f>
        <v>1387</v>
      </c>
      <c r="L6" s="49">
        <f t="shared" ref="L6:L8" si="3">sum(J6:K6)</f>
        <v>4772</v>
      </c>
    </row>
    <row r="7">
      <c r="B7" s="74" t="s">
        <v>121</v>
      </c>
      <c r="C7" s="75"/>
      <c r="D7" s="76"/>
      <c r="E7" s="87">
        <v>-44.0</v>
      </c>
      <c r="F7" s="78">
        <v>-22.0</v>
      </c>
      <c r="G7" s="87">
        <v>42.0</v>
      </c>
      <c r="H7" s="87">
        <v>120.0</v>
      </c>
      <c r="I7" s="87">
        <v>-6.0</v>
      </c>
      <c r="J7" s="88">
        <f t="shared" si="2"/>
        <v>156</v>
      </c>
      <c r="K7" s="80">
        <f>K5-K6</f>
        <v>32.00357308</v>
      </c>
      <c r="L7" s="80">
        <f t="shared" si="3"/>
        <v>188.0035731</v>
      </c>
    </row>
    <row r="8">
      <c r="B8" s="81" t="s">
        <v>122</v>
      </c>
      <c r="C8" s="70"/>
      <c r="D8" s="69"/>
      <c r="E8" s="89">
        <v>29.0</v>
      </c>
      <c r="F8" s="86">
        <v>94.0</v>
      </c>
      <c r="G8" s="89">
        <v>68.0</v>
      </c>
      <c r="H8" s="89">
        <v>7.0</v>
      </c>
      <c r="I8" s="89">
        <v>188.0</v>
      </c>
      <c r="J8" s="1">
        <f t="shared" si="2"/>
        <v>263</v>
      </c>
      <c r="K8" s="62">
        <f>1115*0.06/4</f>
        <v>16.725</v>
      </c>
      <c r="L8" s="49">
        <f t="shared" si="3"/>
        <v>279.725</v>
      </c>
    </row>
    <row r="9">
      <c r="B9" s="81" t="s">
        <v>123</v>
      </c>
      <c r="C9" s="70"/>
      <c r="D9" s="69"/>
      <c r="E9" s="89">
        <v>-1.0</v>
      </c>
      <c r="F9" s="86">
        <v>0.0</v>
      </c>
      <c r="G9" s="89">
        <v>0.0</v>
      </c>
      <c r="H9" s="89">
        <v>1.0</v>
      </c>
      <c r="I9" s="89">
        <v>0.0</v>
      </c>
      <c r="J9" s="1">
        <f t="shared" si="2"/>
        <v>1</v>
      </c>
      <c r="K9" s="62">
        <v>0.0</v>
      </c>
      <c r="L9" s="62">
        <v>1.0</v>
      </c>
    </row>
    <row r="10">
      <c r="B10" s="81" t="s">
        <v>124</v>
      </c>
      <c r="C10" s="70"/>
      <c r="D10" s="69"/>
      <c r="E10" s="82"/>
      <c r="F10" s="83"/>
      <c r="G10" s="82"/>
      <c r="H10" s="82"/>
      <c r="I10" s="82"/>
      <c r="K10" s="49"/>
      <c r="L10" s="49"/>
    </row>
    <row r="11">
      <c r="B11" s="81" t="s">
        <v>125</v>
      </c>
      <c r="C11" s="70"/>
      <c r="D11" s="69"/>
      <c r="E11" s="82"/>
      <c r="F11" s="83"/>
      <c r="G11" s="82"/>
      <c r="H11" s="82"/>
      <c r="I11" s="82"/>
      <c r="K11" s="49"/>
      <c r="L11" s="49"/>
    </row>
    <row r="12">
      <c r="B12" s="81" t="s">
        <v>126</v>
      </c>
      <c r="C12" s="70"/>
      <c r="D12" s="69"/>
      <c r="E12" s="82"/>
      <c r="F12" s="83"/>
      <c r="G12" s="82"/>
      <c r="H12" s="82"/>
      <c r="I12" s="82"/>
      <c r="K12" s="49"/>
      <c r="L12" s="49"/>
    </row>
    <row r="13">
      <c r="B13" s="81" t="s">
        <v>127</v>
      </c>
      <c r="C13" s="70"/>
      <c r="D13" s="69"/>
      <c r="E13" s="89">
        <v>21.0</v>
      </c>
      <c r="F13" s="86">
        <v>20.0</v>
      </c>
      <c r="G13" s="89">
        <v>25.0</v>
      </c>
      <c r="H13" s="89">
        <v>30.0</v>
      </c>
      <c r="I13" s="89">
        <v>32.0</v>
      </c>
      <c r="J13" s="1">
        <f t="shared" ref="J13:J17" si="4">sum(G13:I13)</f>
        <v>87</v>
      </c>
      <c r="K13" s="62">
        <v>35.0</v>
      </c>
      <c r="L13" s="49">
        <f>sum(J13:K13)</f>
        <v>122</v>
      </c>
      <c r="O13" s="21" t="s">
        <v>128</v>
      </c>
      <c r="P13" s="21" t="s">
        <v>129</v>
      </c>
      <c r="Q13" s="4" t="s">
        <v>130</v>
      </c>
    </row>
    <row r="14">
      <c r="B14" s="74" t="s">
        <v>131</v>
      </c>
      <c r="C14" s="75"/>
      <c r="D14" s="76"/>
      <c r="E14" s="87">
        <v>-36.0</v>
      </c>
      <c r="F14" s="78">
        <v>52.0</v>
      </c>
      <c r="G14" s="87">
        <v>86.0</v>
      </c>
      <c r="H14" s="87">
        <v>96.0</v>
      </c>
      <c r="I14" s="87">
        <v>149.0</v>
      </c>
      <c r="J14" s="1">
        <f t="shared" si="4"/>
        <v>331</v>
      </c>
      <c r="K14" s="49">
        <f t="shared" ref="K14:L14" si="5">K7+K8-K9-K13</f>
        <v>13.72857308</v>
      </c>
      <c r="L14" s="49">
        <f t="shared" si="5"/>
        <v>344.7285731</v>
      </c>
      <c r="N14" s="21"/>
      <c r="O14" s="21"/>
      <c r="P14" s="21"/>
    </row>
    <row r="15">
      <c r="B15" s="81" t="s">
        <v>132</v>
      </c>
      <c r="C15" s="70"/>
      <c r="D15" s="69"/>
      <c r="E15" s="89">
        <v>1.0</v>
      </c>
      <c r="F15" s="86">
        <v>67.0</v>
      </c>
      <c r="G15" s="89">
        <v>0.0</v>
      </c>
      <c r="H15" s="89">
        <v>0.0</v>
      </c>
      <c r="I15" s="89">
        <v>0.0</v>
      </c>
      <c r="J15" s="1">
        <f t="shared" si="4"/>
        <v>0</v>
      </c>
      <c r="K15" s="49">
        <f t="shared" ref="K15:L15" si="6">sum(H15:J15)</f>
        <v>0</v>
      </c>
      <c r="L15" s="49">
        <f t="shared" si="6"/>
        <v>0</v>
      </c>
      <c r="N15" s="21" t="s">
        <v>133</v>
      </c>
      <c r="O15" s="90">
        <v>5428.0</v>
      </c>
      <c r="P15" s="91">
        <v>278.0</v>
      </c>
    </row>
    <row r="16">
      <c r="B16" s="81" t="s">
        <v>134</v>
      </c>
      <c r="C16" s="70"/>
      <c r="D16" s="69"/>
      <c r="E16" s="89">
        <v>0.0</v>
      </c>
      <c r="F16" s="86">
        <v>49.0</v>
      </c>
      <c r="G16" s="89">
        <v>0.0</v>
      </c>
      <c r="H16" s="89">
        <v>0.0</v>
      </c>
      <c r="I16" s="89">
        <v>0.0</v>
      </c>
      <c r="J16" s="1">
        <f t="shared" si="4"/>
        <v>0</v>
      </c>
      <c r="K16" s="49">
        <f t="shared" ref="K16:L16" si="7">sum(H16:J16)</f>
        <v>0</v>
      </c>
      <c r="L16" s="49">
        <f t="shared" si="7"/>
        <v>0</v>
      </c>
      <c r="N16" s="24" t="s">
        <v>135</v>
      </c>
      <c r="O16" s="20">
        <v>4390.0</v>
      </c>
      <c r="P16" s="20">
        <v>177.0</v>
      </c>
      <c r="Q16" s="4">
        <v>216.0</v>
      </c>
    </row>
    <row r="17">
      <c r="B17" s="74" t="s">
        <v>136</v>
      </c>
      <c r="C17" s="75"/>
      <c r="D17" s="76"/>
      <c r="E17" s="87">
        <v>0.0</v>
      </c>
      <c r="F17" s="78">
        <v>19.0</v>
      </c>
      <c r="G17" s="87">
        <v>0.0</v>
      </c>
      <c r="H17" s="87">
        <v>0.0</v>
      </c>
      <c r="I17" s="87">
        <v>0.0</v>
      </c>
      <c r="J17" s="1">
        <f t="shared" si="4"/>
        <v>0</v>
      </c>
      <c r="K17" s="49">
        <f t="shared" ref="K17:L17" si="8">sum(H17:J17)</f>
        <v>0</v>
      </c>
      <c r="L17" s="49">
        <f t="shared" si="8"/>
        <v>0</v>
      </c>
      <c r="N17" s="4" t="s">
        <v>137</v>
      </c>
      <c r="O17" s="62">
        <f>L5</f>
        <v>4959.003573</v>
      </c>
      <c r="P17" s="62">
        <f>L19</f>
        <v>344.7285731</v>
      </c>
      <c r="Q17" s="62">
        <f>L22</f>
        <v>321.9828585</v>
      </c>
    </row>
    <row r="18">
      <c r="B18" s="74" t="s">
        <v>138</v>
      </c>
      <c r="C18" s="75"/>
      <c r="D18" s="76"/>
      <c r="E18" s="92"/>
      <c r="F18" s="93"/>
      <c r="G18" s="92"/>
      <c r="H18" s="92"/>
      <c r="I18" s="92"/>
      <c r="K18" s="49"/>
      <c r="L18" s="49"/>
      <c r="N18" s="4" t="s">
        <v>139</v>
      </c>
      <c r="O18" s="8">
        <f t="shared" ref="O18:P18" si="9">O17/O15</f>
        <v>0.9135968263</v>
      </c>
      <c r="P18" s="8">
        <f t="shared" si="9"/>
        <v>1.240030838</v>
      </c>
      <c r="Q18" s="8"/>
    </row>
    <row r="19">
      <c r="B19" s="74" t="s">
        <v>140</v>
      </c>
      <c r="C19" s="75"/>
      <c r="D19" s="76"/>
      <c r="E19" s="87">
        <v>-35.0</v>
      </c>
      <c r="F19" s="78">
        <v>71.0</v>
      </c>
      <c r="G19" s="87">
        <v>86.0</v>
      </c>
      <c r="H19" s="87">
        <v>96.0</v>
      </c>
      <c r="I19" s="87">
        <v>149.0</v>
      </c>
      <c r="J19" s="1">
        <f>sum(G19:I19)</f>
        <v>331</v>
      </c>
      <c r="K19" s="49">
        <f t="shared" ref="K19:L19" si="10">sum(K14,K17)</f>
        <v>13.72857308</v>
      </c>
      <c r="L19" s="49">
        <f t="shared" si="10"/>
        <v>344.7285731</v>
      </c>
      <c r="N19" s="4" t="s">
        <v>141</v>
      </c>
      <c r="O19" s="8">
        <f t="shared" ref="O19:Q19" si="11">O17/O16</f>
        <v>1.12961357</v>
      </c>
      <c r="P19" s="8">
        <f t="shared" si="11"/>
        <v>1.947619057</v>
      </c>
      <c r="Q19" s="94">
        <f t="shared" si="11"/>
        <v>1.490661382</v>
      </c>
    </row>
    <row r="20">
      <c r="B20" s="81" t="s">
        <v>142</v>
      </c>
      <c r="C20" s="70"/>
      <c r="D20" s="69"/>
      <c r="E20" s="82"/>
      <c r="F20" s="86">
        <v>7.0</v>
      </c>
      <c r="G20" s="82"/>
      <c r="H20" s="82"/>
      <c r="I20" s="82"/>
      <c r="K20" s="62">
        <f>K19*20%</f>
        <v>2.745714616</v>
      </c>
      <c r="L20" s="49">
        <f>K20</f>
        <v>2.745714616</v>
      </c>
    </row>
    <row r="21">
      <c r="B21" s="81" t="s">
        <v>143</v>
      </c>
      <c r="C21" s="70"/>
      <c r="D21" s="69"/>
      <c r="E21" s="82"/>
      <c r="F21" s="86">
        <v>0.0</v>
      </c>
      <c r="G21" s="89">
        <v>5.0</v>
      </c>
      <c r="H21" s="89">
        <v>21.0</v>
      </c>
      <c r="I21" s="89">
        <v>-6.0</v>
      </c>
      <c r="J21" s="1">
        <f t="shared" ref="J21:J22" si="12">sum(G21:I21)</f>
        <v>20</v>
      </c>
      <c r="K21" s="62"/>
      <c r="L21" s="49">
        <f>sum(J21:K21)</f>
        <v>20</v>
      </c>
    </row>
    <row r="22">
      <c r="B22" s="74" t="s">
        <v>144</v>
      </c>
      <c r="C22" s="75"/>
      <c r="D22" s="76"/>
      <c r="E22" s="87">
        <v>-35.0</v>
      </c>
      <c r="F22" s="78">
        <v>64.0</v>
      </c>
      <c r="G22" s="87">
        <v>80.0</v>
      </c>
      <c r="H22" s="87">
        <v>75.0</v>
      </c>
      <c r="I22" s="87">
        <v>155.0</v>
      </c>
      <c r="J22" s="1">
        <f t="shared" si="12"/>
        <v>310</v>
      </c>
      <c r="K22" s="49">
        <f>K19-K20</f>
        <v>10.98285847</v>
      </c>
      <c r="L22" s="49">
        <f>L19-L20-L21</f>
        <v>321.9828585</v>
      </c>
    </row>
    <row r="23">
      <c r="B23" s="81" t="s">
        <v>145</v>
      </c>
      <c r="C23" s="70"/>
      <c r="D23" s="69"/>
      <c r="E23" s="82"/>
      <c r="F23" s="83"/>
      <c r="G23" s="82"/>
      <c r="H23" s="82"/>
      <c r="I23" s="82"/>
      <c r="K23" s="49"/>
      <c r="L23" s="49"/>
    </row>
    <row r="24">
      <c r="B24" s="81" t="s">
        <v>146</v>
      </c>
      <c r="C24" s="70"/>
      <c r="D24" s="69"/>
      <c r="E24" s="89">
        <v>-35.0</v>
      </c>
      <c r="F24" s="86">
        <v>64.0</v>
      </c>
      <c r="G24" s="89">
        <v>80.0</v>
      </c>
      <c r="H24" s="89">
        <v>75.0</v>
      </c>
      <c r="I24" s="89">
        <v>155.0</v>
      </c>
      <c r="J24" s="1">
        <f>sum(G24:I24)</f>
        <v>310</v>
      </c>
      <c r="K24" s="49">
        <f t="shared" ref="K24:L24" si="13">K22</f>
        <v>10.98285847</v>
      </c>
      <c r="L24" s="80">
        <f t="shared" si="13"/>
        <v>321.9828585</v>
      </c>
    </row>
    <row r="25">
      <c r="B25" s="81" t="s">
        <v>147</v>
      </c>
      <c r="C25" s="70"/>
      <c r="D25" s="69"/>
      <c r="E25" s="82"/>
      <c r="F25" s="83"/>
      <c r="G25" s="82"/>
      <c r="H25" s="82"/>
      <c r="I25" s="82"/>
      <c r="K25" s="4" t="s">
        <v>148</v>
      </c>
      <c r="L25" s="50">
        <f>L24/M25</f>
        <v>1.004272623</v>
      </c>
      <c r="M25" s="4">
        <v>320.613</v>
      </c>
      <c r="N25" s="4" t="s">
        <v>149</v>
      </c>
    </row>
    <row r="26">
      <c r="B26" s="81" t="s">
        <v>150</v>
      </c>
      <c r="C26" s="70"/>
      <c r="D26" s="69"/>
      <c r="E26" s="82"/>
      <c r="F26" s="83"/>
      <c r="G26" s="82"/>
      <c r="H26" s="82"/>
      <c r="I26" s="82"/>
      <c r="L26" s="50">
        <f>L25*M26</f>
        <v>9.183108995</v>
      </c>
      <c r="M26" s="55">
        <f>'PE trailing'!H9</f>
        <v>9.144039959</v>
      </c>
      <c r="N26" s="4" t="s">
        <v>151</v>
      </c>
    </row>
    <row r="27">
      <c r="L27" s="8">
        <f>1-L26*1000/M27</f>
        <v>0.3069351702</v>
      </c>
      <c r="M27" s="30">
        <v>13250.0</v>
      </c>
      <c r="N27" s="95">
        <v>44816.0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1.43"/>
    <col customWidth="1" min="4" max="4" width="10.57"/>
    <col customWidth="1" min="5" max="5" width="9.0"/>
    <col customWidth="1" min="6" max="6" width="6.43"/>
  </cols>
  <sheetData>
    <row r="2">
      <c r="B2" s="68" t="s">
        <v>152</v>
      </c>
      <c r="C2" s="68">
        <v>2019.0</v>
      </c>
      <c r="D2" s="68">
        <v>2020.0</v>
      </c>
      <c r="E2" s="68">
        <v>2021.0</v>
      </c>
      <c r="F2" s="68" t="s">
        <v>153</v>
      </c>
      <c r="H2" s="68" t="s">
        <v>152</v>
      </c>
      <c r="I2" s="68" t="s">
        <v>113</v>
      </c>
      <c r="J2" s="68" t="s">
        <v>114</v>
      </c>
      <c r="K2" s="68" t="s">
        <v>115</v>
      </c>
      <c r="L2" s="68" t="s">
        <v>154</v>
      </c>
    </row>
    <row r="3">
      <c r="B3" s="4" t="s">
        <v>155</v>
      </c>
      <c r="C3" s="4">
        <v>8.183</v>
      </c>
      <c r="D3" s="4">
        <v>7929.0</v>
      </c>
      <c r="E3" s="4">
        <v>3868.0</v>
      </c>
      <c r="F3" s="4">
        <v>4959.0</v>
      </c>
      <c r="H3" s="4" t="s">
        <v>155</v>
      </c>
      <c r="I3" s="4">
        <v>1077.0</v>
      </c>
      <c r="J3" s="4">
        <v>1290.0</v>
      </c>
      <c r="K3" s="4">
        <v>1173.0</v>
      </c>
      <c r="L3" s="4">
        <v>1419.0</v>
      </c>
    </row>
    <row r="4">
      <c r="B4" s="4" t="s">
        <v>156</v>
      </c>
      <c r="C4" s="4">
        <v>6.905</v>
      </c>
      <c r="D4" s="4">
        <v>6920.0</v>
      </c>
      <c r="E4" s="4">
        <v>4102.0</v>
      </c>
      <c r="F4" s="4">
        <v>4772.0</v>
      </c>
      <c r="H4" s="4" t="s">
        <v>156</v>
      </c>
      <c r="I4" s="4">
        <v>1036.0</v>
      </c>
      <c r="J4" s="4">
        <v>1170.0</v>
      </c>
      <c r="K4" s="4">
        <v>1179.0</v>
      </c>
      <c r="L4" s="4">
        <v>1387.0</v>
      </c>
    </row>
    <row r="5">
      <c r="B5" s="4" t="s">
        <v>157</v>
      </c>
      <c r="C5" s="4">
        <v>1278.0</v>
      </c>
      <c r="D5" s="4">
        <f t="shared" ref="D5:F5" si="1">D3-D4</f>
        <v>1009</v>
      </c>
      <c r="E5" s="4">
        <f t="shared" si="1"/>
        <v>-234</v>
      </c>
      <c r="F5" s="4">
        <f t="shared" si="1"/>
        <v>187</v>
      </c>
      <c r="H5" s="4" t="s">
        <v>157</v>
      </c>
      <c r="I5" s="4">
        <f>I3-I4+1</f>
        <v>42</v>
      </c>
      <c r="J5" s="4">
        <f t="shared" ref="J5:L5" si="2">J3-J4</f>
        <v>120</v>
      </c>
      <c r="K5" s="4">
        <f t="shared" si="2"/>
        <v>-6</v>
      </c>
      <c r="L5" s="4">
        <f t="shared" si="2"/>
        <v>32</v>
      </c>
    </row>
    <row r="6">
      <c r="B6" s="4" t="s">
        <v>158</v>
      </c>
      <c r="C6" s="4">
        <v>0.0</v>
      </c>
      <c r="D6" s="4">
        <v>0.0</v>
      </c>
      <c r="E6" s="4">
        <v>0.0</v>
      </c>
      <c r="F6" s="4">
        <v>0.0</v>
      </c>
      <c r="H6" s="4" t="s">
        <v>158</v>
      </c>
    </row>
    <row r="7">
      <c r="B7" s="4" t="s">
        <v>159</v>
      </c>
      <c r="C7" s="4">
        <v>75.0</v>
      </c>
      <c r="D7" s="4">
        <v>81.0</v>
      </c>
      <c r="E7" s="4">
        <v>87.0</v>
      </c>
      <c r="F7" s="4">
        <v>122.0</v>
      </c>
      <c r="H7" s="4" t="s">
        <v>159</v>
      </c>
      <c r="I7" s="4">
        <v>25.0</v>
      </c>
      <c r="J7" s="4">
        <v>30.0</v>
      </c>
      <c r="K7" s="4">
        <v>32.0</v>
      </c>
      <c r="L7" s="4">
        <v>35.0</v>
      </c>
    </row>
    <row r="8">
      <c r="B8" s="4" t="s">
        <v>160</v>
      </c>
      <c r="C8" s="4">
        <f t="shared" ref="C8:F8" si="3">C5-C6-C7</f>
        <v>1203</v>
      </c>
      <c r="D8" s="4">
        <f t="shared" si="3"/>
        <v>928</v>
      </c>
      <c r="E8" s="4">
        <f t="shared" si="3"/>
        <v>-321</v>
      </c>
      <c r="F8" s="4">
        <f t="shared" si="3"/>
        <v>65</v>
      </c>
      <c r="H8" s="4" t="s">
        <v>160</v>
      </c>
      <c r="I8" s="4">
        <f t="shared" ref="I8:L8" si="4">I5-I6-I7</f>
        <v>17</v>
      </c>
      <c r="J8" s="4">
        <f t="shared" si="4"/>
        <v>90</v>
      </c>
      <c r="K8" s="4">
        <f t="shared" si="4"/>
        <v>-38</v>
      </c>
      <c r="L8" s="4">
        <f t="shared" si="4"/>
        <v>-3</v>
      </c>
    </row>
    <row r="9">
      <c r="B9" s="4" t="s">
        <v>161</v>
      </c>
      <c r="C9" s="4">
        <v>307.0</v>
      </c>
      <c r="D9" s="4">
        <v>284.0</v>
      </c>
      <c r="E9" s="4">
        <v>476.0</v>
      </c>
      <c r="F9" s="4">
        <v>279.0</v>
      </c>
      <c r="H9" s="4" t="s">
        <v>161</v>
      </c>
      <c r="I9" s="4">
        <v>68.0</v>
      </c>
      <c r="J9" s="4">
        <v>6.0</v>
      </c>
      <c r="K9" s="4">
        <v>188.0</v>
      </c>
      <c r="L9" s="4">
        <v>17.0</v>
      </c>
    </row>
    <row r="10">
      <c r="B10" s="4" t="s">
        <v>162</v>
      </c>
      <c r="C10" s="4">
        <v>1.0</v>
      </c>
      <c r="D10" s="4">
        <v>2.0</v>
      </c>
      <c r="E10" s="4">
        <v>21.0</v>
      </c>
      <c r="F10" s="4">
        <v>0.0</v>
      </c>
      <c r="H10" s="4" t="s">
        <v>162</v>
      </c>
      <c r="I10" s="4">
        <v>0.0</v>
      </c>
      <c r="J10" s="4">
        <v>0.0</v>
      </c>
      <c r="K10" s="4">
        <v>0.0</v>
      </c>
      <c r="L10" s="4">
        <v>0.0</v>
      </c>
    </row>
    <row r="11">
      <c r="B11" s="4" t="s">
        <v>163</v>
      </c>
      <c r="C11" s="4">
        <f>C8+C9+C10+31</f>
        <v>1542</v>
      </c>
      <c r="D11" s="4">
        <f>D8+D9+D10</f>
        <v>1214</v>
      </c>
      <c r="E11" s="4">
        <f t="shared" ref="E11:F11" si="5">E8+E9+E10+1</f>
        <v>177</v>
      </c>
      <c r="F11" s="4">
        <f t="shared" si="5"/>
        <v>345</v>
      </c>
      <c r="H11" s="4" t="s">
        <v>163</v>
      </c>
      <c r="I11" s="4">
        <f>I8+I9+I10+1</f>
        <v>86</v>
      </c>
      <c r="J11" s="4">
        <f t="shared" ref="J11:L11" si="6">J8+J9+J10</f>
        <v>96</v>
      </c>
      <c r="K11" s="4">
        <f t="shared" si="6"/>
        <v>150</v>
      </c>
      <c r="L11" s="4">
        <f t="shared" si="6"/>
        <v>14</v>
      </c>
    </row>
    <row r="12">
      <c r="B12" s="4" t="s">
        <v>164</v>
      </c>
      <c r="H12" s="4" t="s">
        <v>164</v>
      </c>
    </row>
    <row r="13">
      <c r="B13" s="4" t="s">
        <v>165</v>
      </c>
      <c r="C13" s="4">
        <v>12.0</v>
      </c>
      <c r="D13" s="4">
        <v>3.0</v>
      </c>
      <c r="E13" s="4">
        <v>0.0</v>
      </c>
      <c r="F13" s="4">
        <v>0.0</v>
      </c>
      <c r="H13" s="4" t="s">
        <v>165</v>
      </c>
      <c r="I13" s="4">
        <v>0.0</v>
      </c>
      <c r="J13" s="4">
        <v>0.0</v>
      </c>
      <c r="K13" s="4">
        <v>0.0</v>
      </c>
      <c r="L13" s="4">
        <v>0.0</v>
      </c>
    </row>
    <row r="14">
      <c r="B14" s="4" t="s">
        <v>166</v>
      </c>
      <c r="C14" s="4">
        <f t="shared" ref="C14:F14" si="7">C11-C13</f>
        <v>1530</v>
      </c>
      <c r="D14" s="4">
        <f t="shared" si="7"/>
        <v>1211</v>
      </c>
      <c r="E14" s="4">
        <f t="shared" si="7"/>
        <v>177</v>
      </c>
      <c r="F14" s="4">
        <f t="shared" si="7"/>
        <v>345</v>
      </c>
      <c r="H14" s="4" t="s">
        <v>166</v>
      </c>
      <c r="I14" s="4">
        <f t="shared" ref="I14:L14" si="8">I11-I13</f>
        <v>86</v>
      </c>
      <c r="J14" s="4">
        <f t="shared" si="8"/>
        <v>96</v>
      </c>
      <c r="K14" s="4">
        <f t="shared" si="8"/>
        <v>150</v>
      </c>
      <c r="L14" s="4">
        <f t="shared" si="8"/>
        <v>14</v>
      </c>
    </row>
    <row r="15">
      <c r="B15" s="4" t="s">
        <v>167</v>
      </c>
      <c r="C15" s="4">
        <v>269.0</v>
      </c>
      <c r="D15" s="4">
        <v>200.0</v>
      </c>
      <c r="E15" s="4">
        <v>7.0</v>
      </c>
      <c r="F15" s="4">
        <v>3.0</v>
      </c>
      <c r="H15" s="4" t="s">
        <v>167</v>
      </c>
      <c r="L15" s="4">
        <v>3.0</v>
      </c>
    </row>
    <row r="16">
      <c r="B16" s="4" t="s">
        <v>168</v>
      </c>
      <c r="C16" s="4">
        <v>0.0</v>
      </c>
      <c r="D16" s="4">
        <v>0.0</v>
      </c>
      <c r="E16" s="4">
        <v>-46.0</v>
      </c>
      <c r="F16" s="4">
        <v>20.0</v>
      </c>
      <c r="H16" s="4" t="s">
        <v>168</v>
      </c>
      <c r="I16" s="4">
        <v>5.0</v>
      </c>
      <c r="J16" s="4">
        <v>21.0</v>
      </c>
      <c r="K16" s="4">
        <v>-6.0</v>
      </c>
    </row>
    <row r="17">
      <c r="B17" s="4" t="s">
        <v>169</v>
      </c>
      <c r="C17" s="4">
        <f t="shared" ref="C17:F17" si="9">C14-C15-C16</f>
        <v>1261</v>
      </c>
      <c r="D17" s="4">
        <f t="shared" si="9"/>
        <v>1011</v>
      </c>
      <c r="E17" s="4">
        <f t="shared" si="9"/>
        <v>216</v>
      </c>
      <c r="F17" s="4">
        <f t="shared" si="9"/>
        <v>322</v>
      </c>
      <c r="H17" s="4" t="s">
        <v>169</v>
      </c>
      <c r="I17" s="4">
        <f>I14-I15-I16-1</f>
        <v>80</v>
      </c>
      <c r="J17" s="4">
        <f>J14-J15-J16</f>
        <v>75</v>
      </c>
      <c r="K17" s="4">
        <f>K14-K15-K16-1</f>
        <v>155</v>
      </c>
      <c r="L17" s="4">
        <f>L14-L15-L16</f>
        <v>11</v>
      </c>
    </row>
    <row r="18">
      <c r="B18" s="4" t="s">
        <v>170</v>
      </c>
      <c r="C18" s="4">
        <v>0.0</v>
      </c>
      <c r="D18" s="4">
        <v>0.0</v>
      </c>
      <c r="E18" s="4">
        <v>0.0</v>
      </c>
      <c r="F18" s="4">
        <v>0.0</v>
      </c>
      <c r="H18" s="4" t="s">
        <v>170</v>
      </c>
      <c r="I18" s="4">
        <v>0.0</v>
      </c>
      <c r="J18" s="4">
        <v>0.0</v>
      </c>
      <c r="K18" s="4">
        <v>0.0</v>
      </c>
      <c r="L18" s="4">
        <v>0.0</v>
      </c>
    </row>
    <row r="19">
      <c r="B19" s="4" t="s">
        <v>171</v>
      </c>
      <c r="C19" s="4">
        <f t="shared" ref="C19:F19" si="10">C17-C18</f>
        <v>1261</v>
      </c>
      <c r="D19" s="4">
        <f t="shared" si="10"/>
        <v>1011</v>
      </c>
      <c r="E19" s="4">
        <f t="shared" si="10"/>
        <v>216</v>
      </c>
      <c r="F19" s="4">
        <f t="shared" si="10"/>
        <v>322</v>
      </c>
      <c r="H19" s="4" t="s">
        <v>171</v>
      </c>
      <c r="I19" s="4">
        <f t="shared" ref="I19:L19" si="11">I17-I18</f>
        <v>80</v>
      </c>
      <c r="J19" s="4">
        <f t="shared" si="11"/>
        <v>75</v>
      </c>
      <c r="K19" s="4">
        <f t="shared" si="11"/>
        <v>155</v>
      </c>
      <c r="L19" s="4">
        <f t="shared" si="11"/>
        <v>11</v>
      </c>
    </row>
    <row r="20">
      <c r="B20" s="4" t="s">
        <v>172</v>
      </c>
      <c r="C20" s="62">
        <f t="shared" ref="C20:F20" si="12">C19/0.320613</f>
        <v>3933.090673</v>
      </c>
      <c r="D20" s="62">
        <f t="shared" si="12"/>
        <v>3153.334394</v>
      </c>
      <c r="E20" s="62">
        <f t="shared" si="12"/>
        <v>673.7094254</v>
      </c>
      <c r="F20" s="62">
        <f t="shared" si="12"/>
        <v>1004.326088</v>
      </c>
      <c r="I20" s="62"/>
    </row>
    <row r="24">
      <c r="B24" s="52"/>
      <c r="C24" s="75"/>
      <c r="D24" s="75"/>
      <c r="E24" s="76"/>
      <c r="F24" s="77"/>
      <c r="G24" s="77"/>
      <c r="H24" s="77"/>
      <c r="I24" s="77"/>
    </row>
    <row r="25">
      <c r="B25" s="96"/>
      <c r="C25" s="69"/>
      <c r="D25" s="71"/>
      <c r="E25" s="68">
        <v>2019.0</v>
      </c>
      <c r="F25" s="68">
        <v>2020.0</v>
      </c>
      <c r="G25" s="68">
        <v>2021.0</v>
      </c>
      <c r="H25" s="68"/>
      <c r="I25" s="85"/>
    </row>
    <row r="26">
      <c r="B26" s="74" t="s">
        <v>117</v>
      </c>
      <c r="C26" s="75"/>
      <c r="D26" s="76"/>
      <c r="E26" s="77">
        <v>8183.0</v>
      </c>
      <c r="F26" s="77">
        <v>7929.0</v>
      </c>
      <c r="G26" s="77">
        <v>3868.0</v>
      </c>
      <c r="H26" s="77"/>
      <c r="I26" s="97"/>
    </row>
    <row r="27">
      <c r="B27" s="81" t="s">
        <v>118</v>
      </c>
      <c r="C27" s="70"/>
      <c r="D27" s="69"/>
      <c r="E27" s="98"/>
      <c r="F27" s="98"/>
      <c r="G27" s="98"/>
      <c r="H27" s="98"/>
      <c r="I27" s="89"/>
    </row>
    <row r="28">
      <c r="B28" s="74" t="s">
        <v>119</v>
      </c>
      <c r="C28" s="75"/>
      <c r="D28" s="76"/>
      <c r="E28" s="77">
        <v>8183.0</v>
      </c>
      <c r="F28" s="77">
        <v>7929.0</v>
      </c>
      <c r="G28" s="77">
        <v>3868.0</v>
      </c>
      <c r="H28" s="77"/>
      <c r="I28" s="89"/>
    </row>
    <row r="29">
      <c r="B29" s="81" t="s">
        <v>120</v>
      </c>
      <c r="C29" s="70"/>
      <c r="D29" s="69"/>
      <c r="E29" s="85">
        <v>6905.0</v>
      </c>
      <c r="F29" s="85">
        <v>6920.0</v>
      </c>
      <c r="G29" s="85">
        <v>4102.0</v>
      </c>
      <c r="H29" s="85"/>
      <c r="I29" s="82"/>
    </row>
    <row r="30">
      <c r="B30" s="74" t="s">
        <v>121</v>
      </c>
      <c r="C30" s="75"/>
      <c r="D30" s="76"/>
      <c r="E30" s="77">
        <v>1278.0</v>
      </c>
      <c r="F30" s="77">
        <v>1009.0</v>
      </c>
      <c r="G30" s="87">
        <v>-234.0</v>
      </c>
      <c r="H30" s="87"/>
      <c r="I30" s="89"/>
    </row>
    <row r="31">
      <c r="B31" s="81" t="s">
        <v>122</v>
      </c>
      <c r="C31" s="70"/>
      <c r="D31" s="69"/>
      <c r="E31" s="85">
        <v>310.0</v>
      </c>
      <c r="F31" s="85">
        <v>287.0</v>
      </c>
      <c r="G31" s="85">
        <v>452.0</v>
      </c>
      <c r="H31" s="85"/>
      <c r="I31" s="87"/>
    </row>
    <row r="32">
      <c r="B32" s="81" t="s">
        <v>123</v>
      </c>
      <c r="C32" s="70"/>
      <c r="D32" s="69"/>
      <c r="E32" s="89">
        <v>-15.0</v>
      </c>
      <c r="F32" s="89">
        <v>7.0</v>
      </c>
      <c r="G32" s="89">
        <v>-24.0</v>
      </c>
      <c r="H32" s="89"/>
      <c r="I32" s="89"/>
    </row>
    <row r="33">
      <c r="B33" s="81" t="s">
        <v>124</v>
      </c>
      <c r="C33" s="70"/>
      <c r="D33" s="69"/>
      <c r="E33" s="99">
        <v>12.0</v>
      </c>
      <c r="F33" s="99">
        <v>3.0</v>
      </c>
      <c r="G33" s="100"/>
      <c r="H33" s="100"/>
      <c r="I33" s="82"/>
    </row>
    <row r="34">
      <c r="B34" s="81" t="s">
        <v>125</v>
      </c>
      <c r="C34" s="70"/>
      <c r="D34" s="69"/>
      <c r="E34" s="101"/>
      <c r="F34" s="101"/>
      <c r="G34" s="101"/>
      <c r="H34" s="101"/>
      <c r="I34" s="87"/>
    </row>
    <row r="35">
      <c r="B35" s="81" t="s">
        <v>126</v>
      </c>
      <c r="C35" s="70"/>
      <c r="D35" s="69"/>
      <c r="E35" s="101"/>
      <c r="F35" s="101"/>
      <c r="G35" s="101"/>
      <c r="H35" s="101"/>
      <c r="I35" s="87"/>
    </row>
    <row r="36">
      <c r="B36" s="81" t="s">
        <v>127</v>
      </c>
      <c r="C36" s="70"/>
      <c r="D36" s="69"/>
      <c r="E36" s="85">
        <v>75.0</v>
      </c>
      <c r="F36" s="85">
        <v>81.0</v>
      </c>
      <c r="G36" s="85">
        <v>87.0</v>
      </c>
      <c r="H36" s="85"/>
      <c r="I36" s="87"/>
    </row>
    <row r="37">
      <c r="B37" s="74" t="s">
        <v>131</v>
      </c>
      <c r="C37" s="75"/>
      <c r="D37" s="76"/>
      <c r="E37" s="77">
        <v>1528.0</v>
      </c>
      <c r="F37" s="77">
        <v>1209.0</v>
      </c>
      <c r="G37" s="77">
        <v>156.0</v>
      </c>
      <c r="H37" s="77"/>
      <c r="I37" s="89"/>
    </row>
    <row r="38">
      <c r="B38" s="81" t="s">
        <v>132</v>
      </c>
      <c r="C38" s="70"/>
      <c r="D38" s="69"/>
      <c r="E38" s="89">
        <v>4.0</v>
      </c>
      <c r="F38" s="89">
        <v>3.0</v>
      </c>
      <c r="G38" s="89">
        <v>70.0</v>
      </c>
      <c r="H38" s="89"/>
    </row>
    <row r="39">
      <c r="B39" s="81" t="s">
        <v>134</v>
      </c>
      <c r="C39" s="70"/>
      <c r="D39" s="69"/>
      <c r="E39" s="89">
        <v>3.0</v>
      </c>
      <c r="F39" s="89">
        <v>1.0</v>
      </c>
      <c r="G39" s="89">
        <v>49.0</v>
      </c>
      <c r="H39" s="89"/>
    </row>
    <row r="40">
      <c r="B40" s="74" t="s">
        <v>136</v>
      </c>
      <c r="C40" s="75"/>
      <c r="D40" s="76"/>
      <c r="E40" s="87">
        <v>1.0</v>
      </c>
      <c r="F40" s="87">
        <v>2.0</v>
      </c>
      <c r="G40" s="87">
        <v>21.0</v>
      </c>
      <c r="H40" s="87"/>
    </row>
    <row r="41">
      <c r="B41" s="74" t="s">
        <v>138</v>
      </c>
      <c r="C41" s="75"/>
      <c r="D41" s="76"/>
      <c r="E41" s="92"/>
      <c r="F41" s="92"/>
      <c r="G41" s="92"/>
      <c r="H41" s="92"/>
    </row>
    <row r="42">
      <c r="B42" s="74" t="s">
        <v>140</v>
      </c>
      <c r="C42" s="75"/>
      <c r="D42" s="76"/>
      <c r="E42" s="77">
        <v>1530.0</v>
      </c>
      <c r="F42" s="77">
        <v>1211.0</v>
      </c>
      <c r="G42" s="87">
        <v>177.0</v>
      </c>
      <c r="H42" s="87"/>
    </row>
    <row r="43">
      <c r="B43" s="81" t="s">
        <v>142</v>
      </c>
      <c r="C43" s="70"/>
      <c r="D43" s="69"/>
      <c r="E43" s="89">
        <v>269.0</v>
      </c>
      <c r="F43" s="89">
        <v>200.0</v>
      </c>
      <c r="G43" s="89">
        <v>7.0</v>
      </c>
      <c r="H43" s="89"/>
    </row>
    <row r="44">
      <c r="B44" s="81" t="s">
        <v>143</v>
      </c>
      <c r="C44" s="70"/>
      <c r="D44" s="69"/>
      <c r="E44" s="82"/>
      <c r="F44" s="89">
        <v>0.0</v>
      </c>
      <c r="G44" s="89">
        <v>-46.0</v>
      </c>
      <c r="H44" s="89"/>
    </row>
    <row r="45">
      <c r="B45" s="74" t="s">
        <v>144</v>
      </c>
      <c r="C45" s="75"/>
      <c r="D45" s="76"/>
      <c r="E45" s="77">
        <v>1261.0</v>
      </c>
      <c r="F45" s="77">
        <v>1011.0</v>
      </c>
      <c r="G45" s="87">
        <v>216.0</v>
      </c>
      <c r="H45" s="87"/>
    </row>
    <row r="46">
      <c r="B46" s="81" t="s">
        <v>145</v>
      </c>
      <c r="C46" s="70"/>
      <c r="D46" s="69"/>
      <c r="E46" s="82"/>
      <c r="F46" s="82"/>
      <c r="G46" s="82"/>
      <c r="H46" s="82"/>
    </row>
    <row r="47">
      <c r="B47" s="81" t="s">
        <v>146</v>
      </c>
      <c r="C47" s="70"/>
      <c r="D47" s="69"/>
      <c r="E47" s="85">
        <v>1261.0</v>
      </c>
      <c r="F47" s="85">
        <v>1011.0</v>
      </c>
      <c r="G47" s="89">
        <v>216.0</v>
      </c>
      <c r="H47" s="89"/>
    </row>
    <row r="48">
      <c r="B48" s="81" t="s">
        <v>147</v>
      </c>
      <c r="C48" s="70"/>
      <c r="D48" s="69"/>
      <c r="E48" s="85">
        <v>3933.0</v>
      </c>
      <c r="F48" s="85">
        <v>3153.0</v>
      </c>
      <c r="G48" s="89">
        <v>674.0</v>
      </c>
      <c r="H48" s="89"/>
    </row>
    <row r="53">
      <c r="F53" s="68" t="s">
        <v>112</v>
      </c>
      <c r="G53" s="68" t="s">
        <v>113</v>
      </c>
      <c r="H53" s="68" t="s">
        <v>114</v>
      </c>
      <c r="I53" s="68" t="s">
        <v>115</v>
      </c>
    </row>
    <row r="54">
      <c r="C54" s="74" t="s">
        <v>117</v>
      </c>
      <c r="D54" s="75"/>
      <c r="E54" s="76"/>
      <c r="F54" s="87"/>
      <c r="G54" s="77">
        <v>1077.0</v>
      </c>
      <c r="H54" s="77">
        <v>1290.0</v>
      </c>
      <c r="I54" s="77">
        <v>1173.0</v>
      </c>
    </row>
    <row r="55">
      <c r="C55" s="81" t="s">
        <v>118</v>
      </c>
      <c r="D55" s="102"/>
      <c r="E55" s="103"/>
      <c r="F55" s="101"/>
      <c r="G55" s="82"/>
      <c r="H55" s="82"/>
      <c r="I55" s="82"/>
    </row>
    <row r="56">
      <c r="C56" s="74" t="s">
        <v>119</v>
      </c>
      <c r="D56" s="75"/>
      <c r="E56" s="76"/>
      <c r="F56" s="87"/>
      <c r="G56" s="77">
        <v>1077.0</v>
      </c>
      <c r="H56" s="77">
        <v>1290.0</v>
      </c>
      <c r="I56" s="77">
        <v>1173.0</v>
      </c>
    </row>
    <row r="57">
      <c r="C57" s="81" t="s">
        <v>120</v>
      </c>
      <c r="D57" s="70"/>
      <c r="E57" s="69"/>
      <c r="F57" s="89"/>
      <c r="G57" s="85">
        <v>1036.0</v>
      </c>
      <c r="H57" s="85">
        <v>1170.0</v>
      </c>
      <c r="I57" s="85">
        <v>1179.0</v>
      </c>
    </row>
    <row r="58">
      <c r="C58" s="74" t="s">
        <v>121</v>
      </c>
      <c r="D58" s="104"/>
      <c r="E58" s="105"/>
      <c r="F58" s="77"/>
      <c r="G58" s="87">
        <v>42.0</v>
      </c>
      <c r="H58" s="87">
        <v>120.0</v>
      </c>
      <c r="I58" s="87">
        <v>-6.0</v>
      </c>
    </row>
    <row r="59">
      <c r="C59" s="81" t="s">
        <v>122</v>
      </c>
      <c r="D59" s="70"/>
      <c r="E59" s="69"/>
      <c r="F59" s="89"/>
      <c r="G59" s="89">
        <v>68.0</v>
      </c>
      <c r="H59" s="89">
        <v>7.0</v>
      </c>
      <c r="I59" s="89">
        <v>188.0</v>
      </c>
    </row>
    <row r="60">
      <c r="C60" s="81" t="s">
        <v>123</v>
      </c>
      <c r="D60" s="102"/>
      <c r="E60" s="103"/>
      <c r="F60" s="85"/>
      <c r="G60" s="89">
        <v>0.0</v>
      </c>
      <c r="H60" s="89">
        <v>1.0</v>
      </c>
      <c r="I60" s="89">
        <v>0.0</v>
      </c>
    </row>
    <row r="61">
      <c r="C61" s="81" t="s">
        <v>124</v>
      </c>
      <c r="D61" s="70"/>
      <c r="E61" s="69"/>
      <c r="F61" s="82"/>
      <c r="G61" s="82"/>
      <c r="H61" s="82"/>
      <c r="I61" s="82"/>
    </row>
    <row r="62">
      <c r="C62" s="81" t="s">
        <v>125</v>
      </c>
      <c r="D62" s="96"/>
      <c r="E62" s="106"/>
      <c r="F62" s="98"/>
      <c r="G62" s="82"/>
      <c r="H62" s="82"/>
      <c r="I62" s="82"/>
    </row>
    <row r="63">
      <c r="C63" s="81" t="s">
        <v>126</v>
      </c>
      <c r="D63" s="70"/>
      <c r="E63" s="69"/>
      <c r="F63" s="82"/>
      <c r="G63" s="82"/>
      <c r="H63" s="82"/>
      <c r="I63" s="82"/>
    </row>
    <row r="64">
      <c r="C64" s="81" t="s">
        <v>127</v>
      </c>
      <c r="D64" s="96"/>
      <c r="E64" s="106"/>
      <c r="F64" s="89"/>
      <c r="G64" s="89">
        <v>25.0</v>
      </c>
      <c r="H64" s="89">
        <v>30.0</v>
      </c>
      <c r="I64" s="89">
        <v>32.0</v>
      </c>
    </row>
    <row r="65">
      <c r="C65" s="74" t="s">
        <v>131</v>
      </c>
      <c r="D65" s="75"/>
      <c r="E65" s="76"/>
      <c r="F65" s="87"/>
      <c r="G65" s="87">
        <v>86.0</v>
      </c>
      <c r="H65" s="87">
        <v>96.0</v>
      </c>
      <c r="I65" s="87">
        <v>149.0</v>
      </c>
    </row>
    <row r="66">
      <c r="C66" s="81" t="s">
        <v>132</v>
      </c>
      <c r="D66" s="96"/>
      <c r="E66" s="106"/>
      <c r="F66" s="89"/>
      <c r="G66" s="89">
        <v>0.0</v>
      </c>
      <c r="H66" s="89">
        <v>0.0</v>
      </c>
      <c r="I66" s="89">
        <v>0.0</v>
      </c>
    </row>
    <row r="67">
      <c r="C67" s="81" t="s">
        <v>134</v>
      </c>
      <c r="D67" s="70"/>
      <c r="E67" s="69"/>
      <c r="F67" s="89"/>
      <c r="G67" s="89">
        <v>0.0</v>
      </c>
      <c r="H67" s="89">
        <v>0.0</v>
      </c>
      <c r="I67" s="89">
        <v>0.0</v>
      </c>
    </row>
    <row r="68">
      <c r="C68" s="74" t="s">
        <v>136</v>
      </c>
      <c r="D68" s="75"/>
      <c r="E68" s="76"/>
      <c r="F68" s="87"/>
      <c r="G68" s="87">
        <v>0.0</v>
      </c>
      <c r="H68" s="87">
        <v>0.0</v>
      </c>
      <c r="I68" s="87">
        <v>0.0</v>
      </c>
    </row>
    <row r="69">
      <c r="C69" s="74" t="s">
        <v>138</v>
      </c>
      <c r="D69" s="75"/>
      <c r="E69" s="76"/>
      <c r="F69" s="92"/>
      <c r="G69" s="92"/>
      <c r="H69" s="92"/>
      <c r="I69" s="92"/>
    </row>
    <row r="70">
      <c r="C70" s="74" t="s">
        <v>140</v>
      </c>
      <c r="D70" s="75"/>
      <c r="E70" s="76"/>
      <c r="F70" s="87">
        <v>71.0</v>
      </c>
      <c r="G70" s="87">
        <v>86.0</v>
      </c>
      <c r="H70" s="87">
        <v>96.0</v>
      </c>
      <c r="I70" s="87">
        <v>149.0</v>
      </c>
    </row>
    <row r="71">
      <c r="C71" s="81" t="s">
        <v>142</v>
      </c>
      <c r="D71" s="96"/>
      <c r="E71" s="106"/>
      <c r="F71" s="89">
        <v>7.0</v>
      </c>
      <c r="G71" s="82"/>
      <c r="H71" s="82"/>
      <c r="I71" s="82"/>
    </row>
    <row r="72">
      <c r="C72" s="81" t="s">
        <v>143</v>
      </c>
      <c r="D72" s="70"/>
      <c r="E72" s="69"/>
      <c r="F72" s="99">
        <v>0.0</v>
      </c>
      <c r="G72" s="99">
        <v>5.0</v>
      </c>
      <c r="H72" s="99">
        <v>21.0</v>
      </c>
      <c r="I72" s="99">
        <v>-6.0</v>
      </c>
    </row>
    <row r="73">
      <c r="C73" s="74" t="s">
        <v>144</v>
      </c>
      <c r="D73" s="107"/>
      <c r="E73" s="108"/>
      <c r="F73" s="87">
        <v>64.0</v>
      </c>
      <c r="G73" s="87">
        <v>80.0</v>
      </c>
      <c r="H73" s="87">
        <v>75.0</v>
      </c>
      <c r="I73" s="87">
        <v>155.0</v>
      </c>
    </row>
    <row r="74">
      <c r="C74" s="81" t="s">
        <v>145</v>
      </c>
      <c r="D74" s="70"/>
      <c r="E74" s="69"/>
      <c r="F74" s="82"/>
      <c r="G74" s="82"/>
      <c r="H74" s="82"/>
      <c r="I74" s="82"/>
    </row>
    <row r="75">
      <c r="C75" s="81" t="s">
        <v>146</v>
      </c>
      <c r="D75" s="96"/>
      <c r="E75" s="106"/>
      <c r="F75" s="89">
        <v>64.0</v>
      </c>
      <c r="G75" s="89">
        <v>80.0</v>
      </c>
      <c r="H75" s="89">
        <v>75.0</v>
      </c>
      <c r="I75" s="89">
        <v>155.0</v>
      </c>
    </row>
    <row r="76">
      <c r="C76" s="4" t="s">
        <v>134</v>
      </c>
    </row>
    <row r="77">
      <c r="C77" s="4">
        <v>49.0</v>
      </c>
      <c r="D77" s="4">
        <v>0.0</v>
      </c>
      <c r="E77" s="4">
        <v>0.0</v>
      </c>
      <c r="F77" s="4">
        <v>0.0</v>
      </c>
    </row>
    <row r="78">
      <c r="C78" s="4" t="s">
        <v>136</v>
      </c>
    </row>
    <row r="79">
      <c r="C79" s="4">
        <v>19.0</v>
      </c>
      <c r="D79" s="4">
        <v>0.0</v>
      </c>
      <c r="E79" s="4">
        <v>0.0</v>
      </c>
      <c r="F79" s="4">
        <v>0.0</v>
      </c>
    </row>
    <row r="80">
      <c r="C80" s="4" t="s">
        <v>138</v>
      </c>
    </row>
    <row r="81">
      <c r="C81" s="4" t="s">
        <v>140</v>
      </c>
    </row>
    <row r="82">
      <c r="C82" s="4">
        <v>71.0</v>
      </c>
      <c r="D82" s="4">
        <v>86.0</v>
      </c>
      <c r="E82" s="4">
        <v>96.0</v>
      </c>
      <c r="F82" s="4">
        <v>149.0</v>
      </c>
    </row>
    <row r="83">
      <c r="C83" s="4" t="s">
        <v>142</v>
      </c>
    </row>
    <row r="84">
      <c r="C84" s="4">
        <v>7.0</v>
      </c>
    </row>
    <row r="85">
      <c r="C85" s="4" t="s">
        <v>143</v>
      </c>
    </row>
    <row r="86">
      <c r="C86" s="4">
        <v>0.0</v>
      </c>
      <c r="D86" s="4">
        <v>5.0</v>
      </c>
      <c r="E86" s="4">
        <v>21.0</v>
      </c>
      <c r="F86" s="4">
        <v>-6.0</v>
      </c>
    </row>
    <row r="87">
      <c r="C87" s="4" t="s">
        <v>144</v>
      </c>
    </row>
    <row r="88">
      <c r="C88" s="4">
        <v>64.0</v>
      </c>
      <c r="D88" s="4">
        <v>80.0</v>
      </c>
      <c r="E88" s="4">
        <v>75.0</v>
      </c>
      <c r="F88" s="4">
        <v>155.0</v>
      </c>
    </row>
    <row r="89">
      <c r="C89" s="4" t="s">
        <v>145</v>
      </c>
    </row>
    <row r="90">
      <c r="C90" s="4" t="s">
        <v>146</v>
      </c>
    </row>
    <row r="91">
      <c r="C91" s="4">
        <v>64.0</v>
      </c>
      <c r="D91" s="4">
        <v>80.0</v>
      </c>
      <c r="E91" s="4">
        <v>75.0</v>
      </c>
      <c r="F91" s="4">
        <v>155.0</v>
      </c>
    </row>
    <row r="92">
      <c r="C92" s="4" t="s">
        <v>147</v>
      </c>
    </row>
    <row r="93">
      <c r="C93" s="4" t="s">
        <v>150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09" t="s">
        <v>173</v>
      </c>
      <c r="I2" s="29"/>
    </row>
    <row r="3">
      <c r="B3" s="30" t="s">
        <v>174</v>
      </c>
      <c r="C3" s="30" t="s">
        <v>175</v>
      </c>
      <c r="D3" s="30" t="s">
        <v>176</v>
      </c>
      <c r="E3" s="30" t="s">
        <v>177</v>
      </c>
      <c r="F3" s="30" t="s">
        <v>178</v>
      </c>
      <c r="G3" s="30" t="s">
        <v>179</v>
      </c>
      <c r="H3" s="30" t="s">
        <v>180</v>
      </c>
      <c r="I3" s="30"/>
      <c r="J3" s="30" t="s">
        <v>181</v>
      </c>
    </row>
    <row r="4">
      <c r="B4" s="30" t="s">
        <v>182</v>
      </c>
      <c r="C4" s="30">
        <v>11200.0</v>
      </c>
      <c r="D4" s="110">
        <f t="shared" ref="D4:D8" si="1">C4*J4/1000</f>
        <v>26228.9664</v>
      </c>
      <c r="E4" s="111">
        <v>24560.95</v>
      </c>
      <c r="F4" s="111">
        <v>1798.554</v>
      </c>
      <c r="G4" s="112">
        <f t="shared" ref="G4:G8" si="2">I13</f>
        <v>0.6771155725</v>
      </c>
      <c r="H4" s="113">
        <f t="shared" ref="H4:H8" si="3">C4/G4/1000</f>
        <v>16.54075088</v>
      </c>
      <c r="I4" s="29"/>
      <c r="J4" s="31">
        <v>2341.872</v>
      </c>
    </row>
    <row r="5">
      <c r="B5" s="30" t="s">
        <v>183</v>
      </c>
      <c r="C5" s="30">
        <v>13200.0</v>
      </c>
      <c r="D5" s="110">
        <f t="shared" si="1"/>
        <v>6600</v>
      </c>
      <c r="E5" s="111">
        <v>9026.0</v>
      </c>
      <c r="F5" s="111">
        <v>455.4</v>
      </c>
      <c r="G5" s="112">
        <f t="shared" si="2"/>
        <v>1.676588</v>
      </c>
      <c r="H5" s="113">
        <f t="shared" si="3"/>
        <v>7.873132815</v>
      </c>
      <c r="I5" s="29"/>
      <c r="J5" s="31">
        <v>500.0</v>
      </c>
    </row>
    <row r="6">
      <c r="B6" s="30" t="s">
        <v>184</v>
      </c>
      <c r="C6" s="30">
        <v>13300.0</v>
      </c>
      <c r="D6" s="110">
        <f t="shared" si="1"/>
        <v>5985</v>
      </c>
      <c r="E6" s="111">
        <v>8570.584</v>
      </c>
      <c r="F6" s="111">
        <v>578.015</v>
      </c>
      <c r="G6" s="112">
        <f t="shared" si="2"/>
        <v>1.839595556</v>
      </c>
      <c r="H6" s="113">
        <f t="shared" si="3"/>
        <v>7.22985004</v>
      </c>
      <c r="I6" s="29"/>
      <c r="J6" s="31">
        <v>450.0</v>
      </c>
    </row>
    <row r="7">
      <c r="B7" s="30" t="s">
        <v>185</v>
      </c>
      <c r="C7" s="30">
        <v>27650.0</v>
      </c>
      <c r="D7" s="110">
        <f t="shared" si="1"/>
        <v>7959.7714</v>
      </c>
      <c r="E7" s="111">
        <v>6149.584</v>
      </c>
      <c r="F7" s="111">
        <v>533.789</v>
      </c>
      <c r="G7" s="112">
        <f t="shared" si="2"/>
        <v>2.935982854</v>
      </c>
      <c r="H7" s="113">
        <f t="shared" si="3"/>
        <v>9.417629931</v>
      </c>
      <c r="I7" s="29"/>
      <c r="J7" s="31">
        <v>287.876</v>
      </c>
    </row>
    <row r="8">
      <c r="B8" s="30" t="s">
        <v>186</v>
      </c>
      <c r="C8" s="30">
        <v>13400.0</v>
      </c>
      <c r="D8" s="110">
        <f t="shared" si="1"/>
        <v>810.50704</v>
      </c>
      <c r="E8" s="111">
        <v>1212.907</v>
      </c>
      <c r="F8" s="111">
        <v>127.218</v>
      </c>
      <c r="G8" s="112">
        <f t="shared" si="2"/>
        <v>2.876254844</v>
      </c>
      <c r="H8" s="113">
        <f t="shared" si="3"/>
        <v>4.658836135</v>
      </c>
      <c r="I8" s="29"/>
      <c r="J8" s="31">
        <v>60.4856</v>
      </c>
    </row>
    <row r="9">
      <c r="B9" s="30" t="s">
        <v>187</v>
      </c>
      <c r="C9" s="29"/>
      <c r="D9" s="110"/>
      <c r="E9" s="110"/>
      <c r="F9" s="110"/>
      <c r="G9" s="112" t="str">
        <f>I19</f>
        <v/>
      </c>
      <c r="H9" s="113">
        <f>average(H4:H8)</f>
        <v>9.144039959</v>
      </c>
      <c r="I9" s="29"/>
      <c r="J9" s="31"/>
    </row>
    <row r="10">
      <c r="B10" s="30" t="s">
        <v>20</v>
      </c>
      <c r="C10" s="30">
        <v>13250.0</v>
      </c>
      <c r="D10" s="110">
        <f>C10*J10/1000</f>
        <v>4248.123575</v>
      </c>
      <c r="E10" s="111">
        <v>3868.17</v>
      </c>
      <c r="F10" s="111">
        <v>216.188</v>
      </c>
      <c r="G10" s="112">
        <f>I18</f>
        <v>1.167516237</v>
      </c>
      <c r="H10" s="113">
        <f>C10/G10/1000</f>
        <v>11.34887857</v>
      </c>
      <c r="I10" s="29"/>
      <c r="J10" s="31">
        <v>320.6131</v>
      </c>
    </row>
    <row r="11">
      <c r="B11" s="29"/>
      <c r="C11" s="29"/>
      <c r="D11" s="29"/>
      <c r="E11" s="29"/>
      <c r="F11" s="29"/>
      <c r="G11" s="29"/>
      <c r="H11" s="29"/>
      <c r="I11" s="29"/>
    </row>
    <row r="12">
      <c r="B12" s="29"/>
      <c r="C12" s="30" t="s">
        <v>188</v>
      </c>
      <c r="D12" s="30" t="s">
        <v>189</v>
      </c>
      <c r="E12" s="30" t="s">
        <v>190</v>
      </c>
      <c r="F12" s="30" t="s">
        <v>191</v>
      </c>
      <c r="G12" s="30" t="s">
        <v>192</v>
      </c>
      <c r="H12" s="30" t="s">
        <v>181</v>
      </c>
      <c r="I12" s="30" t="s">
        <v>179</v>
      </c>
    </row>
    <row r="13">
      <c r="B13" s="30" t="s">
        <v>182</v>
      </c>
      <c r="C13" s="31">
        <v>-1.131</v>
      </c>
      <c r="D13" s="31">
        <v>803.482</v>
      </c>
      <c r="E13" s="31">
        <v>582.086</v>
      </c>
      <c r="F13" s="31">
        <v>201.281</v>
      </c>
      <c r="G13" s="31">
        <f t="shared" ref="G13:G18" si="4">sum(C13:F13)</f>
        <v>1585.718</v>
      </c>
      <c r="H13" s="31">
        <v>2341.872</v>
      </c>
      <c r="I13" s="114">
        <f t="shared" ref="I13:I18" si="5">G13/H13</f>
        <v>0.6771155725</v>
      </c>
    </row>
    <row r="14">
      <c r="B14" s="30" t="s">
        <v>183</v>
      </c>
      <c r="C14" s="31">
        <v>259.898</v>
      </c>
      <c r="D14" s="31">
        <v>258.098</v>
      </c>
      <c r="E14" s="31">
        <v>279.758</v>
      </c>
      <c r="F14" s="31">
        <v>40.54</v>
      </c>
      <c r="G14" s="31">
        <f t="shared" si="4"/>
        <v>838.294</v>
      </c>
      <c r="H14" s="31">
        <v>500.0</v>
      </c>
      <c r="I14" s="114">
        <f t="shared" si="5"/>
        <v>1.676588</v>
      </c>
    </row>
    <row r="15">
      <c r="B15" s="30" t="s">
        <v>184</v>
      </c>
      <c r="C15" s="31">
        <v>80.395</v>
      </c>
      <c r="D15" s="31">
        <v>345.889</v>
      </c>
      <c r="E15" s="31">
        <v>254.113</v>
      </c>
      <c r="F15" s="31">
        <v>147.421</v>
      </c>
      <c r="G15" s="31">
        <f t="shared" si="4"/>
        <v>827.818</v>
      </c>
      <c r="H15" s="31">
        <v>450.0</v>
      </c>
      <c r="I15" s="114">
        <f t="shared" si="5"/>
        <v>1.839595556</v>
      </c>
    </row>
    <row r="16">
      <c r="B16" s="30" t="s">
        <v>185</v>
      </c>
      <c r="C16" s="31">
        <v>121.102</v>
      </c>
      <c r="D16" s="31">
        <v>159.584</v>
      </c>
      <c r="E16" s="31">
        <v>365.534</v>
      </c>
      <c r="F16" s="31">
        <v>198.979</v>
      </c>
      <c r="G16" s="31">
        <f t="shared" si="4"/>
        <v>845.199</v>
      </c>
      <c r="H16" s="31">
        <v>287.876</v>
      </c>
      <c r="I16" s="114">
        <f t="shared" si="5"/>
        <v>2.935982854</v>
      </c>
    </row>
    <row r="17">
      <c r="B17" s="30" t="s">
        <v>186</v>
      </c>
      <c r="C17" s="31">
        <v>85.145</v>
      </c>
      <c r="D17" s="31">
        <v>-12.02</v>
      </c>
      <c r="E17" s="31">
        <v>14.288</v>
      </c>
      <c r="F17" s="31">
        <v>86.559</v>
      </c>
      <c r="G17" s="31">
        <f t="shared" si="4"/>
        <v>173.972</v>
      </c>
      <c r="H17" s="31">
        <v>60.4856</v>
      </c>
      <c r="I17" s="114">
        <f t="shared" si="5"/>
        <v>2.876254844</v>
      </c>
    </row>
    <row r="18">
      <c r="B18" s="30" t="s">
        <v>20</v>
      </c>
      <c r="C18" s="31">
        <v>63.967</v>
      </c>
      <c r="D18" s="31">
        <v>80.44</v>
      </c>
      <c r="E18" s="31">
        <v>74.84</v>
      </c>
      <c r="F18" s="31">
        <v>155.074</v>
      </c>
      <c r="G18" s="31">
        <f t="shared" si="4"/>
        <v>374.321</v>
      </c>
      <c r="H18" s="31">
        <v>320.6131</v>
      </c>
      <c r="I18" s="114">
        <f t="shared" si="5"/>
        <v>1.167516237</v>
      </c>
    </row>
    <row r="19">
      <c r="B19" s="30"/>
      <c r="C19" s="31"/>
      <c r="D19" s="31"/>
      <c r="E19" s="31"/>
      <c r="F19" s="31"/>
      <c r="G19" s="31"/>
      <c r="H19" s="31"/>
      <c r="I19" s="31"/>
    </row>
  </sheetData>
  <mergeCells count="1">
    <mergeCell ref="B2:H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2022-12-02T17:28:47Z</dcterms:created>
  <dc:creator>Nam Dh</dc:creator>
</cp:coreProperties>
</file>