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___FWA.CTC.GST_TRANSFER\"/>
    </mc:Choice>
  </mc:AlternateContent>
  <bookViews>
    <workbookView xWindow="120" yWindow="75" windowWidth="15180" windowHeight="8070" tabRatio="769" firstSheet="3" activeTab="3"/>
  </bookViews>
  <sheets>
    <sheet name="Cover" sheetId="23" state="hidden" r:id="rId1"/>
    <sheet name="Master Sched" sheetId="18" state="hidden" r:id="rId2"/>
    <sheet name="DV-IDENTITY-0" sheetId="7" state="veryHidden" r:id="rId3"/>
    <sheet name="Trn-Output Mapping" sheetId="11" r:id="rId4"/>
    <sheet name="Topics" sheetId="17" state="hidden" r:id="rId5"/>
  </sheets>
  <definedNames>
    <definedName name="__PA3" localSheetId="1" hidden="1">{"'Sheet1'!$L$16"}</definedName>
    <definedName name="__PA3" hidden="1">{"'Sheet1'!$L$16"}</definedName>
    <definedName name="_a1" localSheetId="1" hidden="1">{"'Sheet1'!$L$16"}</definedName>
    <definedName name="_a1" hidden="1">{"'Sheet1'!$L$16"}</definedName>
    <definedName name="_Fill" hidden="1">#REF!</definedName>
    <definedName name="_xlnm._FilterDatabase" localSheetId="1" hidden="1">'Master Sched'!#REF!</definedName>
    <definedName name="_xlnm._FilterDatabase" localSheetId="4" hidden="1">Topics!$A$2:$E$28</definedName>
    <definedName name="_xlnm._FilterDatabase" localSheetId="3" hidden="1">'Trn-Output Mapping'!$A$5:$H$21</definedName>
    <definedName name="_xlnm._FilterDatabase" hidden="1">#REF!</definedName>
    <definedName name="_FilterDatabase1" hidden="1">#REF!</definedName>
    <definedName name="_Key1" hidden="1">#REF!</definedName>
    <definedName name="_Key2" hidden="1">#REF!</definedName>
    <definedName name="_Order1" hidden="1">255</definedName>
    <definedName name="_Order2" hidden="1">255</definedName>
    <definedName name="_PA3" localSheetId="1" hidden="1">{"'Sheet1'!$L$16"}</definedName>
    <definedName name="_PA3" hidden="1">{"'Sheet1'!$L$16"}</definedName>
    <definedName name="_Sort" hidden="1">#REF!</definedName>
    <definedName name="_SU15" localSheetId="1" hidden="1">{"'Sheet1'!$L$16"}</definedName>
    <definedName name="_SU15" hidden="1">{"'Sheet1'!$L$16"}</definedName>
    <definedName name="ACTION">#REF!</definedName>
    <definedName name="CTCT1" localSheetId="1" hidden="1">{"'Sheet1'!$L$16"}</definedName>
    <definedName name="CTCT1" hidden="1">{"'Sheet1'!$L$16"}</definedName>
    <definedName name="h" localSheetId="1" hidden="1">{"'Sheet1'!$L$16"}</definedName>
    <definedName name="h" hidden="1">{"'Sheet1'!$L$16"}</definedName>
    <definedName name="HTML_CodePage" hidden="1">950</definedName>
    <definedName name="HTML_Control" localSheetId="1"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1" hidden="1">{"'Sheet1'!$L$16"}</definedName>
    <definedName name="huy" hidden="1">{"'Sheet1'!$L$16"}</definedName>
    <definedName name="_xlnm.Print_Area">#REF!</definedName>
    <definedName name="wrn.chi._.tiÆt." localSheetId="1" hidden="1">{#N/A,#N/A,FALSE,"Chi tiÆt"}</definedName>
    <definedName name="wrn.chi._.tiÆt." hidden="1">{#N/A,#N/A,FALSE,"Chi tiÆt"}</definedName>
  </definedNames>
  <calcPr calcId="152511"/>
</workbook>
</file>

<file path=xl/calcChain.xml><?xml version="1.0" encoding="utf-8"?>
<calcChain xmlns="http://schemas.openxmlformats.org/spreadsheetml/2006/main">
  <c r="G6" i="23" l="1"/>
  <c r="D23" i="17"/>
  <c r="D4" i="7" l="1"/>
  <c r="A11" i="7"/>
  <c r="B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A11" i="7"/>
  <c r="CB11" i="7"/>
  <c r="CC11" i="7"/>
  <c r="CD11" i="7"/>
  <c r="CE11" i="7"/>
  <c r="CF11" i="7"/>
  <c r="CG11" i="7"/>
  <c r="CH11" i="7"/>
  <c r="A10" i="7"/>
  <c r="B10"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AH10" i="7"/>
  <c r="AI10" i="7"/>
  <c r="AJ10" i="7"/>
  <c r="AK10" i="7"/>
  <c r="AL10" i="7"/>
  <c r="AM10" i="7"/>
  <c r="AN10" i="7"/>
  <c r="AO10" i="7"/>
  <c r="AP10" i="7"/>
  <c r="AQ10" i="7"/>
  <c r="AR10" i="7"/>
  <c r="AS10" i="7"/>
  <c r="AT10" i="7"/>
  <c r="AU10" i="7"/>
  <c r="AV10" i="7"/>
  <c r="AW10" i="7"/>
  <c r="AX10" i="7"/>
  <c r="AY10" i="7"/>
  <c r="AZ10" i="7"/>
  <c r="BA10" i="7"/>
  <c r="BB10" i="7"/>
  <c r="BC10" i="7"/>
  <c r="BD10" i="7"/>
  <c r="BE10" i="7"/>
  <c r="BF10" i="7"/>
  <c r="BG10" i="7"/>
  <c r="BH10" i="7"/>
  <c r="BI10" i="7"/>
  <c r="BJ10" i="7"/>
  <c r="BK10" i="7"/>
  <c r="BL10" i="7"/>
  <c r="BM10" i="7"/>
  <c r="BN10" i="7"/>
  <c r="BO10" i="7"/>
  <c r="BP10" i="7"/>
  <c r="BQ10" i="7"/>
  <c r="BR10" i="7"/>
  <c r="BS10" i="7"/>
  <c r="BT10" i="7"/>
  <c r="BU10" i="7"/>
  <c r="BV10" i="7"/>
  <c r="BW10" i="7"/>
  <c r="BX10" i="7"/>
  <c r="BY10" i="7"/>
  <c r="BZ10" i="7"/>
  <c r="CA10" i="7"/>
  <c r="CB10" i="7"/>
  <c r="CC10" i="7"/>
  <c r="CD10" i="7"/>
  <c r="CE10" i="7"/>
  <c r="CF10" i="7"/>
  <c r="CG10" i="7"/>
  <c r="CH10" i="7"/>
  <c r="CI10" i="7"/>
  <c r="CJ10" i="7"/>
  <c r="CK10" i="7"/>
  <c r="CL10" i="7"/>
  <c r="CM10" i="7"/>
  <c r="CN10" i="7"/>
  <c r="CO10" i="7"/>
  <c r="CP10" i="7"/>
  <c r="CQ10" i="7"/>
  <c r="CR10" i="7"/>
  <c r="CS10" i="7"/>
  <c r="CT10" i="7"/>
  <c r="CU10" i="7"/>
  <c r="CV10" i="7"/>
  <c r="CW10" i="7"/>
  <c r="CX10" i="7"/>
  <c r="CY10" i="7"/>
  <c r="CZ10" i="7"/>
  <c r="DA10" i="7"/>
  <c r="DB10" i="7"/>
  <c r="DC10" i="7"/>
  <c r="DD10" i="7"/>
  <c r="DE10" i="7"/>
  <c r="DF10" i="7"/>
  <c r="DG10" i="7"/>
  <c r="DH10" i="7"/>
  <c r="DI10" i="7"/>
  <c r="DJ10" i="7"/>
  <c r="DK10" i="7"/>
  <c r="DL10" i="7"/>
  <c r="DM10" i="7"/>
  <c r="DN10" i="7"/>
  <c r="DO10" i="7"/>
  <c r="DP10" i="7"/>
  <c r="DQ10" i="7"/>
  <c r="DR10" i="7"/>
  <c r="DS10" i="7"/>
  <c r="DT10" i="7"/>
  <c r="DU10" i="7"/>
  <c r="DV10" i="7"/>
  <c r="DW10" i="7"/>
  <c r="DX10" i="7"/>
  <c r="DY10" i="7"/>
  <c r="DZ10" i="7"/>
  <c r="EA10" i="7"/>
  <c r="EB10" i="7"/>
  <c r="EC10" i="7"/>
  <c r="ED10" i="7"/>
  <c r="EE10" i="7"/>
  <c r="EF10" i="7"/>
  <c r="EG10" i="7"/>
  <c r="EH10" i="7"/>
  <c r="EI10" i="7"/>
  <c r="EJ10" i="7"/>
  <c r="EK10" i="7"/>
  <c r="EL10" i="7"/>
  <c r="EM10" i="7"/>
  <c r="EN10" i="7"/>
  <c r="EO10" i="7"/>
  <c r="EP10" i="7"/>
  <c r="EQ10" i="7"/>
  <c r="ER10" i="7"/>
  <c r="ES10" i="7"/>
  <c r="ET10" i="7"/>
  <c r="EU10" i="7"/>
  <c r="EV10" i="7"/>
  <c r="EW10" i="7"/>
  <c r="EX10" i="7"/>
  <c r="EY10" i="7"/>
  <c r="EZ10" i="7"/>
  <c r="FA10" i="7"/>
  <c r="FB10" i="7"/>
  <c r="FC10" i="7"/>
  <c r="FD10" i="7"/>
  <c r="FE10" i="7"/>
  <c r="FF10" i="7"/>
  <c r="FG10" i="7"/>
  <c r="FH10" i="7"/>
  <c r="FI10" i="7"/>
  <c r="FJ10" i="7"/>
  <c r="FK10" i="7"/>
  <c r="FL10" i="7"/>
  <c r="FM10" i="7"/>
  <c r="FN10" i="7"/>
  <c r="FO10" i="7"/>
  <c r="FP10" i="7"/>
  <c r="FQ10" i="7"/>
  <c r="FR10" i="7"/>
  <c r="FS10" i="7"/>
  <c r="FT10" i="7"/>
  <c r="FU10" i="7"/>
  <c r="FV10" i="7"/>
  <c r="FW10" i="7"/>
  <c r="FX10" i="7"/>
  <c r="FY10" i="7"/>
  <c r="FZ10" i="7"/>
  <c r="GA10" i="7"/>
  <c r="GB10" i="7"/>
  <c r="GC10" i="7"/>
  <c r="GD10" i="7"/>
  <c r="GE10" i="7"/>
  <c r="GF10" i="7"/>
  <c r="GG10" i="7"/>
  <c r="GH10" i="7"/>
  <c r="GI10" i="7"/>
  <c r="GJ10" i="7"/>
  <c r="GK10" i="7"/>
  <c r="GL10" i="7"/>
  <c r="GM10" i="7"/>
  <c r="GN10" i="7"/>
  <c r="GO10" i="7"/>
  <c r="GP10" i="7"/>
  <c r="GQ10" i="7"/>
  <c r="GR10" i="7"/>
  <c r="GS10" i="7"/>
  <c r="GT10" i="7"/>
  <c r="GU10" i="7"/>
  <c r="GV10" i="7"/>
  <c r="GW10" i="7"/>
  <c r="GX10" i="7"/>
  <c r="GY10" i="7"/>
  <c r="GZ10" i="7"/>
  <c r="HA10" i="7"/>
  <c r="HB10" i="7"/>
  <c r="HC10" i="7"/>
  <c r="HD10" i="7"/>
  <c r="HE10" i="7"/>
  <c r="HF10" i="7"/>
  <c r="HG10" i="7"/>
  <c r="HH10" i="7"/>
  <c r="HI10" i="7"/>
  <c r="HJ10" i="7"/>
  <c r="HK10" i="7"/>
  <c r="HL10" i="7"/>
  <c r="HM10" i="7"/>
  <c r="HN10" i="7"/>
  <c r="HO10" i="7"/>
  <c r="HP10" i="7"/>
  <c r="HQ10" i="7"/>
  <c r="HR10" i="7"/>
  <c r="HS10" i="7"/>
  <c r="HT10" i="7"/>
  <c r="HU10" i="7"/>
  <c r="HV10" i="7"/>
  <c r="HW10" i="7"/>
  <c r="HX10" i="7"/>
  <c r="HY10" i="7"/>
  <c r="HZ10" i="7"/>
  <c r="IA10" i="7"/>
  <c r="IB10" i="7"/>
  <c r="IC10" i="7"/>
  <c r="ID10" i="7"/>
  <c r="IE10" i="7"/>
  <c r="IF10" i="7"/>
  <c r="IG10" i="7"/>
  <c r="IH10" i="7"/>
  <c r="II10" i="7"/>
  <c r="IJ10" i="7"/>
  <c r="IK10" i="7"/>
  <c r="IL10" i="7"/>
  <c r="IM10" i="7"/>
  <c r="IN10" i="7"/>
  <c r="IO10" i="7"/>
  <c r="IP10" i="7"/>
  <c r="IQ10" i="7"/>
  <c r="IR10" i="7"/>
  <c r="IS10" i="7"/>
  <c r="IT10" i="7"/>
  <c r="IU10" i="7"/>
  <c r="IV10" i="7"/>
  <c r="A9" i="7"/>
  <c r="B9"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BZ9" i="7"/>
  <c r="CA9" i="7"/>
  <c r="CB9" i="7"/>
  <c r="CC9" i="7"/>
  <c r="CD9" i="7"/>
  <c r="CE9" i="7"/>
  <c r="CF9" i="7"/>
  <c r="CG9" i="7"/>
  <c r="CH9" i="7"/>
  <c r="CI9" i="7"/>
  <c r="CJ9" i="7"/>
  <c r="CK9" i="7"/>
  <c r="CL9" i="7"/>
  <c r="CM9" i="7"/>
  <c r="CN9" i="7"/>
  <c r="CO9" i="7"/>
  <c r="CP9" i="7"/>
  <c r="CQ9" i="7"/>
  <c r="CR9" i="7"/>
  <c r="CS9" i="7"/>
  <c r="CT9" i="7"/>
  <c r="CU9" i="7"/>
  <c r="CV9" i="7"/>
  <c r="CW9" i="7"/>
  <c r="CX9" i="7"/>
  <c r="CY9" i="7"/>
  <c r="CZ9" i="7"/>
  <c r="DA9" i="7"/>
  <c r="DB9" i="7"/>
  <c r="DC9" i="7"/>
  <c r="DD9" i="7"/>
  <c r="DE9" i="7"/>
  <c r="DF9" i="7"/>
  <c r="DG9" i="7"/>
  <c r="DH9" i="7"/>
  <c r="DI9" i="7"/>
  <c r="DJ9" i="7"/>
  <c r="DK9" i="7"/>
  <c r="DL9" i="7"/>
  <c r="DM9" i="7"/>
  <c r="DN9" i="7"/>
  <c r="DO9" i="7"/>
  <c r="DP9" i="7"/>
  <c r="DQ9" i="7"/>
  <c r="DR9" i="7"/>
  <c r="DS9" i="7"/>
  <c r="DT9" i="7"/>
  <c r="DU9" i="7"/>
  <c r="DV9" i="7"/>
  <c r="DW9" i="7"/>
  <c r="DX9" i="7"/>
  <c r="DY9" i="7"/>
  <c r="DZ9" i="7"/>
  <c r="EA9" i="7"/>
  <c r="EB9" i="7"/>
  <c r="EC9" i="7"/>
  <c r="ED9" i="7"/>
  <c r="EE9" i="7"/>
  <c r="EF9" i="7"/>
  <c r="EG9" i="7"/>
  <c r="EH9" i="7"/>
  <c r="EI9" i="7"/>
  <c r="EJ9" i="7"/>
  <c r="EK9" i="7"/>
  <c r="EL9" i="7"/>
  <c r="EM9" i="7"/>
  <c r="EN9" i="7"/>
  <c r="EO9" i="7"/>
  <c r="EP9" i="7"/>
  <c r="EQ9" i="7"/>
  <c r="ER9" i="7"/>
  <c r="ES9" i="7"/>
  <c r="ET9" i="7"/>
  <c r="EU9" i="7"/>
  <c r="EV9" i="7"/>
  <c r="EW9" i="7"/>
  <c r="EX9" i="7"/>
  <c r="EY9" i="7"/>
  <c r="EZ9" i="7"/>
  <c r="FA9" i="7"/>
  <c r="FB9" i="7"/>
  <c r="FC9" i="7"/>
  <c r="FD9" i="7"/>
  <c r="FE9" i="7"/>
  <c r="FF9" i="7"/>
  <c r="FG9" i="7"/>
  <c r="FH9" i="7"/>
  <c r="FI9" i="7"/>
  <c r="FJ9" i="7"/>
  <c r="FK9" i="7"/>
  <c r="FL9" i="7"/>
  <c r="FM9" i="7"/>
  <c r="FN9" i="7"/>
  <c r="FO9" i="7"/>
  <c r="FP9" i="7"/>
  <c r="FQ9" i="7"/>
  <c r="FR9" i="7"/>
  <c r="FS9" i="7"/>
  <c r="FT9" i="7"/>
  <c r="FU9" i="7"/>
  <c r="FV9" i="7"/>
  <c r="FW9" i="7"/>
  <c r="FX9" i="7"/>
  <c r="FY9" i="7"/>
  <c r="FZ9" i="7"/>
  <c r="GA9" i="7"/>
  <c r="GB9" i="7"/>
  <c r="GC9" i="7"/>
  <c r="GD9" i="7"/>
  <c r="GE9" i="7"/>
  <c r="GF9" i="7"/>
  <c r="GG9" i="7"/>
  <c r="GH9" i="7"/>
  <c r="GI9" i="7"/>
  <c r="GJ9" i="7"/>
  <c r="GK9" i="7"/>
  <c r="GL9" i="7"/>
  <c r="GM9" i="7"/>
  <c r="GN9" i="7"/>
  <c r="GO9" i="7"/>
  <c r="GP9" i="7"/>
  <c r="GQ9" i="7"/>
  <c r="GR9" i="7"/>
  <c r="GS9" i="7"/>
  <c r="GT9" i="7"/>
  <c r="GU9" i="7"/>
  <c r="GV9" i="7"/>
  <c r="GW9" i="7"/>
  <c r="GX9" i="7"/>
  <c r="GY9" i="7"/>
  <c r="GZ9" i="7"/>
  <c r="HA9" i="7"/>
  <c r="HB9" i="7"/>
  <c r="HC9" i="7"/>
  <c r="HD9" i="7"/>
  <c r="HE9" i="7"/>
  <c r="HF9" i="7"/>
  <c r="HG9" i="7"/>
  <c r="HH9" i="7"/>
  <c r="HI9" i="7"/>
  <c r="HJ9" i="7"/>
  <c r="HK9" i="7"/>
  <c r="HL9" i="7"/>
  <c r="HM9" i="7"/>
  <c r="HN9" i="7"/>
  <c r="HO9" i="7"/>
  <c r="HP9" i="7"/>
  <c r="HQ9" i="7"/>
  <c r="HR9" i="7"/>
  <c r="HS9" i="7"/>
  <c r="HT9" i="7"/>
  <c r="HU9" i="7"/>
  <c r="HV9" i="7"/>
  <c r="HW9" i="7"/>
  <c r="HX9" i="7"/>
  <c r="HY9" i="7"/>
  <c r="HZ9" i="7"/>
  <c r="IA9" i="7"/>
  <c r="IB9" i="7"/>
  <c r="IC9" i="7"/>
  <c r="ID9" i="7"/>
  <c r="IE9" i="7"/>
  <c r="IF9" i="7"/>
  <c r="IG9" i="7"/>
  <c r="IH9" i="7"/>
  <c r="II9" i="7"/>
  <c r="IJ9" i="7"/>
  <c r="IK9" i="7"/>
  <c r="IL9" i="7"/>
  <c r="IM9" i="7"/>
  <c r="IN9" i="7"/>
  <c r="IO9" i="7"/>
  <c r="IP9" i="7"/>
  <c r="IQ9" i="7"/>
  <c r="IR9" i="7"/>
  <c r="IS9" i="7"/>
  <c r="IT9" i="7"/>
  <c r="IU9" i="7"/>
  <c r="IV9" i="7"/>
  <c r="A8" i="7"/>
  <c r="B8"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AJ8" i="7"/>
  <c r="AK8" i="7"/>
  <c r="AL8" i="7"/>
  <c r="AM8" i="7"/>
  <c r="AN8" i="7"/>
  <c r="AO8" i="7"/>
  <c r="AP8" i="7"/>
  <c r="AQ8" i="7"/>
  <c r="AR8" i="7"/>
  <c r="AS8" i="7"/>
  <c r="AT8" i="7"/>
  <c r="AU8" i="7"/>
  <c r="AV8" i="7"/>
  <c r="AW8" i="7"/>
  <c r="AX8" i="7"/>
  <c r="AY8" i="7"/>
  <c r="AZ8" i="7"/>
  <c r="BA8" i="7"/>
  <c r="BB8" i="7"/>
  <c r="BC8" i="7"/>
  <c r="BD8" i="7"/>
  <c r="BE8" i="7"/>
  <c r="BF8" i="7"/>
  <c r="BG8" i="7"/>
  <c r="BH8" i="7"/>
  <c r="BI8" i="7"/>
  <c r="BJ8" i="7"/>
  <c r="BK8" i="7"/>
  <c r="BL8" i="7"/>
  <c r="BM8" i="7"/>
  <c r="BN8" i="7"/>
  <c r="BO8" i="7"/>
  <c r="BP8" i="7"/>
  <c r="BQ8" i="7"/>
  <c r="BR8" i="7"/>
  <c r="BS8" i="7"/>
  <c r="BT8" i="7"/>
  <c r="BU8" i="7"/>
  <c r="BV8" i="7"/>
  <c r="BW8" i="7"/>
  <c r="BX8" i="7"/>
  <c r="BY8" i="7"/>
  <c r="BZ8" i="7"/>
  <c r="CA8" i="7"/>
  <c r="CB8" i="7"/>
  <c r="CC8" i="7"/>
  <c r="CD8" i="7"/>
  <c r="CE8" i="7"/>
  <c r="CF8" i="7"/>
  <c r="CG8" i="7"/>
  <c r="CH8" i="7"/>
  <c r="CI8" i="7"/>
  <c r="CJ8" i="7"/>
  <c r="CK8" i="7"/>
  <c r="CL8" i="7"/>
  <c r="CM8" i="7"/>
  <c r="CN8" i="7"/>
  <c r="CO8" i="7"/>
  <c r="CP8" i="7"/>
  <c r="CQ8" i="7"/>
  <c r="CR8" i="7"/>
  <c r="CS8" i="7"/>
  <c r="CT8" i="7"/>
  <c r="CU8" i="7"/>
  <c r="CV8" i="7"/>
  <c r="CW8" i="7"/>
  <c r="CX8" i="7"/>
  <c r="CY8" i="7"/>
  <c r="CZ8" i="7"/>
  <c r="DA8" i="7"/>
  <c r="DB8" i="7"/>
  <c r="DC8" i="7"/>
  <c r="DD8" i="7"/>
  <c r="DE8" i="7"/>
  <c r="DF8" i="7"/>
  <c r="DG8" i="7"/>
  <c r="DH8" i="7"/>
  <c r="DI8" i="7"/>
  <c r="DJ8" i="7"/>
  <c r="DK8" i="7"/>
  <c r="DL8" i="7"/>
  <c r="DM8" i="7"/>
  <c r="DN8" i="7"/>
  <c r="DO8" i="7"/>
  <c r="DP8" i="7"/>
  <c r="DQ8" i="7"/>
  <c r="DR8" i="7"/>
  <c r="DS8" i="7"/>
  <c r="DT8" i="7"/>
  <c r="DU8" i="7"/>
  <c r="DV8" i="7"/>
  <c r="DW8" i="7"/>
  <c r="DX8" i="7"/>
  <c r="DY8" i="7"/>
  <c r="DZ8" i="7"/>
  <c r="EA8" i="7"/>
  <c r="EB8" i="7"/>
  <c r="EC8" i="7"/>
  <c r="ED8" i="7"/>
  <c r="EE8" i="7"/>
  <c r="EF8" i="7"/>
  <c r="EG8" i="7"/>
  <c r="EH8" i="7"/>
  <c r="EI8" i="7"/>
  <c r="EJ8" i="7"/>
  <c r="EK8" i="7"/>
  <c r="EL8" i="7"/>
  <c r="EM8" i="7"/>
  <c r="EN8" i="7"/>
  <c r="EO8" i="7"/>
  <c r="EP8" i="7"/>
  <c r="EQ8" i="7"/>
  <c r="ER8" i="7"/>
  <c r="ES8" i="7"/>
  <c r="ET8" i="7"/>
  <c r="EU8" i="7"/>
  <c r="EV8" i="7"/>
  <c r="EW8" i="7"/>
  <c r="EX8" i="7"/>
  <c r="EY8" i="7"/>
  <c r="EZ8" i="7"/>
  <c r="FA8" i="7"/>
  <c r="FB8" i="7"/>
  <c r="FC8" i="7"/>
  <c r="FD8" i="7"/>
  <c r="FE8" i="7"/>
  <c r="FF8" i="7"/>
  <c r="FG8" i="7"/>
  <c r="FH8" i="7"/>
  <c r="FI8" i="7"/>
  <c r="FJ8" i="7"/>
  <c r="FK8" i="7"/>
  <c r="FL8" i="7"/>
  <c r="FM8" i="7"/>
  <c r="FN8" i="7"/>
  <c r="FO8" i="7"/>
  <c r="FP8" i="7"/>
  <c r="FQ8" i="7"/>
  <c r="FR8" i="7"/>
  <c r="FS8" i="7"/>
  <c r="FT8" i="7"/>
  <c r="FU8" i="7"/>
  <c r="FV8" i="7"/>
  <c r="FW8" i="7"/>
  <c r="FX8" i="7"/>
  <c r="FY8" i="7"/>
  <c r="FZ8" i="7"/>
  <c r="GA8" i="7"/>
  <c r="GB8" i="7"/>
  <c r="GC8" i="7"/>
  <c r="GD8" i="7"/>
  <c r="GE8" i="7"/>
  <c r="GF8" i="7"/>
  <c r="GG8" i="7"/>
  <c r="GH8" i="7"/>
  <c r="GI8" i="7"/>
  <c r="GJ8" i="7"/>
  <c r="GK8" i="7"/>
  <c r="GL8" i="7"/>
  <c r="GM8" i="7"/>
  <c r="GN8" i="7"/>
  <c r="GO8" i="7"/>
  <c r="GP8" i="7"/>
  <c r="GQ8" i="7"/>
  <c r="GR8" i="7"/>
  <c r="GS8" i="7"/>
  <c r="GT8" i="7"/>
  <c r="GU8" i="7"/>
  <c r="GV8" i="7"/>
  <c r="GW8" i="7"/>
  <c r="GX8" i="7"/>
  <c r="GY8" i="7"/>
  <c r="GZ8" i="7"/>
  <c r="HA8" i="7"/>
  <c r="HB8" i="7"/>
  <c r="HC8" i="7"/>
  <c r="HD8" i="7"/>
  <c r="HE8" i="7"/>
  <c r="HF8" i="7"/>
  <c r="HG8" i="7"/>
  <c r="HH8" i="7"/>
  <c r="HI8" i="7"/>
  <c r="HJ8" i="7"/>
  <c r="HK8" i="7"/>
  <c r="HL8" i="7"/>
  <c r="HM8" i="7"/>
  <c r="HN8" i="7"/>
  <c r="HO8" i="7"/>
  <c r="HP8" i="7"/>
  <c r="HQ8" i="7"/>
  <c r="HR8" i="7"/>
  <c r="HS8" i="7"/>
  <c r="HT8" i="7"/>
  <c r="HU8" i="7"/>
  <c r="HV8" i="7"/>
  <c r="HW8" i="7"/>
  <c r="HX8" i="7"/>
  <c r="HY8" i="7"/>
  <c r="HZ8" i="7"/>
  <c r="IA8" i="7"/>
  <c r="IB8" i="7"/>
  <c r="IC8" i="7"/>
  <c r="ID8" i="7"/>
  <c r="IE8" i="7"/>
  <c r="IF8" i="7"/>
  <c r="IG8" i="7"/>
  <c r="IH8" i="7"/>
  <c r="II8" i="7"/>
  <c r="IJ8" i="7"/>
  <c r="IK8" i="7"/>
  <c r="IL8" i="7"/>
  <c r="IM8" i="7"/>
  <c r="IN8" i="7"/>
  <c r="IO8" i="7"/>
  <c r="IP8" i="7"/>
  <c r="IQ8" i="7"/>
  <c r="IR8" i="7"/>
  <c r="IS8" i="7"/>
  <c r="IT8" i="7"/>
  <c r="IU8" i="7"/>
  <c r="IV8" i="7"/>
  <c r="A7" i="7"/>
  <c r="B7" i="7"/>
  <c r="C7"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AJ7" i="7"/>
  <c r="AK7" i="7"/>
  <c r="AL7" i="7"/>
  <c r="AM7" i="7"/>
  <c r="AN7" i="7"/>
  <c r="AO7" i="7"/>
  <c r="AP7" i="7"/>
  <c r="AQ7" i="7"/>
  <c r="AR7" i="7"/>
  <c r="AS7" i="7"/>
  <c r="AT7" i="7"/>
  <c r="AU7" i="7"/>
  <c r="AV7" i="7"/>
  <c r="AW7" i="7"/>
  <c r="AX7" i="7"/>
  <c r="AY7" i="7"/>
  <c r="AZ7" i="7"/>
  <c r="BA7" i="7"/>
  <c r="BB7" i="7"/>
  <c r="BC7" i="7"/>
  <c r="BD7" i="7"/>
  <c r="BE7" i="7"/>
  <c r="BF7" i="7"/>
  <c r="BG7" i="7"/>
  <c r="BH7" i="7"/>
  <c r="BI7" i="7"/>
  <c r="BJ7" i="7"/>
  <c r="BK7" i="7"/>
  <c r="BL7" i="7"/>
  <c r="BM7" i="7"/>
  <c r="BN7" i="7"/>
  <c r="BO7" i="7"/>
  <c r="BP7" i="7"/>
  <c r="BQ7" i="7"/>
  <c r="BR7" i="7"/>
  <c r="BS7" i="7"/>
  <c r="BT7" i="7"/>
  <c r="BU7" i="7"/>
  <c r="BV7" i="7"/>
  <c r="BW7" i="7"/>
  <c r="BX7" i="7"/>
  <c r="BY7" i="7"/>
  <c r="BZ7" i="7"/>
  <c r="CA7" i="7"/>
  <c r="CB7" i="7"/>
  <c r="CC7" i="7"/>
  <c r="CD7" i="7"/>
  <c r="CE7" i="7"/>
  <c r="CF7" i="7"/>
  <c r="CG7" i="7"/>
  <c r="CH7" i="7"/>
  <c r="CI7" i="7"/>
  <c r="CJ7" i="7"/>
  <c r="CK7" i="7"/>
  <c r="CL7" i="7"/>
  <c r="CM7" i="7"/>
  <c r="CN7" i="7"/>
  <c r="CO7" i="7"/>
  <c r="CP7" i="7"/>
  <c r="CQ7" i="7"/>
  <c r="CR7" i="7"/>
  <c r="CS7" i="7"/>
  <c r="CT7" i="7"/>
  <c r="CU7" i="7"/>
  <c r="CV7" i="7"/>
  <c r="CW7" i="7"/>
  <c r="CX7" i="7"/>
  <c r="CY7" i="7"/>
  <c r="CZ7" i="7"/>
  <c r="DA7" i="7"/>
  <c r="DB7" i="7"/>
  <c r="DC7" i="7"/>
  <c r="DD7" i="7"/>
  <c r="DE7" i="7"/>
  <c r="DF7" i="7"/>
  <c r="DG7" i="7"/>
  <c r="DH7" i="7"/>
  <c r="DI7" i="7"/>
  <c r="DJ7" i="7"/>
  <c r="DK7" i="7"/>
  <c r="DL7" i="7"/>
  <c r="DM7" i="7"/>
  <c r="DN7" i="7"/>
  <c r="DO7" i="7"/>
  <c r="DP7" i="7"/>
  <c r="DQ7" i="7"/>
  <c r="DR7" i="7"/>
  <c r="DS7" i="7"/>
  <c r="DT7" i="7"/>
  <c r="DU7" i="7"/>
  <c r="DV7" i="7"/>
  <c r="DW7" i="7"/>
  <c r="DX7" i="7"/>
  <c r="DY7" i="7"/>
  <c r="DZ7" i="7"/>
  <c r="EB7" i="7"/>
  <c r="EC7" i="7"/>
  <c r="ED7" i="7"/>
  <c r="EE7" i="7"/>
  <c r="EF7" i="7"/>
  <c r="EG7" i="7"/>
  <c r="EH7" i="7"/>
  <c r="EI7" i="7"/>
  <c r="EJ7" i="7"/>
  <c r="EK7" i="7"/>
  <c r="EL7" i="7"/>
  <c r="EM7" i="7"/>
  <c r="EN7" i="7"/>
  <c r="EO7" i="7"/>
  <c r="EP7" i="7"/>
  <c r="EQ7" i="7"/>
  <c r="ER7" i="7"/>
  <c r="ES7" i="7"/>
  <c r="ET7" i="7"/>
  <c r="EU7" i="7"/>
  <c r="EV7" i="7"/>
  <c r="EW7" i="7"/>
  <c r="EX7" i="7"/>
  <c r="EY7" i="7"/>
  <c r="EZ7" i="7"/>
  <c r="FA7" i="7"/>
  <c r="FB7" i="7"/>
  <c r="FC7" i="7"/>
  <c r="FD7" i="7"/>
  <c r="FE7" i="7"/>
  <c r="FF7" i="7"/>
  <c r="FG7" i="7"/>
  <c r="FH7" i="7"/>
  <c r="FI7" i="7"/>
  <c r="FJ7" i="7"/>
  <c r="FK7" i="7"/>
  <c r="FL7" i="7"/>
  <c r="FM7" i="7"/>
  <c r="FN7" i="7"/>
  <c r="FO7" i="7"/>
  <c r="FP7" i="7"/>
  <c r="FQ7" i="7"/>
  <c r="FR7" i="7"/>
  <c r="FS7" i="7"/>
  <c r="FT7" i="7"/>
  <c r="FU7" i="7"/>
  <c r="FV7" i="7"/>
  <c r="FW7" i="7"/>
  <c r="FX7" i="7"/>
  <c r="FY7" i="7"/>
  <c r="FZ7" i="7"/>
  <c r="GA7" i="7"/>
  <c r="GB7" i="7"/>
  <c r="GC7" i="7"/>
  <c r="GD7" i="7"/>
  <c r="GE7" i="7"/>
  <c r="GF7" i="7"/>
  <c r="GG7" i="7"/>
  <c r="GH7" i="7"/>
  <c r="GI7" i="7"/>
  <c r="GJ7" i="7"/>
  <c r="GK7" i="7"/>
  <c r="GL7" i="7"/>
  <c r="GM7" i="7"/>
  <c r="GN7" i="7"/>
  <c r="GO7" i="7"/>
  <c r="GP7" i="7"/>
  <c r="GQ7" i="7"/>
  <c r="GR7" i="7"/>
  <c r="GS7" i="7"/>
  <c r="GT7" i="7"/>
  <c r="GU7" i="7"/>
  <c r="GV7" i="7"/>
  <c r="GW7" i="7"/>
  <c r="GX7" i="7"/>
  <c r="GY7" i="7"/>
  <c r="GZ7" i="7"/>
  <c r="HA7" i="7"/>
  <c r="HB7" i="7"/>
  <c r="HC7" i="7"/>
  <c r="HD7" i="7"/>
  <c r="HE7" i="7"/>
  <c r="HF7" i="7"/>
  <c r="HG7" i="7"/>
  <c r="HH7" i="7"/>
  <c r="HI7" i="7"/>
  <c r="HJ7" i="7"/>
  <c r="HK7" i="7"/>
  <c r="HL7" i="7"/>
  <c r="HM7" i="7"/>
  <c r="HN7" i="7"/>
  <c r="HO7" i="7"/>
  <c r="HP7" i="7"/>
  <c r="HQ7" i="7"/>
  <c r="HR7" i="7"/>
  <c r="HS7" i="7"/>
  <c r="HT7" i="7"/>
  <c r="HU7" i="7"/>
  <c r="HV7" i="7"/>
  <c r="HW7" i="7"/>
  <c r="HX7" i="7"/>
  <c r="HY7" i="7"/>
  <c r="HZ7" i="7"/>
  <c r="IA7" i="7"/>
  <c r="IB7" i="7"/>
  <c r="IC7" i="7"/>
  <c r="ID7" i="7"/>
  <c r="IE7" i="7"/>
  <c r="IF7" i="7"/>
  <c r="IG7" i="7"/>
  <c r="IH7" i="7"/>
  <c r="II7" i="7"/>
  <c r="IJ7" i="7"/>
  <c r="IK7" i="7"/>
  <c r="IL7" i="7"/>
  <c r="IM7" i="7"/>
  <c r="IN7" i="7"/>
  <c r="IO7" i="7"/>
  <c r="IP7" i="7"/>
  <c r="IQ7" i="7"/>
  <c r="IR7" i="7"/>
  <c r="IS7" i="7"/>
  <c r="IT7" i="7"/>
  <c r="IU7" i="7"/>
  <c r="IV7" i="7"/>
  <c r="A6" i="7"/>
  <c r="B6"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AJ6" i="7"/>
  <c r="AK6" i="7"/>
  <c r="AL6" i="7"/>
  <c r="AM6" i="7"/>
  <c r="AN6" i="7"/>
  <c r="AO6" i="7"/>
  <c r="AP6" i="7"/>
  <c r="AQ6" i="7"/>
  <c r="AR6" i="7"/>
  <c r="AS6" i="7"/>
  <c r="AT6" i="7"/>
  <c r="AU6" i="7"/>
  <c r="AV6" i="7"/>
  <c r="AW6" i="7"/>
  <c r="AX6" i="7"/>
  <c r="AY6" i="7"/>
  <c r="AZ6" i="7"/>
  <c r="BA6" i="7"/>
  <c r="BB6" i="7"/>
  <c r="BC6" i="7"/>
  <c r="BD6" i="7"/>
  <c r="BE6" i="7"/>
  <c r="BF6" i="7"/>
  <c r="BG6" i="7"/>
  <c r="BH6" i="7"/>
  <c r="BI6" i="7"/>
  <c r="BJ6" i="7"/>
  <c r="BK6" i="7"/>
  <c r="BL6" i="7"/>
  <c r="BM6" i="7"/>
  <c r="BN6" i="7"/>
  <c r="BO6" i="7"/>
  <c r="BP6" i="7"/>
  <c r="BQ6" i="7"/>
  <c r="BR6" i="7"/>
  <c r="BS6" i="7"/>
  <c r="BT6" i="7"/>
  <c r="BU6" i="7"/>
  <c r="BV6" i="7"/>
  <c r="BW6" i="7"/>
  <c r="BX6" i="7"/>
  <c r="BY6" i="7"/>
  <c r="BZ6" i="7"/>
  <c r="CA6" i="7"/>
  <c r="CB6" i="7"/>
  <c r="CC6" i="7"/>
  <c r="CD6" i="7"/>
  <c r="CE6" i="7"/>
  <c r="CF6" i="7"/>
  <c r="CG6" i="7"/>
  <c r="CH6" i="7"/>
  <c r="CI6" i="7"/>
  <c r="CJ6" i="7"/>
  <c r="CK6" i="7"/>
  <c r="CL6" i="7"/>
  <c r="CM6" i="7"/>
  <c r="CN6" i="7"/>
  <c r="CO6" i="7"/>
  <c r="CP6" i="7"/>
  <c r="CQ6" i="7"/>
  <c r="CR6" i="7"/>
  <c r="CS6" i="7"/>
  <c r="CT6" i="7"/>
  <c r="CU6" i="7"/>
  <c r="CV6" i="7"/>
  <c r="CW6" i="7"/>
  <c r="CX6" i="7"/>
  <c r="CY6" i="7"/>
  <c r="CZ6" i="7"/>
  <c r="DA6" i="7"/>
  <c r="DB6" i="7"/>
  <c r="DC6" i="7"/>
  <c r="DD6" i="7"/>
  <c r="DE6" i="7"/>
  <c r="DF6" i="7"/>
  <c r="DG6" i="7"/>
  <c r="DH6" i="7"/>
  <c r="DI6" i="7"/>
  <c r="DJ6" i="7"/>
  <c r="DK6" i="7"/>
  <c r="DL6" i="7"/>
  <c r="DM6" i="7"/>
  <c r="DN6" i="7"/>
  <c r="DO6" i="7"/>
  <c r="DP6" i="7"/>
  <c r="DQ6" i="7"/>
  <c r="DR6" i="7"/>
  <c r="DS6" i="7"/>
  <c r="DT6" i="7"/>
  <c r="DU6" i="7"/>
  <c r="DV6" i="7"/>
  <c r="DW6" i="7"/>
  <c r="DX6" i="7"/>
  <c r="DY6" i="7"/>
  <c r="DZ6" i="7"/>
  <c r="EA6" i="7"/>
  <c r="EB6" i="7"/>
  <c r="EC6" i="7"/>
  <c r="ED6" i="7"/>
  <c r="EE6" i="7"/>
  <c r="EF6" i="7"/>
  <c r="EG6" i="7"/>
  <c r="EH6" i="7"/>
  <c r="EI6" i="7"/>
  <c r="EJ6" i="7"/>
  <c r="EK6" i="7"/>
  <c r="EL6" i="7"/>
  <c r="EM6" i="7"/>
  <c r="EN6" i="7"/>
  <c r="EO6" i="7"/>
  <c r="EP6" i="7"/>
  <c r="EQ6" i="7"/>
  <c r="ER6" i="7"/>
  <c r="ES6" i="7"/>
  <c r="ET6" i="7"/>
  <c r="EU6" i="7"/>
  <c r="EV6" i="7"/>
  <c r="EW6" i="7"/>
  <c r="EX6" i="7"/>
  <c r="EY6" i="7"/>
  <c r="EZ6" i="7"/>
  <c r="FA6" i="7"/>
  <c r="FB6" i="7"/>
  <c r="FC6" i="7"/>
  <c r="FD6" i="7"/>
  <c r="FE6" i="7"/>
  <c r="FF6" i="7"/>
  <c r="FG6" i="7"/>
  <c r="FH6" i="7"/>
  <c r="FI6" i="7"/>
  <c r="FJ6" i="7"/>
  <c r="FK6" i="7"/>
  <c r="FL6" i="7"/>
  <c r="FM6" i="7"/>
  <c r="FN6" i="7"/>
  <c r="FO6" i="7"/>
  <c r="FP6" i="7"/>
  <c r="FQ6" i="7"/>
  <c r="FR6" i="7"/>
  <c r="FS6" i="7"/>
  <c r="FT6" i="7"/>
  <c r="FU6" i="7"/>
  <c r="FV6" i="7"/>
  <c r="FW6" i="7"/>
  <c r="FX6" i="7"/>
  <c r="FY6" i="7"/>
  <c r="FZ6" i="7"/>
  <c r="GA6" i="7"/>
  <c r="GB6" i="7"/>
  <c r="GC6" i="7"/>
  <c r="GD6" i="7"/>
  <c r="GE6" i="7"/>
  <c r="GF6" i="7"/>
  <c r="GG6" i="7"/>
  <c r="GH6" i="7"/>
  <c r="GI6" i="7"/>
  <c r="GJ6" i="7"/>
  <c r="GK6" i="7"/>
  <c r="GL6" i="7"/>
  <c r="GM6" i="7"/>
  <c r="GN6" i="7"/>
  <c r="GO6" i="7"/>
  <c r="GP6" i="7"/>
  <c r="GQ6" i="7"/>
  <c r="GR6" i="7"/>
  <c r="GS6" i="7"/>
  <c r="GT6" i="7"/>
  <c r="GU6" i="7"/>
  <c r="GV6" i="7"/>
  <c r="GW6" i="7"/>
  <c r="GX6" i="7"/>
  <c r="GY6" i="7"/>
  <c r="GZ6" i="7"/>
  <c r="HA6" i="7"/>
  <c r="HB6" i="7"/>
  <c r="HC6" i="7"/>
  <c r="HD6" i="7"/>
  <c r="HE6" i="7"/>
  <c r="HF6" i="7"/>
  <c r="HG6" i="7"/>
  <c r="HH6" i="7"/>
  <c r="HI6" i="7"/>
  <c r="HJ6" i="7"/>
  <c r="HK6" i="7"/>
  <c r="HL6" i="7"/>
  <c r="HM6" i="7"/>
  <c r="HN6" i="7"/>
  <c r="HO6" i="7"/>
  <c r="HP6" i="7"/>
  <c r="HQ6" i="7"/>
  <c r="HR6" i="7"/>
  <c r="HS6" i="7"/>
  <c r="HT6" i="7"/>
  <c r="HU6" i="7"/>
  <c r="HV6" i="7"/>
  <c r="HW6" i="7"/>
  <c r="HX6" i="7"/>
  <c r="HY6" i="7"/>
  <c r="HZ6" i="7"/>
  <c r="IA6" i="7"/>
  <c r="IB6" i="7"/>
  <c r="IC6" i="7"/>
  <c r="ID6" i="7"/>
  <c r="IE6" i="7"/>
  <c r="IF6" i="7"/>
  <c r="IG6" i="7"/>
  <c r="IH6" i="7"/>
  <c r="II6" i="7"/>
  <c r="IJ6" i="7"/>
  <c r="IK6" i="7"/>
  <c r="IL6" i="7"/>
  <c r="IM6" i="7"/>
  <c r="IN6" i="7"/>
  <c r="IO6" i="7"/>
  <c r="IP6" i="7"/>
  <c r="IQ6" i="7"/>
  <c r="IR6" i="7"/>
  <c r="IS6" i="7"/>
  <c r="IT6" i="7"/>
  <c r="IU6" i="7"/>
  <c r="IV6" i="7"/>
  <c r="A5" i="7"/>
  <c r="B5"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AK5" i="7"/>
  <c r="AL5" i="7"/>
  <c r="AM5" i="7"/>
  <c r="AN5" i="7"/>
  <c r="AO5" i="7"/>
  <c r="AP5" i="7"/>
  <c r="AQ5" i="7"/>
  <c r="AR5" i="7"/>
  <c r="AS5" i="7"/>
  <c r="AT5" i="7"/>
  <c r="AU5" i="7"/>
  <c r="AV5" i="7"/>
  <c r="AW5" i="7"/>
  <c r="AX5" i="7"/>
  <c r="AY5" i="7"/>
  <c r="AZ5" i="7"/>
  <c r="BA5" i="7"/>
  <c r="BB5" i="7"/>
  <c r="BC5" i="7"/>
  <c r="BD5" i="7"/>
  <c r="BE5" i="7"/>
  <c r="BF5" i="7"/>
  <c r="BG5" i="7"/>
  <c r="BH5" i="7"/>
  <c r="BI5" i="7"/>
  <c r="BJ5" i="7"/>
  <c r="BK5" i="7"/>
  <c r="BL5" i="7"/>
  <c r="BM5" i="7"/>
  <c r="BN5" i="7"/>
  <c r="BO5" i="7"/>
  <c r="BP5" i="7"/>
  <c r="BQ5" i="7"/>
  <c r="BR5" i="7"/>
  <c r="BS5" i="7"/>
  <c r="BT5" i="7"/>
  <c r="BU5" i="7"/>
  <c r="BV5" i="7"/>
  <c r="BW5" i="7"/>
  <c r="BX5" i="7"/>
  <c r="BY5" i="7"/>
  <c r="BZ5" i="7"/>
  <c r="CA5" i="7"/>
  <c r="CB5" i="7"/>
  <c r="CC5" i="7"/>
  <c r="CD5" i="7"/>
  <c r="CE5" i="7"/>
  <c r="CF5" i="7"/>
  <c r="CG5" i="7"/>
  <c r="CH5" i="7"/>
  <c r="CI5" i="7"/>
  <c r="CJ5" i="7"/>
  <c r="CK5" i="7"/>
  <c r="CL5" i="7"/>
  <c r="CM5" i="7"/>
  <c r="CN5" i="7"/>
  <c r="CO5" i="7"/>
  <c r="CP5" i="7"/>
  <c r="CQ5" i="7"/>
  <c r="CR5" i="7"/>
  <c r="CS5" i="7"/>
  <c r="CT5" i="7"/>
  <c r="CU5" i="7"/>
  <c r="CV5" i="7"/>
  <c r="CW5" i="7"/>
  <c r="CX5" i="7"/>
  <c r="CY5" i="7"/>
  <c r="CZ5" i="7"/>
  <c r="DA5" i="7"/>
  <c r="DB5" i="7"/>
  <c r="DC5" i="7"/>
  <c r="DD5" i="7"/>
  <c r="DE5" i="7"/>
  <c r="DF5" i="7"/>
  <c r="DG5" i="7"/>
  <c r="DH5" i="7"/>
  <c r="DI5" i="7"/>
  <c r="DJ5" i="7"/>
  <c r="DK5" i="7"/>
  <c r="DL5" i="7"/>
  <c r="DM5" i="7"/>
  <c r="DN5" i="7"/>
  <c r="DO5" i="7"/>
  <c r="DP5" i="7"/>
  <c r="DQ5" i="7"/>
  <c r="DR5" i="7"/>
  <c r="DS5" i="7"/>
  <c r="DT5" i="7"/>
  <c r="DU5" i="7"/>
  <c r="DV5" i="7"/>
  <c r="DW5" i="7"/>
  <c r="DX5" i="7"/>
  <c r="DY5" i="7"/>
  <c r="DZ5" i="7"/>
  <c r="EA5" i="7"/>
  <c r="EB5" i="7"/>
  <c r="EC5" i="7"/>
  <c r="ED5" i="7"/>
  <c r="EE5" i="7"/>
  <c r="EF5" i="7"/>
  <c r="EG5" i="7"/>
  <c r="EH5" i="7"/>
  <c r="EI5" i="7"/>
  <c r="EJ5" i="7"/>
  <c r="EK5" i="7"/>
  <c r="EL5" i="7"/>
  <c r="EM5" i="7"/>
  <c r="EN5" i="7"/>
  <c r="EO5" i="7"/>
  <c r="EP5" i="7"/>
  <c r="EQ5" i="7"/>
  <c r="ER5" i="7"/>
  <c r="ES5" i="7"/>
  <c r="ET5" i="7"/>
  <c r="EU5" i="7"/>
  <c r="EV5" i="7"/>
  <c r="EW5" i="7"/>
  <c r="EX5" i="7"/>
  <c r="EY5" i="7"/>
  <c r="EZ5" i="7"/>
  <c r="FA5" i="7"/>
  <c r="FB5" i="7"/>
  <c r="FC5" i="7"/>
  <c r="FD5" i="7"/>
  <c r="FE5" i="7"/>
  <c r="FF5" i="7"/>
  <c r="FG5" i="7"/>
  <c r="FH5" i="7"/>
  <c r="FI5" i="7"/>
  <c r="FJ5" i="7"/>
  <c r="FK5" i="7"/>
  <c r="FL5" i="7"/>
  <c r="FM5" i="7"/>
  <c r="FN5" i="7"/>
  <c r="FO5" i="7"/>
  <c r="FP5" i="7"/>
  <c r="FQ5" i="7"/>
  <c r="FR5" i="7"/>
  <c r="FS5" i="7"/>
  <c r="FT5" i="7"/>
  <c r="FU5" i="7"/>
  <c r="FV5" i="7"/>
  <c r="FW5" i="7"/>
  <c r="FX5" i="7"/>
  <c r="FY5" i="7"/>
  <c r="FZ5" i="7"/>
  <c r="GA5" i="7"/>
  <c r="GB5" i="7"/>
  <c r="GC5" i="7"/>
  <c r="GD5" i="7"/>
  <c r="GE5" i="7"/>
  <c r="GF5" i="7"/>
  <c r="GG5" i="7"/>
  <c r="GH5" i="7"/>
  <c r="GI5" i="7"/>
  <c r="GJ5" i="7"/>
  <c r="GK5" i="7"/>
  <c r="GL5" i="7"/>
  <c r="GM5" i="7"/>
  <c r="GN5" i="7"/>
  <c r="GO5" i="7"/>
  <c r="GP5" i="7"/>
  <c r="GQ5" i="7"/>
  <c r="GR5" i="7"/>
  <c r="GS5" i="7"/>
  <c r="GT5" i="7"/>
  <c r="GU5" i="7"/>
  <c r="GV5" i="7"/>
  <c r="GW5" i="7"/>
  <c r="GX5" i="7"/>
  <c r="GY5" i="7"/>
  <c r="GZ5" i="7"/>
  <c r="HA5" i="7"/>
  <c r="HB5" i="7"/>
  <c r="HC5" i="7"/>
  <c r="HD5" i="7"/>
  <c r="HE5" i="7"/>
  <c r="HF5" i="7"/>
  <c r="HG5" i="7"/>
  <c r="HH5" i="7"/>
  <c r="HI5" i="7"/>
  <c r="HJ5" i="7"/>
  <c r="HK5" i="7"/>
  <c r="HL5" i="7"/>
  <c r="HM5" i="7"/>
  <c r="HN5" i="7"/>
  <c r="HO5" i="7"/>
  <c r="HP5" i="7"/>
  <c r="HQ5" i="7"/>
  <c r="HR5" i="7"/>
  <c r="HS5" i="7"/>
  <c r="HT5" i="7"/>
  <c r="HU5" i="7"/>
  <c r="HV5" i="7"/>
  <c r="HW5" i="7"/>
  <c r="HX5" i="7"/>
  <c r="HY5" i="7"/>
  <c r="HZ5" i="7"/>
  <c r="IA5" i="7"/>
  <c r="IB5" i="7"/>
  <c r="IC5" i="7"/>
  <c r="ID5" i="7"/>
  <c r="IE5" i="7"/>
  <c r="IF5" i="7"/>
  <c r="IG5" i="7"/>
  <c r="IH5" i="7"/>
  <c r="II5" i="7"/>
  <c r="IJ5" i="7"/>
  <c r="IK5" i="7"/>
  <c r="IL5" i="7"/>
  <c r="IM5" i="7"/>
  <c r="IN5" i="7"/>
  <c r="IO5" i="7"/>
  <c r="IP5" i="7"/>
  <c r="IQ5" i="7"/>
  <c r="IR5" i="7"/>
  <c r="IS5" i="7"/>
  <c r="IT5" i="7"/>
  <c r="IU5" i="7"/>
  <c r="IV5" i="7"/>
  <c r="A4" i="7"/>
  <c r="B4" i="7"/>
  <c r="C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AK4" i="7"/>
  <c r="AL4" i="7"/>
  <c r="AM4" i="7"/>
  <c r="AN4" i="7"/>
  <c r="AO4" i="7"/>
  <c r="AP4" i="7"/>
  <c r="AQ4" i="7"/>
  <c r="AR4" i="7"/>
  <c r="AS4" i="7"/>
  <c r="AT4" i="7"/>
  <c r="AU4" i="7"/>
  <c r="AV4" i="7"/>
  <c r="AW4" i="7"/>
  <c r="AX4" i="7"/>
  <c r="AY4" i="7"/>
  <c r="AZ4" i="7"/>
  <c r="BA4" i="7"/>
  <c r="BB4" i="7"/>
  <c r="BC4" i="7"/>
  <c r="BD4" i="7"/>
  <c r="BE4" i="7"/>
  <c r="BF4" i="7"/>
  <c r="BG4" i="7"/>
  <c r="BH4" i="7"/>
  <c r="BI4" i="7"/>
  <c r="BJ4" i="7"/>
  <c r="BK4" i="7"/>
  <c r="BL4" i="7"/>
  <c r="BM4" i="7"/>
  <c r="BN4" i="7"/>
  <c r="BO4" i="7"/>
  <c r="BP4" i="7"/>
  <c r="BQ4" i="7"/>
  <c r="BR4" i="7"/>
  <c r="BS4" i="7"/>
  <c r="BT4" i="7"/>
  <c r="BU4" i="7"/>
  <c r="BV4" i="7"/>
  <c r="BW4" i="7"/>
  <c r="BX4" i="7"/>
  <c r="BY4" i="7"/>
  <c r="BZ4" i="7"/>
  <c r="CA4" i="7"/>
  <c r="CB4" i="7"/>
  <c r="CC4" i="7"/>
  <c r="CD4" i="7"/>
  <c r="CE4" i="7"/>
  <c r="CF4" i="7"/>
  <c r="CG4" i="7"/>
  <c r="CH4" i="7"/>
  <c r="CI4" i="7"/>
  <c r="CJ4" i="7"/>
  <c r="CK4" i="7"/>
  <c r="CL4" i="7"/>
  <c r="CM4" i="7"/>
  <c r="CN4" i="7"/>
  <c r="CO4" i="7"/>
  <c r="CP4" i="7"/>
  <c r="CQ4" i="7"/>
  <c r="CR4" i="7"/>
  <c r="CS4" i="7"/>
  <c r="CT4" i="7"/>
  <c r="CU4" i="7"/>
  <c r="CV4" i="7"/>
  <c r="CW4" i="7"/>
  <c r="CX4" i="7"/>
  <c r="CY4" i="7"/>
  <c r="CZ4" i="7"/>
  <c r="DA4" i="7"/>
  <c r="DB4" i="7"/>
  <c r="DC4" i="7"/>
  <c r="DD4" i="7"/>
  <c r="DE4" i="7"/>
  <c r="DF4" i="7"/>
  <c r="DG4" i="7"/>
  <c r="DH4" i="7"/>
  <c r="DI4" i="7"/>
  <c r="DJ4" i="7"/>
  <c r="DK4" i="7"/>
  <c r="DL4" i="7"/>
  <c r="DM4" i="7"/>
  <c r="DN4" i="7"/>
  <c r="DO4" i="7"/>
  <c r="DP4" i="7"/>
  <c r="DQ4" i="7"/>
  <c r="DR4" i="7"/>
  <c r="DS4" i="7"/>
  <c r="DT4" i="7"/>
  <c r="DU4" i="7"/>
  <c r="DV4" i="7"/>
  <c r="DW4" i="7"/>
  <c r="DX4" i="7"/>
  <c r="DY4" i="7"/>
  <c r="DZ4" i="7"/>
  <c r="EA4" i="7"/>
  <c r="EB4" i="7"/>
  <c r="EC4" i="7"/>
  <c r="ED4" i="7"/>
  <c r="EE4" i="7"/>
  <c r="EF4" i="7"/>
  <c r="EG4" i="7"/>
  <c r="EH4" i="7"/>
  <c r="EI4" i="7"/>
  <c r="EJ4" i="7"/>
  <c r="EK4" i="7"/>
  <c r="EL4" i="7"/>
  <c r="EM4" i="7"/>
  <c r="EN4" i="7"/>
  <c r="EO4" i="7"/>
  <c r="EP4" i="7"/>
  <c r="EQ4" i="7"/>
  <c r="ER4" i="7"/>
  <c r="ES4" i="7"/>
  <c r="ET4" i="7"/>
  <c r="EU4" i="7"/>
  <c r="EV4" i="7"/>
  <c r="EW4" i="7"/>
  <c r="EX4" i="7"/>
  <c r="EY4" i="7"/>
  <c r="EZ4" i="7"/>
  <c r="FA4" i="7"/>
  <c r="FB4" i="7"/>
  <c r="FC4" i="7"/>
  <c r="FD4" i="7"/>
  <c r="FE4" i="7"/>
  <c r="FF4" i="7"/>
  <c r="FG4" i="7"/>
  <c r="FH4" i="7"/>
  <c r="FI4" i="7"/>
  <c r="FJ4" i="7"/>
  <c r="FK4" i="7"/>
  <c r="FL4" i="7"/>
  <c r="FM4" i="7"/>
  <c r="FN4" i="7"/>
  <c r="FO4" i="7"/>
  <c r="FP4" i="7"/>
  <c r="FQ4" i="7"/>
  <c r="FR4" i="7"/>
  <c r="FS4" i="7"/>
  <c r="FT4" i="7"/>
  <c r="FU4" i="7"/>
  <c r="FV4" i="7"/>
  <c r="FW4" i="7"/>
  <c r="FX4" i="7"/>
  <c r="FY4" i="7"/>
  <c r="FZ4" i="7"/>
  <c r="GA4" i="7"/>
  <c r="GB4" i="7"/>
  <c r="GC4" i="7"/>
  <c r="GD4" i="7"/>
  <c r="GE4" i="7"/>
  <c r="GF4" i="7"/>
  <c r="GG4" i="7"/>
  <c r="GH4" i="7"/>
  <c r="GI4" i="7"/>
  <c r="GJ4" i="7"/>
  <c r="GK4" i="7"/>
  <c r="GL4" i="7"/>
  <c r="GM4" i="7"/>
  <c r="GN4" i="7"/>
  <c r="GO4" i="7"/>
  <c r="GP4" i="7"/>
  <c r="GQ4" i="7"/>
  <c r="GR4" i="7"/>
  <c r="GS4" i="7"/>
  <c r="GT4" i="7"/>
  <c r="GU4" i="7"/>
  <c r="GV4" i="7"/>
  <c r="GW4" i="7"/>
  <c r="GX4" i="7"/>
  <c r="GY4" i="7"/>
  <c r="GZ4" i="7"/>
  <c r="HA4" i="7"/>
  <c r="HB4" i="7"/>
  <c r="HC4" i="7"/>
  <c r="HD4" i="7"/>
  <c r="HE4" i="7"/>
  <c r="HF4" i="7"/>
  <c r="HG4" i="7"/>
  <c r="HH4" i="7"/>
  <c r="HI4" i="7"/>
  <c r="HJ4" i="7"/>
  <c r="HK4" i="7"/>
  <c r="HL4" i="7"/>
  <c r="HM4" i="7"/>
  <c r="HN4" i="7"/>
  <c r="HO4" i="7"/>
  <c r="HP4" i="7"/>
  <c r="HQ4" i="7"/>
  <c r="HR4" i="7"/>
  <c r="HS4" i="7"/>
  <c r="HT4" i="7"/>
  <c r="HU4" i="7"/>
  <c r="HV4" i="7"/>
  <c r="HW4" i="7"/>
  <c r="HX4" i="7"/>
  <c r="HY4" i="7"/>
  <c r="HZ4" i="7"/>
  <c r="IA4" i="7"/>
  <c r="IB4" i="7"/>
  <c r="IC4" i="7"/>
  <c r="ID4" i="7"/>
  <c r="IE4" i="7"/>
  <c r="IF4" i="7"/>
  <c r="IG4" i="7"/>
  <c r="IH4" i="7"/>
  <c r="II4" i="7"/>
  <c r="IJ4" i="7"/>
  <c r="IK4" i="7"/>
  <c r="IL4" i="7"/>
  <c r="IM4" i="7"/>
  <c r="IN4" i="7"/>
  <c r="IO4" i="7"/>
  <c r="IP4" i="7"/>
  <c r="IQ4" i="7"/>
  <c r="IR4" i="7"/>
  <c r="IS4" i="7"/>
  <c r="IT4" i="7"/>
  <c r="IU4" i="7"/>
  <c r="IV4" i="7"/>
  <c r="A3" i="7"/>
  <c r="B3" i="7"/>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AK3" i="7"/>
  <c r="AL3" i="7"/>
  <c r="AM3" i="7"/>
  <c r="AN3" i="7"/>
  <c r="AO3" i="7"/>
  <c r="AP3" i="7"/>
  <c r="AQ3" i="7"/>
  <c r="AR3" i="7"/>
  <c r="AS3" i="7"/>
  <c r="AT3" i="7"/>
  <c r="AU3" i="7"/>
  <c r="AV3" i="7"/>
  <c r="AW3" i="7"/>
  <c r="AX3" i="7"/>
  <c r="AY3" i="7"/>
  <c r="AZ3" i="7"/>
  <c r="BA3" i="7"/>
  <c r="BB3" i="7"/>
  <c r="BC3" i="7"/>
  <c r="BD3" i="7"/>
  <c r="BE3" i="7"/>
  <c r="BF3" i="7"/>
  <c r="BG3" i="7"/>
  <c r="BH3" i="7"/>
  <c r="BI3" i="7"/>
  <c r="BJ3" i="7"/>
  <c r="BK3" i="7"/>
  <c r="BL3" i="7"/>
  <c r="BM3" i="7"/>
  <c r="BN3" i="7"/>
  <c r="BO3" i="7"/>
  <c r="BP3" i="7"/>
  <c r="BQ3" i="7"/>
  <c r="BR3" i="7"/>
  <c r="BS3" i="7"/>
  <c r="BT3" i="7"/>
  <c r="BU3" i="7"/>
  <c r="BV3" i="7"/>
  <c r="BW3" i="7"/>
  <c r="BX3" i="7"/>
  <c r="BY3" i="7"/>
  <c r="BZ3" i="7"/>
  <c r="CA3" i="7"/>
  <c r="CB3" i="7"/>
  <c r="CC3" i="7"/>
  <c r="CD3" i="7"/>
  <c r="CE3" i="7"/>
  <c r="CF3" i="7"/>
  <c r="CG3" i="7"/>
  <c r="CH3" i="7"/>
  <c r="CI3" i="7"/>
  <c r="CJ3" i="7"/>
  <c r="CK3" i="7"/>
  <c r="CL3" i="7"/>
  <c r="CM3" i="7"/>
  <c r="CN3" i="7"/>
  <c r="CO3" i="7"/>
  <c r="CP3" i="7"/>
  <c r="CQ3" i="7"/>
  <c r="CR3" i="7"/>
  <c r="CS3" i="7"/>
  <c r="CT3" i="7"/>
  <c r="CU3" i="7"/>
  <c r="CV3" i="7"/>
  <c r="CW3" i="7"/>
  <c r="CX3" i="7"/>
  <c r="CY3" i="7"/>
  <c r="CZ3" i="7"/>
  <c r="DA3" i="7"/>
  <c r="DB3" i="7"/>
  <c r="DC3" i="7"/>
  <c r="DD3" i="7"/>
  <c r="DE3" i="7"/>
  <c r="DF3" i="7"/>
  <c r="DG3" i="7"/>
  <c r="DH3" i="7"/>
  <c r="DI3" i="7"/>
  <c r="DJ3" i="7"/>
  <c r="DK3" i="7"/>
  <c r="DL3" i="7"/>
  <c r="DM3" i="7"/>
  <c r="DN3" i="7"/>
  <c r="DO3" i="7"/>
  <c r="DP3" i="7"/>
  <c r="DQ3" i="7"/>
  <c r="DR3" i="7"/>
  <c r="DS3" i="7"/>
  <c r="DT3" i="7"/>
  <c r="DU3" i="7"/>
  <c r="DV3" i="7"/>
  <c r="DW3" i="7"/>
  <c r="DX3" i="7"/>
  <c r="DY3" i="7"/>
  <c r="DZ3" i="7"/>
  <c r="EA3" i="7"/>
  <c r="EB3" i="7"/>
  <c r="EC3" i="7"/>
  <c r="ED3" i="7"/>
  <c r="EE3" i="7"/>
  <c r="EF3" i="7"/>
  <c r="EG3" i="7"/>
  <c r="EH3" i="7"/>
  <c r="EI3" i="7"/>
  <c r="EJ3" i="7"/>
  <c r="EK3" i="7"/>
  <c r="EL3" i="7"/>
  <c r="EM3" i="7"/>
  <c r="EN3" i="7"/>
  <c r="EO3" i="7"/>
  <c r="EP3" i="7"/>
  <c r="EQ3" i="7"/>
  <c r="ER3" i="7"/>
  <c r="ES3" i="7"/>
  <c r="ET3" i="7"/>
  <c r="EU3" i="7"/>
  <c r="EV3" i="7"/>
  <c r="EW3" i="7"/>
  <c r="EX3" i="7"/>
  <c r="EY3" i="7"/>
  <c r="EZ3" i="7"/>
  <c r="FA3" i="7"/>
  <c r="FB3" i="7"/>
  <c r="FC3" i="7"/>
  <c r="FD3" i="7"/>
  <c r="FE3" i="7"/>
  <c r="FF3" i="7"/>
  <c r="FG3" i="7"/>
  <c r="FH3" i="7"/>
  <c r="FI3" i="7"/>
  <c r="FJ3" i="7"/>
  <c r="FK3" i="7"/>
  <c r="FL3" i="7"/>
  <c r="FM3" i="7"/>
  <c r="FN3" i="7"/>
  <c r="FO3" i="7"/>
  <c r="FP3" i="7"/>
  <c r="FQ3" i="7"/>
  <c r="FR3" i="7"/>
  <c r="FS3" i="7"/>
  <c r="FT3" i="7"/>
  <c r="FU3" i="7"/>
  <c r="FV3" i="7"/>
  <c r="FW3" i="7"/>
  <c r="FX3" i="7"/>
  <c r="FY3" i="7"/>
  <c r="FZ3" i="7"/>
  <c r="GA3" i="7"/>
  <c r="GB3" i="7"/>
  <c r="GC3" i="7"/>
  <c r="GD3" i="7"/>
  <c r="GE3" i="7"/>
  <c r="GF3" i="7"/>
  <c r="GG3" i="7"/>
  <c r="GH3" i="7"/>
  <c r="GI3" i="7"/>
  <c r="GJ3" i="7"/>
  <c r="GK3" i="7"/>
  <c r="GL3" i="7"/>
  <c r="GM3" i="7"/>
  <c r="GN3" i="7"/>
  <c r="GO3" i="7"/>
  <c r="GP3" i="7"/>
  <c r="GQ3" i="7"/>
  <c r="GR3" i="7"/>
  <c r="GS3" i="7"/>
  <c r="GT3" i="7"/>
  <c r="GU3" i="7"/>
  <c r="GV3" i="7"/>
  <c r="GW3" i="7"/>
  <c r="GX3" i="7"/>
  <c r="GY3" i="7"/>
  <c r="GZ3" i="7"/>
  <c r="HA3" i="7"/>
  <c r="HB3" i="7"/>
  <c r="HC3" i="7"/>
  <c r="HD3" i="7"/>
  <c r="HE3" i="7"/>
  <c r="HF3" i="7"/>
  <c r="HG3" i="7"/>
  <c r="HH3" i="7"/>
  <c r="HI3" i="7"/>
  <c r="HJ3" i="7"/>
  <c r="HK3" i="7"/>
  <c r="HL3" i="7"/>
  <c r="HM3" i="7"/>
  <c r="HN3" i="7"/>
  <c r="HO3" i="7"/>
  <c r="HP3" i="7"/>
  <c r="HQ3" i="7"/>
  <c r="HR3" i="7"/>
  <c r="HS3" i="7"/>
  <c r="HT3" i="7"/>
  <c r="HU3" i="7"/>
  <c r="HV3" i="7"/>
  <c r="HW3" i="7"/>
  <c r="HX3" i="7"/>
  <c r="HY3" i="7"/>
  <c r="HZ3" i="7"/>
  <c r="IA3" i="7"/>
  <c r="IB3" i="7"/>
  <c r="IC3" i="7"/>
  <c r="ID3" i="7"/>
  <c r="IE3" i="7"/>
  <c r="IF3" i="7"/>
  <c r="IG3" i="7"/>
  <c r="IH3" i="7"/>
  <c r="II3" i="7"/>
  <c r="IJ3" i="7"/>
  <c r="IK3" i="7"/>
  <c r="IL3" i="7"/>
  <c r="IM3" i="7"/>
  <c r="IN3" i="7"/>
  <c r="IO3" i="7"/>
  <c r="IP3" i="7"/>
  <c r="IQ3" i="7"/>
  <c r="IR3" i="7"/>
  <c r="IS3" i="7"/>
  <c r="IT3" i="7"/>
  <c r="IU3" i="7"/>
  <c r="IV3" i="7"/>
  <c r="A2" i="7"/>
  <c r="B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AM2" i="7"/>
  <c r="AN2" i="7"/>
  <c r="AO2" i="7"/>
  <c r="AP2" i="7"/>
  <c r="AQ2" i="7"/>
  <c r="AR2" i="7"/>
  <c r="AS2" i="7"/>
  <c r="AT2" i="7"/>
  <c r="AU2" i="7"/>
  <c r="AV2" i="7"/>
  <c r="AW2" i="7"/>
  <c r="AX2" i="7"/>
  <c r="AY2" i="7"/>
  <c r="AZ2" i="7"/>
  <c r="BA2" i="7"/>
  <c r="BB2" i="7"/>
  <c r="BC2" i="7"/>
  <c r="BD2" i="7"/>
  <c r="BE2" i="7"/>
  <c r="BF2" i="7"/>
  <c r="BG2" i="7"/>
  <c r="BH2" i="7"/>
  <c r="BI2" i="7"/>
  <c r="BJ2" i="7"/>
  <c r="BK2" i="7"/>
  <c r="BL2" i="7"/>
  <c r="BM2" i="7"/>
  <c r="BN2" i="7"/>
  <c r="BO2" i="7"/>
  <c r="BP2" i="7"/>
  <c r="BQ2" i="7"/>
  <c r="BR2" i="7"/>
  <c r="BS2" i="7"/>
  <c r="BT2" i="7"/>
  <c r="BU2" i="7"/>
  <c r="BV2" i="7"/>
  <c r="BW2" i="7"/>
  <c r="BX2" i="7"/>
  <c r="BY2" i="7"/>
  <c r="BZ2" i="7"/>
  <c r="CA2" i="7"/>
  <c r="CB2" i="7"/>
  <c r="CC2" i="7"/>
  <c r="CD2" i="7"/>
  <c r="CE2" i="7"/>
  <c r="CF2" i="7"/>
  <c r="CG2" i="7"/>
  <c r="CH2" i="7"/>
  <c r="CI2" i="7"/>
  <c r="CJ2" i="7"/>
  <c r="CK2" i="7"/>
  <c r="CL2" i="7"/>
  <c r="CM2" i="7"/>
  <c r="CN2" i="7"/>
  <c r="CO2" i="7"/>
  <c r="CP2" i="7"/>
  <c r="CQ2" i="7"/>
  <c r="CR2" i="7"/>
  <c r="CS2" i="7"/>
  <c r="CT2" i="7"/>
  <c r="CU2" i="7"/>
  <c r="CV2" i="7"/>
  <c r="CW2" i="7"/>
  <c r="CX2" i="7"/>
  <c r="CY2" i="7"/>
  <c r="CZ2" i="7"/>
  <c r="DA2" i="7"/>
  <c r="DB2" i="7"/>
  <c r="DC2" i="7"/>
  <c r="DD2" i="7"/>
  <c r="DE2" i="7"/>
  <c r="DF2" i="7"/>
  <c r="DG2" i="7"/>
  <c r="DH2" i="7"/>
  <c r="DI2" i="7"/>
  <c r="DJ2" i="7"/>
  <c r="DK2" i="7"/>
  <c r="DL2" i="7"/>
  <c r="DM2" i="7"/>
  <c r="DN2" i="7"/>
  <c r="DO2" i="7"/>
  <c r="DP2" i="7"/>
  <c r="DQ2" i="7"/>
  <c r="DR2" i="7"/>
  <c r="DS2" i="7"/>
  <c r="DT2" i="7"/>
  <c r="DU2" i="7"/>
  <c r="DV2" i="7"/>
  <c r="DW2" i="7"/>
  <c r="DX2" i="7"/>
  <c r="DY2" i="7"/>
  <c r="DZ2" i="7"/>
  <c r="EA2" i="7"/>
  <c r="EB2" i="7"/>
  <c r="EC2" i="7"/>
  <c r="ED2" i="7"/>
  <c r="EE2" i="7"/>
  <c r="EF2" i="7"/>
  <c r="EG2" i="7"/>
  <c r="EH2" i="7"/>
  <c r="EI2" i="7"/>
  <c r="EJ2" i="7"/>
  <c r="EK2" i="7"/>
  <c r="EL2" i="7"/>
  <c r="EM2" i="7"/>
  <c r="EN2" i="7"/>
  <c r="EO2" i="7"/>
  <c r="EP2" i="7"/>
  <c r="EQ2" i="7"/>
  <c r="ER2" i="7"/>
  <c r="ES2" i="7"/>
  <c r="ET2" i="7"/>
  <c r="EU2" i="7"/>
  <c r="EV2" i="7"/>
  <c r="EW2" i="7"/>
  <c r="EX2" i="7"/>
  <c r="EY2" i="7"/>
  <c r="EZ2" i="7"/>
  <c r="FA2" i="7"/>
  <c r="FB2" i="7"/>
  <c r="FC2" i="7"/>
  <c r="FD2" i="7"/>
  <c r="FE2" i="7"/>
  <c r="FF2" i="7"/>
  <c r="FG2" i="7"/>
  <c r="FH2" i="7"/>
  <c r="FI2" i="7"/>
  <c r="FJ2" i="7"/>
  <c r="FK2" i="7"/>
  <c r="FL2" i="7"/>
  <c r="FM2" i="7"/>
  <c r="FN2" i="7"/>
  <c r="FO2" i="7"/>
  <c r="FP2" i="7"/>
  <c r="FQ2" i="7"/>
  <c r="FR2" i="7"/>
  <c r="FS2" i="7"/>
  <c r="FT2" i="7"/>
  <c r="FU2" i="7"/>
  <c r="FV2" i="7"/>
  <c r="FW2" i="7"/>
  <c r="FX2" i="7"/>
  <c r="FY2" i="7"/>
  <c r="FZ2" i="7"/>
  <c r="GA2" i="7"/>
  <c r="GB2" i="7"/>
  <c r="GC2" i="7"/>
  <c r="GD2" i="7"/>
  <c r="GE2" i="7"/>
  <c r="GF2" i="7"/>
  <c r="GG2" i="7"/>
  <c r="GH2" i="7"/>
  <c r="GI2" i="7"/>
  <c r="GJ2" i="7"/>
  <c r="GK2" i="7"/>
  <c r="GL2" i="7"/>
  <c r="GM2" i="7"/>
  <c r="GN2" i="7"/>
  <c r="GO2" i="7"/>
  <c r="GP2" i="7"/>
  <c r="GQ2" i="7"/>
  <c r="GR2" i="7"/>
  <c r="GS2" i="7"/>
  <c r="GT2" i="7"/>
  <c r="GU2" i="7"/>
  <c r="GV2" i="7"/>
  <c r="GW2" i="7"/>
  <c r="GX2" i="7"/>
  <c r="GY2" i="7"/>
  <c r="GZ2" i="7"/>
  <c r="HA2" i="7"/>
  <c r="HB2" i="7"/>
  <c r="HC2" i="7"/>
  <c r="HD2" i="7"/>
  <c r="HE2" i="7"/>
  <c r="HF2" i="7"/>
  <c r="HG2" i="7"/>
  <c r="HH2" i="7"/>
  <c r="HI2" i="7"/>
  <c r="HJ2" i="7"/>
  <c r="HK2" i="7"/>
  <c r="HL2" i="7"/>
  <c r="HM2" i="7"/>
  <c r="HN2" i="7"/>
  <c r="HO2" i="7"/>
  <c r="HP2" i="7"/>
  <c r="HQ2" i="7"/>
  <c r="HR2" i="7"/>
  <c r="HS2" i="7"/>
  <c r="HT2" i="7"/>
  <c r="HU2" i="7"/>
  <c r="HV2" i="7"/>
  <c r="HW2" i="7"/>
  <c r="HX2" i="7"/>
  <c r="HY2" i="7"/>
  <c r="HZ2" i="7"/>
  <c r="IA2" i="7"/>
  <c r="IB2" i="7"/>
  <c r="IC2" i="7"/>
  <c r="ID2" i="7"/>
  <c r="IE2" i="7"/>
  <c r="IF2" i="7"/>
  <c r="IG2" i="7"/>
  <c r="IH2" i="7"/>
  <c r="II2" i="7"/>
  <c r="IJ2" i="7"/>
  <c r="IK2" i="7"/>
  <c r="IL2" i="7"/>
  <c r="IM2" i="7"/>
  <c r="IN2" i="7"/>
  <c r="IO2" i="7"/>
  <c r="IP2" i="7"/>
  <c r="IQ2" i="7"/>
  <c r="IR2" i="7"/>
  <c r="IS2" i="7"/>
  <c r="IT2" i="7"/>
  <c r="IU2" i="7"/>
  <c r="IV2" i="7"/>
  <c r="A1" i="7"/>
  <c r="B1" i="7"/>
  <c r="C1" i="7"/>
  <c r="D1" i="7"/>
  <c r="E1" i="7"/>
  <c r="F1" i="7"/>
  <c r="G1" i="7"/>
  <c r="H1" i="7"/>
  <c r="I1" i="7"/>
  <c r="J1" i="7"/>
  <c r="K1" i="7"/>
  <c r="L1" i="7"/>
  <c r="M1" i="7"/>
  <c r="N1" i="7"/>
  <c r="O1" i="7"/>
  <c r="P1" i="7"/>
  <c r="Q1" i="7"/>
  <c r="R1" i="7"/>
  <c r="S1" i="7"/>
  <c r="T1" i="7"/>
  <c r="U1" i="7"/>
  <c r="V1" i="7"/>
  <c r="W1" i="7"/>
  <c r="X1" i="7"/>
  <c r="Y1" i="7"/>
  <c r="Z1" i="7"/>
  <c r="AA1" i="7"/>
  <c r="AB1" i="7"/>
  <c r="AC1" i="7"/>
  <c r="AD1" i="7"/>
  <c r="AE1" i="7"/>
  <c r="AF1" i="7"/>
  <c r="AG1" i="7"/>
  <c r="AH1" i="7"/>
  <c r="AI1" i="7"/>
  <c r="AJ1" i="7"/>
  <c r="AK1" i="7"/>
  <c r="AL1" i="7"/>
  <c r="AM1" i="7"/>
  <c r="AN1" i="7"/>
  <c r="AO1" i="7"/>
  <c r="AP1" i="7"/>
  <c r="AQ1" i="7"/>
  <c r="AR1" i="7"/>
  <c r="AS1" i="7"/>
  <c r="AT1" i="7"/>
  <c r="AU1" i="7"/>
  <c r="AV1" i="7"/>
  <c r="AW1" i="7"/>
  <c r="AX1" i="7"/>
  <c r="AY1" i="7"/>
  <c r="AZ1" i="7"/>
  <c r="BA1" i="7"/>
  <c r="BB1" i="7"/>
  <c r="BC1" i="7"/>
  <c r="BD1" i="7"/>
  <c r="BE1" i="7"/>
  <c r="BF1" i="7"/>
  <c r="BG1" i="7"/>
  <c r="BH1" i="7"/>
  <c r="BI1" i="7"/>
  <c r="BJ1" i="7"/>
  <c r="BK1" i="7"/>
  <c r="BL1" i="7"/>
  <c r="BM1" i="7"/>
  <c r="BN1" i="7"/>
  <c r="BO1" i="7"/>
  <c r="BP1" i="7"/>
  <c r="BQ1" i="7"/>
  <c r="BR1" i="7"/>
  <c r="BS1" i="7"/>
  <c r="BT1" i="7"/>
  <c r="BU1" i="7"/>
  <c r="BV1" i="7"/>
  <c r="BW1" i="7"/>
  <c r="BX1" i="7"/>
  <c r="BY1" i="7"/>
  <c r="BZ1" i="7"/>
  <c r="CA1" i="7"/>
  <c r="CB1" i="7"/>
  <c r="CC1" i="7"/>
  <c r="CD1" i="7"/>
  <c r="CE1" i="7"/>
  <c r="CF1" i="7"/>
  <c r="CG1" i="7"/>
  <c r="CH1" i="7"/>
  <c r="CI1" i="7"/>
  <c r="CJ1" i="7"/>
  <c r="CK1" i="7"/>
  <c r="CL1" i="7"/>
  <c r="CM1" i="7"/>
  <c r="CN1" i="7"/>
  <c r="CO1" i="7"/>
  <c r="CP1" i="7"/>
  <c r="CQ1" i="7"/>
  <c r="CR1" i="7"/>
  <c r="CS1" i="7"/>
  <c r="CT1" i="7"/>
  <c r="CU1" i="7"/>
  <c r="CV1" i="7"/>
  <c r="CW1" i="7"/>
  <c r="CX1" i="7"/>
  <c r="CY1" i="7"/>
  <c r="CZ1" i="7"/>
  <c r="DA1" i="7"/>
  <c r="DB1" i="7"/>
  <c r="DC1" i="7"/>
  <c r="DD1" i="7"/>
  <c r="DE1" i="7"/>
  <c r="DF1" i="7"/>
  <c r="DG1" i="7"/>
  <c r="DH1" i="7"/>
  <c r="DI1" i="7"/>
  <c r="DJ1" i="7"/>
  <c r="DK1" i="7"/>
  <c r="DL1" i="7"/>
  <c r="DM1" i="7"/>
  <c r="DN1" i="7"/>
  <c r="DO1" i="7"/>
  <c r="DP1" i="7"/>
  <c r="DQ1" i="7"/>
  <c r="DR1" i="7"/>
  <c r="DS1" i="7"/>
  <c r="DT1" i="7"/>
  <c r="DU1" i="7"/>
  <c r="DV1" i="7"/>
  <c r="DW1" i="7"/>
  <c r="DX1" i="7"/>
  <c r="DY1" i="7"/>
  <c r="DZ1" i="7"/>
  <c r="EA1" i="7"/>
  <c r="EB1" i="7"/>
  <c r="EC1" i="7"/>
  <c r="ED1" i="7"/>
  <c r="EE1" i="7"/>
  <c r="EF1" i="7"/>
  <c r="EG1" i="7"/>
  <c r="EH1" i="7"/>
  <c r="EI1" i="7"/>
  <c r="EJ1" i="7"/>
  <c r="EK1" i="7"/>
  <c r="EL1" i="7"/>
  <c r="EM1" i="7"/>
  <c r="EN1" i="7"/>
  <c r="EO1" i="7"/>
  <c r="EP1" i="7"/>
  <c r="EQ1" i="7"/>
  <c r="ER1" i="7"/>
  <c r="ES1" i="7"/>
  <c r="ET1" i="7"/>
  <c r="EU1" i="7"/>
  <c r="EV1" i="7"/>
  <c r="EW1" i="7"/>
  <c r="EX1" i="7"/>
  <c r="EY1" i="7"/>
  <c r="EZ1" i="7"/>
  <c r="FA1" i="7"/>
  <c r="FB1" i="7"/>
  <c r="FC1" i="7"/>
  <c r="FD1" i="7"/>
  <c r="FE1" i="7"/>
  <c r="FF1" i="7"/>
  <c r="FG1" i="7"/>
  <c r="FH1" i="7"/>
  <c r="FI1" i="7"/>
  <c r="FJ1" i="7"/>
  <c r="FK1" i="7"/>
  <c r="FL1" i="7"/>
  <c r="FM1" i="7"/>
  <c r="FN1" i="7"/>
  <c r="FO1" i="7"/>
  <c r="FP1" i="7"/>
  <c r="FQ1" i="7"/>
  <c r="FR1" i="7"/>
  <c r="FS1" i="7"/>
  <c r="FT1" i="7"/>
  <c r="FU1" i="7"/>
  <c r="FV1" i="7"/>
  <c r="FW1" i="7"/>
  <c r="FX1" i="7"/>
  <c r="FY1" i="7"/>
  <c r="FZ1" i="7"/>
  <c r="GA1" i="7"/>
  <c r="GB1" i="7"/>
  <c r="GC1" i="7"/>
  <c r="GD1" i="7"/>
  <c r="GE1" i="7"/>
  <c r="GF1" i="7"/>
  <c r="GG1" i="7"/>
  <c r="GH1" i="7"/>
  <c r="GI1" i="7"/>
  <c r="GJ1" i="7"/>
  <c r="GK1" i="7"/>
  <c r="GL1" i="7"/>
  <c r="GM1" i="7"/>
  <c r="GN1" i="7"/>
  <c r="GO1" i="7"/>
  <c r="GP1" i="7"/>
  <c r="GQ1" i="7"/>
  <c r="GR1" i="7"/>
  <c r="GS1" i="7"/>
  <c r="GT1" i="7"/>
  <c r="GU1" i="7"/>
  <c r="GV1" i="7"/>
  <c r="GW1" i="7"/>
  <c r="GX1" i="7"/>
  <c r="GY1" i="7"/>
  <c r="GZ1" i="7"/>
  <c r="HA1" i="7"/>
  <c r="HB1" i="7"/>
  <c r="HC1" i="7"/>
  <c r="HD1" i="7"/>
  <c r="HE1" i="7"/>
  <c r="HF1" i="7"/>
  <c r="HG1" i="7"/>
  <c r="HH1" i="7"/>
  <c r="HI1" i="7"/>
  <c r="HJ1" i="7"/>
  <c r="HK1" i="7"/>
  <c r="HL1" i="7"/>
  <c r="HM1" i="7"/>
  <c r="HN1" i="7"/>
  <c r="HO1" i="7"/>
  <c r="HP1" i="7"/>
  <c r="HQ1" i="7"/>
  <c r="HR1" i="7"/>
  <c r="HS1" i="7"/>
  <c r="HT1" i="7"/>
  <c r="HU1" i="7"/>
  <c r="HV1" i="7"/>
  <c r="HW1" i="7"/>
  <c r="HX1" i="7"/>
  <c r="HY1" i="7"/>
  <c r="HZ1" i="7"/>
  <c r="IA1" i="7"/>
  <c r="IB1" i="7"/>
  <c r="IC1" i="7"/>
  <c r="ID1" i="7"/>
  <c r="IE1" i="7"/>
  <c r="IF1" i="7"/>
  <c r="IG1" i="7"/>
  <c r="IH1" i="7"/>
  <c r="II1" i="7"/>
  <c r="IJ1" i="7"/>
  <c r="IK1" i="7"/>
  <c r="IL1" i="7"/>
  <c r="IM1" i="7"/>
  <c r="IN1" i="7"/>
  <c r="IO1" i="7"/>
  <c r="IP1" i="7"/>
  <c r="IQ1" i="7"/>
  <c r="IR1" i="7"/>
  <c r="IS1" i="7"/>
  <c r="IT1" i="7"/>
  <c r="IU1" i="7"/>
  <c r="IV1" i="7"/>
  <c r="EA7" i="7"/>
  <c r="C11" i="7"/>
</calcChain>
</file>

<file path=xl/sharedStrings.xml><?xml version="1.0" encoding="utf-8"?>
<sst xmlns="http://schemas.openxmlformats.org/spreadsheetml/2006/main" count="229" uniqueCount="179">
  <si>
    <t>Short Desc</t>
  </si>
  <si>
    <t>Attitude</t>
  </si>
  <si>
    <t>A2</t>
  </si>
  <si>
    <t>Có ý thức hoàn thành nhiệm vụ được giao</t>
  </si>
  <si>
    <t>A3</t>
  </si>
  <si>
    <t>Tuân thủ kỷ luật của Công ty, của Trung tâm cũng như của giảng viên</t>
  </si>
  <si>
    <t>Xử lý vi phạm và trao đổi ở Class Meeting</t>
  </si>
  <si>
    <t>A4</t>
  </si>
  <si>
    <t>Quality mindset</t>
  </si>
  <si>
    <t>Có ý thức về bảo đảm chất lượng của sản phẩm do mình làm ra, không ẩu, đại khái</t>
  </si>
  <si>
    <t>Phản hồi hàng ngày giữa giảng viên, QL lớp và học viên. Khen thưởng khi có tấm gương</t>
  </si>
  <si>
    <t>A5</t>
  </si>
  <si>
    <t>Service mindset</t>
  </si>
  <si>
    <t>Thể hiện service mindset, sự tận tụy với công việc, hợp tác với đồng nghiệp vì việc chung</t>
  </si>
  <si>
    <t>Thể hiện "lòng tận tụy" như trong Quality Statement của FPT</t>
  </si>
  <si>
    <t>S1</t>
  </si>
  <si>
    <t>Soft Skill</t>
  </si>
  <si>
    <t>S2</t>
  </si>
  <si>
    <t>Teamwork</t>
  </si>
  <si>
    <t>Thông qua Career Workshop và phản hồi của giảng viên hàng ngày</t>
  </si>
  <si>
    <t>English</t>
  </si>
  <si>
    <t>Test định kỳ trong 3 tháng đào tạo. Skill Workshop</t>
  </si>
  <si>
    <t>Knowledge</t>
  </si>
  <si>
    <t>K3</t>
  </si>
  <si>
    <t>Software LifeCycle</t>
  </si>
  <si>
    <t>Re-cap và tự bổ sung kiến thức qua sách GK chuẩn</t>
  </si>
  <si>
    <t>K5</t>
  </si>
  <si>
    <t>Hard Skill</t>
  </si>
  <si>
    <t>Config. Mgmt Skills</t>
  </si>
  <si>
    <t>Class Meetings</t>
  </si>
  <si>
    <t>Module</t>
  </si>
  <si>
    <t>TOEIC</t>
  </si>
  <si>
    <t>Topic</t>
  </si>
  <si>
    <t>Notes</t>
  </si>
  <si>
    <t>RVTB - Review and Testing Basics</t>
  </si>
  <si>
    <t>AAAAAH9y/ys=</t>
  </si>
  <si>
    <t>AAAAAH9y/yw=</t>
  </si>
  <si>
    <t>AAAAAH9y/y0=</t>
  </si>
  <si>
    <t>Sum-up and Closing Ceremony</t>
  </si>
  <si>
    <t>Tổng kết khóa học</t>
  </si>
  <si>
    <t>Task Discipline</t>
  </si>
  <si>
    <t>Hoàn thành đúng hạn các nhiệm vụ do quản lý trực tiếp giao</t>
  </si>
  <si>
    <t>Phản hồi hàng ngày giữa giảng viên, QL lớp và học viên; Học viên nhất nhất tuân thủ các yêu cầu của giảng viên chủ nhiệm, giảng viên, QL lớp, vv.
Trao đổi ở Class Meeting</t>
  </si>
  <si>
    <t>Obey Discipline</t>
  </si>
  <si>
    <t xml:space="preserve">- Đảm bảo giờ giấc làm việc
- Tuân thủ các y/c, qui định trong dự án
</t>
  </si>
  <si>
    <t>Hoàn thành và luôn có cố gắng hoàn thành công việc của mình đúng hạn và đúng yêu cầu chất lượng.</t>
  </si>
  <si>
    <t>Communication</t>
  </si>
  <si>
    <t>Có khả năng giao tiếp tốt trong dự án</t>
  </si>
  <si>
    <t>- Biết cách trình bày, viết báo cáo
- Biết cách giao tiếp công việc với người cùng nhóm
- Biết cách viết mail giao tiếp trong công việc, có đầu có cuối</t>
  </si>
  <si>
    <t>Thực hành qua hoạt động hàng ngày, có phản hồi và chấn chỉnh tức thời của giảng viên.</t>
  </si>
  <si>
    <t>Có năng lực làm việc nhóm</t>
  </si>
  <si>
    <t>Kỹ năng và tinh thần comment lẫn nhau, cách đưa ý kiến, phản biện mang tính tích cực, không chỉ trích cá nhân, có tinh thần tiếp thu y kiến; Giao tiếp nhã nhặn</t>
  </si>
  <si>
    <t>Thi tiếng Anh TOEIC để đo trình độ chung</t>
  </si>
  <si>
    <t>Biết cách quản lý cấu hình: quản lý version, cách thức check in, check out, quản lý version sử dụng tool SVN</t>
  </si>
  <si>
    <t>Dạy lý thuyết, tăng cường thực hành, có hướng dẫn và chữa bài</t>
  </si>
  <si>
    <t>Document Name</t>
  </si>
  <si>
    <t>Creator</t>
  </si>
  <si>
    <t>Document Code</t>
  </si>
  <si>
    <t>Issue Date</t>
  </si>
  <si>
    <t>Version</t>
  </si>
  <si>
    <t>Record of change</t>
  </si>
  <si>
    <t>Effective Date</t>
  </si>
  <si>
    <t>Change Item</t>
  </si>
  <si>
    <t>*A,D,M</t>
  </si>
  <si>
    <t>Change description</t>
  </si>
  <si>
    <t>Reference</t>
  </si>
  <si>
    <t>ALL - First Created</t>
  </si>
  <si>
    <t>A</t>
  </si>
  <si>
    <t>Migrated all information from old template
Add new extra information as required</t>
  </si>
  <si>
    <t>Fresher Training Courseware v1.1 - Curriculum (signed)</t>
  </si>
  <si>
    <t>All sheets</t>
  </si>
  <si>
    <t>Mapped Training Topic</t>
  </si>
  <si>
    <t>Horenso</t>
  </si>
  <si>
    <t>Culture</t>
  </si>
  <si>
    <t>SWD
Tech</t>
  </si>
  <si>
    <t>SWR
Mock</t>
  </si>
  <si>
    <t>SWD
Mock</t>
  </si>
  <si>
    <t>FCU
Tech
Mock</t>
  </si>
  <si>
    <t>Horenso
Mock</t>
  </si>
  <si>
    <t>PR1.FSPM</t>
  </si>
  <si>
    <t>PR1.RVTB</t>
  </si>
  <si>
    <t>KienNT</t>
  </si>
  <si>
    <t>M</t>
  </si>
  <si>
    <t>Updated to adapted newly output standards signed in July/2013 (v2.0) &amp; new modulizing ideas</t>
  </si>
  <si>
    <t>BasicTech</t>
  </si>
  <si>
    <t>Process1</t>
  </si>
  <si>
    <t>Process2</t>
  </si>
  <si>
    <t>Mã</t>
  </si>
  <si>
    <t>Nhóm</t>
  </si>
  <si>
    <t>Mô tả</t>
  </si>
  <si>
    <t>Diễn giải</t>
  </si>
  <si>
    <t>Định hướng  đào tạo</t>
  </si>
  <si>
    <t>Cách đánh giá</t>
  </si>
  <si>
    <t>Đánh giá thông qua:
- Quan sát hàng ngày
- Kết quả công việc trong MockProject
Tiêu chí pass:
- Điểm MockProject&gt;=6
- Được GVCN đánh giá tốt</t>
  </si>
  <si>
    <t>Đánh giá thông qua:
- Theo dõi hàng ngày
Tiêu chí pass:
- Được GVCN đánh giá tốt</t>
  </si>
  <si>
    <t>Đánh giá thông qua làm bài test trong môn học
Tiêu chí pass:
- Điểm bài test &gt;=6</t>
  </si>
  <si>
    <t>Đánh giá thông qua
Test + Đánh giá điểm bài tập thực hành
Tiêu chí pass:
- Điểm tổng hợp &gt;=6; 
- Tỷ trọng điểm: Test-Thực hành = 40%-60%</t>
  </si>
  <si>
    <t>Dạy lý thuyết kết hợp thực hành</t>
  </si>
  <si>
    <t>Meetings</t>
  </si>
  <si>
    <t>MockPrj</t>
  </si>
  <si>
    <t>SuppSkills</t>
  </si>
  <si>
    <t>Duration</t>
  </si>
  <si>
    <t>(h)</t>
  </si>
  <si>
    <t>(d)</t>
  </si>
  <si>
    <t>FPT-Fsoft Introduction</t>
  </si>
  <si>
    <t>Working &amp; Communication Environment</t>
  </si>
  <si>
    <t>ISM for Newbie (ISM4N)</t>
  </si>
  <si>
    <t>HR System &amp; Career Orientation</t>
  </si>
  <si>
    <t>Quality Management System (QMS)</t>
  </si>
  <si>
    <t>Youth Union (YU)</t>
  </si>
  <si>
    <t>Class Opening (CLOP)</t>
  </si>
  <si>
    <t>Nội dung:
- Làm quen, giới thiệu nhân sự
- Giới thiệu mục tiêu, nội dung, lịch trình và đánh giá đào tạo
Cho ký HĐ:
- Phát thẻ ra vào, account, vv.
- Làm các thủ tục đăng ký thẻ ATM
- Giới thiệu về Nội quy Fresher</t>
  </si>
  <si>
    <t>Mock Project 1</t>
  </si>
  <si>
    <t>Fsoft Software Development Process (FSDP)</t>
  </si>
  <si>
    <t>How To Work in Fsoft Project (H2W)</t>
  </si>
  <si>
    <t>Timesheet Training (TST)</t>
  </si>
  <si>
    <t>Fsoft Defect Management System (FDMS)</t>
  </si>
  <si>
    <t>ISM for Developer (ISM4D)</t>
  </si>
  <si>
    <t>Configuration Mgnt Basics (CMB)</t>
  </si>
  <si>
    <t>Mock Project 2</t>
  </si>
  <si>
    <t>- Cho học viên thi TOEIC, thi lại</t>
  </si>
  <si>
    <t xml:space="preserve"> - Các hoạt động họp lớp (review tình hình học tập, nhắc nhở &amp; uốn nắn thái độ của học viên), </t>
  </si>
  <si>
    <t>- Lịch học bù cho các buổi lớp bị nghỉ bất khả kháng, lịch học phụ đạo</t>
  </si>
  <si>
    <t>- Các hoạt động khác của lớp, của học viên,</t>
  </si>
  <si>
    <r>
      <rPr>
        <b/>
        <sz val="11"/>
        <color theme="1"/>
        <rFont val="Calibri"/>
        <family val="2"/>
        <scheme val="minor"/>
      </rPr>
      <t>Notes</t>
    </r>
    <r>
      <rPr>
        <sz val="11"/>
        <color theme="1"/>
        <rFont val="Calibri"/>
        <family val="2"/>
        <scheme val="minor"/>
      </rPr>
      <t>: GV tự bố trí lịch cho các hoạt động bên dưới, đảm bảo tổng thời lượng bổ sung ko vượt quá 5 ngày làm việc</t>
    </r>
  </si>
  <si>
    <t>Master Schedule by Training Levels</t>
  </si>
  <si>
    <t>Basic SQL training</t>
  </si>
  <si>
    <t>DayOne</t>
  </si>
  <si>
    <t>Có hướng dẫn trực tiếp lại cho HV về các templates sẽ được sử dụng trong dự án (Timesheet, DMS,…)</t>
  </si>
  <si>
    <t>Session1 - Chuẩn bị phỏng vấn
Session2 - GVCN giới thiệu các vùng mà interviewer thường hỏi hoặc HV cần nắm được 
Session3 - PV thử 1-3 người (theo xung phong hoặc chỉ định) lên thực hiện PV cho cả lớp nghe, sau người PV có thể hỏi thêm ý kiến đánh giá từ các HV khác và chia sẻ các lỗi mà interviewee mắc phải</t>
  </si>
  <si>
    <t>Interview Practice - Triển khai khi sẵn sàng
+ Sáng: Session1 &amp; Session2
+ Chiều: Session3</t>
  </si>
  <si>
    <t>Training Curriculum_FR.ST</t>
  </si>
  <si>
    <r>
      <t xml:space="preserve">Training Program Curriculum
</t>
    </r>
    <r>
      <rPr>
        <b/>
        <i/>
        <sz val="16"/>
        <color indexed="8"/>
        <rFont val="Tahoma"/>
        <family val="2"/>
        <charset val="163"/>
      </rPr>
      <t>for Roles: ST - Software Tester</t>
    </r>
  </si>
  <si>
    <t>K1ST</t>
  </si>
  <si>
    <t>Nắm được các khái niệm về kiểm thử, phân loại kiểm thử, các khái niệm về lỗi, các công đoạn trong quá trình kiểm thử</t>
  </si>
  <si>
    <t>H1ST</t>
  </si>
  <si>
    <t>Requirement Understanding</t>
  </si>
  <si>
    <t>Có kỹ năng đọc hiểu, phân tích yêu cầu dự án, biết cách đặt câu hỏi và có thể mô tả lại được các yêu cầu khách hàng</t>
  </si>
  <si>
    <t>H2ST</t>
  </si>
  <si>
    <t>SQL skills</t>
  </si>
  <si>
    <t>Có kỹ năng đọc hiểu thiết kế CSDL, viết và biểu diễn các câu lệnh truy vấn SQL đơn giản. Không bị mắc lỗi cơ bản</t>
  </si>
  <si>
    <t>H3ST</t>
  </si>
  <si>
    <t>Có thể viết các test cases đơn giản, dựa trên Test Design</t>
  </si>
  <si>
    <t xml:space="preserve">Dạy các cách thức design test, cách viết test cases, templates
Hướng dẫn qua case study; Cho thực hành trong dự án </t>
  </si>
  <si>
    <t>Đánh giá thông qua:
- Bài thực hành 
- Vận dụng trong Mock Project
Tiêu chí pass:
- Điểm bài thực hành &gt;= 6
- Điểm MockProject &gt;=6</t>
  </si>
  <si>
    <t>H5ST</t>
  </si>
  <si>
    <t>Test Execution</t>
  </si>
  <si>
    <t>Có khả năng thực hiện test và làm test report dựa trên các test cases</t>
  </si>
  <si>
    <t>Giải thích các nội dung báo cáo
Hướng dẫn thực hiện test và báo cáo; chia sẻ kinh nghiệm
Cho thực hành trong dự án</t>
  </si>
  <si>
    <t>H6ST</t>
  </si>
  <si>
    <t>SWR - Software Requirement</t>
  </si>
  <si>
    <t>Có recap lại về các tools Fsoft</t>
  </si>
  <si>
    <t>SQL4T - Practical SQL for Tester</t>
  </si>
  <si>
    <t>Testing Attitudes (Code of ethics)</t>
  </si>
  <si>
    <t>Update output for Compulink program</t>
  </si>
  <si>
    <t>- Hiểu về SDLC
- Định nghĩa, mục tiêu của kiểm thử
- Phân loại, chiến lược và quy trình kiểm thử
- V-Model và Test Level
- Khái niệm về Test Type
- Định nghĩa, đặc tả, phân loại lỗi (defect)
- Đọc hiểu các tài liệu Test (Test Plan,  Test Design, Test Case, Test report)</t>
  </si>
  <si>
    <t>Original source: Output Standards document (version 20140227)</t>
  </si>
  <si>
    <t>Viết được các câu lệnh SQL (base trên SQL Server)
- Các chức năng quản lý database bằng SQL Server Management Studio
- Các khái niệm về table, view, store procedure, function, trigger.
- Thực hiện các câu lệnh SQL cơ bản: CREATE, ALTER TABLE; INSERT, UPDATE, DELETE, SELECT
- Sử dụng công cụ SQL Profiler để phân tích các hoạt động lên database</t>
  </si>
  <si>
    <t>Test Cases Writing
Test Data Creation</t>
  </si>
  <si>
    <t>Giới thiệu về automation testing</t>
  </si>
  <si>
    <t>Lý thuyết</t>
  </si>
  <si>
    <t>- Qui trình thực hiện automation testing (AT)
- Ngữ cảnh có thể triển khai AT
- Kiến trúc AT
- Kỹ thuật scripting trong AT
- Qui trình chọn công cụ làm AT</t>
  </si>
  <si>
    <t>- Lưu kết quả test lên Testlink
- Ý nghĩa các loại report về kết quả test
- Tiêu chí để viết nội dung bug được tốt
- Bug life cycle (Bug Zilla)</t>
  </si>
  <si>
    <t>- Lý do sủ dụng cộng cụ quản Lý cấu hình
- Tìm hiểu về SVN
- Tìm hiểu các thao tác thông dụng như Checkout, Check in, Update, Commit</t>
  </si>
  <si>
    <t>Update Trn-Output Mapping</t>
  </si>
  <si>
    <t>- Tìm hiểu các nguồn thông tin đầu vào để tạo tét case
- Cấu trúc cơ bản của một test case
- Ứng dụng kỹ thuật Blackbox testing techniques trong khi viết test case.
- Tìm hiểu về công cụ Testlink để quản lý test tase
- Gioi thieu cong viec chuan bị dữ liệu test</t>
  </si>
  <si>
    <t>Update Master Sched sheet by LanhTT</t>
  </si>
  <si>
    <t>H7ST</t>
  </si>
  <si>
    <t>A7</t>
  </si>
  <si>
    <t>Cẩn thận, tỉ mỉ, chi tiết, kiên nhẫn. Chủ động phát triển bản thân. Luôn hướng đến chất lượng tốt nhất.</t>
  </si>
  <si>
    <t>Đánh giá thông qua:
- Quan sát hàng ngày, kết quả các assignment, mock.
Tiêu chí pass:
- Được GVCN đánh giá tốt</t>
  </si>
  <si>
    <t>Chất lượng các bài assignment, mock tốt: độ phủ requirement cao, trình bày rõ ràng, người đọc hiểu được vấn đề. Luôn hoàn thành tốt nhiệm vụ được giao. Có tinh thần học hỏi, hoàn thiện bản thân cũng như kết quả công việc.</t>
  </si>
  <si>
    <t>Mapping Output Standards for &lt;ST&gt; and Training Modules</t>
  </si>
  <si>
    <t>Có kiến thức về software lifecycle, các loại hình dự án và tổ chức dự án trong Công ty phần mềm</t>
  </si>
  <si>
    <t>1/ Lifecycle của các loại hình dự án trong Công ty phần mềm: New Development, Maintenance, Testing, ES cùng các stages chính
2/ Tổ chức dự án Công ty phần mềm + các vai trò trách nhiệm trong dự án</t>
  </si>
  <si>
    <t>Giải thích dựa trên các nguyên tắc, lý thuyết chung, map vào thực tế Công ty phần mềm</t>
  </si>
  <si>
    <t>Đạt điểm TOEIC mức &gt;=450</t>
  </si>
  <si>
    <t>Đánh giá thông qua làm bài test
Tiêu chí pass:
- Điểm bài test &gt;=450</t>
  </si>
  <si>
    <t>Testing Process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</si>
</sst>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66">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quot;£&quot;* #,##0_-;_-&quot;£&quot;* &quot;-&quot;_-;_-@_-"/>
    <numFmt numFmtId="165" formatCode="_-* #,##0_-;\-* #,##0_-;_-* &quot;-&quot;_-;_-@_-"/>
    <numFmt numFmtId="166" formatCode="_-* #,##0.00_-;\-* #,##0.00_-;_-* &quot;-&quot;??_-;_-@_-"/>
    <numFmt numFmtId="167" formatCode="_(* #,##0.0_);_(* \(#,##0.0\);_(* &quot;-&quot;??_);_(@_)"/>
    <numFmt numFmtId="168" formatCode="&quot;¥&quot;#,##0.00_)\ \ \ ;\(&quot;¥&quot;#,##0.00\)\ \ \ "/>
    <numFmt numFmtId="169" formatCode="&quot;¥&quot;#,##0.00&quot;*&quot;\ \ ;\(&quot;¥&quot;#,##0.00\)&quot;*&quot;\ \ "/>
    <numFmt numFmtId="170" formatCode="&quot;¥&quot;#,##0.00\A_)\ ;\(&quot;¥&quot;#,##0.00\A\)\ \ "/>
    <numFmt numFmtId="171" formatCode="&quot;¥&quot;@\ "/>
    <numFmt numFmtId="172" formatCode="00.000"/>
    <numFmt numFmtId="173" formatCode="&quot;?&quot;#,##0;&quot;?&quot;\-#,##0"/>
    <numFmt numFmtId="174" formatCode="_-* #,##0\ _F_-;\-* #,##0\ _F_-;_-* &quot;-&quot;\ _F_-;_-@_-"/>
    <numFmt numFmtId="175" formatCode="_ &quot;\&quot;* #,##0_ ;_ &quot;\&quot;* \-#,##0_ ;_ &quot;\&quot;* &quot;-&quot;_ ;_ @_ "/>
    <numFmt numFmtId="176" formatCode="_-&quot;$&quot;* #,##0_-;\-&quot;$&quot;* #,##0_-;_-&quot;$&quot;* &quot;-&quot;_-;_-@_-"/>
    <numFmt numFmtId="177" formatCode="_-&quot;$&quot;* #,##0.00_-;\-&quot;$&quot;* #,##0.00_-;_-&quot;$&quot;* &quot;-&quot;??_-;_-@_-"/>
    <numFmt numFmtId="178" formatCode="_ &quot;\&quot;* #,##0.00_ ;_ &quot;\&quot;* \-#,##0.00_ ;_ &quot;\&quot;* &quot;-&quot;??_ ;_ @_ "/>
    <numFmt numFmtId="179" formatCode="_ * #,##0_ ;_ * \-#,##0_ ;_ * &quot;-&quot;_ ;_ @_ "/>
    <numFmt numFmtId="180" formatCode="_ * #,##0.00_ ;_ * \-#,##0.00_ ;_ * &quot;-&quot;??_ ;_ @_ "/>
    <numFmt numFmtId="181" formatCode="0.000000%"/>
    <numFmt numFmtId="182" formatCode="_(* #,##0_);_(* \(#,##0\);_(* &quot;-&quot;??_);_(@_)"/>
    <numFmt numFmtId="183" formatCode="_(* #,##0.00_);_(* \(#,##0.00\);_(* \-??_);_(@_)"/>
    <numFmt numFmtId="184" formatCode="_(* #,##0_);_(* \(#,##0\);_(* \-??_);_(@_)"/>
    <numFmt numFmtId="185" formatCode="&quot;C&quot;#,##0.00_);\(&quot;C&quot;#,##0.00\)"/>
    <numFmt numFmtId="186" formatCode="\$#,##0\ ;\(\$#,##0\)"/>
    <numFmt numFmtId="187" formatCode="&quot;C&quot;#,##0_);\(&quot;C&quot;#,##0\)"/>
    <numFmt numFmtId="188" formatCode="@\ \ \ \ \ "/>
    <numFmt numFmtId="189" formatCode="&quot;C&quot;#,##0_);[Red]\(&quot;C&quot;#,##0\)"/>
    <numFmt numFmtId="190" formatCode="_-* #,##0\ _₫_-;\-* #,##0\ _₫_-;_-* &quot;-&quot;\ _₫_-;_-@_-"/>
    <numFmt numFmtId="191" formatCode="_-* #,##0.00\ _₫_-;\-* #,##0.00\ _₫_-;_-* &quot;-&quot;??\ _₫_-;_-@_-"/>
    <numFmt numFmtId="192" formatCode="#,##0.00_)\ \ \ \ \ ;\(#,##0.00\)\ \ \ \ \ "/>
    <numFmt numFmtId="193" formatCode="&quot;¥&quot;#,##0.00_)\ \ \ \ \ ;\(&quot;¥&quot;#,##0.00\)\ \ \ \ \ "/>
    <numFmt numFmtId="194" formatCode="&quot;¥&quot;#,##0.00\A\ \ \ \ ;\(&quot;¥&quot;#,##0.00\A\)\ \ \ \ "/>
    <numFmt numFmtId="195" formatCode="&quot;¥&quot;#,##0.00&quot;E&quot;\ \ \ \ ;\(&quot;¥&quot;#,##0.00&quot;E&quot;\)\ \ \ \ "/>
    <numFmt numFmtId="196" formatCode="#,##0.00\A\ \ \ \ ;\(#,##0.00\A\)\ \ \ \ "/>
    <numFmt numFmtId="197" formatCode="#,##0.00&quot;E&quot;\ \ \ \ ;\(#,##0.00&quot;E&quot;\)\ \ \ \ "/>
    <numFmt numFmtId="198" formatCode="0%\ \ \ \ \ \ \ "/>
    <numFmt numFmtId="199" formatCode="0."/>
    <numFmt numFmtId="200" formatCode="_(&quot;¥&quot;* #,##0_)\ &quot;millions&quot;;_(&quot;¥&quot;* \(#,##0\)&quot; millions&quot;"/>
    <numFmt numFmtId="201" formatCode="&quot;¥&quot;#,##0\ &quot;MM&quot;;\(&quot;¥&quot;#,##0.00\ &quot;MM&quot;\)"/>
    <numFmt numFmtId="202" formatCode="@&quot; MM&quot;"/>
    <numFmt numFmtId="203" formatCode="#,##0\ &quot;$&quot;_);[Red]\(#,##0\ &quot;$&quot;\)"/>
    <numFmt numFmtId="204" formatCode="&quot;$&quot;###,0&quot;.&quot;00_);[Red]\(&quot;$&quot;###,0&quot;.&quot;00\)"/>
    <numFmt numFmtId="205" formatCode="_-* #,##0.00\ &quot;kr&quot;_-;\-* #,##0.00\ &quot;kr&quot;_-;_-* &quot;-&quot;??\ &quot;kr&quot;_-;_-@_-"/>
    <numFmt numFmtId="206" formatCode="_-* #,##0.00\ _k_r_-;\-* #,##0.00\ _k_r_-;_-* &quot;-&quot;??\ _k_r_-;_-@_-"/>
    <numFmt numFmtId="207" formatCode="0.00000%"/>
    <numFmt numFmtId="208" formatCode="0.0\ \ \ \ \ \ "/>
    <numFmt numFmtId="209" formatCode="0.0%\ \ \ \ \ "/>
    <numFmt numFmtId="210" formatCode="&quot;¥&quot;#\-?/?"/>
    <numFmt numFmtId="211" formatCode="0.00\ \ \ \ "/>
    <numFmt numFmtId="212" formatCode="@\ "/>
    <numFmt numFmtId="213" formatCode="&quot;¥&quot;@"/>
    <numFmt numFmtId="214" formatCode="mm/dd/yy"/>
    <numFmt numFmtId="215" formatCode="#,##0.00\ &quot;F&quot;;[Red]\-#,##0.00\ &quot;F&quot;"/>
    <numFmt numFmtId="216" formatCode="_-* #,##0\ &quot;F&quot;_-;\-* #,##0\ &quot;F&quot;_-;_-* &quot;-&quot;\ &quot;F&quot;_-;_-@_-"/>
    <numFmt numFmtId="217" formatCode="#,##0\ &quot;F&quot;;[Red]\-#,##0\ &quot;F&quot;"/>
    <numFmt numFmtId="218" formatCode="#,##0.00\ &quot;F&quot;;\-#,##0.00\ &quot;F&quot;"/>
    <numFmt numFmtId="219" formatCode="&quot;\&quot;#,##0.00;[Red]\-&quot;\&quot;#,##0.00"/>
    <numFmt numFmtId="220" formatCode="&quot;\&quot;#,##0.00;[Red]&quot;\&quot;\-#,##0.00"/>
    <numFmt numFmtId="221" formatCode="&quot;\&quot;#,##0;[Red]&quot;\&quot;\-#,##0"/>
    <numFmt numFmtId="222" formatCode="d\-mmm\-yy;@"/>
    <numFmt numFmtId="223" formatCode="0.0"/>
  </numFmts>
  <fonts count="144">
    <font>
      <sz val="11"/>
      <color theme="1"/>
      <name val="Calibri"/>
      <family val="2"/>
      <scheme val="minor"/>
    </font>
    <font>
      <sz val="11"/>
      <color indexed="8"/>
      <name val="Calibri"/>
      <family val="2"/>
    </font>
    <font>
      <sz val="11"/>
      <color indexed="8"/>
      <name val="Calibri"/>
      <family val="2"/>
      <charset val="1"/>
    </font>
    <font>
      <sz val="8"/>
      <name val="Arial"/>
      <family val="2"/>
    </font>
    <font>
      <sz val="10"/>
      <name val="GillSans"/>
    </font>
    <font>
      <sz val="11"/>
      <name val="??"/>
      <family val="3"/>
    </font>
    <font>
      <sz val="10"/>
      <name val="?? ??"/>
      <family val="1"/>
      <charset val="136"/>
    </font>
    <font>
      <sz val="10"/>
      <name val="Arial"/>
      <family val="2"/>
    </font>
    <font>
      <sz val="14"/>
      <name val="??"/>
      <family val="3"/>
    </font>
    <font>
      <sz val="12"/>
      <name val="????"/>
      <family val="1"/>
      <charset val="136"/>
    </font>
    <font>
      <sz val="12"/>
      <name val="Courier"/>
      <family val="3"/>
    </font>
    <font>
      <sz val="12"/>
      <name val="Times New Roman"/>
      <family val="1"/>
    </font>
    <font>
      <sz val="12"/>
      <name val="|??¢¥¢¬¨Ï"/>
      <family val="1"/>
      <charset val="129"/>
    </font>
    <font>
      <sz val="12"/>
      <name val=".VnTime"/>
      <family val="2"/>
    </font>
    <font>
      <sz val="10"/>
      <name val="MS Sans Serif"/>
      <family val="2"/>
    </font>
    <font>
      <sz val="10"/>
      <name val=".VnTime"/>
      <family val="2"/>
    </font>
    <font>
      <sz val="12"/>
      <name val="???"/>
      <family val="2"/>
    </font>
    <font>
      <sz val="12"/>
      <name val="·s²Ó©úÅé"/>
      <family val="1"/>
    </font>
    <font>
      <i/>
      <sz val="12"/>
      <color indexed="8"/>
      <name val=".VnBook-AntiquaH"/>
      <family val="2"/>
    </font>
    <font>
      <sz val="11"/>
      <color indexed="8"/>
      <name val="Calibri"/>
      <family val="2"/>
    </font>
    <font>
      <sz val="11"/>
      <color indexed="8"/>
      <name val="Calibri"/>
      <family val="3"/>
      <charset val="128"/>
    </font>
    <font>
      <sz val="11"/>
      <color indexed="8"/>
      <name val="ＭＳ Ｐゴシック"/>
      <family val="3"/>
      <charset val="128"/>
    </font>
    <font>
      <b/>
      <sz val="12"/>
      <color indexed="8"/>
      <name val=".VnBook-Antiqua"/>
      <family val="2"/>
    </font>
    <font>
      <i/>
      <sz val="12"/>
      <color indexed="8"/>
      <name val=".VnBook-Antiqua"/>
      <family val="2"/>
    </font>
    <font>
      <sz val="11"/>
      <color indexed="9"/>
      <name val="Calibri"/>
      <family val="2"/>
    </font>
    <font>
      <sz val="11"/>
      <color indexed="9"/>
      <name val="ＭＳ Ｐゴシック"/>
      <family val="3"/>
      <charset val="128"/>
    </font>
    <font>
      <sz val="12"/>
      <name val="±¼¸²Ã¼"/>
      <family val="3"/>
      <charset val="129"/>
    </font>
    <font>
      <sz val="12"/>
      <name val="¹UAAA¼"/>
      <family val="3"/>
      <charset val="129"/>
    </font>
    <font>
      <sz val="11"/>
      <name val="±¼¸²Ã¼"/>
      <family val="3"/>
      <charset val="129"/>
    </font>
    <font>
      <sz val="11"/>
      <color indexed="20"/>
      <name val="Calibri"/>
      <family val="2"/>
    </font>
    <font>
      <sz val="12"/>
      <name val="Tms Rmn"/>
    </font>
    <font>
      <sz val="12"/>
      <name val="µ¸¿òÃ¼"/>
      <family val="3"/>
      <charset val="129"/>
    </font>
    <font>
      <sz val="10"/>
      <name val="±¼¸²A¼"/>
      <family val="3"/>
      <charset val="129"/>
    </font>
    <font>
      <b/>
      <sz val="11"/>
      <color indexed="52"/>
      <name val="Calibri"/>
      <family val="2"/>
    </font>
    <font>
      <b/>
      <sz val="10"/>
      <name val="Helv"/>
      <family val="2"/>
    </font>
    <font>
      <b/>
      <sz val="11"/>
      <color indexed="9"/>
      <name val="Calibri"/>
      <family val="2"/>
    </font>
    <font>
      <sz val="10"/>
      <name val=".VnArial"/>
      <family val="2"/>
    </font>
    <font>
      <sz val="11"/>
      <name val="ＭＳ Ｐゴシック"/>
      <family val="3"/>
      <charset val="128"/>
    </font>
    <font>
      <sz val="10"/>
      <color indexed="8"/>
      <name val="Arial"/>
      <family val="2"/>
    </font>
    <font>
      <sz val="11"/>
      <color indexed="8"/>
      <name val="Calibri"/>
      <family val="2"/>
    </font>
    <font>
      <sz val="10"/>
      <color indexed="8"/>
      <name val="Tahoma"/>
      <family val="2"/>
    </font>
    <font>
      <sz val="10"/>
      <name val="Tahoma"/>
      <family val="2"/>
    </font>
    <font>
      <sz val="10"/>
      <name val="MS Serif"/>
      <family val="1"/>
    </font>
    <font>
      <b/>
      <sz val="10"/>
      <name val="Arial"/>
      <family val="2"/>
    </font>
    <font>
      <sz val="10"/>
      <name val="Arial CE"/>
      <family val="2"/>
      <charset val="238"/>
    </font>
    <font>
      <sz val="10"/>
      <color indexed="16"/>
      <name val="MS Serif"/>
      <family val="1"/>
    </font>
    <font>
      <i/>
      <sz val="11"/>
      <color indexed="23"/>
      <name val="Calibri"/>
      <family val="2"/>
    </font>
    <font>
      <sz val="11"/>
      <color indexed="17"/>
      <name val="Calibri"/>
      <family val="2"/>
    </font>
    <font>
      <b/>
      <sz val="12"/>
      <name val="Helv"/>
      <family val="2"/>
    </font>
    <font>
      <b/>
      <sz val="12"/>
      <name val="Arial"/>
      <family val="2"/>
    </font>
    <font>
      <b/>
      <sz val="12"/>
      <name val="Tahoma"/>
      <family val="2"/>
    </font>
    <font>
      <b/>
      <sz val="15"/>
      <color indexed="56"/>
      <name val="Calibri"/>
      <family val="2"/>
    </font>
    <font>
      <b/>
      <sz val="18"/>
      <name val="Arial"/>
      <family val="2"/>
    </font>
    <font>
      <b/>
      <sz val="13"/>
      <color indexed="56"/>
      <name val="Calibri"/>
      <family val="2"/>
    </font>
    <font>
      <b/>
      <sz val="11"/>
      <color indexed="56"/>
      <name val="Calibri"/>
      <family val="2"/>
    </font>
    <font>
      <b/>
      <sz val="10"/>
      <name val=".VnTime"/>
      <family val="2"/>
    </font>
    <font>
      <b/>
      <sz val="14"/>
      <name val=".VnTimeH"/>
      <family val="2"/>
    </font>
    <font>
      <u/>
      <sz val="10"/>
      <color indexed="12"/>
      <name val="Arial"/>
      <family val="2"/>
    </font>
    <font>
      <sz val="10"/>
      <name val="ＭＳ ゴシック"/>
      <family val="3"/>
      <charset val="128"/>
    </font>
    <font>
      <sz val="11"/>
      <color indexed="62"/>
      <name val="Calibri"/>
      <family val="2"/>
    </font>
    <font>
      <sz val="11"/>
      <color indexed="52"/>
      <name val="Calibri"/>
      <family val="2"/>
    </font>
    <font>
      <b/>
      <sz val="11"/>
      <name val="Helv"/>
      <family val="2"/>
    </font>
    <font>
      <sz val="12"/>
      <name val="Arial"/>
      <family val="2"/>
    </font>
    <font>
      <sz val="11"/>
      <color indexed="60"/>
      <name val="Calibri"/>
      <family val="2"/>
    </font>
    <font>
      <sz val="10"/>
      <name val="Times New Roman"/>
      <family val="1"/>
    </font>
    <font>
      <sz val="7"/>
      <name val="Small Fonts"/>
      <family val="2"/>
    </font>
    <font>
      <sz val="10"/>
      <name val="Arial"/>
      <family val="2"/>
      <charset val="163"/>
    </font>
    <font>
      <b/>
      <sz val="11"/>
      <color indexed="63"/>
      <name val="Calibri"/>
      <family val="2"/>
    </font>
    <font>
      <b/>
      <sz val="10"/>
      <name val="MS Sans Serif"/>
      <family val="2"/>
    </font>
    <font>
      <u/>
      <sz val="10"/>
      <name val="GillSans"/>
      <family val="2"/>
    </font>
    <font>
      <sz val="8"/>
      <name val="Helv"/>
    </font>
    <font>
      <b/>
      <sz val="12"/>
      <color indexed="8"/>
      <name val="Arial"/>
      <family val="2"/>
    </font>
    <font>
      <b/>
      <i/>
      <sz val="12"/>
      <color indexed="8"/>
      <name val="Arial"/>
      <family val="2"/>
    </font>
    <font>
      <sz val="12"/>
      <color indexed="8"/>
      <name val="Arial"/>
      <family val="2"/>
    </font>
    <font>
      <b/>
      <sz val="10"/>
      <color indexed="8"/>
      <name val="Arial"/>
      <family val="2"/>
    </font>
    <font>
      <i/>
      <sz val="12"/>
      <color indexed="8"/>
      <name val="Arial"/>
      <family val="2"/>
    </font>
    <font>
      <sz val="19"/>
      <color indexed="48"/>
      <name val="Arial"/>
      <family val="2"/>
    </font>
    <font>
      <sz val="12"/>
      <color indexed="14"/>
      <name val="Arial"/>
      <family val="2"/>
    </font>
    <font>
      <b/>
      <sz val="10"/>
      <name val="Tahoma"/>
      <family val="2"/>
    </font>
    <font>
      <b/>
      <sz val="8"/>
      <color indexed="8"/>
      <name val="Helv"/>
    </font>
    <font>
      <sz val="13"/>
      <name val=".VnTime"/>
      <family val="2"/>
    </font>
    <font>
      <b/>
      <sz val="12"/>
      <name val="GillSans"/>
      <family val="2"/>
    </font>
    <font>
      <b/>
      <sz val="18"/>
      <color indexed="56"/>
      <name val="Cambria"/>
      <family val="2"/>
    </font>
    <font>
      <b/>
      <sz val="18"/>
      <color indexed="56"/>
      <name val="Cambria"/>
      <family val="1"/>
    </font>
    <font>
      <u/>
      <sz val="11"/>
      <name val="GillSans"/>
      <family val="2"/>
    </font>
    <font>
      <b/>
      <sz val="11"/>
      <color indexed="8"/>
      <name val="Calibri"/>
      <family val="2"/>
    </font>
    <font>
      <b/>
      <sz val="8"/>
      <name val="VN Helvetica"/>
      <family val="2"/>
    </font>
    <font>
      <b/>
      <sz val="12"/>
      <name val=".VnTime"/>
      <family val="2"/>
    </font>
    <font>
      <b/>
      <sz val="10"/>
      <name val="VN AvantGBook"/>
      <family val="2"/>
    </font>
    <font>
      <b/>
      <sz val="16"/>
      <name val=".VnTime"/>
      <family val="2"/>
    </font>
    <font>
      <sz val="9"/>
      <name val=".VnTime"/>
      <family val="2"/>
    </font>
    <font>
      <sz val="11"/>
      <color indexed="10"/>
      <name val="Calibri"/>
      <family val="2"/>
    </font>
    <font>
      <sz val="14"/>
      <name val=".Vn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0"/>
      <name val=" "/>
      <family val="1"/>
      <charset val="136"/>
    </font>
    <font>
      <sz val="14"/>
      <name val="뼻뮝"/>
      <family val="3"/>
      <charset val="129"/>
    </font>
    <font>
      <sz val="12"/>
      <name val="바탕체"/>
      <family val="3"/>
    </font>
    <font>
      <sz val="12"/>
      <name val="뼻뮝"/>
      <family val="1"/>
      <charset val="129"/>
    </font>
    <font>
      <sz val="12"/>
      <name val="바탕체"/>
      <family val="3"/>
      <charset val="129"/>
    </font>
    <font>
      <sz val="10"/>
      <name val="굴림체"/>
      <family val="3"/>
      <charset val="129"/>
    </font>
    <font>
      <sz val="11"/>
      <color indexed="62"/>
      <name val="ＭＳ Ｐゴシック"/>
      <family val="3"/>
      <charset val="128"/>
    </font>
    <font>
      <b/>
      <sz val="11"/>
      <color indexed="63"/>
      <name val="ＭＳ Ｐゴシック"/>
      <family val="3"/>
      <charset val="128"/>
    </font>
    <font>
      <sz val="9"/>
      <name val="Arial"/>
      <family val="2"/>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1"/>
      <color indexed="8"/>
      <name val="Times New Roman"/>
      <family val="1"/>
    </font>
    <font>
      <sz val="11"/>
      <color indexed="10"/>
      <name val="Times New Roman"/>
      <family val="1"/>
    </font>
    <font>
      <b/>
      <sz val="14"/>
      <color indexed="8"/>
      <name val="Times New Roman"/>
      <family val="1"/>
    </font>
    <font>
      <sz val="8"/>
      <name val="Calibri"/>
      <family val="2"/>
    </font>
    <font>
      <sz val="11"/>
      <name val="Times New Roman"/>
      <family val="1"/>
    </font>
    <font>
      <sz val="11"/>
      <color theme="1"/>
      <name val="Calibri"/>
      <family val="2"/>
      <scheme val="minor"/>
    </font>
    <font>
      <u/>
      <sz val="11"/>
      <color theme="10"/>
      <name val="Calibri"/>
      <family val="2"/>
    </font>
    <font>
      <sz val="11"/>
      <color theme="1"/>
      <name val="Calibri"/>
      <family val="2"/>
    </font>
    <font>
      <sz val="10"/>
      <color theme="1"/>
      <name val="Arial"/>
      <family val="2"/>
    </font>
    <font>
      <sz val="10"/>
      <color theme="1"/>
      <name val="Tahoma"/>
      <family val="2"/>
    </font>
    <font>
      <b/>
      <sz val="11"/>
      <color theme="1"/>
      <name val="Calibri"/>
      <family val="2"/>
      <scheme val="minor"/>
    </font>
    <font>
      <sz val="11"/>
      <color indexed="8"/>
      <name val="Arial"/>
      <family val="2"/>
    </font>
    <font>
      <b/>
      <sz val="11"/>
      <color indexed="8"/>
      <name val="Arial"/>
      <family val="2"/>
    </font>
    <font>
      <sz val="11"/>
      <name val="ＭＳ Ｐゴシック"/>
      <charset val="128"/>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i/>
      <sz val="16"/>
      <color indexed="8"/>
      <name val="Tahoma"/>
      <family val="2"/>
      <charset val="163"/>
    </font>
    <font>
      <sz val="10"/>
      <name val="Calibri"/>
      <family val="2"/>
      <charset val="163"/>
      <scheme val="minor"/>
    </font>
    <font>
      <b/>
      <sz val="9"/>
      <name val="Arial"/>
      <family val="2"/>
    </font>
    <font>
      <b/>
      <sz val="9"/>
      <color indexed="8"/>
      <name val="Arial"/>
      <family val="2"/>
    </font>
    <font>
      <sz val="9"/>
      <color indexed="8"/>
      <name val="Arial"/>
      <family val="2"/>
    </font>
    <font>
      <i/>
      <sz val="10"/>
      <color rgb="FFC00000"/>
      <name val="Arial"/>
      <family val="2"/>
    </font>
    <font>
      <i/>
      <sz val="10"/>
      <name val="Arial"/>
      <family val="2"/>
    </font>
    <font>
      <sz val="9"/>
      <color theme="1"/>
      <name val="Arial"/>
      <family val="2"/>
    </font>
    <font>
      <sz val="9"/>
      <color rgb="FFFF0000"/>
      <name val="Arial"/>
      <family val="2"/>
    </font>
  </fonts>
  <fills count="49">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5"/>
        <bgColor indexed="64"/>
      </patternFill>
    </fill>
    <fill>
      <patternFill patternType="solid">
        <fgColor indexed="26"/>
        <bgColor indexed="64"/>
      </patternFill>
    </fill>
    <fill>
      <patternFill patternType="solid">
        <fgColor indexed="40"/>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9"/>
        <bgColor indexed="26"/>
      </patternFill>
    </fill>
    <fill>
      <patternFill patternType="solid">
        <fgColor indexed="18"/>
        <bgColor indexed="32"/>
      </patternFill>
    </fill>
    <fill>
      <patternFill patternType="solid">
        <fgColor theme="6" tint="0.59999389629810485"/>
        <bgColor indexed="64"/>
      </patternFill>
    </fill>
  </fills>
  <borders count="3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style="thin">
        <color indexed="9"/>
      </left>
      <right style="thin">
        <color indexed="9"/>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435">
    <xf numFmtId="0" fontId="0" fillId="0" borderId="0"/>
    <xf numFmtId="0" fontId="4" fillId="0" borderId="0"/>
    <xf numFmtId="0" fontId="4" fillId="0" borderId="0">
      <alignment horizontal="right"/>
    </xf>
    <xf numFmtId="168" fontId="4" fillId="2" borderId="0"/>
    <xf numFmtId="169" fontId="4" fillId="2" borderId="0"/>
    <xf numFmtId="170" fontId="4" fillId="2" borderId="0"/>
    <xf numFmtId="171" fontId="4" fillId="2" borderId="0">
      <alignment horizontal="right"/>
    </xf>
    <xf numFmtId="172" fontId="5" fillId="0" borderId="0" applyFont="0" applyFill="0" applyBorder="0" applyAlignment="0" applyProtection="0"/>
    <xf numFmtId="0" fontId="6" fillId="0" borderId="0" applyFont="0" applyFill="0" applyBorder="0" applyAlignment="0" applyProtection="0"/>
    <xf numFmtId="173" fontId="5" fillId="0" borderId="0" applyFont="0" applyFill="0" applyBorder="0" applyAlignment="0" applyProtection="0"/>
    <xf numFmtId="0" fontId="7" fillId="0" borderId="0" applyNumberFormat="0" applyFill="0" applyBorder="0" applyAlignment="0" applyProtection="0"/>
    <xf numFmtId="40" fontId="8" fillId="0" borderId="0" applyFont="0" applyFill="0" applyBorder="0" applyAlignment="0" applyProtection="0"/>
    <xf numFmtId="38" fontId="8"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6" fontId="10" fillId="0" borderId="0" applyFont="0" applyFill="0" applyBorder="0" applyAlignment="0" applyProtection="0"/>
    <xf numFmtId="0" fontId="11" fillId="0" borderId="0">
      <alignment vertical="center"/>
    </xf>
    <xf numFmtId="0" fontId="7" fillId="0" borderId="0" applyFont="0" applyFill="0" applyBorder="0" applyAlignment="0" applyProtection="0"/>
    <xf numFmtId="0" fontId="7" fillId="0" borderId="0" applyFont="0" applyFill="0" applyBorder="0" applyAlignment="0" applyProtection="0"/>
    <xf numFmtId="0" fontId="12" fillId="0" borderId="0"/>
    <xf numFmtId="0" fontId="7" fillId="0" borderId="0" applyNumberFormat="0" applyFill="0" applyBorder="0" applyAlignment="0" applyProtection="0"/>
    <xf numFmtId="174" fontId="13" fillId="0" borderId="0" applyFont="0" applyFill="0" applyBorder="0" applyAlignment="0" applyProtection="0"/>
    <xf numFmtId="0" fontId="14" fillId="0" borderId="0"/>
    <xf numFmtId="0" fontId="14" fillId="0" borderId="0"/>
    <xf numFmtId="0" fontId="15" fillId="0" borderId="0" applyNumberFormat="0" applyFill="0" applyBorder="0" applyAlignment="0" applyProtection="0"/>
    <xf numFmtId="0" fontId="14" fillId="0" borderId="0"/>
    <xf numFmtId="0" fontId="11" fillId="0" borderId="0"/>
    <xf numFmtId="175" fontId="16" fillId="0" borderId="0" applyFont="0" applyFill="0" applyBorder="0" applyAlignment="0" applyProtection="0"/>
    <xf numFmtId="0" fontId="17" fillId="0" borderId="0"/>
    <xf numFmtId="165" fontId="17" fillId="0" borderId="0" applyFont="0" applyFill="0" applyBorder="0" applyAlignment="0" applyProtection="0"/>
    <xf numFmtId="166" fontId="17" fillId="0" borderId="0" applyFont="0" applyFill="0" applyBorder="0" applyAlignment="0" applyProtection="0"/>
    <xf numFmtId="175" fontId="16" fillId="0" borderId="0" applyFont="0" applyFill="0" applyBorder="0" applyAlignment="0" applyProtection="0"/>
    <xf numFmtId="0" fontId="18" fillId="2" borderId="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20" fillId="3" borderId="0" applyNumberFormat="0" applyBorder="0" applyAlignment="0" applyProtection="0"/>
    <xf numFmtId="0" fontId="20" fillId="3" borderId="0" applyNumberFormat="0" applyBorder="0" applyAlignment="0" applyProtection="0"/>
    <xf numFmtId="0" fontId="20"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2" fillId="2" borderId="0"/>
    <xf numFmtId="176" fontId="17" fillId="0" borderId="0" applyFont="0" applyFill="0" applyBorder="0" applyAlignment="0" applyProtection="0"/>
    <xf numFmtId="176" fontId="11" fillId="0" borderId="0" applyFont="0" applyFill="0" applyBorder="0" applyAlignment="0" applyProtection="0"/>
    <xf numFmtId="177" fontId="17" fillId="0" borderId="0" applyFont="0" applyFill="0" applyBorder="0" applyAlignment="0" applyProtection="0"/>
    <xf numFmtId="0" fontId="23" fillId="0" borderId="0">
      <alignment wrapText="1"/>
    </xf>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0" fontId="24" fillId="20" borderId="0" applyNumberFormat="0" applyBorder="0" applyAlignment="0" applyProtection="0"/>
    <xf numFmtId="175" fontId="26" fillId="0" borderId="0" applyFont="0" applyFill="0" applyBorder="0" applyAlignment="0" applyProtection="0"/>
    <xf numFmtId="0" fontId="27" fillId="0" borderId="0" applyFont="0" applyFill="0" applyBorder="0" applyAlignment="0" applyProtection="0"/>
    <xf numFmtId="175" fontId="28" fillId="0" borderId="0" applyFont="0" applyFill="0" applyBorder="0" applyAlignment="0" applyProtection="0"/>
    <xf numFmtId="178" fontId="26" fillId="0" borderId="0" applyFont="0" applyFill="0" applyBorder="0" applyAlignment="0" applyProtection="0"/>
    <xf numFmtId="0" fontId="27" fillId="0" borderId="0" applyFont="0" applyFill="0" applyBorder="0" applyAlignment="0" applyProtection="0"/>
    <xf numFmtId="178" fontId="28" fillId="0" borderId="0" applyFont="0" applyFill="0" applyBorder="0" applyAlignment="0" applyProtection="0"/>
    <xf numFmtId="179" fontId="26" fillId="0" borderId="0" applyFont="0" applyFill="0" applyBorder="0" applyAlignment="0" applyProtection="0"/>
    <xf numFmtId="0" fontId="27" fillId="0" borderId="0" applyFont="0" applyFill="0" applyBorder="0" applyAlignment="0" applyProtection="0"/>
    <xf numFmtId="179" fontId="28" fillId="0" borderId="0" applyFont="0" applyFill="0" applyBorder="0" applyAlignment="0" applyProtection="0"/>
    <xf numFmtId="180" fontId="26" fillId="0" borderId="0" applyFont="0" applyFill="0" applyBorder="0" applyAlignment="0" applyProtection="0"/>
    <xf numFmtId="0" fontId="27" fillId="0" borderId="0" applyFont="0" applyFill="0" applyBorder="0" applyAlignment="0" applyProtection="0"/>
    <xf numFmtId="180" fontId="28" fillId="0" borderId="0" applyFont="0" applyFill="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30" fillId="0" borderId="0" applyNumberFormat="0" applyFill="0" applyBorder="0" applyAlignment="0" applyProtection="0"/>
    <xf numFmtId="0" fontId="27" fillId="0" borderId="0"/>
    <xf numFmtId="0" fontId="31" fillId="0" borderId="0"/>
    <xf numFmtId="0" fontId="27" fillId="0" borderId="0"/>
    <xf numFmtId="0" fontId="31" fillId="0" borderId="0"/>
    <xf numFmtId="0" fontId="32" fillId="0" borderId="0"/>
    <xf numFmtId="181" fontId="7" fillId="0" borderId="0" applyFill="0" applyBorder="0" applyAlignment="0"/>
    <xf numFmtId="181" fontId="7" fillId="0" borderId="0" applyFill="0" applyBorder="0" applyAlignment="0"/>
    <xf numFmtId="181" fontId="7" fillId="0" borderId="0" applyFill="0" applyBorder="0" applyAlignment="0"/>
    <xf numFmtId="181" fontId="7" fillId="0" borderId="0" applyFill="0" applyBorder="0" applyAlignment="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3" fillId="21" borderId="1" applyNumberFormat="0" applyAlignment="0" applyProtection="0"/>
    <xf numFmtId="0" fontId="34" fillId="0" borderId="0"/>
    <xf numFmtId="3" fontId="14" fillId="0" borderId="2"/>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0" fontId="35" fillId="22" borderId="3" applyNumberFormat="0" applyAlignment="0" applyProtection="0"/>
    <xf numFmtId="182" fontId="36" fillId="0" borderId="0" applyFont="0" applyFill="0" applyBorder="0" applyAlignment="0" applyProtection="0"/>
    <xf numFmtId="43" fontId="1"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38" fontId="37" fillId="0" borderId="0" applyFont="0" applyFill="0" applyBorder="0" applyAlignment="0" applyProtection="0">
      <alignment vertical="center"/>
    </xf>
    <xf numFmtId="38" fontId="37" fillId="0" borderId="0" applyFont="0" applyFill="0" applyBorder="0" applyAlignment="0" applyProtection="0">
      <alignment vertical="center"/>
    </xf>
    <xf numFmtId="38" fontId="37" fillId="0" borderId="0" applyFont="0" applyFill="0" applyBorder="0" applyAlignment="0" applyProtection="0">
      <alignment vertical="center"/>
    </xf>
    <xf numFmtId="38" fontId="37" fillId="0" borderId="0" applyFont="0" applyFill="0" applyBorder="0" applyAlignment="0" applyProtection="0">
      <alignment vertical="center"/>
    </xf>
    <xf numFmtId="165"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7"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8" fillId="0" borderId="0" applyFont="0" applyFill="0" applyBorder="0" applyAlignment="0" applyProtection="0"/>
    <xf numFmtId="183" fontId="7" fillId="0" borderId="0" applyFill="0" applyBorder="0" applyAlignment="0" applyProtection="0"/>
    <xf numFmtId="43" fontId="7" fillId="0" borderId="0" applyFont="0" applyFill="0" applyBorder="0" applyAlignment="0" applyProtection="0"/>
    <xf numFmtId="166" fontId="13" fillId="0" borderId="0" applyFont="0" applyFill="0" applyBorder="0" applyAlignment="0" applyProtection="0"/>
    <xf numFmtId="183" fontId="7" fillId="0" borderId="0" applyFill="0" applyBorder="0" applyAlignment="0" applyProtection="0"/>
    <xf numFmtId="166" fontId="38" fillId="0" borderId="0" applyFont="0" applyFill="0" applyBorder="0" applyAlignment="0" applyProtection="0"/>
    <xf numFmtId="43" fontId="7" fillId="0" borderId="0" applyFont="0" applyFill="0" applyBorder="0" applyAlignment="0" applyProtection="0"/>
    <xf numFmtId="183" fontId="7" fillId="0" borderId="0" applyFill="0" applyBorder="0" applyAlignment="0" applyProtection="0"/>
    <xf numFmtId="183" fontId="7" fillId="0" borderId="0" applyFill="0" applyBorder="0" applyAlignment="0" applyProtection="0"/>
    <xf numFmtId="183" fontId="7"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3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43" fontId="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3" fontId="7" fillId="0" borderId="0" applyFill="0" applyBorder="0" applyAlignment="0" applyProtection="0"/>
    <xf numFmtId="183" fontId="7" fillId="0" borderId="0" applyFill="0" applyBorder="0" applyAlignment="0" applyProtection="0"/>
    <xf numFmtId="183" fontId="7" fillId="0" borderId="0" applyFill="0" applyBorder="0" applyAlignment="0" applyProtection="0"/>
    <xf numFmtId="183" fontId="7" fillId="0" borderId="0" applyFill="0" applyBorder="0" applyAlignment="0" applyProtection="0"/>
    <xf numFmtId="183" fontId="7" fillId="0" borderId="0" applyFill="0" applyBorder="0" applyAlignment="0" applyProtection="0"/>
    <xf numFmtId="183" fontId="7" fillId="0" borderId="0" applyFill="0" applyBorder="0" applyAlignment="0" applyProtection="0"/>
    <xf numFmtId="183" fontId="7" fillId="0" borderId="0" applyFill="0" applyBorder="0" applyAlignment="0" applyProtection="0"/>
    <xf numFmtId="183" fontId="7" fillId="0" borderId="0" applyFill="0" applyBorder="0" applyAlignment="0" applyProtection="0"/>
    <xf numFmtId="183" fontId="7" fillId="0" borderId="0" applyFill="0" applyBorder="0" applyAlignment="0" applyProtection="0"/>
    <xf numFmtId="43" fontId="19" fillId="0" borderId="0" applyFont="0" applyFill="0" applyBorder="0" applyAlignment="0" applyProtection="0"/>
    <xf numFmtId="183"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66"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84" fontId="7" fillId="0" borderId="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66" fontId="40"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166"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66" fontId="40" fillId="0" borderId="0" applyFont="0" applyFill="0" applyBorder="0" applyAlignment="0" applyProtection="0"/>
    <xf numFmtId="43" fontId="7" fillId="0" borderId="0" applyFont="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166"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66" fontId="40" fillId="0" borderId="0" applyFont="0" applyFill="0" applyBorder="0" applyAlignment="0" applyProtection="0"/>
    <xf numFmtId="43" fontId="7" fillId="0" borderId="0" applyFont="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43" fontId="13" fillId="0" borderId="0" applyFont="0" applyFill="0" applyBorder="0" applyAlignment="0" applyProtection="0"/>
    <xf numFmtId="184" fontId="7" fillId="0" borderId="0" applyFill="0" applyBorder="0" applyAlignment="0" applyProtection="0"/>
    <xf numFmtId="184" fontId="7" fillId="0" borderId="0" applyFill="0" applyBorder="0" applyAlignment="0" applyProtection="0"/>
    <xf numFmtId="166"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6"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3" fontId="7" fillId="0" borderId="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83" fontId="7" fillId="0" borderId="0" applyFill="0" applyBorder="0" applyAlignment="0" applyProtection="0"/>
    <xf numFmtId="166"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7"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66" fontId="40" fillId="0" borderId="0" applyFont="0" applyFill="0" applyBorder="0" applyAlignment="0" applyProtection="0"/>
    <xf numFmtId="183" fontId="7" fillId="0" borderId="0" applyFill="0" applyBorder="0" applyAlignment="0" applyProtection="0"/>
    <xf numFmtId="167" fontId="7" fillId="0" borderId="0" applyFill="0" applyBorder="0" applyAlignment="0" applyProtection="0"/>
    <xf numFmtId="43" fontId="3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8"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66" fontId="13"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83" fontId="7" fillId="0" borderId="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8"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43" fontId="19" fillId="0" borderId="0" applyFont="0" applyFill="0" applyBorder="0" applyAlignment="0" applyProtection="0"/>
    <xf numFmtId="43" fontId="38" fillId="0" borderId="0" applyFont="0" applyFill="0" applyBorder="0" applyAlignment="0" applyProtection="0"/>
    <xf numFmtId="166" fontId="40"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0"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85" fontId="14" fillId="0" borderId="0"/>
    <xf numFmtId="3" fontId="7" fillId="0" borderId="0" applyFont="0" applyFill="0" applyBorder="0" applyAlignment="0" applyProtection="0"/>
    <xf numFmtId="0" fontId="42" fillId="0" borderId="0" applyNumberFormat="0" applyAlignment="0">
      <alignment horizontal="left"/>
    </xf>
    <xf numFmtId="44" fontId="13" fillId="0" borderId="0" applyFont="0" applyFill="0" applyBorder="0" applyAlignment="0" applyProtection="0"/>
    <xf numFmtId="44" fontId="13"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19" fillId="0" borderId="0" applyFont="0" applyFill="0" applyBorder="0" applyAlignment="0" applyProtection="0"/>
    <xf numFmtId="186" fontId="7" fillId="0" borderId="0" applyFont="0" applyFill="0" applyBorder="0" applyAlignment="0" applyProtection="0"/>
    <xf numFmtId="187" fontId="14" fillId="0" borderId="0"/>
    <xf numFmtId="188" fontId="4" fillId="2" borderId="4">
      <alignment horizontal="right"/>
    </xf>
    <xf numFmtId="188" fontId="4" fillId="2" borderId="4">
      <alignment horizontal="right"/>
    </xf>
    <xf numFmtId="0" fontId="43" fillId="2" borderId="0" applyNumberFormat="0" applyFont="0" applyFill="0" applyBorder="0" applyProtection="0">
      <alignment horizontal="left"/>
    </xf>
    <xf numFmtId="0" fontId="7" fillId="0" borderId="0" applyFont="0" applyFill="0" applyBorder="0" applyAlignment="0" applyProtection="0"/>
    <xf numFmtId="189" fontId="14" fillId="0" borderId="0"/>
    <xf numFmtId="165" fontId="44" fillId="0" borderId="0" applyFont="0" applyFill="0" applyBorder="0" applyAlignment="0" applyProtection="0"/>
    <xf numFmtId="166" fontId="44" fillId="0" borderId="0" applyFont="0" applyFill="0" applyBorder="0" applyAlignment="0" applyProtection="0"/>
    <xf numFmtId="165" fontId="44" fillId="0" borderId="0" applyFont="0" applyFill="0" applyBorder="0" applyAlignment="0" applyProtection="0"/>
    <xf numFmtId="41"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41" fontId="44" fillId="0" borderId="0" applyFont="0" applyFill="0" applyBorder="0" applyAlignment="0" applyProtection="0"/>
    <xf numFmtId="41" fontId="44" fillId="0" borderId="0" applyFont="0" applyFill="0" applyBorder="0" applyAlignment="0" applyProtection="0"/>
    <xf numFmtId="41"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41" fontId="44" fillId="0" borderId="0" applyFont="0" applyFill="0" applyBorder="0" applyAlignment="0" applyProtection="0"/>
    <xf numFmtId="41" fontId="44" fillId="0" borderId="0" applyFont="0" applyFill="0" applyBorder="0" applyAlignment="0" applyProtection="0"/>
    <xf numFmtId="190" fontId="44" fillId="0" borderId="0" applyFont="0" applyFill="0" applyBorder="0" applyAlignment="0" applyProtection="0"/>
    <xf numFmtId="190" fontId="44" fillId="0" borderId="0" applyFont="0" applyFill="0" applyBorder="0" applyAlignment="0" applyProtection="0"/>
    <xf numFmtId="41" fontId="44" fillId="0" borderId="0" applyFont="0" applyFill="0" applyBorder="0" applyAlignment="0" applyProtection="0"/>
    <xf numFmtId="166" fontId="44" fillId="0" borderId="0" applyFont="0" applyFill="0" applyBorder="0" applyAlignment="0" applyProtection="0"/>
    <xf numFmtId="43" fontId="44" fillId="0" borderId="0" applyFont="0" applyFill="0" applyBorder="0" applyAlignment="0" applyProtection="0"/>
    <xf numFmtId="166" fontId="44" fillId="0" borderId="0" applyFont="0" applyFill="0" applyBorder="0" applyAlignment="0" applyProtection="0"/>
    <xf numFmtId="166"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66" fontId="44" fillId="0" borderId="0" applyFont="0" applyFill="0" applyBorder="0" applyAlignment="0" applyProtection="0"/>
    <xf numFmtId="166" fontId="44" fillId="0" borderId="0" applyFont="0" applyFill="0" applyBorder="0" applyAlignment="0" applyProtection="0"/>
    <xf numFmtId="166"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91" fontId="44" fillId="0" borderId="0" applyFont="0" applyFill="0" applyBorder="0" applyAlignment="0" applyProtection="0"/>
    <xf numFmtId="191" fontId="44" fillId="0" borderId="0" applyFont="0" applyFill="0" applyBorder="0" applyAlignment="0" applyProtection="0"/>
    <xf numFmtId="43" fontId="44" fillId="0" borderId="0" applyFont="0" applyFill="0" applyBorder="0" applyAlignment="0" applyProtection="0"/>
    <xf numFmtId="0" fontId="45" fillId="0" borderId="0" applyNumberFormat="0" applyAlignment="0">
      <alignment horizontal="left"/>
    </xf>
    <xf numFmtId="192" fontId="4" fillId="23" borderId="0"/>
    <xf numFmtId="193" fontId="4" fillId="23" borderId="0"/>
    <xf numFmtId="194" fontId="4" fillId="23" borderId="0"/>
    <xf numFmtId="195" fontId="4" fillId="0" borderId="0"/>
    <xf numFmtId="192" fontId="4" fillId="23" borderId="0"/>
    <xf numFmtId="196" fontId="4" fillId="0" borderId="0"/>
    <xf numFmtId="197" fontId="4" fillId="0" borderId="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2" fontId="7" fillId="0" borderId="0" applyFont="0" applyFill="0" applyBorder="0" applyAlignment="0" applyProtection="0"/>
    <xf numFmtId="193" fontId="4" fillId="0" borderId="5"/>
    <xf numFmtId="198" fontId="4" fillId="2" borderId="4">
      <alignment horizontal="right"/>
    </xf>
    <xf numFmtId="198" fontId="4" fillId="2" borderId="4">
      <alignment horizontal="right"/>
    </xf>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38" fontId="3" fillId="2" borderId="0" applyNumberFormat="0" applyBorder="0" applyAlignment="0" applyProtection="0"/>
    <xf numFmtId="0" fontId="48" fillId="0" borderId="0">
      <alignment horizontal="left"/>
    </xf>
    <xf numFmtId="0" fontId="49" fillId="0" borderId="6" applyNumberFormat="0" applyAlignment="0" applyProtection="0">
      <alignment horizontal="left" vertical="center"/>
    </xf>
    <xf numFmtId="0" fontId="49" fillId="0" borderId="7">
      <alignment horizontal="left" vertical="center"/>
    </xf>
    <xf numFmtId="199" fontId="50" fillId="24" borderId="0">
      <alignment horizontal="left" vertical="top"/>
    </xf>
    <xf numFmtId="0" fontId="51" fillId="0" borderId="8" applyNumberFormat="0" applyFill="0" applyAlignment="0" applyProtection="0"/>
    <xf numFmtId="0" fontId="51" fillId="0" borderId="8" applyNumberFormat="0" applyFill="0" applyAlignment="0" applyProtection="0"/>
    <xf numFmtId="0" fontId="51" fillId="0" borderId="8" applyNumberFormat="0" applyFill="0" applyAlignment="0" applyProtection="0"/>
    <xf numFmtId="0" fontId="51" fillId="0" borderId="8"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1" fillId="0" borderId="8" applyNumberFormat="0" applyFill="0" applyAlignment="0" applyProtection="0"/>
    <xf numFmtId="0" fontId="51" fillId="0" borderId="8" applyNumberFormat="0" applyFill="0" applyAlignment="0" applyProtection="0"/>
    <xf numFmtId="0" fontId="53" fillId="0" borderId="9" applyNumberFormat="0" applyFill="0" applyAlignment="0" applyProtection="0"/>
    <xf numFmtId="0" fontId="53" fillId="0" borderId="9" applyNumberFormat="0" applyFill="0" applyAlignment="0" applyProtection="0"/>
    <xf numFmtId="0" fontId="53" fillId="0" borderId="9" applyNumberFormat="0" applyFill="0" applyAlignment="0" applyProtection="0"/>
    <xf numFmtId="0" fontId="53" fillId="0" borderId="9"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53" fillId="0" borderId="9" applyNumberFormat="0" applyFill="0" applyAlignment="0" applyProtection="0"/>
    <xf numFmtId="0" fontId="53" fillId="0" borderId="9"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10"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2" fillId="0" borderId="0" applyProtection="0"/>
    <xf numFmtId="0" fontId="49" fillId="0" borderId="0" applyProtection="0"/>
    <xf numFmtId="5" fontId="55" fillId="25" borderId="2" applyNumberFormat="0" applyAlignment="0">
      <alignment horizontal="left" vertical="top"/>
    </xf>
    <xf numFmtId="49" fontId="56" fillId="0" borderId="2">
      <alignment vertical="center"/>
    </xf>
    <xf numFmtId="0" fontId="57"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58" fillId="0" borderId="0" applyBorder="0"/>
    <xf numFmtId="0" fontId="41" fillId="24" borderId="0">
      <alignment horizontal="left" wrapText="1" indent="2"/>
    </xf>
    <xf numFmtId="10" fontId="3" fillId="24" borderId="2" applyNumberFormat="0" applyBorder="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9" fillId="8" borderId="1" applyNumberFormat="0" applyAlignment="0" applyProtection="0"/>
    <xf numFmtId="0" fontId="58" fillId="0" borderId="0"/>
    <xf numFmtId="0" fontId="13" fillId="0" borderId="0"/>
    <xf numFmtId="0" fontId="14" fillId="0" borderId="0"/>
    <xf numFmtId="0" fontId="7" fillId="0" borderId="0"/>
    <xf numFmtId="0" fontId="7" fillId="0" borderId="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0" fontId="60" fillId="0" borderId="11" applyNumberFormat="0" applyFill="0" applyAlignment="0" applyProtection="0"/>
    <xf numFmtId="200" fontId="4" fillId="0" borderId="0">
      <alignment horizontal="right"/>
    </xf>
    <xf numFmtId="201" fontId="4" fillId="23" borderId="0">
      <alignment horizontal="right"/>
    </xf>
    <xf numFmtId="38" fontId="14" fillId="0" borderId="0" applyFont="0" applyFill="0" applyBorder="0" applyAlignment="0" applyProtection="0"/>
    <xf numFmtId="40" fontId="14" fillId="0" borderId="0" applyFont="0" applyFill="0" applyBorder="0" applyAlignment="0" applyProtection="0"/>
    <xf numFmtId="202" fontId="4" fillId="23" borderId="4">
      <alignment horizontal="right"/>
    </xf>
    <xf numFmtId="0" fontId="61" fillId="0" borderId="12"/>
    <xf numFmtId="164" fontId="7" fillId="0" borderId="13"/>
    <xf numFmtId="203" fontId="14" fillId="0" borderId="0" applyFont="0" applyFill="0" applyBorder="0" applyAlignment="0" applyProtection="0"/>
    <xf numFmtId="204" fontId="14" fillId="0" borderId="0" applyFont="0" applyFill="0" applyBorder="0" applyAlignment="0" applyProtection="0"/>
    <xf numFmtId="205" fontId="14" fillId="0" borderId="0" applyFont="0" applyFill="0" applyBorder="0" applyAlignment="0" applyProtection="0"/>
    <xf numFmtId="206" fontId="14" fillId="0" borderId="0" applyFont="0" applyFill="0" applyBorder="0" applyAlignment="0" applyProtection="0"/>
    <xf numFmtId="0" fontId="62" fillId="0" borderId="0" applyNumberFormat="0" applyFont="0" applyFill="0" applyAlignment="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3" fillId="26" borderId="0" applyNumberFormat="0" applyBorder="0" applyAlignment="0" applyProtection="0"/>
    <xf numFmtId="0" fontId="64" fillId="0" borderId="0"/>
    <xf numFmtId="37" fontId="65" fillId="0" borderId="0"/>
    <xf numFmtId="207" fontId="7" fillId="0" borderId="0"/>
    <xf numFmtId="207" fontId="7" fillId="0" borderId="0"/>
    <xf numFmtId="207" fontId="7" fillId="0" borderId="0"/>
    <xf numFmtId="207"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122"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0" fillId="0" borderId="0"/>
    <xf numFmtId="0" fontId="7" fillId="0" borderId="0"/>
    <xf numFmtId="0" fontId="7" fillId="0" borderId="0"/>
    <xf numFmtId="0" fontId="7" fillId="0" borderId="0"/>
    <xf numFmtId="0" fontId="7" fillId="0" borderId="0"/>
    <xf numFmtId="0" fontId="7"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3" fillId="0" borderId="0"/>
    <xf numFmtId="0" fontId="7" fillId="0" borderId="0"/>
    <xf numFmtId="0" fontId="40" fillId="0" borderId="0"/>
    <xf numFmtId="0" fontId="40" fillId="0" borderId="0"/>
    <xf numFmtId="0" fontId="40" fillId="0" borderId="0"/>
    <xf numFmtId="0" fontId="40" fillId="0" borderId="0"/>
    <xf numFmtId="0" fontId="4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 fillId="0" borderId="0"/>
    <xf numFmtId="0" fontId="13" fillId="0" borderId="0"/>
    <xf numFmtId="0" fontId="13" fillId="0" borderId="0"/>
    <xf numFmtId="0" fontId="13" fillId="0" borderId="0"/>
    <xf numFmtId="0" fontId="4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 fillId="0" borderId="0"/>
    <xf numFmtId="0" fontId="13" fillId="0" borderId="0"/>
    <xf numFmtId="0" fontId="13" fillId="0" borderId="0"/>
    <xf numFmtId="0" fontId="1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4" fillId="0" borderId="0"/>
    <xf numFmtId="0" fontId="14" fillId="0" borderId="0"/>
    <xf numFmtId="0" fontId="14" fillId="0" borderId="0"/>
    <xf numFmtId="0" fontId="14" fillId="0" borderId="0"/>
    <xf numFmtId="0" fontId="14" fillId="0" borderId="0"/>
    <xf numFmtId="0" fontId="40" fillId="0" borderId="0"/>
    <xf numFmtId="0" fontId="40" fillId="0" borderId="0"/>
    <xf numFmtId="0" fontId="40" fillId="0" borderId="0"/>
    <xf numFmtId="0" fontId="13" fillId="0" borderId="0"/>
    <xf numFmtId="0" fontId="7" fillId="0" borderId="0"/>
    <xf numFmtId="0" fontId="7" fillId="0" borderId="0"/>
    <xf numFmtId="0" fontId="7"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3" fillId="0" borderId="0"/>
    <xf numFmtId="0" fontId="13" fillId="0" borderId="0"/>
    <xf numFmtId="0" fontId="13" fillId="0" borderId="0"/>
    <xf numFmtId="0" fontId="13" fillId="0" borderId="0"/>
    <xf numFmtId="0" fontId="13" fillId="0" borderId="0"/>
    <xf numFmtId="0" fontId="7" fillId="0" borderId="0"/>
    <xf numFmtId="0" fontId="40" fillId="0" borderId="0"/>
    <xf numFmtId="0" fontId="40" fillId="0" borderId="0"/>
    <xf numFmtId="0" fontId="40" fillId="0" borderId="0"/>
    <xf numFmtId="0" fontId="40" fillId="0" borderId="0"/>
    <xf numFmtId="0" fontId="13"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40" fillId="0" borderId="0"/>
    <xf numFmtId="0" fontId="40" fillId="0" borderId="0"/>
    <xf numFmtId="0" fontId="13" fillId="0" borderId="0"/>
    <xf numFmtId="0" fontId="13" fillId="0" borderId="0"/>
    <xf numFmtId="0" fontId="40" fillId="0" borderId="0"/>
    <xf numFmtId="0" fontId="40" fillId="0" borderId="0"/>
    <xf numFmtId="0" fontId="40" fillId="0" borderId="0"/>
    <xf numFmtId="0" fontId="40" fillId="0" borderId="0"/>
    <xf numFmtId="0" fontId="40" fillId="0" borderId="0"/>
    <xf numFmtId="0" fontId="40" fillId="0" borderId="0"/>
    <xf numFmtId="0" fontId="13" fillId="0" borderId="0"/>
    <xf numFmtId="0" fontId="40" fillId="0" borderId="0"/>
    <xf numFmtId="0" fontId="40" fillId="0" borderId="0"/>
    <xf numFmtId="0" fontId="120" fillId="0" borderId="0"/>
    <xf numFmtId="0" fontId="1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0" fillId="0" borderId="0"/>
    <xf numFmtId="0" fontId="7"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7" fillId="0" borderId="0"/>
    <xf numFmtId="0" fontId="7" fillId="0" borderId="0"/>
    <xf numFmtId="0" fontId="7" fillId="0" borderId="0"/>
    <xf numFmtId="0" fontId="7" fillId="0" borderId="0"/>
    <xf numFmtId="0" fontId="7" fillId="0" borderId="0"/>
    <xf numFmtId="0" fontId="7"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40" fillId="0" borderId="0"/>
    <xf numFmtId="0" fontId="40" fillId="0" borderId="0"/>
    <xf numFmtId="0" fontId="40" fillId="0" borderId="0"/>
    <xf numFmtId="0" fontId="40" fillId="0" borderId="0"/>
    <xf numFmtId="0" fontId="40"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0" fillId="0" borderId="0"/>
    <xf numFmtId="0" fontId="13" fillId="0" borderId="0"/>
    <xf numFmtId="0" fontId="40"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0" fillId="0" borderId="0"/>
    <xf numFmtId="0" fontId="13" fillId="0" borderId="0"/>
    <xf numFmtId="0" fontId="40" fillId="0" borderId="0"/>
    <xf numFmtId="0" fontId="40" fillId="0" borderId="0"/>
    <xf numFmtId="0" fontId="1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7" fillId="0" borderId="0"/>
    <xf numFmtId="0" fontId="7" fillId="0" borderId="0"/>
    <xf numFmtId="0" fontId="40" fillId="0" borderId="0"/>
    <xf numFmtId="0" fontId="40" fillId="0" borderId="0"/>
    <xf numFmtId="0" fontId="13" fillId="0" borderId="0"/>
    <xf numFmtId="0" fontId="13" fillId="0" borderId="0"/>
    <xf numFmtId="0" fontId="13" fillId="0" borderId="0"/>
    <xf numFmtId="0" fontId="40" fillId="0" borderId="0"/>
    <xf numFmtId="0" fontId="40" fillId="0" borderId="0"/>
    <xf numFmtId="0" fontId="13" fillId="0" borderId="0"/>
    <xf numFmtId="0" fontId="13" fillId="0" borderId="0"/>
    <xf numFmtId="0" fontId="13" fillId="0" borderId="0"/>
    <xf numFmtId="0" fontId="13" fillId="0" borderId="0"/>
    <xf numFmtId="0" fontId="40" fillId="0" borderId="0"/>
    <xf numFmtId="0" fontId="13" fillId="0" borderId="0"/>
    <xf numFmtId="0" fontId="13" fillId="0" borderId="0"/>
    <xf numFmtId="0" fontId="4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3"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3" fillId="0" borderId="0"/>
    <xf numFmtId="0" fontId="19" fillId="0" borderId="0"/>
    <xf numFmtId="0" fontId="13" fillId="0" borderId="0"/>
    <xf numFmtId="0" fontId="19" fillId="0" borderId="0"/>
    <xf numFmtId="0" fontId="122" fillId="0" borderId="0"/>
    <xf numFmtId="0" fontId="122" fillId="0" borderId="0"/>
    <xf numFmtId="0" fontId="122" fillId="0" borderId="0"/>
    <xf numFmtId="0" fontId="122" fillId="0" borderId="0"/>
    <xf numFmtId="0" fontId="7" fillId="0" borderId="0"/>
    <xf numFmtId="0" fontId="13" fillId="0" borderId="0"/>
    <xf numFmtId="0" fontId="13" fillId="0" borderId="0"/>
    <xf numFmtId="0" fontId="7" fillId="0" borderId="0"/>
    <xf numFmtId="0" fontId="124" fillId="0" borderId="0"/>
    <xf numFmtId="0" fontId="124" fillId="0" borderId="0"/>
    <xf numFmtId="0" fontId="38" fillId="0" borderId="0"/>
    <xf numFmtId="0" fontId="38" fillId="0" borderId="0"/>
    <xf numFmtId="0" fontId="3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38" fillId="0" borderId="0"/>
    <xf numFmtId="0" fontId="38" fillId="0" borderId="0"/>
    <xf numFmtId="0" fontId="7" fillId="0" borderId="0"/>
    <xf numFmtId="0" fontId="38" fillId="0" borderId="0"/>
    <xf numFmtId="0" fontId="12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8" fillId="0" borderId="0"/>
    <xf numFmtId="0" fontId="38" fillId="0" borderId="0"/>
    <xf numFmtId="0" fontId="38" fillId="0" borderId="0"/>
    <xf numFmtId="0" fontId="38" fillId="0" borderId="0"/>
    <xf numFmtId="0" fontId="38" fillId="0" borderId="0"/>
    <xf numFmtId="0" fontId="38" fillId="0" borderId="0"/>
    <xf numFmtId="0" fontId="13" fillId="0" borderId="0"/>
    <xf numFmtId="0" fontId="13" fillId="0" borderId="0"/>
    <xf numFmtId="0" fontId="38" fillId="0" borderId="0"/>
    <xf numFmtId="0" fontId="38" fillId="0" borderId="0"/>
    <xf numFmtId="0" fontId="38" fillId="0" borderId="0"/>
    <xf numFmtId="0" fontId="38" fillId="0" borderId="0"/>
    <xf numFmtId="0" fontId="38" fillId="0" borderId="0"/>
    <xf numFmtId="0" fontId="38" fillId="0" borderId="0"/>
    <xf numFmtId="0" fontId="7" fillId="0" borderId="0"/>
    <xf numFmtId="0" fontId="122" fillId="0" borderId="0"/>
    <xf numFmtId="0" fontId="7" fillId="0" borderId="0"/>
    <xf numFmtId="0" fontId="13" fillId="0" borderId="0"/>
    <xf numFmtId="0" fontId="38"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38" fillId="0" borderId="0"/>
    <xf numFmtId="0" fontId="7" fillId="0" borderId="0"/>
    <xf numFmtId="0" fontId="7" fillId="0" borderId="0"/>
    <xf numFmtId="0" fontId="13" fillId="0" borderId="0"/>
    <xf numFmtId="0" fontId="13" fillId="0" borderId="0"/>
    <xf numFmtId="0" fontId="7" fillId="0" borderId="0"/>
    <xf numFmtId="0" fontId="7" fillId="0" borderId="0"/>
    <xf numFmtId="0" fontId="7" fillId="0" borderId="0"/>
    <xf numFmtId="0" fontId="7" fillId="0" borderId="0"/>
    <xf numFmtId="0" fontId="7" fillId="0" borderId="0"/>
    <xf numFmtId="0" fontId="66" fillId="0" borderId="0"/>
    <xf numFmtId="0" fontId="7" fillId="0" borderId="0"/>
    <xf numFmtId="0" fontId="13" fillId="0" borderId="0"/>
    <xf numFmtId="0" fontId="44" fillId="0" borderId="0"/>
    <xf numFmtId="0" fontId="7" fillId="27" borderId="14" applyNumberFormat="0" applyFont="0" applyAlignment="0" applyProtection="0"/>
    <xf numFmtId="0" fontId="13" fillId="27" borderId="14" applyNumberFormat="0" applyFont="0" applyAlignment="0" applyProtection="0"/>
    <xf numFmtId="0" fontId="13" fillId="27" borderId="14" applyNumberFormat="0" applyFont="0" applyAlignment="0" applyProtection="0"/>
    <xf numFmtId="0" fontId="13"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7" fillId="27" borderId="14" applyNumberFormat="0" applyFon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0" fontId="67" fillId="21" borderId="15" applyNumberFormat="0" applyAlignment="0" applyProtection="0"/>
    <xf numFmtId="208" fontId="4" fillId="23" borderId="0"/>
    <xf numFmtId="209" fontId="4" fillId="0" borderId="0"/>
    <xf numFmtId="9" fontId="1"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39"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7" fillId="0" borderId="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9"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8"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 fillId="0" borderId="0" applyFill="0" applyBorder="0" applyAlignment="0" applyProtection="0"/>
    <xf numFmtId="9" fontId="38" fillId="0" borderId="0" applyFont="0" applyFill="0" applyBorder="0" applyAlignment="0" applyProtection="0"/>
    <xf numFmtId="210" fontId="4" fillId="23" borderId="0">
      <alignment horizontal="right"/>
    </xf>
    <xf numFmtId="0" fontId="14" fillId="0" borderId="0" applyNumberFormat="0" applyFont="0" applyFill="0" applyBorder="0" applyAlignment="0" applyProtection="0">
      <alignment horizontal="left"/>
    </xf>
    <xf numFmtId="0" fontId="68" fillId="0" borderId="12">
      <alignment horizontal="center"/>
    </xf>
    <xf numFmtId="211" fontId="4" fillId="2" borderId="0"/>
    <xf numFmtId="211" fontId="4" fillId="2" borderId="0"/>
    <xf numFmtId="0" fontId="69" fillId="0" borderId="0">
      <alignment horizontal="center"/>
    </xf>
    <xf numFmtId="0" fontId="4" fillId="0" borderId="16">
      <alignment horizontal="centerContinuous"/>
    </xf>
    <xf numFmtId="212" fontId="4" fillId="2" borderId="0">
      <alignment horizontal="right"/>
    </xf>
    <xf numFmtId="213" fontId="4" fillId="2" borderId="4">
      <alignment horizontal="right"/>
    </xf>
    <xf numFmtId="214" fontId="70" fillId="0" borderId="0" applyNumberFormat="0" applyFill="0" applyBorder="0" applyAlignment="0" applyProtection="0">
      <alignment horizontal="left"/>
    </xf>
    <xf numFmtId="4" fontId="71" fillId="28" borderId="17" applyNumberFormat="0" applyProtection="0">
      <alignment vertical="center"/>
    </xf>
    <xf numFmtId="4" fontId="72" fillId="28" borderId="17" applyNumberFormat="0" applyProtection="0">
      <alignment vertical="center"/>
    </xf>
    <xf numFmtId="4" fontId="73" fillId="28" borderId="17" applyNumberFormat="0" applyProtection="0">
      <alignment horizontal="left" vertical="center" indent="1"/>
    </xf>
    <xf numFmtId="0" fontId="74" fillId="28" borderId="17" applyNumberFormat="0" applyProtection="0">
      <alignment horizontal="left" vertical="top" indent="1"/>
    </xf>
    <xf numFmtId="4" fontId="73" fillId="29" borderId="0" applyNumberFormat="0" applyProtection="0">
      <alignment horizontal="left" vertical="center" indent="1"/>
    </xf>
    <xf numFmtId="4" fontId="73" fillId="30" borderId="17" applyNumberFormat="0" applyProtection="0">
      <alignment horizontal="right" vertical="center"/>
    </xf>
    <xf numFmtId="4" fontId="73" fillId="31" borderId="17" applyNumberFormat="0" applyProtection="0">
      <alignment horizontal="right" vertical="center"/>
    </xf>
    <xf numFmtId="4" fontId="73" fillId="32" borderId="17" applyNumberFormat="0" applyProtection="0">
      <alignment horizontal="right" vertical="center"/>
    </xf>
    <xf numFmtId="4" fontId="73" fillId="33" borderId="17" applyNumberFormat="0" applyProtection="0">
      <alignment horizontal="right" vertical="center"/>
    </xf>
    <xf numFmtId="4" fontId="73" fillId="34" borderId="17" applyNumberFormat="0" applyProtection="0">
      <alignment horizontal="right" vertical="center"/>
    </xf>
    <xf numFmtId="4" fontId="73" fillId="35" borderId="17" applyNumberFormat="0" applyProtection="0">
      <alignment horizontal="right" vertical="center"/>
    </xf>
    <xf numFmtId="4" fontId="73" fillId="36" borderId="17" applyNumberFormat="0" applyProtection="0">
      <alignment horizontal="right" vertical="center"/>
    </xf>
    <xf numFmtId="4" fontId="73" fillId="37" borderId="17" applyNumberFormat="0" applyProtection="0">
      <alignment horizontal="right" vertical="center"/>
    </xf>
    <xf numFmtId="4" fontId="73" fillId="38" borderId="17" applyNumberFormat="0" applyProtection="0">
      <alignment horizontal="right" vertical="center"/>
    </xf>
    <xf numFmtId="4" fontId="71" fillId="39" borderId="18" applyNumberFormat="0" applyProtection="0">
      <alignment horizontal="left" vertical="center" indent="1"/>
    </xf>
    <xf numFmtId="4" fontId="71" fillId="40" borderId="0" applyNumberFormat="0" applyProtection="0">
      <alignment horizontal="left" vertical="center" indent="1"/>
    </xf>
    <xf numFmtId="4" fontId="71" fillId="29" borderId="0" applyNumberFormat="0" applyProtection="0">
      <alignment horizontal="left" vertical="center" indent="1"/>
    </xf>
    <xf numFmtId="4" fontId="73" fillId="40" borderId="17" applyNumberFormat="0" applyProtection="0">
      <alignment horizontal="right" vertical="center"/>
    </xf>
    <xf numFmtId="4" fontId="38" fillId="40" borderId="0" applyNumberFormat="0" applyProtection="0">
      <alignment horizontal="left" vertical="center" indent="1"/>
    </xf>
    <xf numFmtId="4" fontId="38" fillId="29" borderId="0" applyNumberFormat="0" applyProtection="0">
      <alignment horizontal="left" vertical="center" indent="1"/>
    </xf>
    <xf numFmtId="0" fontId="7" fillId="29" borderId="17" applyNumberFormat="0" applyProtection="0">
      <alignment horizontal="left" vertical="center" indent="1"/>
    </xf>
    <xf numFmtId="0" fontId="7" fillId="29" borderId="17" applyNumberFormat="0" applyProtection="0">
      <alignment horizontal="left" vertical="top" indent="1"/>
    </xf>
    <xf numFmtId="0" fontId="7" fillId="25" borderId="17" applyNumberFormat="0" applyProtection="0">
      <alignment horizontal="left" vertical="center" indent="1"/>
    </xf>
    <xf numFmtId="0" fontId="7" fillId="25" borderId="17" applyNumberFormat="0" applyProtection="0">
      <alignment horizontal="left" vertical="top" indent="1"/>
    </xf>
    <xf numFmtId="0" fontId="7" fillId="40" borderId="17" applyNumberFormat="0" applyProtection="0">
      <alignment horizontal="left" vertical="center" indent="1"/>
    </xf>
    <xf numFmtId="0" fontId="7" fillId="40" borderId="17" applyNumberFormat="0" applyProtection="0">
      <alignment horizontal="left" vertical="top" indent="1"/>
    </xf>
    <xf numFmtId="0" fontId="7" fillId="41" borderId="17" applyNumberFormat="0" applyProtection="0">
      <alignment horizontal="left" vertical="center" indent="1"/>
    </xf>
    <xf numFmtId="0" fontId="7" fillId="41" borderId="17" applyNumberFormat="0" applyProtection="0">
      <alignment horizontal="left" vertical="top" indent="1"/>
    </xf>
    <xf numFmtId="4" fontId="73" fillId="41" borderId="17" applyNumberFormat="0" applyProtection="0">
      <alignment vertical="center"/>
    </xf>
    <xf numFmtId="4" fontId="75" fillId="41" borderId="17" applyNumberFormat="0" applyProtection="0">
      <alignment vertical="center"/>
    </xf>
    <xf numFmtId="4" fontId="71" fillId="40" borderId="19" applyNumberFormat="0" applyProtection="0">
      <alignment horizontal="left" vertical="center" indent="1"/>
    </xf>
    <xf numFmtId="0" fontId="38" fillId="24" borderId="17" applyNumberFormat="0" applyProtection="0">
      <alignment horizontal="left" vertical="top" indent="1"/>
    </xf>
    <xf numFmtId="4" fontId="73" fillId="41" borderId="17" applyNumberFormat="0" applyProtection="0">
      <alignment horizontal="right" vertical="center"/>
    </xf>
    <xf numFmtId="4" fontId="75" fillId="41" borderId="17" applyNumberFormat="0" applyProtection="0">
      <alignment horizontal="right" vertical="center"/>
    </xf>
    <xf numFmtId="4" fontId="71" fillId="40" borderId="17" applyNumberFormat="0" applyProtection="0">
      <alignment horizontal="left" vertical="center" indent="1"/>
    </xf>
    <xf numFmtId="0" fontId="38" fillId="25" borderId="17" applyNumberFormat="0" applyProtection="0">
      <alignment horizontal="left" vertical="top" indent="1"/>
    </xf>
    <xf numFmtId="4" fontId="76" fillId="25" borderId="19" applyNumberFormat="0" applyProtection="0">
      <alignment horizontal="left" vertical="center" indent="1"/>
    </xf>
    <xf numFmtId="4" fontId="77" fillId="41" borderId="17" applyNumberFormat="0" applyProtection="0">
      <alignment horizontal="right" vertical="center"/>
    </xf>
    <xf numFmtId="0" fontId="14" fillId="0" borderId="0"/>
    <xf numFmtId="182" fontId="36" fillId="0" borderId="0" applyFont="0" applyFill="0" applyBorder="0" applyAlignment="0" applyProtection="0"/>
    <xf numFmtId="0" fontId="61" fillId="0" borderId="0"/>
    <xf numFmtId="0" fontId="78" fillId="24" borderId="0">
      <alignment wrapText="1"/>
    </xf>
    <xf numFmtId="40" fontId="79" fillId="0" borderId="0" applyBorder="0">
      <alignment horizontal="right"/>
    </xf>
    <xf numFmtId="215" fontId="80" fillId="0" borderId="20">
      <alignment horizontal="right" vertical="center"/>
    </xf>
    <xf numFmtId="49" fontId="81" fillId="0" borderId="0"/>
    <xf numFmtId="216" fontId="80" fillId="0" borderId="20">
      <alignment horizontal="center"/>
    </xf>
    <xf numFmtId="0" fontId="82"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4" fillId="0" borderId="0"/>
    <xf numFmtId="0" fontId="85" fillId="0" borderId="21" applyNumberFormat="0" applyFill="0" applyAlignment="0" applyProtection="0"/>
    <xf numFmtId="0" fontId="85" fillId="0" borderId="21" applyNumberFormat="0" applyFill="0" applyAlignment="0" applyProtection="0"/>
    <xf numFmtId="0" fontId="85" fillId="0" borderId="21" applyNumberFormat="0" applyFill="0" applyAlignment="0" applyProtection="0"/>
    <xf numFmtId="0" fontId="85" fillId="0" borderId="21" applyNumberFormat="0" applyFill="0" applyAlignment="0" applyProtection="0"/>
    <xf numFmtId="0" fontId="7" fillId="0" borderId="22" applyNumberFormat="0" applyFont="0" applyFill="0" applyAlignment="0" applyProtection="0"/>
    <xf numFmtId="0" fontId="7" fillId="0" borderId="22" applyNumberFormat="0" applyFont="0" applyFill="0" applyAlignment="0" applyProtection="0"/>
    <xf numFmtId="0" fontId="7" fillId="0" borderId="22" applyNumberFormat="0" applyFont="0" applyFill="0" applyAlignment="0" applyProtection="0"/>
    <xf numFmtId="0" fontId="7" fillId="0" borderId="22" applyNumberFormat="0" applyFont="0" applyFill="0" applyAlignment="0" applyProtection="0"/>
    <xf numFmtId="0" fontId="7" fillId="0" borderId="22" applyNumberFormat="0" applyFont="0" applyFill="0" applyAlignment="0" applyProtection="0"/>
    <xf numFmtId="0" fontId="7" fillId="0" borderId="22" applyNumberFormat="0" applyFont="0" applyFill="0" applyAlignment="0" applyProtection="0"/>
    <xf numFmtId="0" fontId="7" fillId="0" borderId="22" applyNumberFormat="0" applyFont="0" applyFill="0" applyAlignment="0" applyProtection="0"/>
    <xf numFmtId="0" fontId="7" fillId="0" borderId="22" applyNumberFormat="0" applyFont="0" applyFill="0" applyAlignment="0" applyProtection="0"/>
    <xf numFmtId="0" fontId="85" fillId="0" borderId="21" applyNumberFormat="0" applyFill="0" applyAlignment="0" applyProtection="0"/>
    <xf numFmtId="0" fontId="85" fillId="0" borderId="21" applyNumberFormat="0" applyFill="0" applyAlignment="0" applyProtection="0"/>
    <xf numFmtId="217" fontId="80" fillId="0" borderId="0"/>
    <xf numFmtId="218" fontId="80" fillId="0" borderId="2"/>
    <xf numFmtId="5" fontId="86" fillId="42" borderId="23">
      <alignment vertical="top"/>
    </xf>
    <xf numFmtId="0" fontId="87" fillId="43" borderId="2">
      <alignment horizontal="left" vertical="center"/>
    </xf>
    <xf numFmtId="6" fontId="88" fillId="44" borderId="23"/>
    <xf numFmtId="5" fontId="55" fillId="0" borderId="23">
      <alignment horizontal="left" vertical="top"/>
    </xf>
    <xf numFmtId="0" fontId="89" fillId="45" borderId="0">
      <alignment horizontal="left" vertical="center"/>
    </xf>
    <xf numFmtId="5" fontId="15" fillId="0" borderId="24">
      <alignment horizontal="left" vertical="top"/>
    </xf>
    <xf numFmtId="0" fontId="90" fillId="0" borderId="24">
      <alignment horizontal="left" vertical="center"/>
    </xf>
    <xf numFmtId="42" fontId="44" fillId="0" borderId="0" applyFont="0" applyFill="0" applyBorder="0" applyAlignment="0" applyProtection="0"/>
    <xf numFmtId="44" fontId="44"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14" fillId="0" borderId="0"/>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4" fillId="22" borderId="3" applyNumberFormat="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95" fillId="26" borderId="0" applyNumberFormat="0" applyBorder="0" applyAlignment="0" applyProtection="0">
      <alignment vertical="center"/>
    </xf>
    <xf numFmtId="0" fontId="57" fillId="0" borderId="0" applyNumberFormat="0" applyFill="0" applyBorder="0" applyAlignment="0" applyProtection="0">
      <alignment vertical="top"/>
      <protection locked="0"/>
    </xf>
    <xf numFmtId="0" fontId="13" fillId="27" borderId="14" applyNumberFormat="0" applyFont="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0" fontId="96" fillId="0" borderId="11" applyNumberFormat="0" applyFill="0" applyAlignment="0" applyProtection="0">
      <alignment vertical="center"/>
    </xf>
    <xf numFmtId="40" fontId="98" fillId="0" borderId="0" applyFont="0" applyFill="0" applyBorder="0" applyAlignment="0" applyProtection="0"/>
    <xf numFmtId="38" fontId="98" fillId="0" borderId="0" applyFont="0" applyFill="0" applyBorder="0" applyAlignment="0" applyProtection="0"/>
    <xf numFmtId="0" fontId="98" fillId="0" borderId="0" applyFont="0" applyFill="0" applyBorder="0" applyAlignment="0" applyProtection="0"/>
    <xf numFmtId="0" fontId="98" fillId="0" borderId="0" applyFont="0" applyFill="0" applyBorder="0" applyAlignment="0" applyProtection="0"/>
    <xf numFmtId="9" fontId="99" fillId="0" borderId="0" applyFont="0" applyFill="0" applyBorder="0" applyAlignment="0" applyProtection="0"/>
    <xf numFmtId="0" fontId="100" fillId="0" borderId="0"/>
    <xf numFmtId="0" fontId="62" fillId="0" borderId="0"/>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3" fillId="8" borderId="1"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0" fontId="104" fillId="21" borderId="15" applyNumberFormat="0" applyAlignment="0" applyProtection="0">
      <alignment vertical="center"/>
    </xf>
    <xf numFmtId="165" fontId="105" fillId="0" borderId="0" applyFont="0" applyFill="0" applyBorder="0" applyAlignment="0" applyProtection="0"/>
    <xf numFmtId="166" fontId="105" fillId="0" borderId="0" applyFont="0" applyFill="0" applyBorder="0" applyAlignment="0" applyProtection="0"/>
    <xf numFmtId="0" fontId="7" fillId="0" borderId="0" applyFont="0" applyFill="0" applyBorder="0" applyAlignment="0" applyProtection="0"/>
    <xf numFmtId="219" fontId="13" fillId="0" borderId="0" applyFont="0" applyFill="0" applyBorder="0" applyAlignment="0" applyProtection="0"/>
    <xf numFmtId="220" fontId="101" fillId="0" borderId="0" applyFont="0" applyFill="0" applyBorder="0" applyAlignment="0" applyProtection="0"/>
    <xf numFmtId="221" fontId="101" fillId="0" borderId="0" applyFont="0" applyFill="0" applyBorder="0" applyAlignment="0" applyProtection="0"/>
    <xf numFmtId="0" fontId="102" fillId="0" borderId="0"/>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0" fontId="106" fillId="4" borderId="0" applyNumberFormat="0" applyBorder="0" applyAlignment="0" applyProtection="0">
      <alignment vertical="center"/>
    </xf>
    <xf numFmtId="183" fontId="7" fillId="0" borderId="0" applyFill="0" applyBorder="0" applyAlignment="0" applyProtection="0"/>
    <xf numFmtId="41" fontId="13" fillId="0" borderId="0" applyFont="0" applyFill="0" applyBorder="0" applyAlignment="0" applyProtection="0"/>
    <xf numFmtId="38" fontId="37" fillId="0" borderId="0" applyFont="0" applyFill="0" applyBorder="0" applyAlignment="0" applyProtection="0">
      <alignment vertical="center"/>
    </xf>
    <xf numFmtId="0" fontId="37" fillId="0" borderId="0">
      <alignment vertical="center"/>
    </xf>
    <xf numFmtId="0" fontId="64" fillId="0" borderId="0"/>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7" fillId="5" borderId="0" applyNumberFormat="0" applyBorder="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8" fillId="0" borderId="8"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09" fillId="0" borderId="9"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10" applyNumberFormat="0" applyFill="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1" fillId="21" borderId="1" applyNumberFormat="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176" fontId="105" fillId="0" borderId="0" applyFont="0" applyFill="0" applyBorder="0" applyAlignment="0" applyProtection="0"/>
    <xf numFmtId="176" fontId="11" fillId="0" borderId="0" applyFont="0" applyFill="0" applyBorder="0" applyAlignment="0" applyProtection="0"/>
    <xf numFmtId="177" fontId="105" fillId="0" borderId="0" applyFont="0" applyFill="0" applyBorder="0" applyAlignment="0" applyProtection="0"/>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114" fillId="0" borderId="21" applyNumberFormat="0" applyFill="0" applyAlignment="0" applyProtection="0">
      <alignment vertical="center"/>
    </xf>
    <xf numFmtId="0" fontId="97" fillId="0" borderId="0" applyFont="0" applyFill="0" applyBorder="0" applyAlignment="0" applyProtection="0"/>
    <xf numFmtId="0" fontId="97" fillId="0" borderId="0" applyFont="0" applyFill="0" applyBorder="0" applyAlignment="0" applyProtection="0"/>
    <xf numFmtId="0" fontId="11" fillId="0" borderId="0">
      <alignment vertical="center"/>
    </xf>
    <xf numFmtId="43" fontId="1" fillId="0" borderId="0" applyFont="0" applyFill="0" applyBorder="0" applyAlignment="0" applyProtection="0"/>
    <xf numFmtId="0" fontId="128" fillId="0" borderId="0"/>
  </cellStyleXfs>
  <cellXfs count="96">
    <xf numFmtId="0" fontId="0" fillId="0" borderId="0" xfId="0"/>
    <xf numFmtId="43" fontId="120" fillId="0" borderId="0" xfId="675" applyFont="1"/>
    <xf numFmtId="9" fontId="120" fillId="0" borderId="0" xfId="2621" applyFont="1"/>
    <xf numFmtId="0" fontId="115" fillId="0" borderId="0" xfId="0" applyFont="1" applyAlignment="1">
      <alignment vertical="top"/>
    </xf>
    <xf numFmtId="0" fontId="117" fillId="0" borderId="0" xfId="0" applyFont="1" applyFill="1" applyAlignment="1">
      <alignment vertical="top"/>
    </xf>
    <xf numFmtId="0" fontId="115" fillId="0" borderId="0" xfId="0" applyFont="1"/>
    <xf numFmtId="0" fontId="115" fillId="0" borderId="0" xfId="0" applyFont="1" applyAlignment="1">
      <alignment horizontal="center"/>
    </xf>
    <xf numFmtId="0" fontId="116" fillId="0" borderId="0" xfId="0" applyFont="1"/>
    <xf numFmtId="0" fontId="115" fillId="0" borderId="0" xfId="0" applyFont="1" applyFill="1" applyAlignment="1">
      <alignment vertical="top"/>
    </xf>
    <xf numFmtId="0" fontId="119" fillId="0" borderId="0" xfId="0" applyFont="1" applyFill="1" applyAlignment="1">
      <alignment vertical="top"/>
    </xf>
    <xf numFmtId="0" fontId="119" fillId="0" borderId="0" xfId="0" applyFont="1" applyAlignment="1">
      <alignment vertical="top"/>
    </xf>
    <xf numFmtId="0" fontId="119" fillId="0" borderId="0" xfId="0" applyFont="1" applyAlignment="1">
      <alignment horizontal="center" vertical="top"/>
    </xf>
    <xf numFmtId="0" fontId="7" fillId="0" borderId="2" xfId="0" applyFont="1" applyFill="1" applyBorder="1" applyAlignment="1">
      <alignment vertical="top"/>
    </xf>
    <xf numFmtId="0" fontId="7" fillId="0" borderId="2" xfId="0" applyFont="1" applyFill="1" applyBorder="1" applyAlignment="1">
      <alignment vertical="top" wrapText="1"/>
    </xf>
    <xf numFmtId="0" fontId="126" fillId="0" borderId="0" xfId="0" applyFont="1"/>
    <xf numFmtId="0" fontId="127" fillId="0" borderId="0" xfId="0" applyFont="1"/>
    <xf numFmtId="0" fontId="0" fillId="0" borderId="0" xfId="0" applyAlignment="1">
      <alignment wrapText="1"/>
    </xf>
    <xf numFmtId="0" fontId="129" fillId="46" borderId="0" xfId="3434" applyFont="1" applyFill="1" applyAlignment="1">
      <alignment horizontal="center" vertical="center"/>
    </xf>
    <xf numFmtId="0" fontId="130" fillId="0" borderId="25" xfId="3434" applyFont="1" applyBorder="1" applyAlignment="1">
      <alignment horizontal="center" vertical="center"/>
    </xf>
    <xf numFmtId="0" fontId="41" fillId="0" borderId="0" xfId="3434" applyFont="1" applyAlignment="1">
      <alignment horizontal="center" vertical="center"/>
    </xf>
    <xf numFmtId="0" fontId="41" fillId="0" borderId="0" xfId="3434" applyFont="1"/>
    <xf numFmtId="0" fontId="132" fillId="46" borderId="0" xfId="3434" applyFont="1" applyFill="1" applyAlignment="1">
      <alignment horizontal="left" indent="1"/>
    </xf>
    <xf numFmtId="0" fontId="133" fillId="0" borderId="0" xfId="3434" applyFont="1" applyAlignment="1">
      <alignment horizontal="left" indent="1"/>
    </xf>
    <xf numFmtId="0" fontId="41" fillId="46" borderId="0" xfId="3434" applyFont="1" applyFill="1"/>
    <xf numFmtId="0" fontId="132" fillId="46" borderId="26" xfId="3434" applyFont="1" applyFill="1" applyBorder="1" applyAlignment="1">
      <alignment horizontal="left"/>
    </xf>
    <xf numFmtId="0" fontId="41" fillId="0" borderId="27" xfId="3434" applyFont="1" applyBorder="1" applyAlignment="1"/>
    <xf numFmtId="0" fontId="132" fillId="46" borderId="0" xfId="3434" applyFont="1" applyFill="1" applyBorder="1"/>
    <xf numFmtId="0" fontId="133" fillId="0" borderId="0" xfId="3434" applyFont="1" applyBorder="1" applyAlignment="1">
      <alignment horizontal="left"/>
    </xf>
    <xf numFmtId="0" fontId="41" fillId="0" borderId="0" xfId="3434" applyFont="1" applyBorder="1" applyAlignment="1"/>
    <xf numFmtId="0" fontId="132" fillId="46" borderId="0" xfId="3434" applyFont="1" applyFill="1" applyBorder="1" applyAlignment="1">
      <alignment horizontal="left" indent="1"/>
    </xf>
    <xf numFmtId="0" fontId="133" fillId="0" borderId="0" xfId="3434" applyFont="1" applyBorder="1" applyAlignment="1">
      <alignment horizontal="left" indent="1"/>
    </xf>
    <xf numFmtId="0" fontId="41" fillId="0" borderId="0" xfId="3434" applyFont="1" applyBorder="1" applyAlignment="1">
      <alignment horizontal="left" indent="1"/>
    </xf>
    <xf numFmtId="0" fontId="41" fillId="0" borderId="0" xfId="3434" applyFont="1" applyBorder="1"/>
    <xf numFmtId="0" fontId="132" fillId="0" borderId="0" xfId="3434" applyFont="1" applyAlignment="1">
      <alignment horizontal="left"/>
    </xf>
    <xf numFmtId="0" fontId="41" fillId="0" borderId="0" xfId="3434" applyFont="1" applyAlignment="1">
      <alignment vertical="center"/>
    </xf>
    <xf numFmtId="0" fontId="41" fillId="0" borderId="0" xfId="3434" applyFont="1" applyAlignment="1">
      <alignment vertical="top"/>
    </xf>
    <xf numFmtId="0" fontId="41" fillId="0" borderId="0" xfId="3434" applyFont="1" applyAlignment="1">
      <alignment horizontal="left" indent="1"/>
    </xf>
    <xf numFmtId="16" fontId="133" fillId="0" borderId="27" xfId="3434" applyNumberFormat="1" applyFont="1" applyBorder="1" applyAlignment="1">
      <alignment horizontal="left"/>
    </xf>
    <xf numFmtId="15" fontId="136" fillId="0" borderId="32" xfId="3434" applyNumberFormat="1" applyFont="1" applyBorder="1" applyAlignment="1">
      <alignment vertical="top" wrapText="1"/>
    </xf>
    <xf numFmtId="14" fontId="136" fillId="0" borderId="31" xfId="3434" applyNumberFormat="1" applyFont="1" applyBorder="1" applyAlignment="1">
      <alignment vertical="top" wrapText="1"/>
    </xf>
    <xf numFmtId="0" fontId="136" fillId="0" borderId="33" xfId="3434" applyFont="1" applyBorder="1" applyAlignment="1">
      <alignment vertical="top" wrapText="1"/>
    </xf>
    <xf numFmtId="0" fontId="136" fillId="0" borderId="32" xfId="3434" applyFont="1" applyBorder="1" applyAlignment="1">
      <alignment vertical="top" wrapText="1"/>
    </xf>
    <xf numFmtId="222" fontId="134" fillId="47" borderId="28" xfId="3434" applyNumberFormat="1" applyFont="1" applyFill="1" applyBorder="1" applyAlignment="1">
      <alignment horizontal="center" vertical="center" wrapText="1"/>
    </xf>
    <xf numFmtId="0" fontId="134" fillId="47" borderId="29" xfId="3434" applyFont="1" applyFill="1" applyBorder="1" applyAlignment="1">
      <alignment horizontal="center" vertical="center" wrapText="1"/>
    </xf>
    <xf numFmtId="0" fontId="134" fillId="47" borderId="30" xfId="3434" applyFont="1" applyFill="1" applyBorder="1" applyAlignment="1">
      <alignment horizontal="center" vertical="center" wrapText="1"/>
    </xf>
    <xf numFmtId="222" fontId="136" fillId="0" borderId="31" xfId="3434" applyNumberFormat="1" applyFont="1" applyBorder="1" applyAlignment="1">
      <alignment vertical="top" wrapText="1"/>
    </xf>
    <xf numFmtId="0" fontId="136" fillId="0" borderId="34" xfId="3434" applyFont="1" applyBorder="1" applyAlignment="1">
      <alignment vertical="top" wrapText="1"/>
    </xf>
    <xf numFmtId="0" fontId="136" fillId="0" borderId="35" xfId="3434" applyFont="1" applyBorder="1" applyAlignment="1">
      <alignment vertical="top" wrapText="1"/>
    </xf>
    <xf numFmtId="0" fontId="115" fillId="0" borderId="0" xfId="0" applyFont="1" applyAlignment="1">
      <alignment horizontal="center" vertical="center" wrapText="1"/>
    </xf>
    <xf numFmtId="0" fontId="115" fillId="0" borderId="0" xfId="0" applyFont="1" applyAlignment="1">
      <alignment horizontal="left" vertical="top"/>
    </xf>
    <xf numFmtId="0" fontId="115" fillId="0" borderId="0" xfId="0" applyFont="1" applyAlignment="1">
      <alignment horizontal="left" vertical="top" wrapText="1"/>
    </xf>
    <xf numFmtId="0" fontId="119" fillId="0" borderId="0" xfId="0" applyFont="1" applyAlignment="1">
      <alignment horizontal="left" vertical="top" wrapText="1"/>
    </xf>
    <xf numFmtId="0" fontId="105" fillId="0" borderId="2" xfId="0" applyFont="1" applyBorder="1" applyAlignment="1">
      <alignment vertical="top" wrapText="1"/>
    </xf>
    <xf numFmtId="0" fontId="105" fillId="0" borderId="2" xfId="0" applyFont="1" applyBorder="1" applyAlignment="1">
      <alignment horizontal="justify" vertical="top" wrapText="1"/>
    </xf>
    <xf numFmtId="0" fontId="105" fillId="0" borderId="2" xfId="0" quotePrefix="1" applyFont="1" applyBorder="1" applyAlignment="1">
      <alignment horizontal="justify" vertical="top" wrapText="1"/>
    </xf>
    <xf numFmtId="0" fontId="139" fillId="0" borderId="2" xfId="0" applyFont="1" applyBorder="1" applyAlignment="1">
      <alignment vertical="top" wrapText="1"/>
    </xf>
    <xf numFmtId="0" fontId="139" fillId="0" borderId="2" xfId="0" applyFont="1" applyBorder="1" applyAlignment="1">
      <alignment horizontal="justify" vertical="top" wrapText="1"/>
    </xf>
    <xf numFmtId="0" fontId="139" fillId="0" borderId="2" xfId="0" quotePrefix="1" applyFont="1" applyBorder="1" applyAlignment="1">
      <alignment vertical="top" wrapText="1"/>
    </xf>
    <xf numFmtId="0" fontId="105" fillId="0" borderId="2" xfId="0" quotePrefix="1" applyFont="1" applyBorder="1" applyAlignment="1">
      <alignment vertical="top" wrapText="1"/>
    </xf>
    <xf numFmtId="0" fontId="105" fillId="0" borderId="2" xfId="0" applyFont="1" applyFill="1" applyBorder="1" applyAlignment="1">
      <alignment vertical="top" wrapText="1"/>
    </xf>
    <xf numFmtId="0" fontId="139" fillId="0" borderId="2" xfId="0" applyFont="1" applyFill="1" applyBorder="1" applyAlignment="1">
      <alignment horizontal="justify" vertical="top" wrapText="1"/>
    </xf>
    <xf numFmtId="0" fontId="139" fillId="0" borderId="2" xfId="0" applyFont="1" applyFill="1" applyBorder="1" applyAlignment="1">
      <alignment vertical="top" wrapText="1"/>
    </xf>
    <xf numFmtId="0" fontId="140" fillId="0" borderId="2" xfId="0" applyFont="1" applyFill="1" applyBorder="1" applyAlignment="1">
      <alignment vertical="top"/>
    </xf>
    <xf numFmtId="0" fontId="140" fillId="0" borderId="2" xfId="0" applyFont="1" applyFill="1" applyBorder="1" applyAlignment="1">
      <alignment vertical="top" wrapText="1"/>
    </xf>
    <xf numFmtId="0" fontId="125" fillId="0" borderId="0" xfId="0" applyFont="1" applyAlignment="1">
      <alignment wrapText="1"/>
    </xf>
    <xf numFmtId="0" fontId="0" fillId="0" borderId="0" xfId="0" applyAlignment="1"/>
    <xf numFmtId="0" fontId="0" fillId="0" borderId="0" xfId="0" quotePrefix="1" applyAlignment="1"/>
    <xf numFmtId="0" fontId="137" fillId="48" borderId="2" xfId="0" applyFont="1" applyFill="1" applyBorder="1" applyAlignment="1">
      <alignment vertical="center" wrapText="1"/>
    </xf>
    <xf numFmtId="0" fontId="137" fillId="48" borderId="2" xfId="0" applyFont="1" applyFill="1" applyBorder="1" applyAlignment="1">
      <alignment vertical="center"/>
    </xf>
    <xf numFmtId="0" fontId="138" fillId="48" borderId="2" xfId="0" applyFont="1" applyFill="1" applyBorder="1" applyAlignment="1">
      <alignment vertical="center" wrapText="1"/>
    </xf>
    <xf numFmtId="0" fontId="138" fillId="48" borderId="2" xfId="0" applyFont="1" applyFill="1" applyBorder="1" applyAlignment="1">
      <alignment vertical="center"/>
    </xf>
    <xf numFmtId="0" fontId="43" fillId="48" borderId="2" xfId="0" applyFont="1" applyFill="1" applyBorder="1" applyAlignment="1">
      <alignment horizontal="left" vertical="center" wrapText="1"/>
    </xf>
    <xf numFmtId="0" fontId="141" fillId="0" borderId="2" xfId="0" applyFont="1" applyFill="1" applyBorder="1" applyAlignment="1">
      <alignment vertical="top" wrapText="1"/>
    </xf>
    <xf numFmtId="0" fontId="139" fillId="0" borderId="2" xfId="1838" applyFont="1" applyBorder="1" applyAlignment="1">
      <alignment vertical="top"/>
    </xf>
    <xf numFmtId="0" fontId="142" fillId="0" borderId="2" xfId="0" applyFont="1" applyBorder="1" applyAlignment="1">
      <alignment vertical="top" wrapText="1"/>
    </xf>
    <xf numFmtId="0" fontId="139" fillId="0" borderId="2" xfId="1838" applyFont="1" applyBorder="1" applyAlignment="1">
      <alignment vertical="top" wrapText="1"/>
    </xf>
    <xf numFmtId="0" fontId="139" fillId="0" borderId="2" xfId="1838" quotePrefix="1" applyFont="1" applyBorder="1" applyAlignment="1">
      <alignment vertical="top" wrapText="1"/>
    </xf>
    <xf numFmtId="0" fontId="105" fillId="0" borderId="2" xfId="1838" applyFont="1" applyBorder="1" applyAlignment="1">
      <alignment vertical="top" wrapText="1"/>
    </xf>
    <xf numFmtId="0" fontId="139" fillId="0" borderId="2" xfId="1838" quotePrefix="1" applyFont="1" applyFill="1" applyBorder="1" applyAlignment="1">
      <alignment vertical="top" wrapText="1"/>
    </xf>
    <xf numFmtId="0" fontId="139" fillId="0" borderId="2" xfId="0" applyFont="1" applyFill="1" applyBorder="1" applyAlignment="1">
      <alignment horizontal="left" vertical="top" wrapText="1"/>
    </xf>
    <xf numFmtId="0" fontId="139" fillId="0" borderId="2" xfId="0" quotePrefix="1" applyFont="1" applyFill="1" applyBorder="1" applyAlignment="1">
      <alignment vertical="top" wrapText="1"/>
    </xf>
    <xf numFmtId="49" fontId="133" fillId="0" borderId="27" xfId="3434" quotePrefix="1" applyNumberFormat="1" applyFont="1" applyBorder="1" applyAlignment="1">
      <alignment horizontal="left"/>
    </xf>
    <xf numFmtId="223" fontId="136" fillId="0" borderId="32" xfId="3434" applyNumberFormat="1" applyFont="1" applyBorder="1" applyAlignment="1">
      <alignment vertical="top" wrapText="1"/>
    </xf>
    <xf numFmtId="223" fontId="136" fillId="0" borderId="34" xfId="3434" applyNumberFormat="1" applyFont="1" applyBorder="1" applyAlignment="1">
      <alignment vertical="top" wrapText="1"/>
    </xf>
    <xf numFmtId="0" fontId="143" fillId="0" borderId="2" xfId="0" applyFont="1" applyBorder="1" applyAlignment="1">
      <alignment vertical="top" wrapText="1"/>
    </xf>
    <xf numFmtId="0" fontId="143" fillId="0" borderId="2" xfId="0" applyFont="1" applyBorder="1" applyAlignment="1">
      <alignment horizontal="justify" vertical="top" wrapText="1"/>
    </xf>
    <xf numFmtId="0" fontId="143" fillId="0" borderId="2" xfId="0" quotePrefix="1" applyFont="1" applyBorder="1" applyAlignment="1">
      <alignment vertical="top" wrapText="1"/>
    </xf>
    <xf numFmtId="0" fontId="131" fillId="0" borderId="26" xfId="3434" applyFont="1" applyBorder="1" applyAlignment="1">
      <alignment horizontal="center" vertical="center" wrapText="1"/>
    </xf>
    <xf numFmtId="0" fontId="131" fillId="0" borderId="26" xfId="3434" applyFont="1" applyBorder="1" applyAlignment="1">
      <alignment horizontal="center" vertical="center"/>
    </xf>
    <xf numFmtId="0" fontId="133" fillId="0" borderId="26" xfId="3434" applyFont="1" applyBorder="1" applyAlignment="1">
      <alignment horizontal="left"/>
    </xf>
    <xf numFmtId="0" fontId="132" fillId="46" borderId="26" xfId="3434" applyFont="1" applyFill="1" applyBorder="1" applyAlignment="1">
      <alignment horizontal="left" vertical="center"/>
    </xf>
    <xf numFmtId="0" fontId="133" fillId="0" borderId="26" xfId="3434" applyFont="1" applyBorder="1" applyAlignment="1">
      <alignment horizontal="left" vertical="center"/>
    </xf>
    <xf numFmtId="0" fontId="43" fillId="48" borderId="20" xfId="0" applyFont="1" applyFill="1" applyBorder="1" applyAlignment="1">
      <alignment horizontal="center" vertical="center" wrapText="1"/>
    </xf>
    <xf numFmtId="0" fontId="43" fillId="48" borderId="36" xfId="0" applyFont="1" applyFill="1" applyBorder="1" applyAlignment="1">
      <alignment horizontal="center" vertical="center" wrapText="1"/>
    </xf>
    <xf numFmtId="0" fontId="43" fillId="48" borderId="23" xfId="0" applyFont="1" applyFill="1" applyBorder="1" applyAlignment="1">
      <alignment horizontal="left" vertical="center" wrapText="1"/>
    </xf>
    <xf numFmtId="0" fontId="43" fillId="48" borderId="37" xfId="0" applyFont="1" applyFill="1" applyBorder="1" applyAlignment="1">
      <alignment horizontal="left" vertical="center" wrapText="1"/>
    </xf>
  </cellXfs>
  <cellStyles count="3435">
    <cellStyle name="$" xfId="1"/>
    <cellStyle name="$m" xfId="2"/>
    <cellStyle name="$q" xfId="3"/>
    <cellStyle name="$q*" xfId="4"/>
    <cellStyle name="$qA" xfId="5"/>
    <cellStyle name="$qRange" xfId="6"/>
    <cellStyle name="??" xfId="7"/>
    <cellStyle name="?? [0.00]_ Att. 1- Cover" xfId="8"/>
    <cellStyle name="?? [0]" xfId="9"/>
    <cellStyle name="?_x001d_??%U©÷u&amp;H©÷9_x0008_? s_x000a__x0007__x0001__x0001_" xfId="10"/>
    <cellStyle name="???? [0.00]_PRODUCT DETAIL Q1" xfId="11"/>
    <cellStyle name="????_PRODUCT DETAIL Q1" xfId="12"/>
    <cellStyle name="???[0]_?? DI" xfId="13"/>
    <cellStyle name="???_?? DI" xfId="14"/>
    <cellStyle name="??[0]_BRE" xfId="15"/>
    <cellStyle name="??_ Att. 1- Cover" xfId="16"/>
    <cellStyle name="??A? [0]_ÿÿÿÿÿÿ_1_¢¬???¢â? " xfId="17"/>
    <cellStyle name="??A?_ÿÿÿÿÿÿ_1_¢¬???¢â? " xfId="18"/>
    <cellStyle name="?¡±¢¥?_?¨ù??¢´¢¥_¢¬???¢â? " xfId="19"/>
    <cellStyle name="?ðÇ%U?&amp;H?_x0008_?s_x000a__x0007__x0001__x0001_" xfId="20"/>
    <cellStyle name="_Bang Chi tieu (2)" xfId="21"/>
    <cellStyle name="_BCT, TimeSheet_2306-2906" xfId="22"/>
    <cellStyle name="_BCT, TimeSheet_2306-2906_RAC Training Effort" xfId="23"/>
    <cellStyle name="_Book1" xfId="24"/>
    <cellStyle name="_HOGV_QC_Guideline_Project Reward" xfId="25"/>
    <cellStyle name="_PM- FSE" xfId="26"/>
    <cellStyle name="~1" xfId="27"/>
    <cellStyle name="¤@¯ë_¥Ø¼Ð¶i«×" xfId="28"/>
    <cellStyle name="¤d¤À¦ì[0]_¥Ø¼Ð¶i«×" xfId="29"/>
    <cellStyle name="¤d¤À¦ì_¥Ø¼Ð¶i«×" xfId="30"/>
    <cellStyle name="1" xfId="31"/>
    <cellStyle name="2" xfId="32"/>
    <cellStyle name="20% - Accent1 10" xfId="33"/>
    <cellStyle name="20% - Accent1 11" xfId="34"/>
    <cellStyle name="20% - Accent1 12" xfId="35"/>
    <cellStyle name="20% - Accent1 13" xfId="36"/>
    <cellStyle name="20% - Accent1 2" xfId="37"/>
    <cellStyle name="20% - Accent1 2 2" xfId="38"/>
    <cellStyle name="20% - Accent1 2 3" xfId="39"/>
    <cellStyle name="20% - Accent1 3" xfId="40"/>
    <cellStyle name="20% - Accent1 4" xfId="41"/>
    <cellStyle name="20% - Accent1 5" xfId="42"/>
    <cellStyle name="20% - Accent1 6" xfId="43"/>
    <cellStyle name="20% - Accent1 7" xfId="44"/>
    <cellStyle name="20% - Accent1 8" xfId="45"/>
    <cellStyle name="20% - Accent1 9" xfId="46"/>
    <cellStyle name="20% - Accent2 10" xfId="47"/>
    <cellStyle name="20% - Accent2 11" xfId="48"/>
    <cellStyle name="20% - Accent2 12" xfId="49"/>
    <cellStyle name="20% - Accent2 13" xfId="50"/>
    <cellStyle name="20% - Accent2 2" xfId="51"/>
    <cellStyle name="20% - Accent2 2 2" xfId="52"/>
    <cellStyle name="20% - Accent2 2 3" xfId="53"/>
    <cellStyle name="20% - Accent2 3" xfId="54"/>
    <cellStyle name="20% - Accent2 4" xfId="55"/>
    <cellStyle name="20% - Accent2 5" xfId="56"/>
    <cellStyle name="20% - Accent2 6" xfId="57"/>
    <cellStyle name="20% - Accent2 7" xfId="58"/>
    <cellStyle name="20% - Accent2 8" xfId="59"/>
    <cellStyle name="20% - Accent2 9" xfId="60"/>
    <cellStyle name="20% - Accent3 10" xfId="61"/>
    <cellStyle name="20% - Accent3 11" xfId="62"/>
    <cellStyle name="20% - Accent3 12" xfId="63"/>
    <cellStyle name="20% - Accent3 13" xfId="64"/>
    <cellStyle name="20% - Accent3 2" xfId="65"/>
    <cellStyle name="20% - Accent3 2 2" xfId="66"/>
    <cellStyle name="20% - Accent3 2 3" xfId="67"/>
    <cellStyle name="20% - Accent3 3" xfId="68"/>
    <cellStyle name="20% - Accent3 4" xfId="69"/>
    <cellStyle name="20% - Accent3 5" xfId="70"/>
    <cellStyle name="20% - Accent3 6" xfId="71"/>
    <cellStyle name="20% - Accent3 7" xfId="72"/>
    <cellStyle name="20% - Accent3 8" xfId="73"/>
    <cellStyle name="20% - Accent3 9" xfId="74"/>
    <cellStyle name="20% - Accent4 10" xfId="75"/>
    <cellStyle name="20% - Accent4 11" xfId="76"/>
    <cellStyle name="20% - Accent4 12" xfId="77"/>
    <cellStyle name="20% - Accent4 13" xfId="78"/>
    <cellStyle name="20% - Accent4 2" xfId="79"/>
    <cellStyle name="20% - Accent4 2 2" xfId="80"/>
    <cellStyle name="20% - Accent4 2 3" xfId="81"/>
    <cellStyle name="20% - Accent4 3" xfId="82"/>
    <cellStyle name="20% - Accent4 4" xfId="83"/>
    <cellStyle name="20% - Accent4 5" xfId="84"/>
    <cellStyle name="20% - Accent4 6" xfId="85"/>
    <cellStyle name="20% - Accent4 7" xfId="86"/>
    <cellStyle name="20% - Accent4 8" xfId="87"/>
    <cellStyle name="20% - Accent4 9" xfId="88"/>
    <cellStyle name="20% - Accent5 10" xfId="89"/>
    <cellStyle name="20% - Accent5 11" xfId="90"/>
    <cellStyle name="20% - Accent5 12" xfId="91"/>
    <cellStyle name="20% - Accent5 13" xfId="92"/>
    <cellStyle name="20% - Accent5 2" xfId="93"/>
    <cellStyle name="20% - Accent5 2 2" xfId="94"/>
    <cellStyle name="20% - Accent5 2 3"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10" xfId="103"/>
    <cellStyle name="20% - Accent6 11" xfId="104"/>
    <cellStyle name="20% - Accent6 12" xfId="105"/>
    <cellStyle name="20% - Accent6 13" xfId="106"/>
    <cellStyle name="20% - Accent6 2" xfId="107"/>
    <cellStyle name="20% - Accent6 2 2" xfId="108"/>
    <cellStyle name="20% - Accent6 2 3" xfId="109"/>
    <cellStyle name="20% - Accent6 3" xfId="110"/>
    <cellStyle name="20% - Accent6 4" xfId="111"/>
    <cellStyle name="20% - Accent6 5" xfId="112"/>
    <cellStyle name="20% - Accent6 6" xfId="113"/>
    <cellStyle name="20% - Accent6 7" xfId="114"/>
    <cellStyle name="20% - Accent6 8" xfId="115"/>
    <cellStyle name="20% - Accent6 9" xfId="116"/>
    <cellStyle name="20% - アクセント 1" xfId="117"/>
    <cellStyle name="20% - アクセント 1 10" xfId="118"/>
    <cellStyle name="20% - アクセント 1 11" xfId="119"/>
    <cellStyle name="20% - アクセント 1 12" xfId="120"/>
    <cellStyle name="20% - アクセント 1 13" xfId="121"/>
    <cellStyle name="20% - アクセント 1 2" xfId="122"/>
    <cellStyle name="20% - アクセント 1 3" xfId="123"/>
    <cellStyle name="20% - アクセント 1 4" xfId="124"/>
    <cellStyle name="20% - アクセント 1 5" xfId="125"/>
    <cellStyle name="20% - アクセント 1 6" xfId="126"/>
    <cellStyle name="20% - アクセント 1 7" xfId="127"/>
    <cellStyle name="20% - アクセント 1 8" xfId="128"/>
    <cellStyle name="20% - アクセント 1 9" xfId="129"/>
    <cellStyle name="20% - アクセント 2" xfId="130"/>
    <cellStyle name="20% - アクセント 2 10" xfId="131"/>
    <cellStyle name="20% - アクセント 2 11" xfId="132"/>
    <cellStyle name="20% - アクセント 2 12" xfId="133"/>
    <cellStyle name="20% - アクセント 2 13" xfId="134"/>
    <cellStyle name="20% - アクセント 2 2" xfId="135"/>
    <cellStyle name="20% - アクセント 2 3" xfId="136"/>
    <cellStyle name="20% - アクセント 2 4" xfId="137"/>
    <cellStyle name="20% - アクセント 2 5" xfId="138"/>
    <cellStyle name="20% - アクセント 2 6" xfId="139"/>
    <cellStyle name="20% - アクセント 2 7" xfId="140"/>
    <cellStyle name="20% - アクセント 2 8" xfId="141"/>
    <cellStyle name="20% - アクセント 2 9" xfId="142"/>
    <cellStyle name="20% - アクセント 3" xfId="143"/>
    <cellStyle name="20% - アクセント 3 10" xfId="144"/>
    <cellStyle name="20% - アクセント 3 11" xfId="145"/>
    <cellStyle name="20% - アクセント 3 12" xfId="146"/>
    <cellStyle name="20% - アクセント 3 13" xfId="147"/>
    <cellStyle name="20% - アクセント 3 2" xfId="148"/>
    <cellStyle name="20% - アクセント 3 3" xfId="149"/>
    <cellStyle name="20% - アクセント 3 4" xfId="150"/>
    <cellStyle name="20% - アクセント 3 5" xfId="151"/>
    <cellStyle name="20% - アクセント 3 6" xfId="152"/>
    <cellStyle name="20% - アクセント 3 7" xfId="153"/>
    <cellStyle name="20% - アクセント 3 8" xfId="154"/>
    <cellStyle name="20% - アクセント 3 9" xfId="155"/>
    <cellStyle name="20% - アクセント 4" xfId="156"/>
    <cellStyle name="20% - アクセント 4 10" xfId="157"/>
    <cellStyle name="20% - アクセント 4 11" xfId="158"/>
    <cellStyle name="20% - アクセント 4 12" xfId="159"/>
    <cellStyle name="20% - アクセント 4 13" xfId="160"/>
    <cellStyle name="20% - アクセント 4 2" xfId="161"/>
    <cellStyle name="20% - アクセント 4 3" xfId="162"/>
    <cellStyle name="20% - アクセント 4 4" xfId="163"/>
    <cellStyle name="20% - アクセント 4 5" xfId="164"/>
    <cellStyle name="20% - アクセント 4 6" xfId="165"/>
    <cellStyle name="20% - アクセント 4 7" xfId="166"/>
    <cellStyle name="20% - アクセント 4 8" xfId="167"/>
    <cellStyle name="20% - アクセント 4 9" xfId="168"/>
    <cellStyle name="20% - アクセント 5" xfId="169"/>
    <cellStyle name="20% - アクセント 5 10" xfId="170"/>
    <cellStyle name="20% - アクセント 5 11" xfId="171"/>
    <cellStyle name="20% - アクセント 5 12" xfId="172"/>
    <cellStyle name="20% - アクセント 5 13" xfId="173"/>
    <cellStyle name="20% - アクセント 5 2" xfId="174"/>
    <cellStyle name="20% - アクセント 5 3" xfId="175"/>
    <cellStyle name="20% - アクセント 5 4" xfId="176"/>
    <cellStyle name="20% - アクセント 5 5" xfId="177"/>
    <cellStyle name="20% - アクセント 5 6" xfId="178"/>
    <cellStyle name="20% - アクセント 5 7" xfId="179"/>
    <cellStyle name="20% - アクセント 5 8" xfId="180"/>
    <cellStyle name="20% - アクセント 5 9" xfId="181"/>
    <cellStyle name="20% - アクセント 6" xfId="182"/>
    <cellStyle name="20% - アクセント 6 10" xfId="183"/>
    <cellStyle name="20% - アクセント 6 11" xfId="184"/>
    <cellStyle name="20% - アクセント 6 12" xfId="185"/>
    <cellStyle name="20% - アクセント 6 13" xfId="186"/>
    <cellStyle name="20% - アクセント 6 2" xfId="187"/>
    <cellStyle name="20% - アクセント 6 3" xfId="188"/>
    <cellStyle name="20% - アクセント 6 4" xfId="189"/>
    <cellStyle name="20% - アクセント 6 5" xfId="190"/>
    <cellStyle name="20% - アクセント 6 6" xfId="191"/>
    <cellStyle name="20% - アクセント 6 7" xfId="192"/>
    <cellStyle name="20% - アクセント 6 8" xfId="193"/>
    <cellStyle name="20% - アクセント 6 9" xfId="194"/>
    <cellStyle name="3" xfId="195"/>
    <cellStyle name="³f¹ô [0]_¥Ø¼Ð¶i«×" xfId="196"/>
    <cellStyle name="³f¹ô[0]_1-99" xfId="197"/>
    <cellStyle name="³f¹ô_¥Ø¼Ð¶i«×" xfId="198"/>
    <cellStyle name="4" xfId="199"/>
    <cellStyle name="40% - Accent1 10" xfId="200"/>
    <cellStyle name="40% - Accent1 11" xfId="201"/>
    <cellStyle name="40% - Accent1 12" xfId="202"/>
    <cellStyle name="40% - Accent1 13" xfId="203"/>
    <cellStyle name="40% - Accent1 2" xfId="204"/>
    <cellStyle name="40% - Accent1 2 2" xfId="205"/>
    <cellStyle name="40% - Accent1 2 3" xfId="206"/>
    <cellStyle name="40% - Accent1 3" xfId="207"/>
    <cellStyle name="40% - Accent1 4" xfId="208"/>
    <cellStyle name="40% - Accent1 5" xfId="209"/>
    <cellStyle name="40% - Accent1 6" xfId="210"/>
    <cellStyle name="40% - Accent1 7" xfId="211"/>
    <cellStyle name="40% - Accent1 8" xfId="212"/>
    <cellStyle name="40% - Accent1 9" xfId="213"/>
    <cellStyle name="40% - Accent2 10" xfId="214"/>
    <cellStyle name="40% - Accent2 11" xfId="215"/>
    <cellStyle name="40% - Accent2 12" xfId="216"/>
    <cellStyle name="40% - Accent2 13" xfId="217"/>
    <cellStyle name="40% - Accent2 2" xfId="218"/>
    <cellStyle name="40% - Accent2 2 2" xfId="219"/>
    <cellStyle name="40% - Accent2 2 3" xfId="220"/>
    <cellStyle name="40% - Accent2 3" xfId="221"/>
    <cellStyle name="40% - Accent2 4" xfId="222"/>
    <cellStyle name="40% - Accent2 5" xfId="223"/>
    <cellStyle name="40% - Accent2 6" xfId="224"/>
    <cellStyle name="40% - Accent2 7" xfId="225"/>
    <cellStyle name="40% - Accent2 8" xfId="226"/>
    <cellStyle name="40% - Accent2 9" xfId="227"/>
    <cellStyle name="40% - Accent3 10" xfId="228"/>
    <cellStyle name="40% - Accent3 11" xfId="229"/>
    <cellStyle name="40% - Accent3 12" xfId="230"/>
    <cellStyle name="40% - Accent3 13" xfId="231"/>
    <cellStyle name="40% - Accent3 2" xfId="232"/>
    <cellStyle name="40% - Accent3 2 2" xfId="233"/>
    <cellStyle name="40% - Accent3 2 3" xfId="234"/>
    <cellStyle name="40% - Accent3 3" xfId="235"/>
    <cellStyle name="40% - Accent3 4" xfId="236"/>
    <cellStyle name="40% - Accent3 5" xfId="237"/>
    <cellStyle name="40% - Accent3 6" xfId="238"/>
    <cellStyle name="40% - Accent3 7" xfId="239"/>
    <cellStyle name="40% - Accent3 8" xfId="240"/>
    <cellStyle name="40% - Accent3 9" xfId="241"/>
    <cellStyle name="40% - Accent4 10" xfId="242"/>
    <cellStyle name="40% - Accent4 11" xfId="243"/>
    <cellStyle name="40% - Accent4 12" xfId="244"/>
    <cellStyle name="40% - Accent4 13" xfId="245"/>
    <cellStyle name="40% - Accent4 2" xfId="246"/>
    <cellStyle name="40% - Accent4 2 2" xfId="247"/>
    <cellStyle name="40% - Accent4 2 3" xfId="248"/>
    <cellStyle name="40% - Accent4 3" xfId="249"/>
    <cellStyle name="40% - Accent4 4" xfId="250"/>
    <cellStyle name="40% - Accent4 5" xfId="251"/>
    <cellStyle name="40% - Accent4 6" xfId="252"/>
    <cellStyle name="40% - Accent4 7" xfId="253"/>
    <cellStyle name="40% - Accent4 8" xfId="254"/>
    <cellStyle name="40% - Accent4 9" xfId="255"/>
    <cellStyle name="40% - Accent5 10" xfId="256"/>
    <cellStyle name="40% - Accent5 11" xfId="257"/>
    <cellStyle name="40% - Accent5 12" xfId="258"/>
    <cellStyle name="40% - Accent5 13" xfId="259"/>
    <cellStyle name="40% - Accent5 2" xfId="260"/>
    <cellStyle name="40% - Accent5 2 2" xfId="261"/>
    <cellStyle name="40% - Accent5 2 3" xfId="262"/>
    <cellStyle name="40% - Accent5 3" xfId="263"/>
    <cellStyle name="40% - Accent5 4" xfId="264"/>
    <cellStyle name="40% - Accent5 5" xfId="265"/>
    <cellStyle name="40% - Accent5 6" xfId="266"/>
    <cellStyle name="40% - Accent5 7" xfId="267"/>
    <cellStyle name="40% - Accent5 8" xfId="268"/>
    <cellStyle name="40% - Accent5 9" xfId="269"/>
    <cellStyle name="40% - Accent6 10" xfId="270"/>
    <cellStyle name="40% - Accent6 11" xfId="271"/>
    <cellStyle name="40% - Accent6 12" xfId="272"/>
    <cellStyle name="40% - Accent6 13" xfId="273"/>
    <cellStyle name="40% - Accent6 2" xfId="274"/>
    <cellStyle name="40% - Accent6 2 2" xfId="275"/>
    <cellStyle name="40% - Accent6 2 3" xfId="276"/>
    <cellStyle name="40% - Accent6 3" xfId="277"/>
    <cellStyle name="40% - Accent6 4" xfId="278"/>
    <cellStyle name="40% - Accent6 5" xfId="279"/>
    <cellStyle name="40% - Accent6 6" xfId="280"/>
    <cellStyle name="40% - Accent6 7" xfId="281"/>
    <cellStyle name="40% - Accent6 8" xfId="282"/>
    <cellStyle name="40% - Accent6 9" xfId="283"/>
    <cellStyle name="40% - アクセント 1" xfId="284"/>
    <cellStyle name="40% - アクセント 1 10" xfId="285"/>
    <cellStyle name="40% - アクセント 1 11" xfId="286"/>
    <cellStyle name="40% - アクセント 1 12" xfId="287"/>
    <cellStyle name="40% - アクセント 1 13" xfId="288"/>
    <cellStyle name="40% - アクセント 1 2" xfId="289"/>
    <cellStyle name="40% - アクセント 1 3" xfId="290"/>
    <cellStyle name="40% - アクセント 1 4" xfId="291"/>
    <cellStyle name="40% - アクセント 1 5" xfId="292"/>
    <cellStyle name="40% - アクセント 1 6" xfId="293"/>
    <cellStyle name="40% - アクセント 1 7" xfId="294"/>
    <cellStyle name="40% - アクセント 1 8" xfId="295"/>
    <cellStyle name="40% - アクセント 1 9" xfId="296"/>
    <cellStyle name="40% - アクセント 2" xfId="297"/>
    <cellStyle name="40% - アクセント 2 10" xfId="298"/>
    <cellStyle name="40% - アクセント 2 11" xfId="299"/>
    <cellStyle name="40% - アクセント 2 12" xfId="300"/>
    <cellStyle name="40% - アクセント 2 13" xfId="301"/>
    <cellStyle name="40% - アクセント 2 2" xfId="302"/>
    <cellStyle name="40% - アクセント 2 3" xfId="303"/>
    <cellStyle name="40% - アクセント 2 4" xfId="304"/>
    <cellStyle name="40% - アクセント 2 5" xfId="305"/>
    <cellStyle name="40% - アクセント 2 6" xfId="306"/>
    <cellStyle name="40% - アクセント 2 7" xfId="307"/>
    <cellStyle name="40% - アクセント 2 8" xfId="308"/>
    <cellStyle name="40% - アクセント 2 9" xfId="309"/>
    <cellStyle name="40% - アクセント 3" xfId="310"/>
    <cellStyle name="40% - アクセント 3 10" xfId="311"/>
    <cellStyle name="40% - アクセント 3 11" xfId="312"/>
    <cellStyle name="40% - アクセント 3 12" xfId="313"/>
    <cellStyle name="40% - アクセント 3 13" xfId="314"/>
    <cellStyle name="40% - アクセント 3 2" xfId="315"/>
    <cellStyle name="40% - アクセント 3 3" xfId="316"/>
    <cellStyle name="40% - アクセント 3 4" xfId="317"/>
    <cellStyle name="40% - アクセント 3 5" xfId="318"/>
    <cellStyle name="40% - アクセント 3 6" xfId="319"/>
    <cellStyle name="40% - アクセント 3 7" xfId="320"/>
    <cellStyle name="40% - アクセント 3 8" xfId="321"/>
    <cellStyle name="40% - アクセント 3 9" xfId="322"/>
    <cellStyle name="40% - アクセント 4" xfId="323"/>
    <cellStyle name="40% - アクセント 4 10" xfId="324"/>
    <cellStyle name="40% - アクセント 4 11" xfId="325"/>
    <cellStyle name="40% - アクセント 4 12" xfId="326"/>
    <cellStyle name="40% - アクセント 4 13" xfId="327"/>
    <cellStyle name="40% - アクセント 4 2" xfId="328"/>
    <cellStyle name="40% - アクセント 4 3" xfId="329"/>
    <cellStyle name="40% - アクセント 4 4" xfId="330"/>
    <cellStyle name="40% - アクセント 4 5" xfId="331"/>
    <cellStyle name="40% - アクセント 4 6" xfId="332"/>
    <cellStyle name="40% - アクセント 4 7" xfId="333"/>
    <cellStyle name="40% - アクセント 4 8" xfId="334"/>
    <cellStyle name="40% - アクセント 4 9" xfId="335"/>
    <cellStyle name="40% - アクセント 5" xfId="336"/>
    <cellStyle name="40% - アクセント 5 10" xfId="337"/>
    <cellStyle name="40% - アクセント 5 11" xfId="338"/>
    <cellStyle name="40% - アクセント 5 12" xfId="339"/>
    <cellStyle name="40% - アクセント 5 13" xfId="340"/>
    <cellStyle name="40% - アクセント 5 2" xfId="341"/>
    <cellStyle name="40% - アクセント 5 3" xfId="342"/>
    <cellStyle name="40% - アクセント 5 4" xfId="343"/>
    <cellStyle name="40% - アクセント 5 5" xfId="344"/>
    <cellStyle name="40% - アクセント 5 6" xfId="345"/>
    <cellStyle name="40% - アクセント 5 7" xfId="346"/>
    <cellStyle name="40% - アクセント 5 8" xfId="347"/>
    <cellStyle name="40% - アクセント 5 9" xfId="348"/>
    <cellStyle name="40% - アクセント 6" xfId="349"/>
    <cellStyle name="40% - アクセント 6 10" xfId="350"/>
    <cellStyle name="40% - アクセント 6 11" xfId="351"/>
    <cellStyle name="40% - アクセント 6 12" xfId="352"/>
    <cellStyle name="40% - アクセント 6 13" xfId="353"/>
    <cellStyle name="40% - アクセント 6 2" xfId="354"/>
    <cellStyle name="40% - アクセント 6 3" xfId="355"/>
    <cellStyle name="40% - アクセント 6 4" xfId="356"/>
    <cellStyle name="40% - アクセント 6 5" xfId="357"/>
    <cellStyle name="40% - アクセント 6 6" xfId="358"/>
    <cellStyle name="40% - アクセント 6 7" xfId="359"/>
    <cellStyle name="40% - アクセント 6 8" xfId="360"/>
    <cellStyle name="40% - アクセント 6 9" xfId="361"/>
    <cellStyle name="60% - Accent1 10" xfId="362"/>
    <cellStyle name="60% - Accent1 11" xfId="363"/>
    <cellStyle name="60% - Accent1 12" xfId="364"/>
    <cellStyle name="60% - Accent1 13" xfId="365"/>
    <cellStyle name="60% - Accent1 2" xfId="366"/>
    <cellStyle name="60% - Accent1 2 2" xfId="367"/>
    <cellStyle name="60% - Accent1 2 3" xfId="368"/>
    <cellStyle name="60% - Accent1 3" xfId="369"/>
    <cellStyle name="60% - Accent1 4" xfId="370"/>
    <cellStyle name="60% - Accent1 5" xfId="371"/>
    <cellStyle name="60% - Accent1 6" xfId="372"/>
    <cellStyle name="60% - Accent1 7" xfId="373"/>
    <cellStyle name="60% - Accent1 8" xfId="374"/>
    <cellStyle name="60% - Accent1 9" xfId="375"/>
    <cellStyle name="60% - Accent2 10" xfId="376"/>
    <cellStyle name="60% - Accent2 11" xfId="377"/>
    <cellStyle name="60% - Accent2 12" xfId="378"/>
    <cellStyle name="60% - Accent2 13" xfId="379"/>
    <cellStyle name="60% - Accent2 2" xfId="380"/>
    <cellStyle name="60% - Accent2 2 2" xfId="381"/>
    <cellStyle name="60% - Accent2 2 3" xfId="382"/>
    <cellStyle name="60% - Accent2 3" xfId="383"/>
    <cellStyle name="60% - Accent2 4" xfId="384"/>
    <cellStyle name="60% - Accent2 5" xfId="385"/>
    <cellStyle name="60% - Accent2 6" xfId="386"/>
    <cellStyle name="60% - Accent2 7" xfId="387"/>
    <cellStyle name="60% - Accent2 8" xfId="388"/>
    <cellStyle name="60% - Accent2 9" xfId="389"/>
    <cellStyle name="60% - Accent3 10" xfId="390"/>
    <cellStyle name="60% - Accent3 11" xfId="391"/>
    <cellStyle name="60% - Accent3 12" xfId="392"/>
    <cellStyle name="60% - Accent3 13" xfId="393"/>
    <cellStyle name="60% - Accent3 2" xfId="394"/>
    <cellStyle name="60% - Accent3 2 2" xfId="395"/>
    <cellStyle name="60% - Accent3 2 3" xfId="396"/>
    <cellStyle name="60% - Accent3 3" xfId="397"/>
    <cellStyle name="60% - Accent3 4" xfId="398"/>
    <cellStyle name="60% - Accent3 5" xfId="399"/>
    <cellStyle name="60% - Accent3 6" xfId="400"/>
    <cellStyle name="60% - Accent3 7" xfId="401"/>
    <cellStyle name="60% - Accent3 8" xfId="402"/>
    <cellStyle name="60% - Accent3 9" xfId="403"/>
    <cellStyle name="60% - Accent4 10" xfId="404"/>
    <cellStyle name="60% - Accent4 11" xfId="405"/>
    <cellStyle name="60% - Accent4 12" xfId="406"/>
    <cellStyle name="60% - Accent4 13" xfId="407"/>
    <cellStyle name="60% - Accent4 2" xfId="408"/>
    <cellStyle name="60% - Accent4 2 2" xfId="409"/>
    <cellStyle name="60% - Accent4 2 3" xfId="410"/>
    <cellStyle name="60% - Accent4 3" xfId="411"/>
    <cellStyle name="60% - Accent4 4" xfId="412"/>
    <cellStyle name="60% - Accent4 5" xfId="413"/>
    <cellStyle name="60% - Accent4 6" xfId="414"/>
    <cellStyle name="60% - Accent4 7" xfId="415"/>
    <cellStyle name="60% - Accent4 8" xfId="416"/>
    <cellStyle name="60% - Accent4 9" xfId="417"/>
    <cellStyle name="60% - Accent5 10" xfId="418"/>
    <cellStyle name="60% - Accent5 11" xfId="419"/>
    <cellStyle name="60% - Accent5 12" xfId="420"/>
    <cellStyle name="60% - Accent5 13" xfId="421"/>
    <cellStyle name="60% - Accent5 2" xfId="422"/>
    <cellStyle name="60% - Accent5 2 2" xfId="423"/>
    <cellStyle name="60% - Accent5 2 3" xfId="424"/>
    <cellStyle name="60% - Accent5 3" xfId="425"/>
    <cellStyle name="60% - Accent5 4" xfId="426"/>
    <cellStyle name="60% - Accent5 5" xfId="427"/>
    <cellStyle name="60% - Accent5 6" xfId="428"/>
    <cellStyle name="60% - Accent5 7" xfId="429"/>
    <cellStyle name="60% - Accent5 8" xfId="430"/>
    <cellStyle name="60% - Accent5 9" xfId="431"/>
    <cellStyle name="60% - Accent6 10" xfId="432"/>
    <cellStyle name="60% - Accent6 11" xfId="433"/>
    <cellStyle name="60% - Accent6 12" xfId="434"/>
    <cellStyle name="60% - Accent6 13" xfId="435"/>
    <cellStyle name="60% - Accent6 2" xfId="436"/>
    <cellStyle name="60% - Accent6 2 2" xfId="437"/>
    <cellStyle name="60% - Accent6 2 3" xfId="438"/>
    <cellStyle name="60% - Accent6 3" xfId="439"/>
    <cellStyle name="60% - Accent6 4" xfId="440"/>
    <cellStyle name="60% - Accent6 5" xfId="441"/>
    <cellStyle name="60% - Accent6 6" xfId="442"/>
    <cellStyle name="60% - Accent6 7" xfId="443"/>
    <cellStyle name="60% - Accent6 8" xfId="444"/>
    <cellStyle name="60% - Accent6 9" xfId="445"/>
    <cellStyle name="60% - アクセント 1" xfId="446"/>
    <cellStyle name="60% - アクセント 1 10" xfId="447"/>
    <cellStyle name="60% - アクセント 1 11" xfId="448"/>
    <cellStyle name="60% - アクセント 1 12" xfId="449"/>
    <cellStyle name="60% - アクセント 1 13" xfId="450"/>
    <cellStyle name="60% - アクセント 1 2" xfId="451"/>
    <cellStyle name="60% - アクセント 1 3" xfId="452"/>
    <cellStyle name="60% - アクセント 1 4" xfId="453"/>
    <cellStyle name="60% - アクセント 1 5" xfId="454"/>
    <cellStyle name="60% - アクセント 1 6" xfId="455"/>
    <cellStyle name="60% - アクセント 1 7" xfId="456"/>
    <cellStyle name="60% - アクセント 1 8" xfId="457"/>
    <cellStyle name="60% - アクセント 1 9" xfId="458"/>
    <cellStyle name="60% - アクセント 2" xfId="459"/>
    <cellStyle name="60% - アクセント 2 10" xfId="460"/>
    <cellStyle name="60% - アクセント 2 11" xfId="461"/>
    <cellStyle name="60% - アクセント 2 12" xfId="462"/>
    <cellStyle name="60% - アクセント 2 13" xfId="463"/>
    <cellStyle name="60% - アクセント 2 2" xfId="464"/>
    <cellStyle name="60% - アクセント 2 3" xfId="465"/>
    <cellStyle name="60% - アクセント 2 4" xfId="466"/>
    <cellStyle name="60% - アクセント 2 5" xfId="467"/>
    <cellStyle name="60% - アクセント 2 6" xfId="468"/>
    <cellStyle name="60% - アクセント 2 7" xfId="469"/>
    <cellStyle name="60% - アクセント 2 8" xfId="470"/>
    <cellStyle name="60% - アクセント 2 9" xfId="471"/>
    <cellStyle name="60% - アクセント 3" xfId="472"/>
    <cellStyle name="60% - アクセント 3 10" xfId="473"/>
    <cellStyle name="60% - アクセント 3 11" xfId="474"/>
    <cellStyle name="60% - アクセント 3 12" xfId="475"/>
    <cellStyle name="60% - アクセント 3 13" xfId="476"/>
    <cellStyle name="60% - アクセント 3 2" xfId="477"/>
    <cellStyle name="60% - アクセント 3 3" xfId="478"/>
    <cellStyle name="60% - アクセント 3 4" xfId="479"/>
    <cellStyle name="60% - アクセント 3 5" xfId="480"/>
    <cellStyle name="60% - アクセント 3 6" xfId="481"/>
    <cellStyle name="60% - アクセント 3 7" xfId="482"/>
    <cellStyle name="60% - アクセント 3 8" xfId="483"/>
    <cellStyle name="60% - アクセント 3 9" xfId="484"/>
    <cellStyle name="60% - アクセント 4" xfId="485"/>
    <cellStyle name="60% - アクセント 4 10" xfId="486"/>
    <cellStyle name="60% - アクセント 4 11" xfId="487"/>
    <cellStyle name="60% - アクセント 4 12" xfId="488"/>
    <cellStyle name="60% - アクセント 4 13" xfId="489"/>
    <cellStyle name="60% - アクセント 4 2" xfId="490"/>
    <cellStyle name="60% - アクセント 4 3" xfId="491"/>
    <cellStyle name="60% - アクセント 4 4" xfId="492"/>
    <cellStyle name="60% - アクセント 4 5" xfId="493"/>
    <cellStyle name="60% - アクセント 4 6" xfId="494"/>
    <cellStyle name="60% - アクセント 4 7" xfId="495"/>
    <cellStyle name="60% - アクセント 4 8" xfId="496"/>
    <cellStyle name="60% - アクセント 4 9" xfId="497"/>
    <cellStyle name="60% - アクセント 5" xfId="498"/>
    <cellStyle name="60% - アクセント 5 10" xfId="499"/>
    <cellStyle name="60% - アクセント 5 11" xfId="500"/>
    <cellStyle name="60% - アクセント 5 12" xfId="501"/>
    <cellStyle name="60% - アクセント 5 13" xfId="502"/>
    <cellStyle name="60% - アクセント 5 2" xfId="503"/>
    <cellStyle name="60% - アクセント 5 3" xfId="504"/>
    <cellStyle name="60% - アクセント 5 4" xfId="505"/>
    <cellStyle name="60% - アクセント 5 5" xfId="506"/>
    <cellStyle name="60% - アクセント 5 6" xfId="507"/>
    <cellStyle name="60% - アクセント 5 7" xfId="508"/>
    <cellStyle name="60% - アクセント 5 8" xfId="509"/>
    <cellStyle name="60% - アクセント 5 9" xfId="510"/>
    <cellStyle name="60% - アクセント 6" xfId="511"/>
    <cellStyle name="60% - アクセント 6 10" xfId="512"/>
    <cellStyle name="60% - アクセント 6 11" xfId="513"/>
    <cellStyle name="60% - アクセント 6 12" xfId="514"/>
    <cellStyle name="60% - アクセント 6 13" xfId="515"/>
    <cellStyle name="60% - アクセント 6 2" xfId="516"/>
    <cellStyle name="60% - アクセント 6 3" xfId="517"/>
    <cellStyle name="60% - アクセント 6 4" xfId="518"/>
    <cellStyle name="60% - アクセント 6 5" xfId="519"/>
    <cellStyle name="60% - アクセント 6 6" xfId="520"/>
    <cellStyle name="60% - アクセント 6 7" xfId="521"/>
    <cellStyle name="60% - アクセント 6 8" xfId="522"/>
    <cellStyle name="60% - アクセント 6 9" xfId="523"/>
    <cellStyle name="Accent1 10" xfId="524"/>
    <cellStyle name="Accent1 11" xfId="525"/>
    <cellStyle name="Accent1 12" xfId="526"/>
    <cellStyle name="Accent1 13" xfId="527"/>
    <cellStyle name="Accent1 2" xfId="528"/>
    <cellStyle name="Accent1 2 2" xfId="529"/>
    <cellStyle name="Accent1 2 3" xfId="530"/>
    <cellStyle name="Accent1 3" xfId="531"/>
    <cellStyle name="Accent1 4" xfId="532"/>
    <cellStyle name="Accent1 5" xfId="533"/>
    <cellStyle name="Accent1 6" xfId="534"/>
    <cellStyle name="Accent1 7" xfId="535"/>
    <cellStyle name="Accent1 8" xfId="536"/>
    <cellStyle name="Accent1 9" xfId="537"/>
    <cellStyle name="Accent2 10" xfId="538"/>
    <cellStyle name="Accent2 11" xfId="539"/>
    <cellStyle name="Accent2 12" xfId="540"/>
    <cellStyle name="Accent2 13" xfId="541"/>
    <cellStyle name="Accent2 2" xfId="542"/>
    <cellStyle name="Accent2 2 2" xfId="543"/>
    <cellStyle name="Accent2 2 3" xfId="544"/>
    <cellStyle name="Accent2 3" xfId="545"/>
    <cellStyle name="Accent2 4" xfId="546"/>
    <cellStyle name="Accent2 5" xfId="547"/>
    <cellStyle name="Accent2 6" xfId="548"/>
    <cellStyle name="Accent2 7" xfId="549"/>
    <cellStyle name="Accent2 8" xfId="550"/>
    <cellStyle name="Accent2 9" xfId="551"/>
    <cellStyle name="Accent3 10" xfId="552"/>
    <cellStyle name="Accent3 11" xfId="553"/>
    <cellStyle name="Accent3 12" xfId="554"/>
    <cellStyle name="Accent3 13" xfId="555"/>
    <cellStyle name="Accent3 2" xfId="556"/>
    <cellStyle name="Accent3 2 2" xfId="557"/>
    <cellStyle name="Accent3 2 3" xfId="558"/>
    <cellStyle name="Accent3 3" xfId="559"/>
    <cellStyle name="Accent3 4" xfId="560"/>
    <cellStyle name="Accent3 5" xfId="561"/>
    <cellStyle name="Accent3 6" xfId="562"/>
    <cellStyle name="Accent3 7" xfId="563"/>
    <cellStyle name="Accent3 8" xfId="564"/>
    <cellStyle name="Accent3 9" xfId="565"/>
    <cellStyle name="Accent4 10" xfId="566"/>
    <cellStyle name="Accent4 11" xfId="567"/>
    <cellStyle name="Accent4 12" xfId="568"/>
    <cellStyle name="Accent4 13" xfId="569"/>
    <cellStyle name="Accent4 2" xfId="570"/>
    <cellStyle name="Accent4 2 2" xfId="571"/>
    <cellStyle name="Accent4 2 3" xfId="572"/>
    <cellStyle name="Accent4 3" xfId="573"/>
    <cellStyle name="Accent4 4" xfId="574"/>
    <cellStyle name="Accent4 5" xfId="575"/>
    <cellStyle name="Accent4 6" xfId="576"/>
    <cellStyle name="Accent4 7" xfId="577"/>
    <cellStyle name="Accent4 8" xfId="578"/>
    <cellStyle name="Accent4 9" xfId="579"/>
    <cellStyle name="Accent5 10" xfId="580"/>
    <cellStyle name="Accent5 11" xfId="581"/>
    <cellStyle name="Accent5 12" xfId="582"/>
    <cellStyle name="Accent5 13" xfId="583"/>
    <cellStyle name="Accent5 2" xfId="584"/>
    <cellStyle name="Accent5 2 2" xfId="585"/>
    <cellStyle name="Accent5 2 3" xfId="586"/>
    <cellStyle name="Accent5 3" xfId="587"/>
    <cellStyle name="Accent5 4" xfId="588"/>
    <cellStyle name="Accent5 5" xfId="589"/>
    <cellStyle name="Accent5 6" xfId="590"/>
    <cellStyle name="Accent5 7" xfId="591"/>
    <cellStyle name="Accent5 8" xfId="592"/>
    <cellStyle name="Accent5 9" xfId="593"/>
    <cellStyle name="Accent6 10" xfId="594"/>
    <cellStyle name="Accent6 11" xfId="595"/>
    <cellStyle name="Accent6 12" xfId="596"/>
    <cellStyle name="Accent6 13" xfId="597"/>
    <cellStyle name="Accent6 2" xfId="598"/>
    <cellStyle name="Accent6 2 2" xfId="599"/>
    <cellStyle name="Accent6 2 3" xfId="600"/>
    <cellStyle name="Accent6 3" xfId="601"/>
    <cellStyle name="Accent6 4" xfId="602"/>
    <cellStyle name="Accent6 5" xfId="603"/>
    <cellStyle name="Accent6 6" xfId="604"/>
    <cellStyle name="Accent6 7" xfId="605"/>
    <cellStyle name="Accent6 8" xfId="606"/>
    <cellStyle name="Accent6 9" xfId="607"/>
    <cellStyle name="ÅëÈ­ [0]_¿ì¹°Åë" xfId="608"/>
    <cellStyle name="AeE­ [0]_INQUIRY ¿?¾÷AßAø " xfId="609"/>
    <cellStyle name="ÅëÈ­ [0]_laroux" xfId="610"/>
    <cellStyle name="ÅëÈ­_¿ì¹°Åë" xfId="611"/>
    <cellStyle name="AeE­_INQUIRY ¿?¾÷AßAø " xfId="612"/>
    <cellStyle name="ÅëÈ­_laroux" xfId="613"/>
    <cellStyle name="ÄÞ¸¶ [0]_¿ì¹°Åë" xfId="614"/>
    <cellStyle name="AÞ¸¶ [0]_INQUIRY ¿?¾÷AßAø " xfId="615"/>
    <cellStyle name="ÄÞ¸¶ [0]_laroux" xfId="616"/>
    <cellStyle name="ÄÞ¸¶_¿ì¹°Åë" xfId="617"/>
    <cellStyle name="AÞ¸¶_INQUIRY ¿?¾÷AßAø " xfId="618"/>
    <cellStyle name="ÄÞ¸¶_laroux" xfId="619"/>
    <cellStyle name="Bad 10" xfId="620"/>
    <cellStyle name="Bad 11" xfId="621"/>
    <cellStyle name="Bad 12" xfId="622"/>
    <cellStyle name="Bad 13" xfId="623"/>
    <cellStyle name="Bad 2" xfId="624"/>
    <cellStyle name="Bad 2 2" xfId="625"/>
    <cellStyle name="Bad 2 3" xfId="626"/>
    <cellStyle name="Bad 3" xfId="627"/>
    <cellStyle name="Bad 4" xfId="628"/>
    <cellStyle name="Bad 5" xfId="629"/>
    <cellStyle name="Bad 6" xfId="630"/>
    <cellStyle name="Bad 7" xfId="631"/>
    <cellStyle name="Bad 8" xfId="632"/>
    <cellStyle name="Bad 9" xfId="633"/>
    <cellStyle name="Body" xfId="634"/>
    <cellStyle name="C?AØ_¿?¾÷CoE² " xfId="635"/>
    <cellStyle name="Ç¥ÁØ_´çÃÊ±¸ÀÔ»ý»ê" xfId="636"/>
    <cellStyle name="C￥AØ_¿μ¾÷CoE² " xfId="637"/>
    <cellStyle name="Ç¥ÁØ_±³°¢¼ö·®" xfId="638"/>
    <cellStyle name="C￥AØ_Sheet1_¿μ¾÷CoE² " xfId="639"/>
    <cellStyle name="Calc Currency (0)" xfId="640"/>
    <cellStyle name="Calc Currency (0) 2" xfId="641"/>
    <cellStyle name="Calc Currency (0) 3" xfId="642"/>
    <cellStyle name="Calc Currency (0)_Gui Ha" xfId="643"/>
    <cellStyle name="Calculation 10" xfId="644"/>
    <cellStyle name="Calculation 11" xfId="645"/>
    <cellStyle name="Calculation 12" xfId="646"/>
    <cellStyle name="Calculation 13" xfId="647"/>
    <cellStyle name="Calculation 2" xfId="648"/>
    <cellStyle name="Calculation 2 2" xfId="649"/>
    <cellStyle name="Calculation 2 3" xfId="650"/>
    <cellStyle name="Calculation 3" xfId="651"/>
    <cellStyle name="Calculation 4" xfId="652"/>
    <cellStyle name="Calculation 5" xfId="653"/>
    <cellStyle name="Calculation 6" xfId="654"/>
    <cellStyle name="Calculation 7" xfId="655"/>
    <cellStyle name="Calculation 8" xfId="656"/>
    <cellStyle name="Calculation 9" xfId="657"/>
    <cellStyle name="category" xfId="658"/>
    <cellStyle name="Change A&amp;ll" xfId="659"/>
    <cellStyle name="Check Cell 10" xfId="660"/>
    <cellStyle name="Check Cell 11" xfId="661"/>
    <cellStyle name="Check Cell 12" xfId="662"/>
    <cellStyle name="Check Cell 13" xfId="663"/>
    <cellStyle name="Check Cell 2" xfId="664"/>
    <cellStyle name="Check Cell 2 2" xfId="665"/>
    <cellStyle name="Check Cell 2 3" xfId="666"/>
    <cellStyle name="Check Cell 3" xfId="667"/>
    <cellStyle name="Check Cell 4" xfId="668"/>
    <cellStyle name="Check Cell 5" xfId="669"/>
    <cellStyle name="Check Cell 6" xfId="670"/>
    <cellStyle name="Check Cell 7" xfId="671"/>
    <cellStyle name="Check Cell 8" xfId="672"/>
    <cellStyle name="Check Cell 9" xfId="673"/>
    <cellStyle name="Chi phÝ kh¸c_Book1" xfId="674"/>
    <cellStyle name="Comma" xfId="675" builtinId="3"/>
    <cellStyle name="Comma [0] 10" xfId="676"/>
    <cellStyle name="Comma [0] 11" xfId="677"/>
    <cellStyle name="Comma [0] 12" xfId="678"/>
    <cellStyle name="Comma [0] 13" xfId="679"/>
    <cellStyle name="Comma [0] 2" xfId="680"/>
    <cellStyle name="Comma [0] 2 2" xfId="681"/>
    <cellStyle name="Comma [0] 2 3" xfId="682"/>
    <cellStyle name="Comma [0] 2 4" xfId="683"/>
    <cellStyle name="Comma [0] 3" xfId="684"/>
    <cellStyle name="Comma [0] 34" xfId="685"/>
    <cellStyle name="Comma [0] 34 2" xfId="686"/>
    <cellStyle name="Comma [0] 34 3" xfId="687"/>
    <cellStyle name="Comma [0] 4" xfId="688"/>
    <cellStyle name="Comma [0] 5" xfId="689"/>
    <cellStyle name="Comma [0] 6" xfId="690"/>
    <cellStyle name="Comma [0] 7" xfId="691"/>
    <cellStyle name="Comma [0] 8" xfId="692"/>
    <cellStyle name="Comma [0] 9" xfId="693"/>
    <cellStyle name="Comma 10" xfId="694"/>
    <cellStyle name="Comma 10 2" xfId="695"/>
    <cellStyle name="Comma 10 2 2" xfId="696"/>
    <cellStyle name="Comma 10 3" xfId="697"/>
    <cellStyle name="Comma 10 4" xfId="698"/>
    <cellStyle name="Comma 10 5" xfId="699"/>
    <cellStyle name="Comma 10 5 2" xfId="700"/>
    <cellStyle name="Comma 10 5 3" xfId="701"/>
    <cellStyle name="Comma 10 6" xfId="702"/>
    <cellStyle name="Comma 10_PM T9 -revised Q3 1.0.xls-adjust G11+FSJ" xfId="703"/>
    <cellStyle name="Comma 11" xfId="704"/>
    <cellStyle name="Comma 11 2" xfId="705"/>
    <cellStyle name="Comma 11_PM T9 -revised Q3 1.0.xls-adjust G11+FSJ" xfId="706"/>
    <cellStyle name="Comma 12" xfId="707"/>
    <cellStyle name="Comma 12 2" xfId="708"/>
    <cellStyle name="Comma 13" xfId="709"/>
    <cellStyle name="Comma 14" xfId="710"/>
    <cellStyle name="Comma 15" xfId="711"/>
    <cellStyle name="Comma 16" xfId="712"/>
    <cellStyle name="Comma 17" xfId="713"/>
    <cellStyle name="Comma 18" xfId="714"/>
    <cellStyle name="Comma 19" xfId="715"/>
    <cellStyle name="Comma 2" xfId="716"/>
    <cellStyle name="Comma 2 10" xfId="717"/>
    <cellStyle name="Comma 2 11" xfId="718"/>
    <cellStyle name="Comma 2 11 2" xfId="719"/>
    <cellStyle name="Comma 2 11 2 2" xfId="720"/>
    <cellStyle name="Comma 2 11 2 3" xfId="721"/>
    <cellStyle name="Comma 2 11 2 4" xfId="722"/>
    <cellStyle name="Comma 2 11 3" xfId="723"/>
    <cellStyle name="Comma 2 12" xfId="724"/>
    <cellStyle name="Comma 2 13" xfId="725"/>
    <cellStyle name="Comma 2 14" xfId="726"/>
    <cellStyle name="Comma 2 15" xfId="727"/>
    <cellStyle name="Comma 2 16" xfId="728"/>
    <cellStyle name="Comma 2 17" xfId="729"/>
    <cellStyle name="Comma 2 18" xfId="730"/>
    <cellStyle name="Comma 2 19" xfId="731"/>
    <cellStyle name="Comma 2 2" xfId="732"/>
    <cellStyle name="Comma 2 2 10" xfId="733"/>
    <cellStyle name="Comma 2 2 10 2" xfId="734"/>
    <cellStyle name="Comma 2 2 10 2 2" xfId="735"/>
    <cellStyle name="Comma 2 2 10 2 3" xfId="736"/>
    <cellStyle name="Comma 2 2 10 3" xfId="737"/>
    <cellStyle name="Comma 2 2 11" xfId="738"/>
    <cellStyle name="Comma 2 2 11 2" xfId="739"/>
    <cellStyle name="Comma 2 2 11 2 2" xfId="740"/>
    <cellStyle name="Comma 2 2 11 2 3" xfId="741"/>
    <cellStyle name="Comma 2 2 11 3" xfId="742"/>
    <cellStyle name="Comma 2 2 12" xfId="743"/>
    <cellStyle name="Comma 2 2 12 2" xfId="744"/>
    <cellStyle name="Comma 2 2 12 2 2" xfId="745"/>
    <cellStyle name="Comma 2 2 12 2 3" xfId="746"/>
    <cellStyle name="Comma 2 2 12 3" xfId="747"/>
    <cellStyle name="Comma 2 2 13" xfId="748"/>
    <cellStyle name="Comma 2 2 13 2" xfId="749"/>
    <cellStyle name="Comma 2 2 13 2 2" xfId="750"/>
    <cellStyle name="Comma 2 2 13 2 3" xfId="751"/>
    <cellStyle name="Comma 2 2 13 3" xfId="752"/>
    <cellStyle name="Comma 2 2 14" xfId="753"/>
    <cellStyle name="Comma 2 2 14 2" xfId="754"/>
    <cellStyle name="Comma 2 2 14 2 2" xfId="755"/>
    <cellStyle name="Comma 2 2 14 2 3" xfId="756"/>
    <cellStyle name="Comma 2 2 14 3" xfId="757"/>
    <cellStyle name="Comma 2 2 15" xfId="758"/>
    <cellStyle name="Comma 2 2 15 2" xfId="759"/>
    <cellStyle name="Comma 2 2 15 2 2" xfId="760"/>
    <cellStyle name="Comma 2 2 15 2 3" xfId="761"/>
    <cellStyle name="Comma 2 2 15 3" xfId="762"/>
    <cellStyle name="Comma 2 2 16" xfId="763"/>
    <cellStyle name="Comma 2 2 16 2" xfId="764"/>
    <cellStyle name="Comma 2 2 16 2 2" xfId="765"/>
    <cellStyle name="Comma 2 2 16 2 3" xfId="766"/>
    <cellStyle name="Comma 2 2 16 3" xfId="767"/>
    <cellStyle name="Comma 2 2 17" xfId="768"/>
    <cellStyle name="Comma 2 2 17 2" xfId="769"/>
    <cellStyle name="Comma 2 2 17 2 2" xfId="770"/>
    <cellStyle name="Comma 2 2 17 2 3" xfId="771"/>
    <cellStyle name="Comma 2 2 17 3" xfId="772"/>
    <cellStyle name="Comma 2 2 18" xfId="773"/>
    <cellStyle name="Comma 2 2 18 2" xfId="774"/>
    <cellStyle name="Comma 2 2 18 2 2" xfId="775"/>
    <cellStyle name="Comma 2 2 18 2 3" xfId="776"/>
    <cellStyle name="Comma 2 2 18 3" xfId="777"/>
    <cellStyle name="Comma 2 2 19" xfId="778"/>
    <cellStyle name="Comma 2 2 19 2" xfId="779"/>
    <cellStyle name="Comma 2 2 19 2 2" xfId="780"/>
    <cellStyle name="Comma 2 2 19 2 3" xfId="781"/>
    <cellStyle name="Comma 2 2 19 3" xfId="782"/>
    <cellStyle name="Comma 2 2 2" xfId="783"/>
    <cellStyle name="Comma 2 2 2 10" xfId="784"/>
    <cellStyle name="Comma 2 2 2 11" xfId="785"/>
    <cellStyle name="Comma 2 2 2 12" xfId="786"/>
    <cellStyle name="Comma 2 2 2 13" xfId="787"/>
    <cellStyle name="Comma 2 2 2 14" xfId="788"/>
    <cellStyle name="Comma 2 2 2 15" xfId="789"/>
    <cellStyle name="Comma 2 2 2 16" xfId="790"/>
    <cellStyle name="Comma 2 2 2 17" xfId="791"/>
    <cellStyle name="Comma 2 2 2 18" xfId="792"/>
    <cellStyle name="Comma 2 2 2 19" xfId="793"/>
    <cellStyle name="Comma 2 2 2 2" xfId="794"/>
    <cellStyle name="Comma 2 2 2 2 10" xfId="795"/>
    <cellStyle name="Comma 2 2 2 2 11" xfId="796"/>
    <cellStyle name="Comma 2 2 2 2 12" xfId="797"/>
    <cellStyle name="Comma 2 2 2 2 13" xfId="798"/>
    <cellStyle name="Comma 2 2 2 2 14" xfId="799"/>
    <cellStyle name="Comma 2 2 2 2 15" xfId="800"/>
    <cellStyle name="Comma 2 2 2 2 16" xfId="801"/>
    <cellStyle name="Comma 2 2 2 2 17" xfId="802"/>
    <cellStyle name="Comma 2 2 2 2 18" xfId="803"/>
    <cellStyle name="Comma 2 2 2 2 19" xfId="804"/>
    <cellStyle name="Comma 2 2 2 2 2" xfId="805"/>
    <cellStyle name="Comma 2 2 2 2 20" xfId="806"/>
    <cellStyle name="Comma 2 2 2 2 21" xfId="807"/>
    <cellStyle name="Comma 2 2 2 2 22" xfId="808"/>
    <cellStyle name="Comma 2 2 2 2 23" xfId="809"/>
    <cellStyle name="Comma 2 2 2 2 24" xfId="810"/>
    <cellStyle name="Comma 2 2 2 2 25" xfId="811"/>
    <cellStyle name="Comma 2 2 2 2 26" xfId="812"/>
    <cellStyle name="Comma 2 2 2 2 27" xfId="813"/>
    <cellStyle name="Comma 2 2 2 2 28" xfId="814"/>
    <cellStyle name="Comma 2 2 2 2 29" xfId="815"/>
    <cellStyle name="Comma 2 2 2 2 3" xfId="816"/>
    <cellStyle name="Comma 2 2 2 2 30" xfId="817"/>
    <cellStyle name="Comma 2 2 2 2 31" xfId="818"/>
    <cellStyle name="Comma 2 2 2 2 32" xfId="819"/>
    <cellStyle name="Comma 2 2 2 2 33" xfId="820"/>
    <cellStyle name="Comma 2 2 2 2 34" xfId="821"/>
    <cellStyle name="Comma 2 2 2 2 35" xfId="822"/>
    <cellStyle name="Comma 2 2 2 2 36" xfId="823"/>
    <cellStyle name="Comma 2 2 2 2 37" xfId="824"/>
    <cellStyle name="Comma 2 2 2 2 38" xfId="825"/>
    <cellStyle name="Comma 2 2 2 2 39" xfId="826"/>
    <cellStyle name="Comma 2 2 2 2 4" xfId="827"/>
    <cellStyle name="Comma 2 2 2 2 40" xfId="828"/>
    <cellStyle name="Comma 2 2 2 2 41" xfId="829"/>
    <cellStyle name="Comma 2 2 2 2 42" xfId="830"/>
    <cellStyle name="Comma 2 2 2 2 43" xfId="831"/>
    <cellStyle name="Comma 2 2 2 2 44" xfId="832"/>
    <cellStyle name="Comma 2 2 2 2 45" xfId="833"/>
    <cellStyle name="Comma 2 2 2 2 46" xfId="834"/>
    <cellStyle name="Comma 2 2 2 2 5" xfId="835"/>
    <cellStyle name="Comma 2 2 2 2 6" xfId="836"/>
    <cellStyle name="Comma 2 2 2 2 7" xfId="837"/>
    <cellStyle name="Comma 2 2 2 2 8" xfId="838"/>
    <cellStyle name="Comma 2 2 2 2 9" xfId="839"/>
    <cellStyle name="Comma 2 2 2 20" xfId="840"/>
    <cellStyle name="Comma 2 2 2 21" xfId="841"/>
    <cellStyle name="Comma 2 2 2 22" xfId="842"/>
    <cellStyle name="Comma 2 2 2 23" xfId="843"/>
    <cellStyle name="Comma 2 2 2 24" xfId="844"/>
    <cellStyle name="Comma 2 2 2 25" xfId="845"/>
    <cellStyle name="Comma 2 2 2 26" xfId="846"/>
    <cellStyle name="Comma 2 2 2 27" xfId="847"/>
    <cellStyle name="Comma 2 2 2 28" xfId="848"/>
    <cellStyle name="Comma 2 2 2 29" xfId="849"/>
    <cellStyle name="Comma 2 2 2 3" xfId="850"/>
    <cellStyle name="Comma 2 2 2 3 2" xfId="851"/>
    <cellStyle name="Comma 2 2 2 3 2 2" xfId="852"/>
    <cellStyle name="Comma 2 2 2 3 2 3" xfId="853"/>
    <cellStyle name="Comma 2 2 2 3 3" xfId="854"/>
    <cellStyle name="Comma 2 2 2 30" xfId="855"/>
    <cellStyle name="Comma 2 2 2 31" xfId="856"/>
    <cellStyle name="Comma 2 2 2 32" xfId="857"/>
    <cellStyle name="Comma 2 2 2 33" xfId="858"/>
    <cellStyle name="Comma 2 2 2 34" xfId="859"/>
    <cellStyle name="Comma 2 2 2 35" xfId="860"/>
    <cellStyle name="Comma 2 2 2 36" xfId="861"/>
    <cellStyle name="Comma 2 2 2 37" xfId="862"/>
    <cellStyle name="Comma 2 2 2 38" xfId="863"/>
    <cellStyle name="Comma 2 2 2 39" xfId="864"/>
    <cellStyle name="Comma 2 2 2 4" xfId="865"/>
    <cellStyle name="Comma 2 2 2 40" xfId="866"/>
    <cellStyle name="Comma 2 2 2 41" xfId="867"/>
    <cellStyle name="Comma 2 2 2 42" xfId="868"/>
    <cellStyle name="Comma 2 2 2 43" xfId="869"/>
    <cellStyle name="Comma 2 2 2 44" xfId="870"/>
    <cellStyle name="Comma 2 2 2 45" xfId="871"/>
    <cellStyle name="Comma 2 2 2 46" xfId="872"/>
    <cellStyle name="Comma 2 2 2 47" xfId="873"/>
    <cellStyle name="Comma 2 2 2 5" xfId="874"/>
    <cellStyle name="Comma 2 2 2 5 2" xfId="875"/>
    <cellStyle name="Comma 2 2 2 6" xfId="876"/>
    <cellStyle name="Comma 2 2 2 7" xfId="877"/>
    <cellStyle name="Comma 2 2 2 8" xfId="878"/>
    <cellStyle name="Comma 2 2 2 9" xfId="879"/>
    <cellStyle name="Comma 2 2 20" xfId="880"/>
    <cellStyle name="Comma 2 2 20 2" xfId="881"/>
    <cellStyle name="Comma 2 2 20 2 2" xfId="882"/>
    <cellStyle name="Comma 2 2 20 2 3" xfId="883"/>
    <cellStyle name="Comma 2 2 20 3" xfId="884"/>
    <cellStyle name="Comma 2 2 21" xfId="885"/>
    <cellStyle name="Comma 2 2 21 2" xfId="886"/>
    <cellStyle name="Comma 2 2 21 2 2" xfId="887"/>
    <cellStyle name="Comma 2 2 21 2 3" xfId="888"/>
    <cellStyle name="Comma 2 2 21 3" xfId="889"/>
    <cellStyle name="Comma 2 2 22" xfId="890"/>
    <cellStyle name="Comma 2 2 22 2" xfId="891"/>
    <cellStyle name="Comma 2 2 22 2 2" xfId="892"/>
    <cellStyle name="Comma 2 2 22 2 3" xfId="893"/>
    <cellStyle name="Comma 2 2 22 3" xfId="894"/>
    <cellStyle name="Comma 2 2 23" xfId="895"/>
    <cellStyle name="Comma 2 2 23 2" xfId="896"/>
    <cellStyle name="Comma 2 2 23 2 2" xfId="897"/>
    <cellStyle name="Comma 2 2 23 2 3" xfId="898"/>
    <cellStyle name="Comma 2 2 23 3" xfId="899"/>
    <cellStyle name="Comma 2 2 24" xfId="900"/>
    <cellStyle name="Comma 2 2 24 2" xfId="901"/>
    <cellStyle name="Comma 2 2 24 2 2" xfId="902"/>
    <cellStyle name="Comma 2 2 24 2 3" xfId="903"/>
    <cellStyle name="Comma 2 2 24 3" xfId="904"/>
    <cellStyle name="Comma 2 2 25" xfId="905"/>
    <cellStyle name="Comma 2 2 25 2" xfId="906"/>
    <cellStyle name="Comma 2 2 25 2 2" xfId="907"/>
    <cellStyle name="Comma 2 2 25 2 3" xfId="908"/>
    <cellStyle name="Comma 2 2 25 3" xfId="909"/>
    <cellStyle name="Comma 2 2 26" xfId="910"/>
    <cellStyle name="Comma 2 2 26 2" xfId="911"/>
    <cellStyle name="Comma 2 2 26 2 2" xfId="912"/>
    <cellStyle name="Comma 2 2 26 2 3" xfId="913"/>
    <cellStyle name="Comma 2 2 26 3" xfId="914"/>
    <cellStyle name="Comma 2 2 27" xfId="915"/>
    <cellStyle name="Comma 2 2 27 2" xfId="916"/>
    <cellStyle name="Comma 2 2 27 2 2" xfId="917"/>
    <cellStyle name="Comma 2 2 27 2 3" xfId="918"/>
    <cellStyle name="Comma 2 2 27 3" xfId="919"/>
    <cellStyle name="Comma 2 2 28" xfId="920"/>
    <cellStyle name="Comma 2 2 28 2" xfId="921"/>
    <cellStyle name="Comma 2 2 28 2 2" xfId="922"/>
    <cellStyle name="Comma 2 2 28 2 3" xfId="923"/>
    <cellStyle name="Comma 2 2 28 3" xfId="924"/>
    <cellStyle name="Comma 2 2 29" xfId="925"/>
    <cellStyle name="Comma 2 2 29 2" xfId="926"/>
    <cellStyle name="Comma 2 2 29 2 2" xfId="927"/>
    <cellStyle name="Comma 2 2 29 2 3" xfId="928"/>
    <cellStyle name="Comma 2 2 29 3" xfId="929"/>
    <cellStyle name="Comma 2 2 3" xfId="930"/>
    <cellStyle name="Comma 2 2 3 2" xfId="931"/>
    <cellStyle name="Comma 2 2 3 2 2" xfId="932"/>
    <cellStyle name="Comma 2 2 3 2 2 2" xfId="933"/>
    <cellStyle name="Comma 2 2 3 2 2 3" xfId="934"/>
    <cellStyle name="Comma 2 2 3 2 3" xfId="935"/>
    <cellStyle name="Comma 2 2 3 2 4" xfId="936"/>
    <cellStyle name="Comma 2 2 3 3" xfId="937"/>
    <cellStyle name="Comma 2 2 3 3 2" xfId="938"/>
    <cellStyle name="Comma 2 2 3 3 2 2" xfId="939"/>
    <cellStyle name="Comma 2 2 3 3 2 3" xfId="940"/>
    <cellStyle name="Comma 2 2 3 3 3" xfId="941"/>
    <cellStyle name="Comma 2 2 3 4" xfId="942"/>
    <cellStyle name="Comma 2 2 3 4 2" xfId="943"/>
    <cellStyle name="Comma 2 2 3 4 2 2" xfId="944"/>
    <cellStyle name="Comma 2 2 3 4 2 3" xfId="945"/>
    <cellStyle name="Comma 2 2 3 4 3" xfId="946"/>
    <cellStyle name="Comma 2 2 3 5" xfId="947"/>
    <cellStyle name="Comma 2 2 3 5 2" xfId="948"/>
    <cellStyle name="Comma 2 2 3 6" xfId="949"/>
    <cellStyle name="Comma 2 2 3 7" xfId="950"/>
    <cellStyle name="Comma 2 2 30" xfId="951"/>
    <cellStyle name="Comma 2 2 30 2" xfId="952"/>
    <cellStyle name="Comma 2 2 30 2 2" xfId="953"/>
    <cellStyle name="Comma 2 2 30 2 3" xfId="954"/>
    <cellStyle name="Comma 2 2 30 3" xfId="955"/>
    <cellStyle name="Comma 2 2 31" xfId="956"/>
    <cellStyle name="Comma 2 2 31 2" xfId="957"/>
    <cellStyle name="Comma 2 2 31 2 2" xfId="958"/>
    <cellStyle name="Comma 2 2 31 2 3" xfId="959"/>
    <cellStyle name="Comma 2 2 31 3" xfId="960"/>
    <cellStyle name="Comma 2 2 32" xfId="961"/>
    <cellStyle name="Comma 2 2 32 2" xfId="962"/>
    <cellStyle name="Comma 2 2 32 2 2" xfId="963"/>
    <cellStyle name="Comma 2 2 32 2 3" xfId="964"/>
    <cellStyle name="Comma 2 2 32 3" xfId="965"/>
    <cellStyle name="Comma 2 2 33" xfId="966"/>
    <cellStyle name="Comma 2 2 33 2" xfId="967"/>
    <cellStyle name="Comma 2 2 33 2 2" xfId="968"/>
    <cellStyle name="Comma 2 2 33 2 3" xfId="969"/>
    <cellStyle name="Comma 2 2 33 3" xfId="970"/>
    <cellStyle name="Comma 2 2 34" xfId="971"/>
    <cellStyle name="Comma 2 2 34 2" xfId="972"/>
    <cellStyle name="Comma 2 2 34 3" xfId="973"/>
    <cellStyle name="Comma 2 2 35" xfId="974"/>
    <cellStyle name="Comma 2 2 35 2" xfId="975"/>
    <cellStyle name="Comma 2 2 35 3" xfId="976"/>
    <cellStyle name="Comma 2 2 36" xfId="977"/>
    <cellStyle name="Comma 2 2 36 2" xfId="978"/>
    <cellStyle name="Comma 2 2 36 2 2" xfId="979"/>
    <cellStyle name="Comma 2 2 36 3" xfId="980"/>
    <cellStyle name="Comma 2 2 37" xfId="981"/>
    <cellStyle name="Comma 2 2 38" xfId="982"/>
    <cellStyle name="Comma 2 2 39" xfId="983"/>
    <cellStyle name="Comma 2 2 4" xfId="984"/>
    <cellStyle name="Comma 2 2 4 2" xfId="985"/>
    <cellStyle name="Comma 2 2 4 3" xfId="986"/>
    <cellStyle name="Comma 2 2 40" xfId="987"/>
    <cellStyle name="Comma 2 2 41" xfId="988"/>
    <cellStyle name="Comma 2 2 42" xfId="989"/>
    <cellStyle name="Comma 2 2 43" xfId="990"/>
    <cellStyle name="Comma 2 2 44" xfId="991"/>
    <cellStyle name="Comma 2 2 45" xfId="992"/>
    <cellStyle name="Comma 2 2 46" xfId="993"/>
    <cellStyle name="Comma 2 2 47" xfId="994"/>
    <cellStyle name="Comma 2 2 48" xfId="995"/>
    <cellStyle name="Comma 2 2 49" xfId="996"/>
    <cellStyle name="Comma 2 2 5" xfId="997"/>
    <cellStyle name="Comma 2 2 50" xfId="998"/>
    <cellStyle name="Comma 2 2 51" xfId="999"/>
    <cellStyle name="Comma 2 2 52" xfId="1000"/>
    <cellStyle name="Comma 2 2 53" xfId="1001"/>
    <cellStyle name="Comma 2 2 6" xfId="1002"/>
    <cellStyle name="Comma 2 2 7" xfId="1003"/>
    <cellStyle name="Comma 2 2 8" xfId="1004"/>
    <cellStyle name="Comma 2 2 9" xfId="1005"/>
    <cellStyle name="Comma 2 20" xfId="1006"/>
    <cellStyle name="Comma 2 21" xfId="1007"/>
    <cellStyle name="Comma 2 22" xfId="1008"/>
    <cellStyle name="Comma 2 23" xfId="1009"/>
    <cellStyle name="Comma 2 24" xfId="1010"/>
    <cellStyle name="Comma 2 25" xfId="1011"/>
    <cellStyle name="Comma 2 26" xfId="1012"/>
    <cellStyle name="Comma 2 27" xfId="1013"/>
    <cellStyle name="Comma 2 28" xfId="1014"/>
    <cellStyle name="Comma 2 29" xfId="1015"/>
    <cellStyle name="Comma 2 3" xfId="1016"/>
    <cellStyle name="Comma 2 30" xfId="1017"/>
    <cellStyle name="Comma 2 31" xfId="1018"/>
    <cellStyle name="Comma 2 32" xfId="1019"/>
    <cellStyle name="Comma 2 33" xfId="1020"/>
    <cellStyle name="Comma 2 34" xfId="1021"/>
    <cellStyle name="Comma 2 35" xfId="1022"/>
    <cellStyle name="Comma 2 35 2" xfId="1023"/>
    <cellStyle name="Comma 2 35_Gui Ha" xfId="1024"/>
    <cellStyle name="Comma 2 36" xfId="1025"/>
    <cellStyle name="Comma 2 37" xfId="1026"/>
    <cellStyle name="Comma 2 38" xfId="1027"/>
    <cellStyle name="Comma 2 39" xfId="1028"/>
    <cellStyle name="Comma 2 4" xfId="1029"/>
    <cellStyle name="Comma 2 4 2" xfId="1030"/>
    <cellStyle name="Comma 2 4 3" xfId="1031"/>
    <cellStyle name="Comma 2 4 4" xfId="1032"/>
    <cellStyle name="Comma 2 40" xfId="1033"/>
    <cellStyle name="Comma 2 41" xfId="1034"/>
    <cellStyle name="Comma 2 42" xfId="1035"/>
    <cellStyle name="Comma 2 43" xfId="1036"/>
    <cellStyle name="Comma 2 44" xfId="1037"/>
    <cellStyle name="Comma 2 45" xfId="1038"/>
    <cellStyle name="Comma 2 46" xfId="1039"/>
    <cellStyle name="Comma 2 47" xfId="1040"/>
    <cellStyle name="Comma 2 48" xfId="1041"/>
    <cellStyle name="Comma 2 49" xfId="1042"/>
    <cellStyle name="Comma 2 5" xfId="1043"/>
    <cellStyle name="Comma 2 6" xfId="1044"/>
    <cellStyle name="Comma 2 7" xfId="1045"/>
    <cellStyle name="Comma 2 8" xfId="1046"/>
    <cellStyle name="Comma 2 9" xfId="1047"/>
    <cellStyle name="Comma 20" xfId="1048"/>
    <cellStyle name="Comma 21" xfId="1049"/>
    <cellStyle name="Comma 22" xfId="1050"/>
    <cellStyle name="Comma 23" xfId="1051"/>
    <cellStyle name="Comma 24" xfId="1052"/>
    <cellStyle name="Comma 25" xfId="1053"/>
    <cellStyle name="Comma 26" xfId="1054"/>
    <cellStyle name="Comma 27" xfId="1055"/>
    <cellStyle name="Comma 28" xfId="1056"/>
    <cellStyle name="Comma 29" xfId="1057"/>
    <cellStyle name="Comma 29 2" xfId="3433"/>
    <cellStyle name="Comma 3" xfId="1058"/>
    <cellStyle name="Comma 3 10" xfId="1059"/>
    <cellStyle name="Comma 3 11" xfId="1060"/>
    <cellStyle name="Comma 3 12" xfId="1061"/>
    <cellStyle name="Comma 3 13" xfId="1062"/>
    <cellStyle name="Comma 3 14" xfId="1063"/>
    <cellStyle name="Comma 3 15" xfId="1064"/>
    <cellStyle name="Comma 3 16" xfId="1065"/>
    <cellStyle name="Comma 3 17" xfId="1066"/>
    <cellStyle name="Comma 3 18" xfId="1067"/>
    <cellStyle name="Comma 3 19" xfId="1068"/>
    <cellStyle name="Comma 3 2" xfId="1069"/>
    <cellStyle name="Comma 3 2 10" xfId="1070"/>
    <cellStyle name="Comma 3 2 11" xfId="1071"/>
    <cellStyle name="Comma 3 2 12" xfId="1072"/>
    <cellStyle name="Comma 3 2 13" xfId="1073"/>
    <cellStyle name="Comma 3 2 14" xfId="1074"/>
    <cellStyle name="Comma 3 2 15" xfId="1075"/>
    <cellStyle name="Comma 3 2 16" xfId="1076"/>
    <cellStyle name="Comma 3 2 17" xfId="1077"/>
    <cellStyle name="Comma 3 2 18" xfId="1078"/>
    <cellStyle name="Comma 3 2 19" xfId="1079"/>
    <cellStyle name="Comma 3 2 2" xfId="1080"/>
    <cellStyle name="Comma 3 2 2 10" xfId="1081"/>
    <cellStyle name="Comma 3 2 2 11" xfId="1082"/>
    <cellStyle name="Comma 3 2 2 12" xfId="1083"/>
    <cellStyle name="Comma 3 2 2 13" xfId="1084"/>
    <cellStyle name="Comma 3 2 2 14" xfId="1085"/>
    <cellStyle name="Comma 3 2 2 15" xfId="1086"/>
    <cellStyle name="Comma 3 2 2 16" xfId="1087"/>
    <cellStyle name="Comma 3 2 2 17" xfId="1088"/>
    <cellStyle name="Comma 3 2 2 18" xfId="1089"/>
    <cellStyle name="Comma 3 2 2 19" xfId="1090"/>
    <cellStyle name="Comma 3 2 2 2" xfId="1091"/>
    <cellStyle name="Comma 3 2 2 2 10" xfId="1092"/>
    <cellStyle name="Comma 3 2 2 2 11" xfId="1093"/>
    <cellStyle name="Comma 3 2 2 2 12" xfId="1094"/>
    <cellStyle name="Comma 3 2 2 2 13" xfId="1095"/>
    <cellStyle name="Comma 3 2 2 2 14" xfId="1096"/>
    <cellStyle name="Comma 3 2 2 2 15" xfId="1097"/>
    <cellStyle name="Comma 3 2 2 2 16" xfId="1098"/>
    <cellStyle name="Comma 3 2 2 2 17" xfId="1099"/>
    <cellStyle name="Comma 3 2 2 2 18" xfId="1100"/>
    <cellStyle name="Comma 3 2 2 2 19" xfId="1101"/>
    <cellStyle name="Comma 3 2 2 2 2" xfId="1102"/>
    <cellStyle name="Comma 3 2 2 2 2 2" xfId="1103"/>
    <cellStyle name="Comma 3 2 2 2 2 3" xfId="1104"/>
    <cellStyle name="Comma 3 2 2 2 20" xfId="1105"/>
    <cellStyle name="Comma 3 2 2 2 21" xfId="1106"/>
    <cellStyle name="Comma 3 2 2 2 22" xfId="1107"/>
    <cellStyle name="Comma 3 2 2 2 23" xfId="1108"/>
    <cellStyle name="Comma 3 2 2 2 24" xfId="1109"/>
    <cellStyle name="Comma 3 2 2 2 25" xfId="1110"/>
    <cellStyle name="Comma 3 2 2 2 26" xfId="1111"/>
    <cellStyle name="Comma 3 2 2 2 27" xfId="1112"/>
    <cellStyle name="Comma 3 2 2 2 28" xfId="1113"/>
    <cellStyle name="Comma 3 2 2 2 29" xfId="1114"/>
    <cellStyle name="Comma 3 2 2 2 3" xfId="1115"/>
    <cellStyle name="Comma 3 2 2 2 30" xfId="1116"/>
    <cellStyle name="Comma 3 2 2 2 31" xfId="1117"/>
    <cellStyle name="Comma 3 2 2 2 32" xfId="1118"/>
    <cellStyle name="Comma 3 2 2 2 33" xfId="1119"/>
    <cellStyle name="Comma 3 2 2 2 34" xfId="1120"/>
    <cellStyle name="Comma 3 2 2 2 35" xfId="1121"/>
    <cellStyle name="Comma 3 2 2 2 36" xfId="1122"/>
    <cellStyle name="Comma 3 2 2 2 37" xfId="1123"/>
    <cellStyle name="Comma 3 2 2 2 38" xfId="1124"/>
    <cellStyle name="Comma 3 2 2 2 39" xfId="1125"/>
    <cellStyle name="Comma 3 2 2 2 4" xfId="1126"/>
    <cellStyle name="Comma 3 2 2 2 40" xfId="1127"/>
    <cellStyle name="Comma 3 2 2 2 41" xfId="1128"/>
    <cellStyle name="Comma 3 2 2 2 42" xfId="1129"/>
    <cellStyle name="Comma 3 2 2 2 43" xfId="1130"/>
    <cellStyle name="Comma 3 2 2 2 44" xfId="1131"/>
    <cellStyle name="Comma 3 2 2 2 45" xfId="1132"/>
    <cellStyle name="Comma 3 2 2 2 46" xfId="1133"/>
    <cellStyle name="Comma 3 2 2 2 47" xfId="1134"/>
    <cellStyle name="Comma 3 2 2 2 5" xfId="1135"/>
    <cellStyle name="Comma 3 2 2 2 6" xfId="1136"/>
    <cellStyle name="Comma 3 2 2 2 7" xfId="1137"/>
    <cellStyle name="Comma 3 2 2 2 8" xfId="1138"/>
    <cellStyle name="Comma 3 2 2 2 9" xfId="1139"/>
    <cellStyle name="Comma 3 2 2 20" xfId="1140"/>
    <cellStyle name="Comma 3 2 2 21" xfId="1141"/>
    <cellStyle name="Comma 3 2 2 22" xfId="1142"/>
    <cellStyle name="Comma 3 2 2 23" xfId="1143"/>
    <cellStyle name="Comma 3 2 2 24" xfId="1144"/>
    <cellStyle name="Comma 3 2 2 25" xfId="1145"/>
    <cellStyle name="Comma 3 2 2 26" xfId="1146"/>
    <cellStyle name="Comma 3 2 2 27" xfId="1147"/>
    <cellStyle name="Comma 3 2 2 28" xfId="1148"/>
    <cellStyle name="Comma 3 2 2 29" xfId="1149"/>
    <cellStyle name="Comma 3 2 2 3" xfId="1150"/>
    <cellStyle name="Comma 3 2 2 30" xfId="1151"/>
    <cellStyle name="Comma 3 2 2 31" xfId="1152"/>
    <cellStyle name="Comma 3 2 2 32" xfId="1153"/>
    <cellStyle name="Comma 3 2 2 33" xfId="1154"/>
    <cellStyle name="Comma 3 2 2 34" xfId="1155"/>
    <cellStyle name="Comma 3 2 2 35" xfId="1156"/>
    <cellStyle name="Comma 3 2 2 36" xfId="1157"/>
    <cellStyle name="Comma 3 2 2 37" xfId="1158"/>
    <cellStyle name="Comma 3 2 2 38" xfId="1159"/>
    <cellStyle name="Comma 3 2 2 39" xfId="1160"/>
    <cellStyle name="Comma 3 2 2 4" xfId="1161"/>
    <cellStyle name="Comma 3 2 2 40" xfId="1162"/>
    <cellStyle name="Comma 3 2 2 41" xfId="1163"/>
    <cellStyle name="Comma 3 2 2 42" xfId="1164"/>
    <cellStyle name="Comma 3 2 2 43" xfId="1165"/>
    <cellStyle name="Comma 3 2 2 44" xfId="1166"/>
    <cellStyle name="Comma 3 2 2 45" xfId="1167"/>
    <cellStyle name="Comma 3 2 2 46" xfId="1168"/>
    <cellStyle name="Comma 3 2 2 47" xfId="1169"/>
    <cellStyle name="Comma 3 2 2 48" xfId="1170"/>
    <cellStyle name="Comma 3 2 2 49" xfId="1171"/>
    <cellStyle name="Comma 3 2 2 5" xfId="1172"/>
    <cellStyle name="Comma 3 2 2 6" xfId="1173"/>
    <cellStyle name="Comma 3 2 2 7" xfId="1174"/>
    <cellStyle name="Comma 3 2 2 8" xfId="1175"/>
    <cellStyle name="Comma 3 2 2 9" xfId="1176"/>
    <cellStyle name="Comma 3 2 20" xfId="1177"/>
    <cellStyle name="Comma 3 2 21" xfId="1178"/>
    <cellStyle name="Comma 3 2 22" xfId="1179"/>
    <cellStyle name="Comma 3 2 23" xfId="1180"/>
    <cellStyle name="Comma 3 2 24" xfId="1181"/>
    <cellStyle name="Comma 3 2 25" xfId="1182"/>
    <cellStyle name="Comma 3 2 26" xfId="1183"/>
    <cellStyle name="Comma 3 2 27" xfId="1184"/>
    <cellStyle name="Comma 3 2 28" xfId="1185"/>
    <cellStyle name="Comma 3 2 29" xfId="1186"/>
    <cellStyle name="Comma 3 2 3" xfId="1187"/>
    <cellStyle name="Comma 3 2 3 2" xfId="1188"/>
    <cellStyle name="Comma 3 2 3 2 2" xfId="1189"/>
    <cellStyle name="Comma 3 2 3 2 3" xfId="1190"/>
    <cellStyle name="Comma 3 2 3 3" xfId="1191"/>
    <cellStyle name="Comma 3 2 3 4" xfId="1192"/>
    <cellStyle name="Comma 3 2 3 5" xfId="1193"/>
    <cellStyle name="Comma 3 2 30" xfId="1194"/>
    <cellStyle name="Comma 3 2 31" xfId="1195"/>
    <cellStyle name="Comma 3 2 32" xfId="1196"/>
    <cellStyle name="Comma 3 2 33" xfId="1197"/>
    <cellStyle name="Comma 3 2 34" xfId="1198"/>
    <cellStyle name="Comma 3 2 35" xfId="1199"/>
    <cellStyle name="Comma 3 2 36" xfId="1200"/>
    <cellStyle name="Comma 3 2 37" xfId="1201"/>
    <cellStyle name="Comma 3 2 38" xfId="1202"/>
    <cellStyle name="Comma 3 2 39" xfId="1203"/>
    <cellStyle name="Comma 3 2 4" xfId="1204"/>
    <cellStyle name="Comma 3 2 4 2" xfId="1205"/>
    <cellStyle name="Comma 3 2 4 2 2" xfId="1206"/>
    <cellStyle name="Comma 3 2 4 2 3" xfId="1207"/>
    <cellStyle name="Comma 3 2 4 3" xfId="1208"/>
    <cellStyle name="Comma 3 2 4 4" xfId="1209"/>
    <cellStyle name="Comma 3 2 4 5" xfId="1210"/>
    <cellStyle name="Comma 3 2 40" xfId="1211"/>
    <cellStyle name="Comma 3 2 41" xfId="1212"/>
    <cellStyle name="Comma 3 2 42" xfId="1213"/>
    <cellStyle name="Comma 3 2 43" xfId="1214"/>
    <cellStyle name="Comma 3 2 44" xfId="1215"/>
    <cellStyle name="Comma 3 2 45" xfId="1216"/>
    <cellStyle name="Comma 3 2 46" xfId="1217"/>
    <cellStyle name="Comma 3 2 47" xfId="1218"/>
    <cellStyle name="Comma 3 2 48" xfId="1219"/>
    <cellStyle name="Comma 3 2 49" xfId="1220"/>
    <cellStyle name="Comma 3 2 5" xfId="1221"/>
    <cellStyle name="Comma 3 2 50" xfId="1222"/>
    <cellStyle name="Comma 3 2 51" xfId="1223"/>
    <cellStyle name="Comma 3 2 52" xfId="1224"/>
    <cellStyle name="Comma 3 2 53" xfId="1225"/>
    <cellStyle name="Comma 3 2 54" xfId="1226"/>
    <cellStyle name="Comma 3 2 6" xfId="1227"/>
    <cellStyle name="Comma 3 2 7" xfId="1228"/>
    <cellStyle name="Comma 3 2 8" xfId="1229"/>
    <cellStyle name="Comma 3 2 8 2" xfId="1230"/>
    <cellStyle name="Comma 3 2 9" xfId="1231"/>
    <cellStyle name="Comma 3 20" xfId="1232"/>
    <cellStyle name="Comma 3 21" xfId="1233"/>
    <cellStyle name="Comma 3 22" xfId="1234"/>
    <cellStyle name="Comma 3 23" xfId="1235"/>
    <cellStyle name="Comma 3 24" xfId="1236"/>
    <cellStyle name="Comma 3 25" xfId="1237"/>
    <cellStyle name="Comma 3 26" xfId="1238"/>
    <cellStyle name="Comma 3 27" xfId="1239"/>
    <cellStyle name="Comma 3 27 2" xfId="1240"/>
    <cellStyle name="Comma 3 27 2 2" xfId="1241"/>
    <cellStyle name="Comma 3 27 2 3" xfId="1242"/>
    <cellStyle name="Comma 3 27 3" xfId="1243"/>
    <cellStyle name="Comma 3 28" xfId="1244"/>
    <cellStyle name="Comma 3 28 2" xfId="1245"/>
    <cellStyle name="Comma 3 28 2 2" xfId="1246"/>
    <cellStyle name="Comma 3 28 2 3" xfId="1247"/>
    <cellStyle name="Comma 3 28 3" xfId="1248"/>
    <cellStyle name="Comma 3 29" xfId="1249"/>
    <cellStyle name="Comma 3 3" xfId="1250"/>
    <cellStyle name="Comma 3 3 2" xfId="1251"/>
    <cellStyle name="Comma 3 3 2 2" xfId="1252"/>
    <cellStyle name="Comma 3 3 2 2 2" xfId="1253"/>
    <cellStyle name="Comma 3 3 2 2 3" xfId="1254"/>
    <cellStyle name="Comma 3 3 2 3" xfId="1255"/>
    <cellStyle name="Comma 3 3 3" xfId="1256"/>
    <cellStyle name="Comma 3 3 3 2" xfId="1257"/>
    <cellStyle name="Comma 3 3 3 2 2" xfId="1258"/>
    <cellStyle name="Comma 3 3 3 2 3" xfId="1259"/>
    <cellStyle name="Comma 3 3 3 3" xfId="1260"/>
    <cellStyle name="Comma 3 3 4" xfId="1261"/>
    <cellStyle name="Comma 3 3 4 2" xfId="1262"/>
    <cellStyle name="Comma 3 3 4 2 2" xfId="1263"/>
    <cellStyle name="Comma 3 3 4 2 3" xfId="1264"/>
    <cellStyle name="Comma 3 3 4 3" xfId="1265"/>
    <cellStyle name="Comma 3 3 5" xfId="1266"/>
    <cellStyle name="Comma 3 3 6" xfId="1267"/>
    <cellStyle name="Comma 3 3_PM T9 -revised Q3 1.0.xls-adjust G11+FSJ" xfId="1268"/>
    <cellStyle name="Comma 3 30" xfId="1269"/>
    <cellStyle name="Comma 3 31" xfId="1270"/>
    <cellStyle name="Comma 3 32" xfId="1271"/>
    <cellStyle name="Comma 3 33" xfId="1272"/>
    <cellStyle name="Comma 3 34" xfId="1273"/>
    <cellStyle name="Comma 3 35" xfId="1274"/>
    <cellStyle name="Comma 3 36" xfId="1275"/>
    <cellStyle name="Comma 3 37" xfId="1276"/>
    <cellStyle name="Comma 3 38" xfId="1277"/>
    <cellStyle name="Comma 3 39" xfId="1278"/>
    <cellStyle name="Comma 3 4" xfId="1279"/>
    <cellStyle name="Comma 3 40" xfId="1280"/>
    <cellStyle name="Comma 3 41" xfId="1281"/>
    <cellStyle name="Comma 3 42" xfId="1282"/>
    <cellStyle name="Comma 3 43" xfId="1283"/>
    <cellStyle name="Comma 3 44" xfId="1284"/>
    <cellStyle name="Comma 3 45" xfId="1285"/>
    <cellStyle name="Comma 3 46" xfId="1286"/>
    <cellStyle name="Comma 3 47" xfId="1287"/>
    <cellStyle name="Comma 3 48" xfId="1288"/>
    <cellStyle name="Comma 3 49" xfId="1289"/>
    <cellStyle name="Comma 3 5" xfId="1290"/>
    <cellStyle name="Comma 3 5 2" xfId="1291"/>
    <cellStyle name="Comma 3 5 2 2" xfId="1292"/>
    <cellStyle name="Comma 3 5 2 3" xfId="1293"/>
    <cellStyle name="Comma 3 5 3" xfId="1294"/>
    <cellStyle name="Comma 3 50" xfId="1295"/>
    <cellStyle name="Comma 3 51" xfId="1296"/>
    <cellStyle name="Comma 3 52" xfId="1297"/>
    <cellStyle name="Comma 3 53" xfId="1298"/>
    <cellStyle name="Comma 3 54" xfId="1299"/>
    <cellStyle name="Comma 3 55" xfId="1300"/>
    <cellStyle name="Comma 3 56" xfId="1301"/>
    <cellStyle name="Comma 3 57" xfId="1302"/>
    <cellStyle name="Comma 3 58" xfId="1303"/>
    <cellStyle name="Comma 3 59" xfId="1304"/>
    <cellStyle name="Comma 3 6" xfId="1305"/>
    <cellStyle name="Comma 3 6 2" xfId="1306"/>
    <cellStyle name="Comma 3 6 2 2" xfId="1307"/>
    <cellStyle name="Comma 3 6 2 3" xfId="1308"/>
    <cellStyle name="Comma 3 6 3" xfId="1309"/>
    <cellStyle name="Comma 3 60" xfId="1310"/>
    <cellStyle name="Comma 3 61" xfId="1311"/>
    <cellStyle name="Comma 3 62" xfId="1312"/>
    <cellStyle name="Comma 3 63" xfId="1313"/>
    <cellStyle name="Comma 3 64" xfId="1314"/>
    <cellStyle name="Comma 3 65" xfId="1315"/>
    <cellStyle name="Comma 3 66" xfId="1316"/>
    <cellStyle name="Comma 3 67" xfId="1317"/>
    <cellStyle name="Comma 3 68" xfId="1318"/>
    <cellStyle name="Comma 3 69" xfId="1319"/>
    <cellStyle name="Comma 3 7" xfId="1320"/>
    <cellStyle name="Comma 3 7 2" xfId="1321"/>
    <cellStyle name="Comma 3 7 3" xfId="1322"/>
    <cellStyle name="Comma 3 70" xfId="1323"/>
    <cellStyle name="Comma 3 71" xfId="1324"/>
    <cellStyle name="Comma 3 72" xfId="1325"/>
    <cellStyle name="Comma 3 73" xfId="1326"/>
    <cellStyle name="Comma 3 74" xfId="1327"/>
    <cellStyle name="Comma 3 8" xfId="1328"/>
    <cellStyle name="Comma 3 8 2" xfId="1329"/>
    <cellStyle name="Comma 3 8 3" xfId="1330"/>
    <cellStyle name="Comma 3 9" xfId="1331"/>
    <cellStyle name="Comma 3 9 2" xfId="1332"/>
    <cellStyle name="Comma 3 9 3" xfId="1333"/>
    <cellStyle name="Comma 3_PM T9 -revised Q3 1.0.xls-adjust G11+FSJ" xfId="1334"/>
    <cellStyle name="Comma 30" xfId="1335"/>
    <cellStyle name="Comma 31" xfId="1336"/>
    <cellStyle name="Comma 32" xfId="1337"/>
    <cellStyle name="Comma 33" xfId="1338"/>
    <cellStyle name="Comma 33 2" xfId="1339"/>
    <cellStyle name="Comma 35" xfId="1340"/>
    <cellStyle name="Comma 35 2" xfId="1341"/>
    <cellStyle name="Comma 35 3" xfId="1342"/>
    <cellStyle name="Comma 36" xfId="1343"/>
    <cellStyle name="Comma 36 2" xfId="1344"/>
    <cellStyle name="Comma 36 2 2" xfId="1345"/>
    <cellStyle name="Comma 36 2 3" xfId="1346"/>
    <cellStyle name="Comma 36 3" xfId="1347"/>
    <cellStyle name="Comma 36 4" xfId="1348"/>
    <cellStyle name="Comma 39" xfId="1349"/>
    <cellStyle name="Comma 4" xfId="1350"/>
    <cellStyle name="Comma 4 10" xfId="1351"/>
    <cellStyle name="Comma 4 11" xfId="1352"/>
    <cellStyle name="Comma 4 12" xfId="1353"/>
    <cellStyle name="Comma 4 13" xfId="1354"/>
    <cellStyle name="Comma 4 14" xfId="1355"/>
    <cellStyle name="Comma 4 15" xfId="1356"/>
    <cellStyle name="Comma 4 16" xfId="1357"/>
    <cellStyle name="Comma 4 17" xfId="1358"/>
    <cellStyle name="Comma 4 18" xfId="1359"/>
    <cellStyle name="Comma 4 19" xfId="1360"/>
    <cellStyle name="Comma 4 2" xfId="1361"/>
    <cellStyle name="Comma 4 20" xfId="1362"/>
    <cellStyle name="Comma 4 21" xfId="1363"/>
    <cellStyle name="Comma 4 22" xfId="1364"/>
    <cellStyle name="Comma 4 23" xfId="1365"/>
    <cellStyle name="Comma 4 24" xfId="1366"/>
    <cellStyle name="Comma 4 25" xfId="1367"/>
    <cellStyle name="Comma 4 26" xfId="1368"/>
    <cellStyle name="Comma 4 27" xfId="1369"/>
    <cellStyle name="Comma 4 27 2" xfId="1370"/>
    <cellStyle name="Comma 4 27 3" xfId="1371"/>
    <cellStyle name="Comma 4 28" xfId="1372"/>
    <cellStyle name="Comma 4 29" xfId="1373"/>
    <cellStyle name="Comma 4 3" xfId="1374"/>
    <cellStyle name="Comma 4 30" xfId="1375"/>
    <cellStyle name="Comma 4 31" xfId="1376"/>
    <cellStyle name="Comma 4 32" xfId="1377"/>
    <cellStyle name="Comma 4 33" xfId="1378"/>
    <cellStyle name="Comma 4 34" xfId="1379"/>
    <cellStyle name="Comma 4 35" xfId="1380"/>
    <cellStyle name="Comma 4 36" xfId="1381"/>
    <cellStyle name="Comma 4 37" xfId="1382"/>
    <cellStyle name="Comma 4 38" xfId="1383"/>
    <cellStyle name="Comma 4 39" xfId="1384"/>
    <cellStyle name="Comma 4 4" xfId="1385"/>
    <cellStyle name="Comma 4 40" xfId="1386"/>
    <cellStyle name="Comma 4 41" xfId="1387"/>
    <cellStyle name="Comma 4 42" xfId="1388"/>
    <cellStyle name="Comma 4 43" xfId="1389"/>
    <cellStyle name="Comma 4 44" xfId="1390"/>
    <cellStyle name="Comma 4 45" xfId="1391"/>
    <cellStyle name="Comma 4 46" xfId="1392"/>
    <cellStyle name="Comma 4 47" xfId="1393"/>
    <cellStyle name="Comma 4 48" xfId="1394"/>
    <cellStyle name="Comma 4 49" xfId="1395"/>
    <cellStyle name="Comma 4 5" xfId="1396"/>
    <cellStyle name="Comma 4 50" xfId="1397"/>
    <cellStyle name="Comma 4 51" xfId="1398"/>
    <cellStyle name="Comma 4 52" xfId="1399"/>
    <cellStyle name="Comma 4 53" xfId="1400"/>
    <cellStyle name="Comma 4 54" xfId="1401"/>
    <cellStyle name="Comma 4 55" xfId="1402"/>
    <cellStyle name="Comma 4 56" xfId="1403"/>
    <cellStyle name="Comma 4 57" xfId="1404"/>
    <cellStyle name="Comma 4 58" xfId="1405"/>
    <cellStyle name="Comma 4 59" xfId="1406"/>
    <cellStyle name="Comma 4 6" xfId="1407"/>
    <cellStyle name="Comma 4 60" xfId="1408"/>
    <cellStyle name="Comma 4 61" xfId="1409"/>
    <cellStyle name="Comma 4 62" xfId="1410"/>
    <cellStyle name="Comma 4 63" xfId="1411"/>
    <cellStyle name="Comma 4 64" xfId="1412"/>
    <cellStyle name="Comma 4 65" xfId="1413"/>
    <cellStyle name="Comma 4 66" xfId="1414"/>
    <cellStyle name="Comma 4 67" xfId="1415"/>
    <cellStyle name="Comma 4 68" xfId="1416"/>
    <cellStyle name="Comma 4 69" xfId="1417"/>
    <cellStyle name="Comma 4 7" xfId="1418"/>
    <cellStyle name="Comma 4 70" xfId="1419"/>
    <cellStyle name="Comma 4 71" xfId="1420"/>
    <cellStyle name="Comma 4 72" xfId="1421"/>
    <cellStyle name="Comma 4 8" xfId="1422"/>
    <cellStyle name="Comma 4 9" xfId="1423"/>
    <cellStyle name="Comma 4_PM T9 -revised Q3 1.0.xls-adjust G11+FSJ" xfId="1424"/>
    <cellStyle name="Comma 48" xfId="1425"/>
    <cellStyle name="Comma 48 2" xfId="1426"/>
    <cellStyle name="Comma 48 3" xfId="1427"/>
    <cellStyle name="Comma 5" xfId="1428"/>
    <cellStyle name="Comma 5 2" xfId="1429"/>
    <cellStyle name="Comma 5 2 10" xfId="1430"/>
    <cellStyle name="Comma 5 2 11" xfId="1431"/>
    <cellStyle name="Comma 5 2 12" xfId="1432"/>
    <cellStyle name="Comma 5 2 13" xfId="1433"/>
    <cellStyle name="Comma 5 2 14" xfId="1434"/>
    <cellStyle name="Comma 5 2 15" xfId="1435"/>
    <cellStyle name="Comma 5 2 16" xfId="1436"/>
    <cellStyle name="Comma 5 2 17" xfId="1437"/>
    <cellStyle name="Comma 5 2 18" xfId="1438"/>
    <cellStyle name="Comma 5 2 19" xfId="1439"/>
    <cellStyle name="Comma 5 2 2" xfId="1440"/>
    <cellStyle name="Comma 5 2 2 2" xfId="1441"/>
    <cellStyle name="Comma 5 2 2 3" xfId="1442"/>
    <cellStyle name="Comma 5 2 20" xfId="1443"/>
    <cellStyle name="Comma 5 2 21" xfId="1444"/>
    <cellStyle name="Comma 5 2 22" xfId="1445"/>
    <cellStyle name="Comma 5 2 23" xfId="1446"/>
    <cellStyle name="Comma 5 2 24" xfId="1447"/>
    <cellStyle name="Comma 5 2 25" xfId="1448"/>
    <cellStyle name="Comma 5 2 26" xfId="1449"/>
    <cellStyle name="Comma 5 2 27" xfId="1450"/>
    <cellStyle name="Comma 5 2 28" xfId="1451"/>
    <cellStyle name="Comma 5 2 29" xfId="1452"/>
    <cellStyle name="Comma 5 2 3" xfId="1453"/>
    <cellStyle name="Comma 5 2 30" xfId="1454"/>
    <cellStyle name="Comma 5 2 31" xfId="1455"/>
    <cellStyle name="Comma 5 2 32" xfId="1456"/>
    <cellStyle name="Comma 5 2 33" xfId="1457"/>
    <cellStyle name="Comma 5 2 34" xfId="1458"/>
    <cellStyle name="Comma 5 2 35" xfId="1459"/>
    <cellStyle name="Comma 5 2 36" xfId="1460"/>
    <cellStyle name="Comma 5 2 37" xfId="1461"/>
    <cellStyle name="Comma 5 2 38" xfId="1462"/>
    <cellStyle name="Comma 5 2 39" xfId="1463"/>
    <cellStyle name="Comma 5 2 4" xfId="1464"/>
    <cellStyle name="Comma 5 2 40" xfId="1465"/>
    <cellStyle name="Comma 5 2 41" xfId="1466"/>
    <cellStyle name="Comma 5 2 42" xfId="1467"/>
    <cellStyle name="Comma 5 2 43" xfId="1468"/>
    <cellStyle name="Comma 5 2 44" xfId="1469"/>
    <cellStyle name="Comma 5 2 45" xfId="1470"/>
    <cellStyle name="Comma 5 2 46" xfId="1471"/>
    <cellStyle name="Comma 5 2 47" xfId="1472"/>
    <cellStyle name="Comma 5 2 5" xfId="1473"/>
    <cellStyle name="Comma 5 2 6" xfId="1474"/>
    <cellStyle name="Comma 5 2 7" xfId="1475"/>
    <cellStyle name="Comma 5 2 8" xfId="1476"/>
    <cellStyle name="Comma 5 2 9" xfId="1477"/>
    <cellStyle name="Comma 5 3" xfId="1478"/>
    <cellStyle name="Comma 5 4" xfId="1479"/>
    <cellStyle name="Comma 5 5" xfId="1480"/>
    <cellStyle name="Comma 5 6" xfId="1481"/>
    <cellStyle name="Comma 53" xfId="1482"/>
    <cellStyle name="Comma 53 2" xfId="1483"/>
    <cellStyle name="Comma 53 3" xfId="1484"/>
    <cellStyle name="Comma 57" xfId="1485"/>
    <cellStyle name="Comma 58" xfId="1486"/>
    <cellStyle name="Comma 59" xfId="1487"/>
    <cellStyle name="Comma 6" xfId="1488"/>
    <cellStyle name="Comma 6 10" xfId="1489"/>
    <cellStyle name="Comma 6 11" xfId="1490"/>
    <cellStyle name="Comma 6 12" xfId="1491"/>
    <cellStyle name="Comma 6 13" xfId="1492"/>
    <cellStyle name="Comma 6 14" xfId="1493"/>
    <cellStyle name="Comma 6 15" xfId="1494"/>
    <cellStyle name="Comma 6 16" xfId="1495"/>
    <cellStyle name="Comma 6 17" xfId="1496"/>
    <cellStyle name="Comma 6 18" xfId="1497"/>
    <cellStyle name="Comma 6 19" xfId="1498"/>
    <cellStyle name="Comma 6 2" xfId="1499"/>
    <cellStyle name="Comma 6 2 10" xfId="1500"/>
    <cellStyle name="Comma 6 2 11" xfId="1501"/>
    <cellStyle name="Comma 6 2 12" xfId="1502"/>
    <cellStyle name="Comma 6 2 13" xfId="1503"/>
    <cellStyle name="Comma 6 2 14" xfId="1504"/>
    <cellStyle name="Comma 6 2 15" xfId="1505"/>
    <cellStyle name="Comma 6 2 16" xfId="1506"/>
    <cellStyle name="Comma 6 2 17" xfId="1507"/>
    <cellStyle name="Comma 6 2 18" xfId="1508"/>
    <cellStyle name="Comma 6 2 19" xfId="1509"/>
    <cellStyle name="Comma 6 2 2" xfId="1510"/>
    <cellStyle name="Comma 6 2 20" xfId="1511"/>
    <cellStyle name="Comma 6 2 21" xfId="1512"/>
    <cellStyle name="Comma 6 2 22" xfId="1513"/>
    <cellStyle name="Comma 6 2 23" xfId="1514"/>
    <cellStyle name="Comma 6 2 24" xfId="1515"/>
    <cellStyle name="Comma 6 2 25" xfId="1516"/>
    <cellStyle name="Comma 6 2 26" xfId="1517"/>
    <cellStyle name="Comma 6 2 27" xfId="1518"/>
    <cellStyle name="Comma 6 2 28" xfId="1519"/>
    <cellStyle name="Comma 6 2 29" xfId="1520"/>
    <cellStyle name="Comma 6 2 3" xfId="1521"/>
    <cellStyle name="Comma 6 2 30" xfId="1522"/>
    <cellStyle name="Comma 6 2 31" xfId="1523"/>
    <cellStyle name="Comma 6 2 32" xfId="1524"/>
    <cellStyle name="Comma 6 2 33" xfId="1525"/>
    <cellStyle name="Comma 6 2 34" xfId="1526"/>
    <cellStyle name="Comma 6 2 35" xfId="1527"/>
    <cellStyle name="Comma 6 2 36" xfId="1528"/>
    <cellStyle name="Comma 6 2 37" xfId="1529"/>
    <cellStyle name="Comma 6 2 38" xfId="1530"/>
    <cellStyle name="Comma 6 2 39" xfId="1531"/>
    <cellStyle name="Comma 6 2 4" xfId="1532"/>
    <cellStyle name="Comma 6 2 40" xfId="1533"/>
    <cellStyle name="Comma 6 2 41" xfId="1534"/>
    <cellStyle name="Comma 6 2 42" xfId="1535"/>
    <cellStyle name="Comma 6 2 43" xfId="1536"/>
    <cellStyle name="Comma 6 2 44" xfId="1537"/>
    <cellStyle name="Comma 6 2 45" xfId="1538"/>
    <cellStyle name="Comma 6 2 46" xfId="1539"/>
    <cellStyle name="Comma 6 2 5" xfId="1540"/>
    <cellStyle name="Comma 6 2 6" xfId="1541"/>
    <cellStyle name="Comma 6 2 7" xfId="1542"/>
    <cellStyle name="Comma 6 2 8" xfId="1543"/>
    <cellStyle name="Comma 6 2 9" xfId="1544"/>
    <cellStyle name="Comma 6 20" xfId="1545"/>
    <cellStyle name="Comma 6 21" xfId="1546"/>
    <cellStyle name="Comma 6 22" xfId="1547"/>
    <cellStyle name="Comma 6 23" xfId="1548"/>
    <cellStyle name="Comma 6 24" xfId="1549"/>
    <cellStyle name="Comma 6 25" xfId="1550"/>
    <cellStyle name="Comma 6 26" xfId="1551"/>
    <cellStyle name="Comma 6 27" xfId="1552"/>
    <cellStyle name="Comma 6 28" xfId="1553"/>
    <cellStyle name="Comma 6 29" xfId="1554"/>
    <cellStyle name="Comma 6 3" xfId="1555"/>
    <cellStyle name="Comma 6 30" xfId="1556"/>
    <cellStyle name="Comma 6 31" xfId="1557"/>
    <cellStyle name="Comma 6 32" xfId="1558"/>
    <cellStyle name="Comma 6 33" xfId="1559"/>
    <cellStyle name="Comma 6 34" xfId="1560"/>
    <cellStyle name="Comma 6 35" xfId="1561"/>
    <cellStyle name="Comma 6 36" xfId="1562"/>
    <cellStyle name="Comma 6 37" xfId="1563"/>
    <cellStyle name="Comma 6 38" xfId="1564"/>
    <cellStyle name="Comma 6 39" xfId="1565"/>
    <cellStyle name="Comma 6 4" xfId="1566"/>
    <cellStyle name="Comma 6 40" xfId="1567"/>
    <cellStyle name="Comma 6 41" xfId="1568"/>
    <cellStyle name="Comma 6 42" xfId="1569"/>
    <cellStyle name="Comma 6 43" xfId="1570"/>
    <cellStyle name="Comma 6 44" xfId="1571"/>
    <cellStyle name="Comma 6 45" xfId="1572"/>
    <cellStyle name="Comma 6 46" xfId="1573"/>
    <cellStyle name="Comma 6 47" xfId="1574"/>
    <cellStyle name="Comma 6 5" xfId="1575"/>
    <cellStyle name="Comma 6 6" xfId="1576"/>
    <cellStyle name="Comma 6 7" xfId="1577"/>
    <cellStyle name="Comma 6 8" xfId="1578"/>
    <cellStyle name="Comma 6 9" xfId="1579"/>
    <cellStyle name="Comma 6_PM T9 -revised Q3 1.0.xls-adjust G11+FSJ" xfId="1580"/>
    <cellStyle name="Comma 60" xfId="1581"/>
    <cellStyle name="Comma 61" xfId="1582"/>
    <cellStyle name="Comma 62" xfId="1583"/>
    <cellStyle name="Comma 7" xfId="1584"/>
    <cellStyle name="Comma 7 2" xfId="1585"/>
    <cellStyle name="Comma 7 3" xfId="1586"/>
    <cellStyle name="Comma 7 4" xfId="1587"/>
    <cellStyle name="Comma 7 5" xfId="1588"/>
    <cellStyle name="Comma 7 6" xfId="1589"/>
    <cellStyle name="Comma 8" xfId="1590"/>
    <cellStyle name="Comma 8 2" xfId="1591"/>
    <cellStyle name="Comma 8 3" xfId="1592"/>
    <cellStyle name="Comma 8 4" xfId="1593"/>
    <cellStyle name="Comma 8 5" xfId="1594"/>
    <cellStyle name="Comma 9" xfId="1595"/>
    <cellStyle name="Comma 9 2" xfId="1596"/>
    <cellStyle name="Comma 9 3" xfId="1597"/>
    <cellStyle name="comma zerodec" xfId="1598"/>
    <cellStyle name="Comma0" xfId="1599"/>
    <cellStyle name="Copied" xfId="1600"/>
    <cellStyle name="Currency 10" xfId="1601"/>
    <cellStyle name="Currency 2" xfId="1602"/>
    <cellStyle name="Currency 2 10" xfId="1603"/>
    <cellStyle name="Currency 2 2" xfId="1604"/>
    <cellStyle name="Currency 2 3" xfId="1605"/>
    <cellStyle name="Currency 2 4" xfId="1606"/>
    <cellStyle name="Currency 2 5" xfId="1607"/>
    <cellStyle name="Currency 2 6" xfId="1608"/>
    <cellStyle name="Currency 2 7" xfId="1609"/>
    <cellStyle name="Currency 2 8" xfId="1610"/>
    <cellStyle name="Currency 2 9" xfId="1611"/>
    <cellStyle name="Currency 3" xfId="1612"/>
    <cellStyle name="Currency0" xfId="1613"/>
    <cellStyle name="Currency1" xfId="1614"/>
    <cellStyle name="d_yield" xfId="1615"/>
    <cellStyle name="d_yield_Sheet1" xfId="1616"/>
    <cellStyle name="Dan" xfId="1617"/>
    <cellStyle name="Date" xfId="1618"/>
    <cellStyle name="Dollar (zero dec)" xfId="1619"/>
    <cellStyle name="Dziesi?tny [0]_Invoices2001Slovakia" xfId="1620"/>
    <cellStyle name="Dziesi?tny_Invoices2001Slovakia" xfId="1621"/>
    <cellStyle name="Dziesietny [0]_Invoices2001Slovakia" xfId="1622"/>
    <cellStyle name="Dziesiętny [0]_Invoices2001Slovakia" xfId="1623"/>
    <cellStyle name="Dziesietny [0]_Invoices2001Slovakia_Book1" xfId="1624"/>
    <cellStyle name="Dziesiętny [0]_Invoices2001Slovakia_Book1" xfId="1625"/>
    <cellStyle name="Dziesietny [0]_Invoices2001Slovakia_Book1_Tong hop Cac tuyen(9-1-06)" xfId="1626"/>
    <cellStyle name="Dziesiętny [0]_Invoices2001Slovakia_Book1_Tong hop Cac tuyen(9-1-06)" xfId="1627"/>
    <cellStyle name="Dziesietny [0]_Invoices2001Slovakia_KL K.C mat duong" xfId="1628"/>
    <cellStyle name="Dziesiętny [0]_Invoices2001Slovakia_Nhalamviec VTC(25-1-05)" xfId="1629"/>
    <cellStyle name="Dziesietny [0]_Invoices2001Slovakia_TDT KHANH HOA" xfId="1630"/>
    <cellStyle name="Dziesiętny [0]_Invoices2001Slovakia_TDT KHANH HOA" xfId="1631"/>
    <cellStyle name="Dziesietny [0]_Invoices2001Slovakia_TDT KHANH HOA_Tong hop Cac tuyen(9-1-06)" xfId="1632"/>
    <cellStyle name="Dziesiętny [0]_Invoices2001Slovakia_TDT KHANH HOA_Tong hop Cac tuyen(9-1-06)" xfId="1633"/>
    <cellStyle name="Dziesietny [0]_Invoices2001Slovakia_TDT quangngai" xfId="1634"/>
    <cellStyle name="Dziesiętny [0]_Invoices2001Slovakia_TDT quangngai" xfId="1635"/>
    <cellStyle name="Dziesietny [0]_Invoices2001Slovakia_Tong hop Cac tuyen(9-1-06)" xfId="1636"/>
    <cellStyle name="Dziesietny_Invoices2001Slovakia" xfId="1637"/>
    <cellStyle name="Dziesiętny_Invoices2001Slovakia" xfId="1638"/>
    <cellStyle name="Dziesietny_Invoices2001Slovakia_Book1" xfId="1639"/>
    <cellStyle name="Dziesiętny_Invoices2001Slovakia_Book1" xfId="1640"/>
    <cellStyle name="Dziesietny_Invoices2001Slovakia_Book1_Tong hop Cac tuyen(9-1-06)" xfId="1641"/>
    <cellStyle name="Dziesiętny_Invoices2001Slovakia_Book1_Tong hop Cac tuyen(9-1-06)" xfId="1642"/>
    <cellStyle name="Dziesietny_Invoices2001Slovakia_KL K.C mat duong" xfId="1643"/>
    <cellStyle name="Dziesiętny_Invoices2001Slovakia_Nhalamviec VTC(25-1-05)" xfId="1644"/>
    <cellStyle name="Dziesietny_Invoices2001Slovakia_TDT KHANH HOA" xfId="1645"/>
    <cellStyle name="Dziesiętny_Invoices2001Slovakia_TDT KHANH HOA" xfId="1646"/>
    <cellStyle name="Dziesietny_Invoices2001Slovakia_TDT KHANH HOA_Tong hop Cac tuyen(9-1-06)" xfId="1647"/>
    <cellStyle name="Dziesiętny_Invoices2001Slovakia_TDT KHANH HOA_Tong hop Cac tuyen(9-1-06)" xfId="1648"/>
    <cellStyle name="Dziesietny_Invoices2001Slovakia_TDT quangngai" xfId="1649"/>
    <cellStyle name="Dziesiętny_Invoices2001Slovakia_TDT quangngai" xfId="1650"/>
    <cellStyle name="Dziesietny_Invoices2001Slovakia_Tong hop Cac tuyen(9-1-06)" xfId="1651"/>
    <cellStyle name="Entered" xfId="1652"/>
    <cellStyle name="eps" xfId="1653"/>
    <cellStyle name="eps$" xfId="1654"/>
    <cellStyle name="eps$A" xfId="1655"/>
    <cellStyle name="eps$E" xfId="1656"/>
    <cellStyle name="eps_2nd Quarter" xfId="1657"/>
    <cellStyle name="epsA" xfId="1658"/>
    <cellStyle name="epsE" xfId="1659"/>
    <cellStyle name="Explanatory Text 10" xfId="1660"/>
    <cellStyle name="Explanatory Text 11" xfId="1661"/>
    <cellStyle name="Explanatory Text 12" xfId="1662"/>
    <cellStyle name="Explanatory Text 13" xfId="1663"/>
    <cellStyle name="Explanatory Text 2" xfId="1664"/>
    <cellStyle name="Explanatory Text 2 2" xfId="1665"/>
    <cellStyle name="Explanatory Text 2 3" xfId="1666"/>
    <cellStyle name="Explanatory Text 3" xfId="1667"/>
    <cellStyle name="Explanatory Text 4" xfId="1668"/>
    <cellStyle name="Explanatory Text 5" xfId="1669"/>
    <cellStyle name="Explanatory Text 6" xfId="1670"/>
    <cellStyle name="Explanatory Text 7" xfId="1671"/>
    <cellStyle name="Explanatory Text 8" xfId="1672"/>
    <cellStyle name="Explanatory Text 9" xfId="1673"/>
    <cellStyle name="Fixed" xfId="1674"/>
    <cellStyle name="fy_eps$" xfId="1675"/>
    <cellStyle name="g_rate" xfId="1676"/>
    <cellStyle name="g_rate_Sheet1" xfId="1677"/>
    <cellStyle name="Good 10" xfId="1678"/>
    <cellStyle name="Good 11" xfId="1679"/>
    <cellStyle name="Good 12" xfId="1680"/>
    <cellStyle name="Good 13" xfId="1681"/>
    <cellStyle name="Good 2" xfId="1682"/>
    <cellStyle name="Good 2 2" xfId="1683"/>
    <cellStyle name="Good 2 3" xfId="1684"/>
    <cellStyle name="Good 3" xfId="1685"/>
    <cellStyle name="Good 4" xfId="1686"/>
    <cellStyle name="Good 5" xfId="1687"/>
    <cellStyle name="Good 6" xfId="1688"/>
    <cellStyle name="Good 7" xfId="1689"/>
    <cellStyle name="Good 8" xfId="1690"/>
    <cellStyle name="Good 9" xfId="1691"/>
    <cellStyle name="Grey" xfId="1692"/>
    <cellStyle name="HEADER" xfId="1693"/>
    <cellStyle name="Header1" xfId="1694"/>
    <cellStyle name="Header2" xfId="1695"/>
    <cellStyle name="Heading" xfId="1696"/>
    <cellStyle name="Heading 1 10" xfId="1697"/>
    <cellStyle name="Heading 1 11" xfId="1698"/>
    <cellStyle name="Heading 1 12" xfId="1699"/>
    <cellStyle name="Heading 1 13" xfId="1700"/>
    <cellStyle name="Heading 1 2" xfId="1701"/>
    <cellStyle name="Heading 1 2 2" xfId="1702"/>
    <cellStyle name="Heading 1 2 3" xfId="1703"/>
    <cellStyle name="Heading 1 3" xfId="1704"/>
    <cellStyle name="Heading 1 4" xfId="1705"/>
    <cellStyle name="Heading 1 5" xfId="1706"/>
    <cellStyle name="Heading 1 6" xfId="1707"/>
    <cellStyle name="Heading 1 7" xfId="1708"/>
    <cellStyle name="Heading 1 8" xfId="1709"/>
    <cellStyle name="Heading 1 9" xfId="1710"/>
    <cellStyle name="Heading 2 10" xfId="1711"/>
    <cellStyle name="Heading 2 11" xfId="1712"/>
    <cellStyle name="Heading 2 12" xfId="1713"/>
    <cellStyle name="Heading 2 13" xfId="1714"/>
    <cellStyle name="Heading 2 2" xfId="1715"/>
    <cellStyle name="Heading 2 2 2" xfId="1716"/>
    <cellStyle name="Heading 2 2 3" xfId="1717"/>
    <cellStyle name="Heading 2 3" xfId="1718"/>
    <cellStyle name="Heading 2 4" xfId="1719"/>
    <cellStyle name="Heading 2 5" xfId="1720"/>
    <cellStyle name="Heading 2 6" xfId="1721"/>
    <cellStyle name="Heading 2 7" xfId="1722"/>
    <cellStyle name="Heading 2 8" xfId="1723"/>
    <cellStyle name="Heading 2 9" xfId="1724"/>
    <cellStyle name="Heading 3 10" xfId="1725"/>
    <cellStyle name="Heading 3 11" xfId="1726"/>
    <cellStyle name="Heading 3 12" xfId="1727"/>
    <cellStyle name="Heading 3 13" xfId="1728"/>
    <cellStyle name="Heading 3 2" xfId="1729"/>
    <cellStyle name="Heading 3 2 2" xfId="1730"/>
    <cellStyle name="Heading 3 2 3" xfId="1731"/>
    <cellStyle name="Heading 3 3" xfId="1732"/>
    <cellStyle name="Heading 3 4" xfId="1733"/>
    <cellStyle name="Heading 3 5" xfId="1734"/>
    <cellStyle name="Heading 3 6" xfId="1735"/>
    <cellStyle name="Heading 3 7" xfId="1736"/>
    <cellStyle name="Heading 3 8" xfId="1737"/>
    <cellStyle name="Heading 3 9" xfId="1738"/>
    <cellStyle name="Heading 4 10" xfId="1739"/>
    <cellStyle name="Heading 4 11" xfId="1740"/>
    <cellStyle name="Heading 4 12" xfId="1741"/>
    <cellStyle name="Heading 4 13" xfId="1742"/>
    <cellStyle name="Heading 4 2" xfId="1743"/>
    <cellStyle name="Heading 4 2 2" xfId="1744"/>
    <cellStyle name="Heading 4 2 3" xfId="1745"/>
    <cellStyle name="Heading 4 3" xfId="1746"/>
    <cellStyle name="Heading 4 4" xfId="1747"/>
    <cellStyle name="Heading 4 5" xfId="1748"/>
    <cellStyle name="Heading 4 6" xfId="1749"/>
    <cellStyle name="Heading 4 7" xfId="1750"/>
    <cellStyle name="Heading 4 8" xfId="1751"/>
    <cellStyle name="Heading 4 9" xfId="1752"/>
    <cellStyle name="HEADING1" xfId="1753"/>
    <cellStyle name="HEADING2" xfId="1754"/>
    <cellStyle name="headoption" xfId="1755"/>
    <cellStyle name="Hoa-Scholl" xfId="1756"/>
    <cellStyle name="Hyperlink 2" xfId="1757"/>
    <cellStyle name="Hyperlink 3" xfId="1758"/>
    <cellStyle name="IBM(401K)" xfId="1759"/>
    <cellStyle name="Indent" xfId="1760"/>
    <cellStyle name="Input [yellow]" xfId="1761"/>
    <cellStyle name="Input 10" xfId="1762"/>
    <cellStyle name="Input 11" xfId="1763"/>
    <cellStyle name="Input 12" xfId="1764"/>
    <cellStyle name="Input 13" xfId="1765"/>
    <cellStyle name="Input 2" xfId="1766"/>
    <cellStyle name="Input 2 2" xfId="1767"/>
    <cellStyle name="Input 2 3" xfId="1768"/>
    <cellStyle name="Input 3" xfId="1769"/>
    <cellStyle name="Input 4" xfId="1770"/>
    <cellStyle name="Input 5" xfId="1771"/>
    <cellStyle name="Input 6" xfId="1772"/>
    <cellStyle name="Input 7" xfId="1773"/>
    <cellStyle name="Input 8" xfId="1774"/>
    <cellStyle name="Input 9" xfId="1775"/>
    <cellStyle name="J401K" xfId="1776"/>
    <cellStyle name="khanh" xfId="1777"/>
    <cellStyle name="Ledger 17 x 11 in" xfId="1778"/>
    <cellStyle name="Ledger 17 x 11 in 2" xfId="1779"/>
    <cellStyle name="Ledger 17 x 11 in_So du cong no FSO Q3-08" xfId="1780"/>
    <cellStyle name="Linked Cell 10" xfId="1781"/>
    <cellStyle name="Linked Cell 11" xfId="1782"/>
    <cellStyle name="Linked Cell 12" xfId="1783"/>
    <cellStyle name="Linked Cell 13" xfId="1784"/>
    <cellStyle name="Linked Cell 2" xfId="1785"/>
    <cellStyle name="Linked Cell 2 2" xfId="1786"/>
    <cellStyle name="Linked Cell 2 3" xfId="1787"/>
    <cellStyle name="Linked Cell 3" xfId="1788"/>
    <cellStyle name="Linked Cell 4" xfId="1789"/>
    <cellStyle name="Linked Cell 5" xfId="1790"/>
    <cellStyle name="Linked Cell 6" xfId="1791"/>
    <cellStyle name="Linked Cell 7" xfId="1792"/>
    <cellStyle name="Linked Cell 8" xfId="1793"/>
    <cellStyle name="Linked Cell 9" xfId="1794"/>
    <cellStyle name="m" xfId="1795"/>
    <cellStyle name="m$" xfId="1796"/>
    <cellStyle name="Millares [0]_Well Timing" xfId="1797"/>
    <cellStyle name="Millares_Well Timing" xfId="1798"/>
    <cellStyle name="mm" xfId="1799"/>
    <cellStyle name="Model" xfId="1800"/>
    <cellStyle name="moi" xfId="1801"/>
    <cellStyle name="Moneda [0]_Well Timing" xfId="1802"/>
    <cellStyle name="Moneda_Well Timing" xfId="1803"/>
    <cellStyle name="Monétaire [0]_TARIFFS DB" xfId="1804"/>
    <cellStyle name="Monétaire_TARIFFS DB" xfId="1805"/>
    <cellStyle name="n" xfId="1806"/>
    <cellStyle name="Neutral 10" xfId="1807"/>
    <cellStyle name="Neutral 11" xfId="1808"/>
    <cellStyle name="Neutral 12" xfId="1809"/>
    <cellStyle name="Neutral 13" xfId="1810"/>
    <cellStyle name="Neutral 2" xfId="1811"/>
    <cellStyle name="Neutral 2 2" xfId="1812"/>
    <cellStyle name="Neutral 2 3" xfId="1813"/>
    <cellStyle name="Neutral 3" xfId="1814"/>
    <cellStyle name="Neutral 4" xfId="1815"/>
    <cellStyle name="Neutral 5" xfId="1816"/>
    <cellStyle name="Neutral 6" xfId="1817"/>
    <cellStyle name="Neutral 7" xfId="1818"/>
    <cellStyle name="Neutral 8" xfId="1819"/>
    <cellStyle name="Neutral 9" xfId="1820"/>
    <cellStyle name="New Times Roman" xfId="1821"/>
    <cellStyle name="no dec" xfId="1822"/>
    <cellStyle name="Normal" xfId="0" builtinId="0"/>
    <cellStyle name="Normal - Style1" xfId="1823"/>
    <cellStyle name="Normal - Style1 2" xfId="1824"/>
    <cellStyle name="Normal - Style1 3" xfId="1825"/>
    <cellStyle name="Normal - Style1_Gui Ha" xfId="1826"/>
    <cellStyle name="Normal 10" xfId="1827"/>
    <cellStyle name="Normal 11" xfId="1828"/>
    <cellStyle name="Normal 11 2" xfId="1829"/>
    <cellStyle name="Normal 12" xfId="1830"/>
    <cellStyle name="Normal 13" xfId="1831"/>
    <cellStyle name="Normal 14" xfId="1832"/>
    <cellStyle name="Normal 15" xfId="1833"/>
    <cellStyle name="Normal 16" xfId="1834"/>
    <cellStyle name="Normal 17" xfId="1835"/>
    <cellStyle name="Normal 18" xfId="1836"/>
    <cellStyle name="Normal 19" xfId="1837"/>
    <cellStyle name="Normal 2" xfId="1838"/>
    <cellStyle name="Normal 2 10" xfId="1839"/>
    <cellStyle name="Normal 2 10 2" xfId="1840"/>
    <cellStyle name="Normal 2 10 2 2" xfId="1841"/>
    <cellStyle name="Normal 2 10 2 2 2" xfId="1842"/>
    <cellStyle name="Normal 2 10 2 2 3" xfId="1843"/>
    <cellStyle name="Normal 2 10 2 3" xfId="1844"/>
    <cellStyle name="Normal 2 10 3" xfId="1845"/>
    <cellStyle name="Normal 2 10 4" xfId="1846"/>
    <cellStyle name="Normal 2 10_Fsoft Finance Report 0809 Template" xfId="1847"/>
    <cellStyle name="Normal 2 11" xfId="1848"/>
    <cellStyle name="Normal 2 11 2" xfId="1849"/>
    <cellStyle name="Normal 2 11 2 2" xfId="1850"/>
    <cellStyle name="Normal 2 11 2 2 2" xfId="1851"/>
    <cellStyle name="Normal 2 11 2 2 3" xfId="1852"/>
    <cellStyle name="Normal 2 11 2 3" xfId="1853"/>
    <cellStyle name="Normal 2 11 3" xfId="1854"/>
    <cellStyle name="Normal 2 11 4" xfId="1855"/>
    <cellStyle name="Normal 2 11_Fsoft Finance Report 0809 Template" xfId="1856"/>
    <cellStyle name="Normal 2 12" xfId="1857"/>
    <cellStyle name="Normal 2 12 2" xfId="1858"/>
    <cellStyle name="Normal 2 12 2 2" xfId="1859"/>
    <cellStyle name="Normal 2 12 2 2 2" xfId="1860"/>
    <cellStyle name="Normal 2 12 2 2 3" xfId="1861"/>
    <cellStyle name="Normal 2 12 2 3" xfId="1862"/>
    <cellStyle name="Normal 2 12 3" xfId="1863"/>
    <cellStyle name="Normal 2 12 4" xfId="1864"/>
    <cellStyle name="Normal 2 12_Fsoft Finance Report 0809 Template" xfId="1865"/>
    <cellStyle name="Normal 2 13" xfId="1866"/>
    <cellStyle name="Normal 2 13 2" xfId="1867"/>
    <cellStyle name="Normal 2 13 2 2" xfId="1868"/>
    <cellStyle name="Normal 2 13 2 2 2" xfId="1869"/>
    <cellStyle name="Normal 2 13 2 2 3" xfId="1870"/>
    <cellStyle name="Normal 2 13 2 3" xfId="1871"/>
    <cellStyle name="Normal 2 13 3" xfId="1872"/>
    <cellStyle name="Normal 2 13 4" xfId="1873"/>
    <cellStyle name="Normal 2 13_Fsoft Finance Report 0809 Template" xfId="1874"/>
    <cellStyle name="Normal 2 14" xfId="1875"/>
    <cellStyle name="Normal 2 14 2" xfId="1876"/>
    <cellStyle name="Normal 2 14 2 2" xfId="1877"/>
    <cellStyle name="Normal 2 14 2 2 2" xfId="1878"/>
    <cellStyle name="Normal 2 14 2 2 3" xfId="1879"/>
    <cellStyle name="Normal 2 14 2 3" xfId="1880"/>
    <cellStyle name="Normal 2 14 3" xfId="1881"/>
    <cellStyle name="Normal 2 14 4" xfId="1882"/>
    <cellStyle name="Normal 2 14_Fsoft Finance Report 0809 Template" xfId="1883"/>
    <cellStyle name="Normal 2 15" xfId="1884"/>
    <cellStyle name="Normal 2 15 2" xfId="1885"/>
    <cellStyle name="Normal 2 15 2 2" xfId="1886"/>
    <cellStyle name="Normal 2 15 2 2 2" xfId="1887"/>
    <cellStyle name="Normal 2 15 2 2 3" xfId="1888"/>
    <cellStyle name="Normal 2 15 2 3" xfId="1889"/>
    <cellStyle name="Normal 2 15 3" xfId="1890"/>
    <cellStyle name="Normal 2 15 4" xfId="1891"/>
    <cellStyle name="Normal 2 15_Fsoft Finance Report 0809 Template" xfId="1892"/>
    <cellStyle name="Normal 2 16" xfId="1893"/>
    <cellStyle name="Normal 2 16 2" xfId="1894"/>
    <cellStyle name="Normal 2 16 2 2" xfId="1895"/>
    <cellStyle name="Normal 2 16 2 2 2" xfId="1896"/>
    <cellStyle name="Normal 2 16 2 2 3" xfId="1897"/>
    <cellStyle name="Normal 2 16 2 3" xfId="1898"/>
    <cellStyle name="Normal 2 16 3" xfId="1899"/>
    <cellStyle name="Normal 2 16 4" xfId="1900"/>
    <cellStyle name="Normal 2 16_Fsoft Finance Report 0809 Template" xfId="1901"/>
    <cellStyle name="Normal 2 17" xfId="1902"/>
    <cellStyle name="Normal 2 17 2" xfId="1903"/>
    <cellStyle name="Normal 2 17 2 2" xfId="1904"/>
    <cellStyle name="Normal 2 17 2 2 2" xfId="1905"/>
    <cellStyle name="Normal 2 17 2 2 3" xfId="1906"/>
    <cellStyle name="Normal 2 17 2 3" xfId="1907"/>
    <cellStyle name="Normal 2 17 3" xfId="1908"/>
    <cellStyle name="Normal 2 17 4" xfId="1909"/>
    <cellStyle name="Normal 2 17_Fsoft Finance Report 0809 Template" xfId="1910"/>
    <cellStyle name="Normal 2 18" xfId="1911"/>
    <cellStyle name="Normal 2 18 2" xfId="1912"/>
    <cellStyle name="Normal 2 18 2 2" xfId="1913"/>
    <cellStyle name="Normal 2 18 2 2 2" xfId="1914"/>
    <cellStyle name="Normal 2 18 2 2 3" xfId="1915"/>
    <cellStyle name="Normal 2 18 2 3" xfId="1916"/>
    <cellStyle name="Normal 2 18 3" xfId="1917"/>
    <cellStyle name="Normal 2 18 4" xfId="1918"/>
    <cellStyle name="Normal 2 18_Fsoft Finance Report 0809 Template" xfId="1919"/>
    <cellStyle name="Normal 2 19" xfId="1920"/>
    <cellStyle name="Normal 2 19 2" xfId="1921"/>
    <cellStyle name="Normal 2 19 2 2" xfId="1922"/>
    <cellStyle name="Normal 2 19 2 2 2" xfId="1923"/>
    <cellStyle name="Normal 2 19 2 2 3" xfId="1924"/>
    <cellStyle name="Normal 2 19 2 3" xfId="1925"/>
    <cellStyle name="Normal 2 19 3" xfId="1926"/>
    <cellStyle name="Normal 2 19 4" xfId="1927"/>
    <cellStyle name="Normal 2 19_Fsoft Finance Report 0809 Template" xfId="1928"/>
    <cellStyle name="Normal 2 2" xfId="1929"/>
    <cellStyle name="Normal 2 2 10" xfId="1930"/>
    <cellStyle name="Normal 2 2 11" xfId="1931"/>
    <cellStyle name="Normal 2 2 12" xfId="1932"/>
    <cellStyle name="Normal 2 2 13" xfId="1933"/>
    <cellStyle name="Normal 2 2 14" xfId="1934"/>
    <cellStyle name="Normal 2 2 15" xfId="1935"/>
    <cellStyle name="Normal 2 2 16" xfId="1936"/>
    <cellStyle name="Normal 2 2 17" xfId="1937"/>
    <cellStyle name="Normal 2 2 18" xfId="1938"/>
    <cellStyle name="Normal 2 2 19" xfId="1939"/>
    <cellStyle name="Normal 2 2 2" xfId="1940"/>
    <cellStyle name="Normal 2 2 2 10" xfId="1941"/>
    <cellStyle name="Normal 2 2 2 11" xfId="1942"/>
    <cellStyle name="Normal 2 2 2 12" xfId="1943"/>
    <cellStyle name="Normal 2 2 2 13" xfId="1944"/>
    <cellStyle name="Normal 2 2 2 14" xfId="1945"/>
    <cellStyle name="Normal 2 2 2 15" xfId="1946"/>
    <cellStyle name="Normal 2 2 2 16" xfId="1947"/>
    <cellStyle name="Normal 2 2 2 17" xfId="1948"/>
    <cellStyle name="Normal 2 2 2 18" xfId="1949"/>
    <cellStyle name="Normal 2 2 2 19" xfId="1950"/>
    <cellStyle name="Normal 2 2 2 2" xfId="1951"/>
    <cellStyle name="Normal 2 2 2 2 10" xfId="1952"/>
    <cellStyle name="Normal 2 2 2 2 11" xfId="1953"/>
    <cellStyle name="Normal 2 2 2 2 12" xfId="1954"/>
    <cellStyle name="Normal 2 2 2 2 13" xfId="1955"/>
    <cellStyle name="Normal 2 2 2 2 14" xfId="1956"/>
    <cellStyle name="Normal 2 2 2 2 15" xfId="1957"/>
    <cellStyle name="Normal 2 2 2 2 16" xfId="1958"/>
    <cellStyle name="Normal 2 2 2 2 17" xfId="1959"/>
    <cellStyle name="Normal 2 2 2 2 18" xfId="1960"/>
    <cellStyle name="Normal 2 2 2 2 19" xfId="1961"/>
    <cellStyle name="Normal 2 2 2 2 2" xfId="1962"/>
    <cellStyle name="Normal 2 2 2 2 2 2" xfId="1963"/>
    <cellStyle name="Normal 2 2 2 2 2 2 2" xfId="1964"/>
    <cellStyle name="Normal 2 2 2 2 2 2 3" xfId="1965"/>
    <cellStyle name="Normal 2 2 2 2 2 2 4" xfId="1966"/>
    <cellStyle name="Normal 2 2 2 2 2 2 5" xfId="1967"/>
    <cellStyle name="Normal 2 2 2 2 2 2 6" xfId="1968"/>
    <cellStyle name="Normal 2 2 2 2 2 2 7" xfId="1969"/>
    <cellStyle name="Normal 2 2 2 2 2 2 8" xfId="1970"/>
    <cellStyle name="Normal 2 2 2 2 2 3" xfId="1971"/>
    <cellStyle name="Normal 2 2 2 2 2 4" xfId="1972"/>
    <cellStyle name="Normal 2 2 2 2 2 5" xfId="1973"/>
    <cellStyle name="Normal 2 2 2 2 2 6" xfId="1974"/>
    <cellStyle name="Normal 2 2 2 2 2 7" xfId="1975"/>
    <cellStyle name="Normal 2 2 2 2 2 8" xfId="1976"/>
    <cellStyle name="Normal 2 2 2 2 2_Fsoft Finance Report 0809 Template" xfId="1977"/>
    <cellStyle name="Normal 2 2 2 2 20" xfId="1978"/>
    <cellStyle name="Normal 2 2 2 2 21" xfId="1979"/>
    <cellStyle name="Normal 2 2 2 2 22" xfId="1980"/>
    <cellStyle name="Normal 2 2 2 2 23" xfId="1981"/>
    <cellStyle name="Normal 2 2 2 2 24" xfId="1982"/>
    <cellStyle name="Normal 2 2 2 2 25" xfId="1983"/>
    <cellStyle name="Normal 2 2 2 2 26" xfId="1984"/>
    <cellStyle name="Normal 2 2 2 2 27" xfId="1985"/>
    <cellStyle name="Normal 2 2 2 2 28" xfId="1986"/>
    <cellStyle name="Normal 2 2 2 2 29" xfId="1987"/>
    <cellStyle name="Normal 2 2 2 2 3" xfId="1988"/>
    <cellStyle name="Normal 2 2 2 2 30" xfId="1989"/>
    <cellStyle name="Normal 2 2 2 2 31" xfId="1990"/>
    <cellStyle name="Normal 2 2 2 2 32" xfId="1991"/>
    <cellStyle name="Normal 2 2 2 2 33" xfId="1992"/>
    <cellStyle name="Normal 2 2 2 2 34" xfId="1993"/>
    <cellStyle name="Normal 2 2 2 2 35" xfId="1994"/>
    <cellStyle name="Normal 2 2 2 2 36" xfId="1995"/>
    <cellStyle name="Normal 2 2 2 2 37" xfId="1996"/>
    <cellStyle name="Normal 2 2 2 2 38" xfId="1997"/>
    <cellStyle name="Normal 2 2 2 2 39" xfId="1998"/>
    <cellStyle name="Normal 2 2 2 2 4" xfId="1999"/>
    <cellStyle name="Normal 2 2 2 2 40" xfId="2000"/>
    <cellStyle name="Normal 2 2 2 2 41" xfId="2001"/>
    <cellStyle name="Normal 2 2 2 2 42" xfId="2002"/>
    <cellStyle name="Normal 2 2 2 2 43" xfId="2003"/>
    <cellStyle name="Normal 2 2 2 2 44" xfId="2004"/>
    <cellStyle name="Normal 2 2 2 2 45" xfId="2005"/>
    <cellStyle name="Normal 2 2 2 2 46" xfId="2006"/>
    <cellStyle name="Normal 2 2 2 2 47" xfId="2007"/>
    <cellStyle name="Normal 2 2 2 2 48" xfId="2008"/>
    <cellStyle name="Normal 2 2 2 2 5" xfId="2009"/>
    <cellStyle name="Normal 2 2 2 2 6" xfId="2010"/>
    <cellStyle name="Normal 2 2 2 2 7" xfId="2011"/>
    <cellStyle name="Normal 2 2 2 2 8" xfId="2012"/>
    <cellStyle name="Normal 2 2 2 2 9" xfId="2013"/>
    <cellStyle name="Normal 2 2 2 20" xfId="2014"/>
    <cellStyle name="Normal 2 2 2 21" xfId="2015"/>
    <cellStyle name="Normal 2 2 2 22" xfId="2016"/>
    <cellStyle name="Normal 2 2 2 23" xfId="2017"/>
    <cellStyle name="Normal 2 2 2 24" xfId="2018"/>
    <cellStyle name="Normal 2 2 2 25" xfId="2019"/>
    <cellStyle name="Normal 2 2 2 26" xfId="2020"/>
    <cellStyle name="Normal 2 2 2 27" xfId="2021"/>
    <cellStyle name="Normal 2 2 2 28" xfId="2022"/>
    <cellStyle name="Normal 2 2 2 29" xfId="2023"/>
    <cellStyle name="Normal 2 2 2 3" xfId="2024"/>
    <cellStyle name="Normal 2 2 2 3 2" xfId="2025"/>
    <cellStyle name="Normal 2 2 2 3 2 2" xfId="2026"/>
    <cellStyle name="Normal 2 2 2 3 2 3" xfId="2027"/>
    <cellStyle name="Normal 2 2 2 3 3" xfId="2028"/>
    <cellStyle name="Normal 2 2 2 3 4" xfId="2029"/>
    <cellStyle name="Normal 2 2 2 3 5" xfId="2030"/>
    <cellStyle name="Normal 2 2 2 3 6" xfId="2031"/>
    <cellStyle name="Normal 2 2 2 3 7" xfId="2032"/>
    <cellStyle name="Normal 2 2 2 3 8" xfId="2033"/>
    <cellStyle name="Normal 2 2 2 30" xfId="2034"/>
    <cellStyle name="Normal 2 2 2 31" xfId="2035"/>
    <cellStyle name="Normal 2 2 2 32" xfId="2036"/>
    <cellStyle name="Normal 2 2 2 33" xfId="2037"/>
    <cellStyle name="Normal 2 2 2 34" xfId="2038"/>
    <cellStyle name="Normal 2 2 2 35" xfId="2039"/>
    <cellStyle name="Normal 2 2 2 36" xfId="2040"/>
    <cellStyle name="Normal 2 2 2 37" xfId="2041"/>
    <cellStyle name="Normal 2 2 2 38" xfId="2042"/>
    <cellStyle name="Normal 2 2 2 39" xfId="2043"/>
    <cellStyle name="Normal 2 2 2 4" xfId="2044"/>
    <cellStyle name="Normal 2 2 2 4 2" xfId="2045"/>
    <cellStyle name="Normal 2 2 2 4 2 2" xfId="2046"/>
    <cellStyle name="Normal 2 2 2 4 2 3" xfId="2047"/>
    <cellStyle name="Normal 2 2 2 4 3" xfId="2048"/>
    <cellStyle name="Normal 2 2 2 40" xfId="2049"/>
    <cellStyle name="Normal 2 2 2 41" xfId="2050"/>
    <cellStyle name="Normal 2 2 2 42" xfId="2051"/>
    <cellStyle name="Normal 2 2 2 43" xfId="2052"/>
    <cellStyle name="Normal 2 2 2 44" xfId="2053"/>
    <cellStyle name="Normal 2 2 2 45" xfId="2054"/>
    <cellStyle name="Normal 2 2 2 46" xfId="2055"/>
    <cellStyle name="Normal 2 2 2 47" xfId="2056"/>
    <cellStyle name="Normal 2 2 2 5" xfId="2057"/>
    <cellStyle name="Normal 2 2 2 6" xfId="2058"/>
    <cellStyle name="Normal 2 2 2 7" xfId="2059"/>
    <cellStyle name="Normal 2 2 2 8" xfId="2060"/>
    <cellStyle name="Normal 2 2 2 9" xfId="2061"/>
    <cellStyle name="Normal 2 2 2_Budget 2009-Plan B-Final" xfId="2062"/>
    <cellStyle name="Normal 2 2 20" xfId="2063"/>
    <cellStyle name="Normal 2 2 21" xfId="2064"/>
    <cellStyle name="Normal 2 2 22" xfId="2065"/>
    <cellStyle name="Normal 2 2 23" xfId="2066"/>
    <cellStyle name="Normal 2 2 24" xfId="2067"/>
    <cellStyle name="Normal 2 2 25" xfId="2068"/>
    <cellStyle name="Normal 2 2 26" xfId="2069"/>
    <cellStyle name="Normal 2 2 27" xfId="2070"/>
    <cellStyle name="Normal 2 2 28" xfId="2071"/>
    <cellStyle name="Normal 2 2 29" xfId="2072"/>
    <cellStyle name="Normal 2 2 3" xfId="2073"/>
    <cellStyle name="Normal 2 2 3 2" xfId="2074"/>
    <cellStyle name="Normal 2 2 3 2 2" xfId="2075"/>
    <cellStyle name="Normal 2 2 3 2 3" xfId="2076"/>
    <cellStyle name="Normal 2 2 3 2 4" xfId="2077"/>
    <cellStyle name="Normal 2 2 3 2 5" xfId="2078"/>
    <cellStyle name="Normal 2 2 3 2 6" xfId="2079"/>
    <cellStyle name="Normal 2 2 3 2 7" xfId="2080"/>
    <cellStyle name="Normal 2 2 3 2 8" xfId="2081"/>
    <cellStyle name="Normal 2 2 3 2_Fsoft Finance Report 0809 Template" xfId="2082"/>
    <cellStyle name="Normal 2 2 3 3" xfId="2083"/>
    <cellStyle name="Normal 2 2 3 4" xfId="2084"/>
    <cellStyle name="Normal 2 2 3 5" xfId="2085"/>
    <cellStyle name="Normal 2 2 3 6" xfId="2086"/>
    <cellStyle name="Normal 2 2 3 7" xfId="2087"/>
    <cellStyle name="Normal 2 2 3 8" xfId="2088"/>
    <cellStyle name="Normal 2 2 3_Fsoft Finance Report 0809 Template" xfId="2089"/>
    <cellStyle name="Normal 2 2 30" xfId="2090"/>
    <cellStyle name="Normal 2 2 31" xfId="2091"/>
    <cellStyle name="Normal 2 2 32" xfId="2092"/>
    <cellStyle name="Normal 2 2 33" xfId="2093"/>
    <cellStyle name="Normal 2 2 34" xfId="2094"/>
    <cellStyle name="Normal 2 2 35" xfId="2095"/>
    <cellStyle name="Normal 2 2 36" xfId="2096"/>
    <cellStyle name="Normal 2 2 37" xfId="2097"/>
    <cellStyle name="Normal 2 2 38" xfId="2098"/>
    <cellStyle name="Normal 2 2 39" xfId="2099"/>
    <cellStyle name="Normal 2 2 4" xfId="2100"/>
    <cellStyle name="Normal 2 2 4 2" xfId="2101"/>
    <cellStyle name="Normal 2 2 40" xfId="2102"/>
    <cellStyle name="Normal 2 2 41" xfId="2103"/>
    <cellStyle name="Normal 2 2 42" xfId="2104"/>
    <cellStyle name="Normal 2 2 43" xfId="2105"/>
    <cellStyle name="Normal 2 2 44" xfId="2106"/>
    <cellStyle name="Normal 2 2 45" xfId="2107"/>
    <cellStyle name="Normal 2 2 46" xfId="2108"/>
    <cellStyle name="Normal 2 2 47" xfId="2109"/>
    <cellStyle name="Normal 2 2 48" xfId="2110"/>
    <cellStyle name="Normal 2 2 49" xfId="2111"/>
    <cellStyle name="Normal 2 2 5" xfId="2112"/>
    <cellStyle name="Normal 2 2 5 2" xfId="2113"/>
    <cellStyle name="Normal 2 2 5 3" xfId="2114"/>
    <cellStyle name="Normal 2 2 5_Gui Ha" xfId="2115"/>
    <cellStyle name="Normal 2 2 50" xfId="2116"/>
    <cellStyle name="Normal 2 2 51" xfId="2117"/>
    <cellStyle name="Normal 2 2 6" xfId="2118"/>
    <cellStyle name="Normal 2 2 7" xfId="2119"/>
    <cellStyle name="Normal 2 2 8" xfId="2120"/>
    <cellStyle name="Normal 2 2 9" xfId="2121"/>
    <cellStyle name="Normal 2 2_Gui Ha" xfId="2122"/>
    <cellStyle name="Normal 2 20" xfId="2123"/>
    <cellStyle name="Normal 2 20 2" xfId="2124"/>
    <cellStyle name="Normal 2 20 2 2" xfId="2125"/>
    <cellStyle name="Normal 2 20 2 2 2" xfId="2126"/>
    <cellStyle name="Normal 2 20 2 2 3" xfId="2127"/>
    <cellStyle name="Normal 2 20 2 3" xfId="2128"/>
    <cellStyle name="Normal 2 20 3" xfId="2129"/>
    <cellStyle name="Normal 2 20 4" xfId="2130"/>
    <cellStyle name="Normal 2 20_Fsoft Finance Report 0809 Template" xfId="2131"/>
    <cellStyle name="Normal 2 21" xfId="2132"/>
    <cellStyle name="Normal 2 21 2" xfId="2133"/>
    <cellStyle name="Normal 2 21 2 2" xfId="2134"/>
    <cellStyle name="Normal 2 21 2 2 2" xfId="2135"/>
    <cellStyle name="Normal 2 21 2 2 3" xfId="2136"/>
    <cellStyle name="Normal 2 21 2 3" xfId="2137"/>
    <cellStyle name="Normal 2 21 3" xfId="2138"/>
    <cellStyle name="Normal 2 21 4" xfId="2139"/>
    <cellStyle name="Normal 2 21_Fsoft Finance Report 0809 Template" xfId="2140"/>
    <cellStyle name="Normal 2 22" xfId="2141"/>
    <cellStyle name="Normal 2 22 2" xfId="2142"/>
    <cellStyle name="Normal 2 22 2 2" xfId="2143"/>
    <cellStyle name="Normal 2 22 2 2 2" xfId="2144"/>
    <cellStyle name="Normal 2 22 2 2 3" xfId="2145"/>
    <cellStyle name="Normal 2 22 2 3" xfId="2146"/>
    <cellStyle name="Normal 2 22 3" xfId="2147"/>
    <cellStyle name="Normal 2 22 4" xfId="2148"/>
    <cellStyle name="Normal 2 22_Fsoft Finance Report 0809 Template" xfId="2149"/>
    <cellStyle name="Normal 2 23" xfId="2150"/>
    <cellStyle name="Normal 2 23 2" xfId="2151"/>
    <cellStyle name="Normal 2 23 2 2" xfId="2152"/>
    <cellStyle name="Normal 2 23 2 2 2" xfId="2153"/>
    <cellStyle name="Normal 2 23 2 2 3" xfId="2154"/>
    <cellStyle name="Normal 2 23 2 3" xfId="2155"/>
    <cellStyle name="Normal 2 23 3" xfId="2156"/>
    <cellStyle name="Normal 2 23 4" xfId="2157"/>
    <cellStyle name="Normal 2 23_Fsoft Finance Report 0809 Template" xfId="2158"/>
    <cellStyle name="Normal 2 24" xfId="2159"/>
    <cellStyle name="Normal 2 24 2" xfId="2160"/>
    <cellStyle name="Normal 2 24 2 2" xfId="2161"/>
    <cellStyle name="Normal 2 24 2 2 2" xfId="2162"/>
    <cellStyle name="Normal 2 24 2 2 3" xfId="2163"/>
    <cellStyle name="Normal 2 24 2 3" xfId="2164"/>
    <cellStyle name="Normal 2 24 3" xfId="2165"/>
    <cellStyle name="Normal 2 24 4" xfId="2166"/>
    <cellStyle name="Normal 2 24_Fsoft Finance Report 0809 Template" xfId="2167"/>
    <cellStyle name="Normal 2 25" xfId="2168"/>
    <cellStyle name="Normal 2 25 2" xfId="2169"/>
    <cellStyle name="Normal 2 25 2 2" xfId="2170"/>
    <cellStyle name="Normal 2 25 2 2 2" xfId="2171"/>
    <cellStyle name="Normal 2 25 2 2 3" xfId="2172"/>
    <cellStyle name="Normal 2 25 2 3" xfId="2173"/>
    <cellStyle name="Normal 2 25 3" xfId="2174"/>
    <cellStyle name="Normal 2 25 4" xfId="2175"/>
    <cellStyle name="Normal 2 25_Fsoft Finance Report 0809 Template" xfId="2176"/>
    <cellStyle name="Normal 2 26" xfId="2177"/>
    <cellStyle name="Normal 2 26 2" xfId="2178"/>
    <cellStyle name="Normal 2 26 2 2" xfId="2179"/>
    <cellStyle name="Normal 2 26 2 2 2" xfId="2180"/>
    <cellStyle name="Normal 2 26 2 2 3" xfId="2181"/>
    <cellStyle name="Normal 2 26 2 3" xfId="2182"/>
    <cellStyle name="Normal 2 26 3" xfId="2183"/>
    <cellStyle name="Normal 2 26 4" xfId="2184"/>
    <cellStyle name="Normal 2 26_Fsoft Finance Report 0809 Template" xfId="2185"/>
    <cellStyle name="Normal 2 27" xfId="2186"/>
    <cellStyle name="Normal 2 27 2" xfId="2187"/>
    <cellStyle name="Normal 2 27 3" xfId="2188"/>
    <cellStyle name="Normal 2 27_Budget 2009-Plan B-Final" xfId="2189"/>
    <cellStyle name="Normal 2 28" xfId="2190"/>
    <cellStyle name="Normal 2 28 2" xfId="2191"/>
    <cellStyle name="Normal 2 28 3" xfId="2192"/>
    <cellStyle name="Normal 2 28_Budget 2009-Plan B-Final" xfId="2193"/>
    <cellStyle name="Normal 2 29" xfId="2194"/>
    <cellStyle name="Normal 2 29 2" xfId="2195"/>
    <cellStyle name="Normal 2 29 2 2" xfId="2196"/>
    <cellStyle name="Normal 2 29 2 3" xfId="2197"/>
    <cellStyle name="Normal 2 29 2_Fsoft Finance Report 0809 Template" xfId="2198"/>
    <cellStyle name="Normal 2 29 3" xfId="2199"/>
    <cellStyle name="Normal 2 29_Fsoft Finance Report 0809 Template" xfId="2200"/>
    <cellStyle name="Normal 2 3" xfId="2201"/>
    <cellStyle name="Normal 2 3 10" xfId="2202"/>
    <cellStyle name="Normal 2 3 2" xfId="2203"/>
    <cellStyle name="Normal 2 3 2 2" xfId="2204"/>
    <cellStyle name="Normal 2 3 2 2 2" xfId="2205"/>
    <cellStyle name="Normal 2 3 2 2 2 2" xfId="2206"/>
    <cellStyle name="Normal 2 3 2 2 2 2 2" xfId="2207"/>
    <cellStyle name="Normal 2 3 2 2 2 2 3" xfId="2208"/>
    <cellStyle name="Normal 2 3 2 2 2 2 4" xfId="2209"/>
    <cellStyle name="Normal 2 3 2 2 2 2 5" xfId="2210"/>
    <cellStyle name="Normal 2 3 2 2 2 2 6" xfId="2211"/>
    <cellStyle name="Normal 2 3 2 2 2 2 7" xfId="2212"/>
    <cellStyle name="Normal 2 3 2 2 2 2 8" xfId="2213"/>
    <cellStyle name="Normal 2 3 2 2 2 3" xfId="2214"/>
    <cellStyle name="Normal 2 3 2 2 2 4" xfId="2215"/>
    <cellStyle name="Normal 2 3 2 2 2 5" xfId="2216"/>
    <cellStyle name="Normal 2 3 2 2 2 6" xfId="2217"/>
    <cellStyle name="Normal 2 3 2 2 2 7" xfId="2218"/>
    <cellStyle name="Normal 2 3 2 2 2 8" xfId="2219"/>
    <cellStyle name="Normal 2 3 2 2 3" xfId="2220"/>
    <cellStyle name="Normal 2 3 2 2 4" xfId="2221"/>
    <cellStyle name="Normal 2 3 2 2 5" xfId="2222"/>
    <cellStyle name="Normal 2 3 2 2 6" xfId="2223"/>
    <cellStyle name="Normal 2 3 2 2 7" xfId="2224"/>
    <cellStyle name="Normal 2 3 2 2 8" xfId="2225"/>
    <cellStyle name="Normal 2 3 2 2 9" xfId="2226"/>
    <cellStyle name="Normal 2 3 2 3" xfId="2227"/>
    <cellStyle name="Normal 2 3 2 3 2" xfId="2228"/>
    <cellStyle name="Normal 2 3 2 3 3" xfId="2229"/>
    <cellStyle name="Normal 2 3 2 3 4" xfId="2230"/>
    <cellStyle name="Normal 2 3 2 3 5" xfId="2231"/>
    <cellStyle name="Normal 2 3 2 3 6" xfId="2232"/>
    <cellStyle name="Normal 2 3 2 3 7" xfId="2233"/>
    <cellStyle name="Normal 2 3 2 3 8" xfId="2234"/>
    <cellStyle name="Normal 2 3 2 4" xfId="2235"/>
    <cellStyle name="Normal 2 3 2 5" xfId="2236"/>
    <cellStyle name="Normal 2 3 2 6" xfId="2237"/>
    <cellStyle name="Normal 2 3 2 7" xfId="2238"/>
    <cellStyle name="Normal 2 3 2 8" xfId="2239"/>
    <cellStyle name="Normal 2 3 2 9" xfId="2240"/>
    <cellStyle name="Normal 2 3 3" xfId="2241"/>
    <cellStyle name="Normal 2 3 3 2" xfId="2242"/>
    <cellStyle name="Normal 2 3 3 2 2" xfId="2243"/>
    <cellStyle name="Normal 2 3 3 2 3" xfId="2244"/>
    <cellStyle name="Normal 2 3 3 2 4" xfId="2245"/>
    <cellStyle name="Normal 2 3 3 2 5" xfId="2246"/>
    <cellStyle name="Normal 2 3 3 2 6" xfId="2247"/>
    <cellStyle name="Normal 2 3 3 2 7" xfId="2248"/>
    <cellStyle name="Normal 2 3 3 2 8" xfId="2249"/>
    <cellStyle name="Normal 2 3 3 3" xfId="2250"/>
    <cellStyle name="Normal 2 3 3 4" xfId="2251"/>
    <cellStyle name="Normal 2 3 3 5" xfId="2252"/>
    <cellStyle name="Normal 2 3 3 6" xfId="2253"/>
    <cellStyle name="Normal 2 3 3 7" xfId="2254"/>
    <cellStyle name="Normal 2 3 3 8" xfId="2255"/>
    <cellStyle name="Normal 2 3 4" xfId="2256"/>
    <cellStyle name="Normal 2 3 5" xfId="2257"/>
    <cellStyle name="Normal 2 3 6" xfId="2258"/>
    <cellStyle name="Normal 2 3 7" xfId="2259"/>
    <cellStyle name="Normal 2 3 8" xfId="2260"/>
    <cellStyle name="Normal 2 3 9" xfId="2261"/>
    <cellStyle name="Normal 2 3_Fsoft Finance Report 0809 Template" xfId="2262"/>
    <cellStyle name="Normal 2 30" xfId="2263"/>
    <cellStyle name="Normal 2 31" xfId="2264"/>
    <cellStyle name="Normal 2 32" xfId="2265"/>
    <cellStyle name="Normal 2 33" xfId="2266"/>
    <cellStyle name="Normal 2 34" xfId="2267"/>
    <cellStyle name="Normal 2 34 2" xfId="2268"/>
    <cellStyle name="Normal 2 34 3" xfId="2269"/>
    <cellStyle name="Normal 2 34_Gui Ha" xfId="2270"/>
    <cellStyle name="Normal 2 35" xfId="2271"/>
    <cellStyle name="Normal 2 36" xfId="2272"/>
    <cellStyle name="Normal 2 37" xfId="2273"/>
    <cellStyle name="Normal 2 38" xfId="2274"/>
    <cellStyle name="Normal 2 39" xfId="2275"/>
    <cellStyle name="Normal 2 4" xfId="2276"/>
    <cellStyle name="Normal 2 4 2" xfId="2277"/>
    <cellStyle name="Normal 2 4_Fsoft Finance Report 0809 Template" xfId="2278"/>
    <cellStyle name="Normal 2 40" xfId="2279"/>
    <cellStyle name="Normal 2 41" xfId="2280"/>
    <cellStyle name="Normal 2 42" xfId="2281"/>
    <cellStyle name="Normal 2 43" xfId="2282"/>
    <cellStyle name="Normal 2 44" xfId="2283"/>
    <cellStyle name="Normal 2 45" xfId="2284"/>
    <cellStyle name="Normal 2 46" xfId="2285"/>
    <cellStyle name="Normal 2 47" xfId="2286"/>
    <cellStyle name="Normal 2 48" xfId="2287"/>
    <cellStyle name="Normal 2 49" xfId="2288"/>
    <cellStyle name="Normal 2 5" xfId="2289"/>
    <cellStyle name="Normal 2 5 2" xfId="2290"/>
    <cellStyle name="Normal 2 5_Fsoft Finance Report 0809 Template" xfId="2291"/>
    <cellStyle name="Normal 2 6" xfId="2292"/>
    <cellStyle name="Normal 2 6 2" xfId="2293"/>
    <cellStyle name="Normal 2 6 2 2" xfId="2294"/>
    <cellStyle name="Normal 2 6 2 3" xfId="2295"/>
    <cellStyle name="Normal 2 6 2 4" xfId="2296"/>
    <cellStyle name="Normal 2 6 2 5" xfId="2297"/>
    <cellStyle name="Normal 2 6 2 6" xfId="2298"/>
    <cellStyle name="Normal 2 6 2 7" xfId="2299"/>
    <cellStyle name="Normal 2 6 2 8" xfId="2300"/>
    <cellStyle name="Normal 2 6 3" xfId="2301"/>
    <cellStyle name="Normal 2 6 4" xfId="2302"/>
    <cellStyle name="Normal 2 6 5" xfId="2303"/>
    <cellStyle name="Normal 2 6 6" xfId="2304"/>
    <cellStyle name="Normal 2 6 7" xfId="2305"/>
    <cellStyle name="Normal 2 6 8" xfId="2306"/>
    <cellStyle name="Normal 2 6_Fsoft Finance Report 0809 Template" xfId="2307"/>
    <cellStyle name="Normal 2 7" xfId="2308"/>
    <cellStyle name="Normal 2 7 2" xfId="2309"/>
    <cellStyle name="Normal 2 7 2 2" xfId="2310"/>
    <cellStyle name="Normal 2 7 2 2 2" xfId="2311"/>
    <cellStyle name="Normal 2 7 2 2 3" xfId="2312"/>
    <cellStyle name="Normal 2 7 2 3" xfId="2313"/>
    <cellStyle name="Normal 2 7 3" xfId="2314"/>
    <cellStyle name="Normal 2 7 4" xfId="2315"/>
    <cellStyle name="Normal 2 7_Fsoft Finance Report 0809 Template" xfId="2316"/>
    <cellStyle name="Normal 2 8" xfId="2317"/>
    <cellStyle name="Normal 2 8 2" xfId="2318"/>
    <cellStyle name="Normal 2 8 3" xfId="2319"/>
    <cellStyle name="Normal 2 8 4" xfId="2320"/>
    <cellStyle name="Normal 2 8_Budget 2009-Plan B-Final" xfId="2321"/>
    <cellStyle name="Normal 2 9" xfId="2322"/>
    <cellStyle name="Normal 2 9 2" xfId="2323"/>
    <cellStyle name="Normal 2 9 2 2" xfId="2324"/>
    <cellStyle name="Normal 2 9 2 2 2" xfId="2325"/>
    <cellStyle name="Normal 2 9 2 2 3" xfId="2326"/>
    <cellStyle name="Normal 2 9 2 3" xfId="2327"/>
    <cellStyle name="Normal 2 9 3" xfId="2328"/>
    <cellStyle name="Normal 2 9 4" xfId="2329"/>
    <cellStyle name="Normal 2 9_Fsoft Finance Report 0809 Template" xfId="2330"/>
    <cellStyle name="Normal 2_data 2008 from OGs-G21" xfId="2331"/>
    <cellStyle name="Normal 20" xfId="2332"/>
    <cellStyle name="Normal 21" xfId="2333"/>
    <cellStyle name="Normal 22" xfId="2334"/>
    <cellStyle name="Normal 23" xfId="2335"/>
    <cellStyle name="Normal 24" xfId="2336"/>
    <cellStyle name="Normal 25" xfId="2337"/>
    <cellStyle name="Normal 26" xfId="2338"/>
    <cellStyle name="Normal 27" xfId="2339"/>
    <cellStyle name="Normal 28" xfId="2340"/>
    <cellStyle name="Normal 29" xfId="2341"/>
    <cellStyle name="Normal 3" xfId="2342"/>
    <cellStyle name="Normal 3 10" xfId="2343"/>
    <cellStyle name="Normal 3 11" xfId="2344"/>
    <cellStyle name="Normal 3 12" xfId="2345"/>
    <cellStyle name="Normal 3 13" xfId="2346"/>
    <cellStyle name="Normal 3 14" xfId="2347"/>
    <cellStyle name="Normal 3 15" xfId="2348"/>
    <cellStyle name="Normal 3 16" xfId="2349"/>
    <cellStyle name="Normal 3 17" xfId="2350"/>
    <cellStyle name="Normal 3 18" xfId="2351"/>
    <cellStyle name="Normal 3 19" xfId="2352"/>
    <cellStyle name="Normal 3 2" xfId="2353"/>
    <cellStyle name="Normal 3 2 10" xfId="2354"/>
    <cellStyle name="Normal 3 2 11" xfId="2355"/>
    <cellStyle name="Normal 3 2 12" xfId="2356"/>
    <cellStyle name="Normal 3 2 13" xfId="2357"/>
    <cellStyle name="Normal 3 2 14" xfId="2358"/>
    <cellStyle name="Normal 3 2 15" xfId="2359"/>
    <cellStyle name="Normal 3 2 16" xfId="2360"/>
    <cellStyle name="Normal 3 2 17" xfId="2361"/>
    <cellStyle name="Normal 3 2 18" xfId="2362"/>
    <cellStyle name="Normal 3 2 19" xfId="2363"/>
    <cellStyle name="Normal 3 2 2" xfId="2364"/>
    <cellStyle name="Normal 3 2 2 2" xfId="2365"/>
    <cellStyle name="Normal 3 2 2 3" xfId="2366"/>
    <cellStyle name="Normal 3 2 2 4" xfId="2367"/>
    <cellStyle name="Normal 3 2 2_Gui Ha" xfId="2368"/>
    <cellStyle name="Normal 3 2 20" xfId="2369"/>
    <cellStyle name="Normal 3 2 21" xfId="2370"/>
    <cellStyle name="Normal 3 2 22" xfId="2371"/>
    <cellStyle name="Normal 3 2 23" xfId="2372"/>
    <cellStyle name="Normal 3 2 24" xfId="2373"/>
    <cellStyle name="Normal 3 2 25" xfId="2374"/>
    <cellStyle name="Normal 3 2 26" xfId="2375"/>
    <cellStyle name="Normal 3 2 27" xfId="2376"/>
    <cellStyle name="Normal 3 2 28" xfId="2377"/>
    <cellStyle name="Normal 3 2 29" xfId="2378"/>
    <cellStyle name="Normal 3 2 3" xfId="2379"/>
    <cellStyle name="Normal 3 2 30" xfId="2380"/>
    <cellStyle name="Normal 3 2 31" xfId="2381"/>
    <cellStyle name="Normal 3 2 32" xfId="2382"/>
    <cellStyle name="Normal 3 2 33" xfId="2383"/>
    <cellStyle name="Normal 3 2 34" xfId="2384"/>
    <cellStyle name="Normal 3 2 35" xfId="2385"/>
    <cellStyle name="Normal 3 2 36" xfId="2386"/>
    <cellStyle name="Normal 3 2 37" xfId="2387"/>
    <cellStyle name="Normal 3 2 38" xfId="2388"/>
    <cellStyle name="Normal 3 2 39" xfId="2389"/>
    <cellStyle name="Normal 3 2 4" xfId="2390"/>
    <cellStyle name="Normal 3 2 40" xfId="2391"/>
    <cellStyle name="Normal 3 2 41" xfId="2392"/>
    <cellStyle name="Normal 3 2 42" xfId="2393"/>
    <cellStyle name="Normal 3 2 43" xfId="2394"/>
    <cellStyle name="Normal 3 2 44" xfId="2395"/>
    <cellStyle name="Normal 3 2 45" xfId="2396"/>
    <cellStyle name="Normal 3 2 46" xfId="2397"/>
    <cellStyle name="Normal 3 2 5" xfId="2398"/>
    <cellStyle name="Normal 3 2 5 2" xfId="2399"/>
    <cellStyle name="Normal 3 2 5_Gui Ha" xfId="2400"/>
    <cellStyle name="Normal 3 2 6" xfId="2401"/>
    <cellStyle name="Normal 3 2 7" xfId="2402"/>
    <cellStyle name="Normal 3 2 8" xfId="2403"/>
    <cellStyle name="Normal 3 2 9" xfId="2404"/>
    <cellStyle name="Normal 3 2_Budget 2009-Plan B-Final" xfId="2405"/>
    <cellStyle name="Normal 3 20" xfId="2406"/>
    <cellStyle name="Normal 3 21" xfId="2407"/>
    <cellStyle name="Normal 3 22" xfId="2408"/>
    <cellStyle name="Normal 3 23" xfId="2409"/>
    <cellStyle name="Normal 3 24" xfId="2410"/>
    <cellStyle name="Normal 3 25" xfId="2411"/>
    <cellStyle name="Normal 3 26" xfId="2412"/>
    <cellStyle name="Normal 3 27" xfId="2413"/>
    <cellStyle name="Normal 3 27 2" xfId="2414"/>
    <cellStyle name="Normal 3 27 3" xfId="2415"/>
    <cellStyle name="Normal 3 27_Gui Ha" xfId="2416"/>
    <cellStyle name="Normal 3 28" xfId="2417"/>
    <cellStyle name="Normal 3 28 2" xfId="2418"/>
    <cellStyle name="Normal 3 28 3" xfId="2419"/>
    <cellStyle name="Normal 3 28_Gui Ha" xfId="2420"/>
    <cellStyle name="Normal 3 29" xfId="2421"/>
    <cellStyle name="Normal 3 29 2" xfId="2422"/>
    <cellStyle name="Normal 3 29 2 2" xfId="2423"/>
    <cellStyle name="Normal 3 29 2_Gui Ha" xfId="2424"/>
    <cellStyle name="Normal 3 29 3" xfId="2425"/>
    <cellStyle name="Normal 3 29_Fsoft Finance Report 0809 Template" xfId="2426"/>
    <cellStyle name="Normal 3 3" xfId="2427"/>
    <cellStyle name="Normal 3 3 2" xfId="2428"/>
    <cellStyle name="Normal 3 30" xfId="2429"/>
    <cellStyle name="Normal 3 31" xfId="2430"/>
    <cellStyle name="Normal 3 32" xfId="2431"/>
    <cellStyle name="Normal 3 33" xfId="2432"/>
    <cellStyle name="Normal 3 34" xfId="2433"/>
    <cellStyle name="Normal 3 35" xfId="2434"/>
    <cellStyle name="Normal 3 36" xfId="2435"/>
    <cellStyle name="Normal 3 37" xfId="2436"/>
    <cellStyle name="Normal 3 38" xfId="2437"/>
    <cellStyle name="Normal 3 39" xfId="2438"/>
    <cellStyle name="Normal 3 4" xfId="2439"/>
    <cellStyle name="Normal 3 40" xfId="2440"/>
    <cellStyle name="Normal 3 41" xfId="2441"/>
    <cellStyle name="Normal 3 42" xfId="2442"/>
    <cellStyle name="Normal 3 43" xfId="2443"/>
    <cellStyle name="Normal 3 44" xfId="2444"/>
    <cellStyle name="Normal 3 45" xfId="2445"/>
    <cellStyle name="Normal 3 46" xfId="2446"/>
    <cellStyle name="Normal 3 47" xfId="2447"/>
    <cellStyle name="Normal 3 48" xfId="2448"/>
    <cellStyle name="Normal 3 49" xfId="2449"/>
    <cellStyle name="Normal 3 5" xfId="2450"/>
    <cellStyle name="Normal 3 50" xfId="2451"/>
    <cellStyle name="Normal 3 51" xfId="2452"/>
    <cellStyle name="Normal 3 52" xfId="2453"/>
    <cellStyle name="Normal 3 53" xfId="2454"/>
    <cellStyle name="Normal 3 54" xfId="2455"/>
    <cellStyle name="Normal 3 55" xfId="2456"/>
    <cellStyle name="Normal 3 56" xfId="2457"/>
    <cellStyle name="Normal 3 57" xfId="2458"/>
    <cellStyle name="Normal 3 58" xfId="2459"/>
    <cellStyle name="Normal 3 59" xfId="2460"/>
    <cellStyle name="Normal 3 6" xfId="2461"/>
    <cellStyle name="Normal 3 60" xfId="2462"/>
    <cellStyle name="Normal 3 61" xfId="2463"/>
    <cellStyle name="Normal 3 62" xfId="2464"/>
    <cellStyle name="Normal 3 63" xfId="2465"/>
    <cellStyle name="Normal 3 64" xfId="2466"/>
    <cellStyle name="Normal 3 65" xfId="2467"/>
    <cellStyle name="Normal 3 66" xfId="2468"/>
    <cellStyle name="Normal 3 67" xfId="2469"/>
    <cellStyle name="Normal 3 68" xfId="2470"/>
    <cellStyle name="Normal 3 69" xfId="2471"/>
    <cellStyle name="Normal 3 7" xfId="2472"/>
    <cellStyle name="Normal 3 70" xfId="2473"/>
    <cellStyle name="Normal 3 71" xfId="2474"/>
    <cellStyle name="Normal 3 72" xfId="2475"/>
    <cellStyle name="Normal 3 73" xfId="2476"/>
    <cellStyle name="Normal 3 74" xfId="2477"/>
    <cellStyle name="Normal 3 75" xfId="2478"/>
    <cellStyle name="Normal 3 75 2" xfId="2479"/>
    <cellStyle name="Normal 3 76" xfId="2480"/>
    <cellStyle name="Normal 3 8" xfId="2481"/>
    <cellStyle name="Normal 3 9" xfId="2482"/>
    <cellStyle name="Normal 3_PM T9 -revised Q3 1.0.xls-adjust G11+FSJ" xfId="2483"/>
    <cellStyle name="Normal 30" xfId="2484"/>
    <cellStyle name="Normal 30 2" xfId="2485"/>
    <cellStyle name="Normal 31" xfId="2486"/>
    <cellStyle name="Normal 32" xfId="2487"/>
    <cellStyle name="Normal 33" xfId="2488"/>
    <cellStyle name="Normal 34" xfId="2489"/>
    <cellStyle name="Normal 34 2" xfId="2490"/>
    <cellStyle name="Normal 35" xfId="2491"/>
    <cellStyle name="Normal 35 2" xfId="2492"/>
    <cellStyle name="Normal 35 2 2" xfId="2493"/>
    <cellStyle name="Normal 35 2_Fsoft Finance Report 0809 Template" xfId="2494"/>
    <cellStyle name="Normal 35 3" xfId="2495"/>
    <cellStyle name="Normal 35 4" xfId="2496"/>
    <cellStyle name="Normal 35 5" xfId="2497"/>
    <cellStyle name="Normal 35 6" xfId="2498"/>
    <cellStyle name="Normal 35_Fsoft Finance Report 0809 V0.9" xfId="2499"/>
    <cellStyle name="Normal 36" xfId="2500"/>
    <cellStyle name="Normal 37" xfId="2501"/>
    <cellStyle name="Normal 38" xfId="2502"/>
    <cellStyle name="Normal 39" xfId="2503"/>
    <cellStyle name="Normal 4" xfId="2504"/>
    <cellStyle name="Normal 4 2" xfId="2505"/>
    <cellStyle name="Normal 4 2 2" xfId="2506"/>
    <cellStyle name="Normal 4 3" xfId="2507"/>
    <cellStyle name="Normal 40" xfId="2508"/>
    <cellStyle name="Normal 41" xfId="2509"/>
    <cellStyle name="Normal 42" xfId="2510"/>
    <cellStyle name="Normal 43" xfId="2511"/>
    <cellStyle name="Normal 44" xfId="2512"/>
    <cellStyle name="Normal 45" xfId="2513"/>
    <cellStyle name="Normal 46" xfId="2514"/>
    <cellStyle name="Normal 47" xfId="2515"/>
    <cellStyle name="Normal 48" xfId="2516"/>
    <cellStyle name="Normal 49" xfId="2517"/>
    <cellStyle name="Normal 5" xfId="2518"/>
    <cellStyle name="Normal 5 2" xfId="2519"/>
    <cellStyle name="Normal 5 3" xfId="2520"/>
    <cellStyle name="Normal 5 4" xfId="3434"/>
    <cellStyle name="Normal 5_Fsoft Finance Report 1109 Template" xfId="2521"/>
    <cellStyle name="Normal 50" xfId="2522"/>
    <cellStyle name="Normal 51" xfId="2523"/>
    <cellStyle name="Normal 52" xfId="2524"/>
    <cellStyle name="Normal 53" xfId="2525"/>
    <cellStyle name="Normal 54" xfId="2526"/>
    <cellStyle name="Normal 55" xfId="2527"/>
    <cellStyle name="Normal 56" xfId="2528"/>
    <cellStyle name="Normal 57" xfId="2529"/>
    <cellStyle name="Normal 58" xfId="2530"/>
    <cellStyle name="Normal 6" xfId="2531"/>
    <cellStyle name="Normal 6 10" xfId="2532"/>
    <cellStyle name="Normal 6 11" xfId="2533"/>
    <cellStyle name="Normal 6 12" xfId="2534"/>
    <cellStyle name="Normal 6 13" xfId="2535"/>
    <cellStyle name="Normal 6 14" xfId="2536"/>
    <cellStyle name="Normal 6 15" xfId="2537"/>
    <cellStyle name="Normal 6 16" xfId="2538"/>
    <cellStyle name="Normal 6 17" xfId="2539"/>
    <cellStyle name="Normal 6 18" xfId="2540"/>
    <cellStyle name="Normal 6 19" xfId="2541"/>
    <cellStyle name="Normal 6 2" xfId="2542"/>
    <cellStyle name="Normal 6 20" xfId="2543"/>
    <cellStyle name="Normal 6 21" xfId="2544"/>
    <cellStyle name="Normal 6 22" xfId="2545"/>
    <cellStyle name="Normal 6 23" xfId="2546"/>
    <cellStyle name="Normal 6 24" xfId="2547"/>
    <cellStyle name="Normal 6 25" xfId="2548"/>
    <cellStyle name="Normal 6 26" xfId="2549"/>
    <cellStyle name="Normal 6 27" xfId="2550"/>
    <cellStyle name="Normal 6 28" xfId="2551"/>
    <cellStyle name="Normal 6 29" xfId="2552"/>
    <cellStyle name="Normal 6 3" xfId="2553"/>
    <cellStyle name="Normal 6 30" xfId="2554"/>
    <cellStyle name="Normal 6 31" xfId="2555"/>
    <cellStyle name="Normal 6 32" xfId="2556"/>
    <cellStyle name="Normal 6 33" xfId="2557"/>
    <cellStyle name="Normal 6 34" xfId="2558"/>
    <cellStyle name="Normal 6 35" xfId="2559"/>
    <cellStyle name="Normal 6 36" xfId="2560"/>
    <cellStyle name="Normal 6 37" xfId="2561"/>
    <cellStyle name="Normal 6 38" xfId="2562"/>
    <cellStyle name="Normal 6 39" xfId="2563"/>
    <cellStyle name="Normal 6 4" xfId="2564"/>
    <cellStyle name="Normal 6 40" xfId="2565"/>
    <cellStyle name="Normal 6 41" xfId="2566"/>
    <cellStyle name="Normal 6 42" xfId="2567"/>
    <cellStyle name="Normal 6 43" xfId="2568"/>
    <cellStyle name="Normal 6 44" xfId="2569"/>
    <cellStyle name="Normal 6 45" xfId="2570"/>
    <cellStyle name="Normal 6 46" xfId="2571"/>
    <cellStyle name="Normal 6 5" xfId="2572"/>
    <cellStyle name="Normal 6 6" xfId="2573"/>
    <cellStyle name="Normal 6 7" xfId="2574"/>
    <cellStyle name="Normal 6 8" xfId="2575"/>
    <cellStyle name="Normal 6 9" xfId="2576"/>
    <cellStyle name="Normal 6_Fsoft Finance Report 1109 Template" xfId="2577"/>
    <cellStyle name="Normal 7" xfId="2578"/>
    <cellStyle name="Normal 8" xfId="2579"/>
    <cellStyle name="Normal 8 2" xfId="2580"/>
    <cellStyle name="Normal 8 3" xfId="2581"/>
    <cellStyle name="Normal 8 4" xfId="2582"/>
    <cellStyle name="Normal 8 5" xfId="2583"/>
    <cellStyle name="Normal 8 6" xfId="2584"/>
    <cellStyle name="Normal 8 7" xfId="2585"/>
    <cellStyle name="Normal 8 8" xfId="2586"/>
    <cellStyle name="Normal 8 9" xfId="2587"/>
    <cellStyle name="Normal 9" xfId="2588"/>
    <cellStyle name="Normal1" xfId="2589"/>
    <cellStyle name="Normalny_Cennik obowiazuje od 06-08-2001 r (1)" xfId="2590"/>
    <cellStyle name="Note 10" xfId="2591"/>
    <cellStyle name="Note 11" xfId="2592"/>
    <cellStyle name="Note 12" xfId="2593"/>
    <cellStyle name="Note 13" xfId="2594"/>
    <cellStyle name="Note 2" xfId="2595"/>
    <cellStyle name="Note 2 2" xfId="2596"/>
    <cellStyle name="Note 2 3" xfId="2597"/>
    <cellStyle name="Note 3" xfId="2598"/>
    <cellStyle name="Note 4" xfId="2599"/>
    <cellStyle name="Note 5" xfId="2600"/>
    <cellStyle name="Note 6" xfId="2601"/>
    <cellStyle name="Note 7" xfId="2602"/>
    <cellStyle name="Note 8" xfId="2603"/>
    <cellStyle name="Note 9" xfId="2604"/>
    <cellStyle name="Output 10" xfId="2605"/>
    <cellStyle name="Output 11" xfId="2606"/>
    <cellStyle name="Output 12" xfId="2607"/>
    <cellStyle name="Output 13" xfId="2608"/>
    <cellStyle name="Output 2" xfId="2609"/>
    <cellStyle name="Output 2 2" xfId="2610"/>
    <cellStyle name="Output 2 3" xfId="2611"/>
    <cellStyle name="Output 3" xfId="2612"/>
    <cellStyle name="Output 4" xfId="2613"/>
    <cellStyle name="Output 5" xfId="2614"/>
    <cellStyle name="Output 6" xfId="2615"/>
    <cellStyle name="Output 7" xfId="2616"/>
    <cellStyle name="Output 8" xfId="2617"/>
    <cellStyle name="Output 9" xfId="2618"/>
    <cellStyle name="pe" xfId="2619"/>
    <cellStyle name="PEG" xfId="2620"/>
    <cellStyle name="Percent" xfId="2621" builtinId="5"/>
    <cellStyle name="Percent [2]" xfId="2622"/>
    <cellStyle name="Percent [2] 2" xfId="2623"/>
    <cellStyle name="Percent [2] 3" xfId="2624"/>
    <cellStyle name="Percent 10" xfId="2625"/>
    <cellStyle name="Percent 10 2" xfId="2626"/>
    <cellStyle name="Percent 11" xfId="2627"/>
    <cellStyle name="Percent 12" xfId="2628"/>
    <cellStyle name="Percent 13" xfId="2629"/>
    <cellStyle name="Percent 14" xfId="2630"/>
    <cellStyle name="Percent 15" xfId="2631"/>
    <cellStyle name="Percent 16" xfId="2632"/>
    <cellStyle name="Percent 17" xfId="2633"/>
    <cellStyle name="Percent 18" xfId="2634"/>
    <cellStyle name="Percent 19" xfId="2635"/>
    <cellStyle name="Percent 2" xfId="2636"/>
    <cellStyle name="Percent 2 10" xfId="2637"/>
    <cellStyle name="Percent 2 10 2" xfId="2638"/>
    <cellStyle name="Percent 2 10 2 2" xfId="2639"/>
    <cellStyle name="Percent 2 10 2 2 2" xfId="2640"/>
    <cellStyle name="Percent 2 10 2 2 3" xfId="2641"/>
    <cellStyle name="Percent 2 10 2 3" xfId="2642"/>
    <cellStyle name="Percent 2 10 3" xfId="2643"/>
    <cellStyle name="Percent 2 10 4" xfId="2644"/>
    <cellStyle name="Percent 2 11" xfId="2645"/>
    <cellStyle name="Percent 2 11 2" xfId="2646"/>
    <cellStyle name="Percent 2 11 2 2" xfId="2647"/>
    <cellStyle name="Percent 2 11 2 2 2" xfId="2648"/>
    <cellStyle name="Percent 2 11 2 2 3" xfId="2649"/>
    <cellStyle name="Percent 2 11 2 3" xfId="2650"/>
    <cellStyle name="Percent 2 11 3" xfId="2651"/>
    <cellStyle name="Percent 2 11 4" xfId="2652"/>
    <cellStyle name="Percent 2 12" xfId="2653"/>
    <cellStyle name="Percent 2 12 2" xfId="2654"/>
    <cellStyle name="Percent 2 12 2 2" xfId="2655"/>
    <cellStyle name="Percent 2 12 2 2 2" xfId="2656"/>
    <cellStyle name="Percent 2 12 2 2 3" xfId="2657"/>
    <cellStyle name="Percent 2 12 2 3" xfId="2658"/>
    <cellStyle name="Percent 2 12 3" xfId="2659"/>
    <cellStyle name="Percent 2 12 4" xfId="2660"/>
    <cellStyle name="Percent 2 13" xfId="2661"/>
    <cellStyle name="Percent 2 13 2" xfId="2662"/>
    <cellStyle name="Percent 2 13 2 2" xfId="2663"/>
    <cellStyle name="Percent 2 13 2 2 2" xfId="2664"/>
    <cellStyle name="Percent 2 13 2 2 3" xfId="2665"/>
    <cellStyle name="Percent 2 13 2 3" xfId="2666"/>
    <cellStyle name="Percent 2 13 3" xfId="2667"/>
    <cellStyle name="Percent 2 13 4" xfId="2668"/>
    <cellStyle name="Percent 2 14" xfId="2669"/>
    <cellStyle name="Percent 2 14 2" xfId="2670"/>
    <cellStyle name="Percent 2 14 2 2" xfId="2671"/>
    <cellStyle name="Percent 2 14 2 2 2" xfId="2672"/>
    <cellStyle name="Percent 2 14 2 2 3" xfId="2673"/>
    <cellStyle name="Percent 2 14 2 3" xfId="2674"/>
    <cellStyle name="Percent 2 14 3" xfId="2675"/>
    <cellStyle name="Percent 2 14 4" xfId="2676"/>
    <cellStyle name="Percent 2 15" xfId="2677"/>
    <cellStyle name="Percent 2 15 2" xfId="2678"/>
    <cellStyle name="Percent 2 15 2 2" xfId="2679"/>
    <cellStyle name="Percent 2 15 2 2 2" xfId="2680"/>
    <cellStyle name="Percent 2 15 2 2 3" xfId="2681"/>
    <cellStyle name="Percent 2 15 2 3" xfId="2682"/>
    <cellStyle name="Percent 2 15 3" xfId="2683"/>
    <cellStyle name="Percent 2 15 4" xfId="2684"/>
    <cellStyle name="Percent 2 16" xfId="2685"/>
    <cellStyle name="Percent 2 16 2" xfId="2686"/>
    <cellStyle name="Percent 2 16 2 2" xfId="2687"/>
    <cellStyle name="Percent 2 16 2 2 2" xfId="2688"/>
    <cellStyle name="Percent 2 16 2 2 3" xfId="2689"/>
    <cellStyle name="Percent 2 16 2 3" xfId="2690"/>
    <cellStyle name="Percent 2 16 3" xfId="2691"/>
    <cellStyle name="Percent 2 16 4" xfId="2692"/>
    <cellStyle name="Percent 2 17" xfId="2693"/>
    <cellStyle name="Percent 2 17 2" xfId="2694"/>
    <cellStyle name="Percent 2 17 2 2" xfId="2695"/>
    <cellStyle name="Percent 2 17 2 2 2" xfId="2696"/>
    <cellStyle name="Percent 2 17 2 2 3" xfId="2697"/>
    <cellStyle name="Percent 2 17 2 3" xfId="2698"/>
    <cellStyle name="Percent 2 17 3" xfId="2699"/>
    <cellStyle name="Percent 2 17 4" xfId="2700"/>
    <cellStyle name="Percent 2 18" xfId="2701"/>
    <cellStyle name="Percent 2 18 2" xfId="2702"/>
    <cellStyle name="Percent 2 18 2 2" xfId="2703"/>
    <cellStyle name="Percent 2 18 2 2 2" xfId="2704"/>
    <cellStyle name="Percent 2 18 2 2 3" xfId="2705"/>
    <cellStyle name="Percent 2 18 2 3" xfId="2706"/>
    <cellStyle name="Percent 2 18 3" xfId="2707"/>
    <cellStyle name="Percent 2 18 4" xfId="2708"/>
    <cellStyle name="Percent 2 19" xfId="2709"/>
    <cellStyle name="Percent 2 19 2" xfId="2710"/>
    <cellStyle name="Percent 2 19 2 2" xfId="2711"/>
    <cellStyle name="Percent 2 19 2 2 2" xfId="2712"/>
    <cellStyle name="Percent 2 19 2 2 3" xfId="2713"/>
    <cellStyle name="Percent 2 19 2 3" xfId="2714"/>
    <cellStyle name="Percent 2 19 3" xfId="2715"/>
    <cellStyle name="Percent 2 19 4" xfId="2716"/>
    <cellStyle name="Percent 2 2" xfId="2717"/>
    <cellStyle name="Percent 2 2 2" xfId="2718"/>
    <cellStyle name="Percent 2 2 2 2" xfId="2719"/>
    <cellStyle name="Percent 2 2 2 2 2" xfId="2720"/>
    <cellStyle name="Percent 2 2 2 2 2 2" xfId="2721"/>
    <cellStyle name="Percent 2 2 2 2 2 3" xfId="2722"/>
    <cellStyle name="Percent 2 2 2 2 3" xfId="2723"/>
    <cellStyle name="Percent 2 2 2 2 4" xfId="2724"/>
    <cellStyle name="Percent 2 2 2 3" xfId="2725"/>
    <cellStyle name="Percent 2 2 2 4" xfId="2726"/>
    <cellStyle name="Percent 2 2 2 5" xfId="2727"/>
    <cellStyle name="Percent 2 2 2 5 2" xfId="2728"/>
    <cellStyle name="Percent 2 2 2 6" xfId="2729"/>
    <cellStyle name="Percent 2 2 2 7" xfId="2730"/>
    <cellStyle name="Percent 2 2 3" xfId="2731"/>
    <cellStyle name="Percent 2 2 3 2" xfId="2732"/>
    <cellStyle name="Percent 2 2 3 2 2" xfId="2733"/>
    <cellStyle name="Percent 2 2 3 2 3" xfId="2734"/>
    <cellStyle name="Percent 2 2 3 3" xfId="2735"/>
    <cellStyle name="Percent 2 2 4" xfId="2736"/>
    <cellStyle name="Percent 2 2 4 2" xfId="2737"/>
    <cellStyle name="Percent 2 2 4 2 2" xfId="2738"/>
    <cellStyle name="Percent 2 2 4 2 3" xfId="2739"/>
    <cellStyle name="Percent 2 2 4 3" xfId="2740"/>
    <cellStyle name="Percent 2 2 5" xfId="2741"/>
    <cellStyle name="Percent 2 2 5 2" xfId="2742"/>
    <cellStyle name="Percent 2 2 5 3" xfId="2743"/>
    <cellStyle name="Percent 2 2 6" xfId="2744"/>
    <cellStyle name="Percent 2 2 7" xfId="2745"/>
    <cellStyle name="Percent 2 20" xfId="2746"/>
    <cellStyle name="Percent 2 20 2" xfId="2747"/>
    <cellStyle name="Percent 2 20 2 2" xfId="2748"/>
    <cellStyle name="Percent 2 20 2 2 2" xfId="2749"/>
    <cellStyle name="Percent 2 20 2 2 3" xfId="2750"/>
    <cellStyle name="Percent 2 20 2 3" xfId="2751"/>
    <cellStyle name="Percent 2 20 3" xfId="2752"/>
    <cellStyle name="Percent 2 20 4" xfId="2753"/>
    <cellStyle name="Percent 2 21" xfId="2754"/>
    <cellStyle name="Percent 2 21 2" xfId="2755"/>
    <cellStyle name="Percent 2 21 2 2" xfId="2756"/>
    <cellStyle name="Percent 2 21 2 2 2" xfId="2757"/>
    <cellStyle name="Percent 2 21 2 2 3" xfId="2758"/>
    <cellStyle name="Percent 2 21 2 3" xfId="2759"/>
    <cellStyle name="Percent 2 21 3" xfId="2760"/>
    <cellStyle name="Percent 2 21 4" xfId="2761"/>
    <cellStyle name="Percent 2 22" xfId="2762"/>
    <cellStyle name="Percent 2 22 2" xfId="2763"/>
    <cellStyle name="Percent 2 22 2 2" xfId="2764"/>
    <cellStyle name="Percent 2 22 2 2 2" xfId="2765"/>
    <cellStyle name="Percent 2 22 2 2 3" xfId="2766"/>
    <cellStyle name="Percent 2 22 2 3" xfId="2767"/>
    <cellStyle name="Percent 2 22 3" xfId="2768"/>
    <cellStyle name="Percent 2 22 4" xfId="2769"/>
    <cellStyle name="Percent 2 23" xfId="2770"/>
    <cellStyle name="Percent 2 23 2" xfId="2771"/>
    <cellStyle name="Percent 2 23 2 2" xfId="2772"/>
    <cellStyle name="Percent 2 23 2 2 2" xfId="2773"/>
    <cellStyle name="Percent 2 23 2 2 3" xfId="2774"/>
    <cellStyle name="Percent 2 23 2 3" xfId="2775"/>
    <cellStyle name="Percent 2 23 3" xfId="2776"/>
    <cellStyle name="Percent 2 23 4" xfId="2777"/>
    <cellStyle name="Percent 2 24" xfId="2778"/>
    <cellStyle name="Percent 2 24 2" xfId="2779"/>
    <cellStyle name="Percent 2 24 2 2" xfId="2780"/>
    <cellStyle name="Percent 2 24 2 2 2" xfId="2781"/>
    <cellStyle name="Percent 2 24 2 2 3" xfId="2782"/>
    <cellStyle name="Percent 2 24 2 3" xfId="2783"/>
    <cellStyle name="Percent 2 24 3" xfId="2784"/>
    <cellStyle name="Percent 2 24 4" xfId="2785"/>
    <cellStyle name="Percent 2 25" xfId="2786"/>
    <cellStyle name="Percent 2 25 2" xfId="2787"/>
    <cellStyle name="Percent 2 25 2 2" xfId="2788"/>
    <cellStyle name="Percent 2 25 2 2 2" xfId="2789"/>
    <cellStyle name="Percent 2 25 2 2 3" xfId="2790"/>
    <cellStyle name="Percent 2 25 2 3" xfId="2791"/>
    <cellStyle name="Percent 2 25 3" xfId="2792"/>
    <cellStyle name="Percent 2 25 4" xfId="2793"/>
    <cellStyle name="Percent 2 26" xfId="2794"/>
    <cellStyle name="Percent 2 26 2" xfId="2795"/>
    <cellStyle name="Percent 2 26 2 2" xfId="2796"/>
    <cellStyle name="Percent 2 26 2 2 2" xfId="2797"/>
    <cellStyle name="Percent 2 26 2 2 3" xfId="2798"/>
    <cellStyle name="Percent 2 26 2 3" xfId="2799"/>
    <cellStyle name="Percent 2 26 3" xfId="2800"/>
    <cellStyle name="Percent 2 26 4" xfId="2801"/>
    <cellStyle name="Percent 2 27" xfId="2802"/>
    <cellStyle name="Percent 2 27 2" xfId="2803"/>
    <cellStyle name="Percent 2 27 3" xfId="2804"/>
    <cellStyle name="Percent 2 28" xfId="2805"/>
    <cellStyle name="Percent 2 28 2" xfId="2806"/>
    <cellStyle name="Percent 2 28 3" xfId="2807"/>
    <cellStyle name="Percent 2 29" xfId="2808"/>
    <cellStyle name="Percent 2 29 2" xfId="2809"/>
    <cellStyle name="Percent 2 29 2 2" xfId="2810"/>
    <cellStyle name="Percent 2 29 2 3" xfId="2811"/>
    <cellStyle name="Percent 2 29 3" xfId="2812"/>
    <cellStyle name="Percent 2 3" xfId="2813"/>
    <cellStyle name="Percent 2 3 2" xfId="2814"/>
    <cellStyle name="Percent 2 3 2 2" xfId="2815"/>
    <cellStyle name="Percent 2 3 2 2 2" xfId="2816"/>
    <cellStyle name="Percent 2 3 2 2 3" xfId="2817"/>
    <cellStyle name="Percent 2 3 2 3" xfId="2818"/>
    <cellStyle name="Percent 2 3 3" xfId="2819"/>
    <cellStyle name="Percent 2 3 4" xfId="2820"/>
    <cellStyle name="Percent 2 30" xfId="2821"/>
    <cellStyle name="Percent 2 31" xfId="2822"/>
    <cellStyle name="Percent 2 32" xfId="2823"/>
    <cellStyle name="Percent 2 33" xfId="2824"/>
    <cellStyle name="Percent 2 34" xfId="2825"/>
    <cellStyle name="Percent 2 35" xfId="2826"/>
    <cellStyle name="Percent 2 36" xfId="2827"/>
    <cellStyle name="Percent 2 37" xfId="2828"/>
    <cellStyle name="Percent 2 38" xfId="2829"/>
    <cellStyle name="Percent 2 39" xfId="2830"/>
    <cellStyle name="Percent 2 4" xfId="2831"/>
    <cellStyle name="Percent 2 4 2" xfId="2832"/>
    <cellStyle name="Percent 2 4 2 2" xfId="2833"/>
    <cellStyle name="Percent 2 4 2 2 2" xfId="2834"/>
    <cellStyle name="Percent 2 4 2 2 3" xfId="2835"/>
    <cellStyle name="Percent 2 4 2 3" xfId="2836"/>
    <cellStyle name="Percent 2 4 3" xfId="2837"/>
    <cellStyle name="Percent 2 4 4" xfId="2838"/>
    <cellStyle name="Percent 2 40" xfId="2839"/>
    <cellStyle name="Percent 2 41" xfId="2840"/>
    <cellStyle name="Percent 2 42" xfId="2841"/>
    <cellStyle name="Percent 2 43" xfId="2842"/>
    <cellStyle name="Percent 2 44" xfId="2843"/>
    <cellStyle name="Percent 2 45" xfId="2844"/>
    <cellStyle name="Percent 2 46" xfId="2845"/>
    <cellStyle name="Percent 2 47" xfId="2846"/>
    <cellStyle name="Percent 2 48" xfId="2847"/>
    <cellStyle name="Percent 2 5" xfId="2848"/>
    <cellStyle name="Percent 2 5 2" xfId="2849"/>
    <cellStyle name="Percent 2 5 2 2" xfId="2850"/>
    <cellStyle name="Percent 2 5 2 2 2" xfId="2851"/>
    <cellStyle name="Percent 2 5 2 2 3" xfId="2852"/>
    <cellStyle name="Percent 2 5 2 3" xfId="2853"/>
    <cellStyle name="Percent 2 5 3" xfId="2854"/>
    <cellStyle name="Percent 2 5 4" xfId="2855"/>
    <cellStyle name="Percent 2 6" xfId="2856"/>
    <cellStyle name="Percent 2 6 2" xfId="2857"/>
    <cellStyle name="Percent 2 6 2 2" xfId="2858"/>
    <cellStyle name="Percent 2 6 2 2 2" xfId="2859"/>
    <cellStyle name="Percent 2 6 2 2 3" xfId="2860"/>
    <cellStyle name="Percent 2 6 2 3" xfId="2861"/>
    <cellStyle name="Percent 2 6 3" xfId="2862"/>
    <cellStyle name="Percent 2 6 4" xfId="2863"/>
    <cellStyle name="Percent 2 7" xfId="2864"/>
    <cellStyle name="Percent 2 7 2" xfId="2865"/>
    <cellStyle name="Percent 2 7 2 2" xfId="2866"/>
    <cellStyle name="Percent 2 7 2 2 2" xfId="2867"/>
    <cellStyle name="Percent 2 7 2 2 3" xfId="2868"/>
    <cellStyle name="Percent 2 7 2 3" xfId="2869"/>
    <cellStyle name="Percent 2 7 3" xfId="2870"/>
    <cellStyle name="Percent 2 7 4" xfId="2871"/>
    <cellStyle name="Percent 2 8" xfId="2872"/>
    <cellStyle name="Percent 2 8 2" xfId="2873"/>
    <cellStyle name="Percent 2 8 3" xfId="2874"/>
    <cellStyle name="Percent 2 8 4" xfId="2875"/>
    <cellStyle name="Percent 2 9" xfId="2876"/>
    <cellStyle name="Percent 2 9 2" xfId="2877"/>
    <cellStyle name="Percent 2 9 2 2" xfId="2878"/>
    <cellStyle name="Percent 2 9 2 2 2" xfId="2879"/>
    <cellStyle name="Percent 2 9 2 2 3" xfId="2880"/>
    <cellStyle name="Percent 2 9 2 3" xfId="2881"/>
    <cellStyle name="Percent 2 9 3" xfId="2882"/>
    <cellStyle name="Percent 2 9 4" xfId="2883"/>
    <cellStyle name="Percent 20" xfId="2884"/>
    <cellStyle name="Percent 21" xfId="2885"/>
    <cellStyle name="Percent 22" xfId="2886"/>
    <cellStyle name="Percent 23" xfId="2887"/>
    <cellStyle name="Percent 24" xfId="2888"/>
    <cellStyle name="Percent 25" xfId="2889"/>
    <cellStyle name="Percent 26" xfId="2890"/>
    <cellStyle name="Percent 27" xfId="2891"/>
    <cellStyle name="Percent 28" xfId="2892"/>
    <cellStyle name="Percent 29" xfId="2893"/>
    <cellStyle name="Percent 3" xfId="2894"/>
    <cellStyle name="Percent 3 10" xfId="2895"/>
    <cellStyle name="Percent 3 11" xfId="2896"/>
    <cellStyle name="Percent 3 12" xfId="2897"/>
    <cellStyle name="Percent 3 13" xfId="2898"/>
    <cellStyle name="Percent 3 14" xfId="2899"/>
    <cellStyle name="Percent 3 15" xfId="2900"/>
    <cellStyle name="Percent 3 16" xfId="2901"/>
    <cellStyle name="Percent 3 17" xfId="2902"/>
    <cellStyle name="Percent 3 18" xfId="2903"/>
    <cellStyle name="Percent 3 19" xfId="2904"/>
    <cellStyle name="Percent 3 2" xfId="2905"/>
    <cellStyle name="Percent 3 2 2" xfId="2906"/>
    <cellStyle name="Percent 3 2 3" xfId="2907"/>
    <cellStyle name="Percent 3 2 4" xfId="2908"/>
    <cellStyle name="Percent 3 2 5" xfId="2909"/>
    <cellStyle name="Percent 3 2 6" xfId="2910"/>
    <cellStyle name="Percent 3 2 7" xfId="2911"/>
    <cellStyle name="Percent 3 20" xfId="2912"/>
    <cellStyle name="Percent 3 21" xfId="2913"/>
    <cellStyle name="Percent 3 22" xfId="2914"/>
    <cellStyle name="Percent 3 23" xfId="2915"/>
    <cellStyle name="Percent 3 24" xfId="2916"/>
    <cellStyle name="Percent 3 25" xfId="2917"/>
    <cellStyle name="Percent 3 26" xfId="2918"/>
    <cellStyle name="Percent 3 27" xfId="2919"/>
    <cellStyle name="Percent 3 27 2" xfId="2920"/>
    <cellStyle name="Percent 3 27 3" xfId="2921"/>
    <cellStyle name="Percent 3 28" xfId="2922"/>
    <cellStyle name="Percent 3 29" xfId="2923"/>
    <cellStyle name="Percent 3 3" xfId="2924"/>
    <cellStyle name="Percent 3 30" xfId="2925"/>
    <cellStyle name="Percent 3 31" xfId="2926"/>
    <cellStyle name="Percent 3 32" xfId="2927"/>
    <cellStyle name="Percent 3 33" xfId="2928"/>
    <cellStyle name="Percent 3 34" xfId="2929"/>
    <cellStyle name="Percent 3 35" xfId="2930"/>
    <cellStyle name="Percent 3 36" xfId="2931"/>
    <cellStyle name="Percent 3 37" xfId="2932"/>
    <cellStyle name="Percent 3 38" xfId="2933"/>
    <cellStyle name="Percent 3 39" xfId="2934"/>
    <cellStyle name="Percent 3 4" xfId="2935"/>
    <cellStyle name="Percent 3 40" xfId="2936"/>
    <cellStyle name="Percent 3 41" xfId="2937"/>
    <cellStyle name="Percent 3 42" xfId="2938"/>
    <cellStyle name="Percent 3 43" xfId="2939"/>
    <cellStyle name="Percent 3 44" xfId="2940"/>
    <cellStyle name="Percent 3 45" xfId="2941"/>
    <cellStyle name="Percent 3 46" xfId="2942"/>
    <cellStyle name="Percent 3 47" xfId="2943"/>
    <cellStyle name="Percent 3 48" xfId="2944"/>
    <cellStyle name="Percent 3 49" xfId="2945"/>
    <cellStyle name="Percent 3 5" xfId="2946"/>
    <cellStyle name="Percent 3 50" xfId="2947"/>
    <cellStyle name="Percent 3 51" xfId="2948"/>
    <cellStyle name="Percent 3 52" xfId="2949"/>
    <cellStyle name="Percent 3 53" xfId="2950"/>
    <cellStyle name="Percent 3 54" xfId="2951"/>
    <cellStyle name="Percent 3 55" xfId="2952"/>
    <cellStyle name="Percent 3 56" xfId="2953"/>
    <cellStyle name="Percent 3 57" xfId="2954"/>
    <cellStyle name="Percent 3 58" xfId="2955"/>
    <cellStyle name="Percent 3 59" xfId="2956"/>
    <cellStyle name="Percent 3 6" xfId="2957"/>
    <cellStyle name="Percent 3 60" xfId="2958"/>
    <cellStyle name="Percent 3 61" xfId="2959"/>
    <cellStyle name="Percent 3 62" xfId="2960"/>
    <cellStyle name="Percent 3 63" xfId="2961"/>
    <cellStyle name="Percent 3 64" xfId="2962"/>
    <cellStyle name="Percent 3 65" xfId="2963"/>
    <cellStyle name="Percent 3 66" xfId="2964"/>
    <cellStyle name="Percent 3 67" xfId="2965"/>
    <cellStyle name="Percent 3 68" xfId="2966"/>
    <cellStyle name="Percent 3 69" xfId="2967"/>
    <cellStyle name="Percent 3 7" xfId="2968"/>
    <cellStyle name="Percent 3 70" xfId="2969"/>
    <cellStyle name="Percent 3 71" xfId="2970"/>
    <cellStyle name="Percent 3 72" xfId="2971"/>
    <cellStyle name="Percent 3 73" xfId="2972"/>
    <cellStyle name="Percent 3 8" xfId="2973"/>
    <cellStyle name="Percent 3 9" xfId="2974"/>
    <cellStyle name="Percent 30" xfId="2975"/>
    <cellStyle name="Percent 31" xfId="2976"/>
    <cellStyle name="Percent 31 2" xfId="2977"/>
    <cellStyle name="Percent 34" xfId="2978"/>
    <cellStyle name="Percent 34 2" xfId="2979"/>
    <cellStyle name="Percent 34 3" xfId="2980"/>
    <cellStyle name="Percent 35" xfId="2981"/>
    <cellStyle name="Percent 35 2" xfId="2982"/>
    <cellStyle name="Percent 35 2 2" xfId="2983"/>
    <cellStyle name="Percent 35 2 3" xfId="2984"/>
    <cellStyle name="Percent 35 3" xfId="2985"/>
    <cellStyle name="Percent 35 4" xfId="2986"/>
    <cellStyle name="Percent 4" xfId="2987"/>
    <cellStyle name="Percent 4 2" xfId="2988"/>
    <cellStyle name="Percent 4 3" xfId="2989"/>
    <cellStyle name="Percent 5" xfId="2990"/>
    <cellStyle name="Percent 52" xfId="2991"/>
    <cellStyle name="Percent 52 2" xfId="2992"/>
    <cellStyle name="Percent 52 3" xfId="2993"/>
    <cellStyle name="Percent 6" xfId="2994"/>
    <cellStyle name="Percent 6 2" xfId="2995"/>
    <cellStyle name="Percent 7" xfId="2996"/>
    <cellStyle name="Percent 8" xfId="2997"/>
    <cellStyle name="Percent 9" xfId="2998"/>
    <cellStyle name="price" xfId="2999"/>
    <cellStyle name="PSChar" xfId="3000"/>
    <cellStyle name="PSHeading" xfId="3001"/>
    <cellStyle name="q" xfId="3002"/>
    <cellStyle name="q_Sheet1" xfId="3003"/>
    <cellStyle name="QEPS-h" xfId="3004"/>
    <cellStyle name="QEPS-H1" xfId="3005"/>
    <cellStyle name="qRange" xfId="3006"/>
    <cellStyle name="range" xfId="3007"/>
    <cellStyle name="RevList" xfId="3008"/>
    <cellStyle name="SAPBEXaggData" xfId="3009"/>
    <cellStyle name="SAPBEXaggDataEmph" xfId="3010"/>
    <cellStyle name="SAPBEXaggItem" xfId="3011"/>
    <cellStyle name="SAPBEXaggItemX" xfId="3012"/>
    <cellStyle name="SAPBEXchaText" xfId="3013"/>
    <cellStyle name="SAPBEXexcBad7" xfId="3014"/>
    <cellStyle name="SAPBEXexcBad8" xfId="3015"/>
    <cellStyle name="SAPBEXexcBad9" xfId="3016"/>
    <cellStyle name="SAPBEXexcCritical4" xfId="3017"/>
    <cellStyle name="SAPBEXexcCritical5" xfId="3018"/>
    <cellStyle name="SAPBEXexcCritical6" xfId="3019"/>
    <cellStyle name="SAPBEXexcGood1" xfId="3020"/>
    <cellStyle name="SAPBEXexcGood2" xfId="3021"/>
    <cellStyle name="SAPBEXexcGood3" xfId="3022"/>
    <cellStyle name="SAPBEXfilterDrill" xfId="3023"/>
    <cellStyle name="SAPBEXfilterItem" xfId="3024"/>
    <cellStyle name="SAPBEXfilterText" xfId="3025"/>
    <cellStyle name="SAPBEXformats" xfId="3026"/>
    <cellStyle name="SAPBEXheaderItem" xfId="3027"/>
    <cellStyle name="SAPBEXheaderText" xfId="3028"/>
    <cellStyle name="SAPBEXHLevel0" xfId="3029"/>
    <cellStyle name="SAPBEXHLevel0X" xfId="3030"/>
    <cellStyle name="SAPBEXHLevel1" xfId="3031"/>
    <cellStyle name="SAPBEXHLevel1X" xfId="3032"/>
    <cellStyle name="SAPBEXHLevel2" xfId="3033"/>
    <cellStyle name="SAPBEXHLevel2X" xfId="3034"/>
    <cellStyle name="SAPBEXHLevel3" xfId="3035"/>
    <cellStyle name="SAPBEXHLevel3X" xfId="3036"/>
    <cellStyle name="SAPBEXresData" xfId="3037"/>
    <cellStyle name="SAPBEXresDataEmph" xfId="3038"/>
    <cellStyle name="SAPBEXresItem" xfId="3039"/>
    <cellStyle name="SAPBEXresItemX" xfId="3040"/>
    <cellStyle name="SAPBEXstdData" xfId="3041"/>
    <cellStyle name="SAPBEXstdDataEmph" xfId="3042"/>
    <cellStyle name="SAPBEXstdItem" xfId="3043"/>
    <cellStyle name="SAPBEXstdItemX" xfId="3044"/>
    <cellStyle name="SAPBEXtitle" xfId="3045"/>
    <cellStyle name="SAPBEXundefined" xfId="3046"/>
    <cellStyle name="Style 1" xfId="3047"/>
    <cellStyle name="Style 2" xfId="3048"/>
    <cellStyle name="subhead" xfId="3049"/>
    <cellStyle name="SubHeading" xfId="3050"/>
    <cellStyle name="Subtotal" xfId="3051"/>
    <cellStyle name="T" xfId="3052"/>
    <cellStyle name="tcn" xfId="3053"/>
    <cellStyle name="th" xfId="3054"/>
    <cellStyle name="Title 10" xfId="3055"/>
    <cellStyle name="Title 11" xfId="3056"/>
    <cellStyle name="Title 12" xfId="3057"/>
    <cellStyle name="Title 13" xfId="3058"/>
    <cellStyle name="Title 2" xfId="3059"/>
    <cellStyle name="Title 2 2" xfId="3060"/>
    <cellStyle name="Title 2 3" xfId="3061"/>
    <cellStyle name="Title 3" xfId="3062"/>
    <cellStyle name="Title 4" xfId="3063"/>
    <cellStyle name="Title 5" xfId="3064"/>
    <cellStyle name="Title 6" xfId="3065"/>
    <cellStyle name="Title 7" xfId="3066"/>
    <cellStyle name="Title 8" xfId="3067"/>
    <cellStyle name="Title 9" xfId="3068"/>
    <cellStyle name="tn" xfId="3069"/>
    <cellStyle name="Total 10" xfId="3070"/>
    <cellStyle name="Total 11" xfId="3071"/>
    <cellStyle name="Total 12" xfId="3072"/>
    <cellStyle name="Total 13" xfId="3073"/>
    <cellStyle name="Total 2" xfId="3074"/>
    <cellStyle name="Total 2 2" xfId="3075"/>
    <cellStyle name="Total 2 3" xfId="3076"/>
    <cellStyle name="Total 3" xfId="3077"/>
    <cellStyle name="Total 4" xfId="3078"/>
    <cellStyle name="Total 5" xfId="3079"/>
    <cellStyle name="Total 6" xfId="3080"/>
    <cellStyle name="Total 7" xfId="3081"/>
    <cellStyle name="Total 8" xfId="3082"/>
    <cellStyle name="Total 9" xfId="3083"/>
    <cellStyle name="viet" xfId="3084"/>
    <cellStyle name="viet2" xfId="3085"/>
    <cellStyle name="vnbo" xfId="3086"/>
    <cellStyle name="vnhead1" xfId="3087"/>
    <cellStyle name="vnhead2" xfId="3088"/>
    <cellStyle name="vnhead3" xfId="3089"/>
    <cellStyle name="vnhead4" xfId="3090"/>
    <cellStyle name="vntxt1" xfId="3091"/>
    <cellStyle name="vntxt2" xfId="3092"/>
    <cellStyle name="Walutowy [0]_Invoices2001Slovakia" xfId="3093"/>
    <cellStyle name="Walutowy_Invoices2001Slovakia" xfId="3094"/>
    <cellStyle name="Warning Text 10" xfId="3095"/>
    <cellStyle name="Warning Text 11" xfId="3096"/>
    <cellStyle name="Warning Text 12" xfId="3097"/>
    <cellStyle name="Warning Text 13" xfId="3098"/>
    <cellStyle name="Warning Text 2" xfId="3099"/>
    <cellStyle name="Warning Text 2 2" xfId="3100"/>
    <cellStyle name="Warning Text 2 3" xfId="3101"/>
    <cellStyle name="Warning Text 3" xfId="3102"/>
    <cellStyle name="Warning Text 4" xfId="3103"/>
    <cellStyle name="Warning Text 5" xfId="3104"/>
    <cellStyle name="Warning Text 6" xfId="3105"/>
    <cellStyle name="Warning Text 7" xfId="3106"/>
    <cellStyle name="Warning Text 8" xfId="3107"/>
    <cellStyle name="Warning Text 9" xfId="3108"/>
    <cellStyle name="xuan" xfId="3109"/>
    <cellStyle name="アクセント 1" xfId="3110"/>
    <cellStyle name="アクセント 1 10" xfId="3111"/>
    <cellStyle name="アクセント 1 11" xfId="3112"/>
    <cellStyle name="アクセント 1 12" xfId="3113"/>
    <cellStyle name="アクセント 1 13" xfId="3114"/>
    <cellStyle name="アクセント 1 2" xfId="3115"/>
    <cellStyle name="アクセント 1 3" xfId="3116"/>
    <cellStyle name="アクセント 1 4" xfId="3117"/>
    <cellStyle name="アクセント 1 5" xfId="3118"/>
    <cellStyle name="アクセント 1 6" xfId="3119"/>
    <cellStyle name="アクセント 1 7" xfId="3120"/>
    <cellStyle name="アクセント 1 8" xfId="3121"/>
    <cellStyle name="アクセント 1 9" xfId="3122"/>
    <cellStyle name="アクセント 2" xfId="3123"/>
    <cellStyle name="アクセント 2 10" xfId="3124"/>
    <cellStyle name="アクセント 2 11" xfId="3125"/>
    <cellStyle name="アクセント 2 12" xfId="3126"/>
    <cellStyle name="アクセント 2 13" xfId="3127"/>
    <cellStyle name="アクセント 2 2" xfId="3128"/>
    <cellStyle name="アクセント 2 3" xfId="3129"/>
    <cellStyle name="アクセント 2 4" xfId="3130"/>
    <cellStyle name="アクセント 2 5" xfId="3131"/>
    <cellStyle name="アクセント 2 6" xfId="3132"/>
    <cellStyle name="アクセント 2 7" xfId="3133"/>
    <cellStyle name="アクセント 2 8" xfId="3134"/>
    <cellStyle name="アクセント 2 9" xfId="3135"/>
    <cellStyle name="アクセント 3" xfId="3136"/>
    <cellStyle name="アクセント 3 10" xfId="3137"/>
    <cellStyle name="アクセント 3 11" xfId="3138"/>
    <cellStyle name="アクセント 3 12" xfId="3139"/>
    <cellStyle name="アクセント 3 13" xfId="3140"/>
    <cellStyle name="アクセント 3 2" xfId="3141"/>
    <cellStyle name="アクセント 3 3" xfId="3142"/>
    <cellStyle name="アクセント 3 4" xfId="3143"/>
    <cellStyle name="アクセント 3 5" xfId="3144"/>
    <cellStyle name="アクセント 3 6" xfId="3145"/>
    <cellStyle name="アクセント 3 7" xfId="3146"/>
    <cellStyle name="アクセント 3 8" xfId="3147"/>
    <cellStyle name="アクセント 3 9" xfId="3148"/>
    <cellStyle name="アクセント 4" xfId="3149"/>
    <cellStyle name="アクセント 4 10" xfId="3150"/>
    <cellStyle name="アクセント 4 11" xfId="3151"/>
    <cellStyle name="アクセント 4 12" xfId="3152"/>
    <cellStyle name="アクセント 4 13" xfId="3153"/>
    <cellStyle name="アクセント 4 2" xfId="3154"/>
    <cellStyle name="アクセント 4 3" xfId="3155"/>
    <cellStyle name="アクセント 4 4" xfId="3156"/>
    <cellStyle name="アクセント 4 5" xfId="3157"/>
    <cellStyle name="アクセント 4 6" xfId="3158"/>
    <cellStyle name="アクセント 4 7" xfId="3159"/>
    <cellStyle name="アクセント 4 8" xfId="3160"/>
    <cellStyle name="アクセント 4 9" xfId="3161"/>
    <cellStyle name="アクセント 5" xfId="3162"/>
    <cellStyle name="アクセント 5 10" xfId="3163"/>
    <cellStyle name="アクセント 5 11" xfId="3164"/>
    <cellStyle name="アクセント 5 12" xfId="3165"/>
    <cellStyle name="アクセント 5 13" xfId="3166"/>
    <cellStyle name="アクセント 5 2" xfId="3167"/>
    <cellStyle name="アクセント 5 3" xfId="3168"/>
    <cellStyle name="アクセント 5 4" xfId="3169"/>
    <cellStyle name="アクセント 5 5" xfId="3170"/>
    <cellStyle name="アクセント 5 6" xfId="3171"/>
    <cellStyle name="アクセント 5 7" xfId="3172"/>
    <cellStyle name="アクセント 5 8" xfId="3173"/>
    <cellStyle name="アクセント 5 9" xfId="3174"/>
    <cellStyle name="アクセント 6" xfId="3175"/>
    <cellStyle name="アクセント 6 10" xfId="3176"/>
    <cellStyle name="アクセント 6 11" xfId="3177"/>
    <cellStyle name="アクセント 6 12" xfId="3178"/>
    <cellStyle name="アクセント 6 13" xfId="3179"/>
    <cellStyle name="アクセント 6 2" xfId="3180"/>
    <cellStyle name="アクセント 6 3" xfId="3181"/>
    <cellStyle name="アクセント 6 4" xfId="3182"/>
    <cellStyle name="アクセント 6 5" xfId="3183"/>
    <cellStyle name="アクセント 6 6" xfId="3184"/>
    <cellStyle name="アクセント 6 7" xfId="3185"/>
    <cellStyle name="アクセント 6 8" xfId="3186"/>
    <cellStyle name="アクセント 6 9" xfId="3187"/>
    <cellStyle name="スタイル 1" xfId="3188"/>
    <cellStyle name="タイトル" xfId="3189"/>
    <cellStyle name="タイトル 10" xfId="3190"/>
    <cellStyle name="タイトル 11" xfId="3191"/>
    <cellStyle name="タイトル 12" xfId="3192"/>
    <cellStyle name="タイトル 13" xfId="3193"/>
    <cellStyle name="タイトル 2" xfId="3194"/>
    <cellStyle name="タイトル 3" xfId="3195"/>
    <cellStyle name="タイトル 4" xfId="3196"/>
    <cellStyle name="タイトル 5" xfId="3197"/>
    <cellStyle name="タイトル 6" xfId="3198"/>
    <cellStyle name="タイトル 7" xfId="3199"/>
    <cellStyle name="タイトル 8" xfId="3200"/>
    <cellStyle name="タイトル 9" xfId="3201"/>
    <cellStyle name="チェック セル" xfId="3202"/>
    <cellStyle name="チェック セル 10" xfId="3203"/>
    <cellStyle name="チェック セル 11" xfId="3204"/>
    <cellStyle name="チェック セル 12" xfId="3205"/>
    <cellStyle name="チェック セル 13" xfId="3206"/>
    <cellStyle name="チェック セル 2" xfId="3207"/>
    <cellStyle name="チェック セル 3" xfId="3208"/>
    <cellStyle name="チェック セル 4" xfId="3209"/>
    <cellStyle name="チェック セル 5" xfId="3210"/>
    <cellStyle name="チェック セル 6" xfId="3211"/>
    <cellStyle name="チェック セル 7" xfId="3212"/>
    <cellStyle name="チェック セル 8" xfId="3213"/>
    <cellStyle name="チェック セル 9" xfId="3214"/>
    <cellStyle name="チェック セル_Xl0000042" xfId="3215"/>
    <cellStyle name="どちらでもない" xfId="3216"/>
    <cellStyle name="どちらでもない 10" xfId="3217"/>
    <cellStyle name="どちらでもない 11" xfId="3218"/>
    <cellStyle name="どちらでもない 12" xfId="3219"/>
    <cellStyle name="どちらでもない 13" xfId="3220"/>
    <cellStyle name="どちらでもない 2" xfId="3221"/>
    <cellStyle name="どちらでもない 3" xfId="3222"/>
    <cellStyle name="どちらでもない 4" xfId="3223"/>
    <cellStyle name="どちらでもない 5" xfId="3224"/>
    <cellStyle name="どちらでもない 6" xfId="3225"/>
    <cellStyle name="どちらでもない 7" xfId="3226"/>
    <cellStyle name="どちらでもない 8" xfId="3227"/>
    <cellStyle name="どちらでもない 9" xfId="3228"/>
    <cellStyle name="ハイパーリンク_JOF Expense 0107 (confirm)" xfId="3229"/>
    <cellStyle name="メモ" xfId="3230"/>
    <cellStyle name="リンク セル" xfId="3231"/>
    <cellStyle name="リンク セル 10" xfId="3232"/>
    <cellStyle name="リンク セル 11" xfId="3233"/>
    <cellStyle name="リンク セル 12" xfId="3234"/>
    <cellStyle name="リンク セル 13" xfId="3235"/>
    <cellStyle name="リンク セル 2" xfId="3236"/>
    <cellStyle name="リンク セル 3" xfId="3237"/>
    <cellStyle name="リンク セル 4" xfId="3238"/>
    <cellStyle name="リンク セル 5" xfId="3239"/>
    <cellStyle name="リンク セル 6" xfId="3240"/>
    <cellStyle name="リンク セル 7" xfId="3241"/>
    <cellStyle name="リンク セル 8" xfId="3242"/>
    <cellStyle name="リンク セル 9" xfId="3243"/>
    <cellStyle name="リンク セル_Xl0000042" xfId="3244"/>
    <cellStyle name=" [0.00]_ Att. 1- Cover" xfId="3430"/>
    <cellStyle name="_ Att. 1- Cover" xfId="3431"/>
    <cellStyle name="?_ Att. 1- Cover" xfId="3432"/>
    <cellStyle name="똿뗦먛귟 [0.00]_PRODUCT DETAIL Q1" xfId="3245"/>
    <cellStyle name="똿뗦먛귟_PRODUCT DETAIL Q1" xfId="3246"/>
    <cellStyle name="믅됞 [0.00]_PRODUCT DETAIL Q1" xfId="3247"/>
    <cellStyle name="믅됞_PRODUCT DETAIL Q1" xfId="3248"/>
    <cellStyle name="백분율_95" xfId="3249"/>
    <cellStyle name="뷭?_BOOKSHIP" xfId="3250"/>
    <cellStyle name="콤마 [0]_1202" xfId="3282"/>
    <cellStyle name="콤마_1202" xfId="3283"/>
    <cellStyle name="통화 [0]_1202" xfId="3284"/>
    <cellStyle name="통화_1202" xfId="3285"/>
    <cellStyle name="표준_(정보부문)월별인원계획" xfId="3286"/>
    <cellStyle name="一般_00Q3902REV.1" xfId="3251"/>
    <cellStyle name="入力" xfId="3252"/>
    <cellStyle name="入力 10" xfId="3253"/>
    <cellStyle name="入力 11" xfId="3254"/>
    <cellStyle name="入力 12" xfId="3255"/>
    <cellStyle name="入力 13" xfId="3256"/>
    <cellStyle name="入力 2" xfId="3257"/>
    <cellStyle name="入力 3" xfId="3258"/>
    <cellStyle name="入力 4" xfId="3259"/>
    <cellStyle name="入力 5" xfId="3260"/>
    <cellStyle name="入力 6" xfId="3261"/>
    <cellStyle name="入力 7" xfId="3262"/>
    <cellStyle name="入力 8" xfId="3263"/>
    <cellStyle name="入力 9" xfId="3264"/>
    <cellStyle name="入力_Xl0000042" xfId="3265"/>
    <cellStyle name="出力" xfId="3266"/>
    <cellStyle name="出力 10" xfId="3267"/>
    <cellStyle name="出力 11" xfId="3268"/>
    <cellStyle name="出力 12" xfId="3269"/>
    <cellStyle name="出力 13" xfId="3270"/>
    <cellStyle name="出力 2" xfId="3271"/>
    <cellStyle name="出力 3" xfId="3272"/>
    <cellStyle name="出力 4" xfId="3273"/>
    <cellStyle name="出力 5" xfId="3274"/>
    <cellStyle name="出力 6" xfId="3275"/>
    <cellStyle name="出力 7" xfId="3276"/>
    <cellStyle name="出力 8" xfId="3277"/>
    <cellStyle name="出力 9" xfId="3278"/>
    <cellStyle name="出力_Xl0000042" xfId="3279"/>
    <cellStyle name="千分位[0]_00Q3902REV.1" xfId="3280"/>
    <cellStyle name="千分位_00Q3902REV.1" xfId="3281"/>
    <cellStyle name="悪い" xfId="3287"/>
    <cellStyle name="悪い 10" xfId="3288"/>
    <cellStyle name="悪い 11" xfId="3289"/>
    <cellStyle name="悪い 12" xfId="3290"/>
    <cellStyle name="悪い 13" xfId="3291"/>
    <cellStyle name="悪い 2" xfId="3292"/>
    <cellStyle name="悪い 3" xfId="3293"/>
    <cellStyle name="悪い 4" xfId="3294"/>
    <cellStyle name="悪い 5" xfId="3295"/>
    <cellStyle name="悪い 6" xfId="3296"/>
    <cellStyle name="悪い 7" xfId="3297"/>
    <cellStyle name="悪い 8" xfId="3298"/>
    <cellStyle name="悪い 9" xfId="3299"/>
    <cellStyle name="桁区切り [0.00]_Rev T3-07 for FSJ (from TuDTN 06Apr07)" xfId="3300"/>
    <cellStyle name="桁区切り 2" xfId="3301"/>
    <cellStyle name="桁区切り_FSJ_Payment_Feb(1).06__add_Osaka_" xfId="3302"/>
    <cellStyle name="標準 2" xfId="3303"/>
    <cellStyle name="標準_BOQ-08" xfId="3304"/>
    <cellStyle name="良い" xfId="3305"/>
    <cellStyle name="良い 10" xfId="3306"/>
    <cellStyle name="良い 11" xfId="3307"/>
    <cellStyle name="良い 12" xfId="3308"/>
    <cellStyle name="良い 13" xfId="3309"/>
    <cellStyle name="良い 2" xfId="3310"/>
    <cellStyle name="良い 3" xfId="3311"/>
    <cellStyle name="良い 4" xfId="3312"/>
    <cellStyle name="良い 5" xfId="3313"/>
    <cellStyle name="良い 6" xfId="3314"/>
    <cellStyle name="良い 7" xfId="3315"/>
    <cellStyle name="良い 8" xfId="3316"/>
    <cellStyle name="良い 9" xfId="3317"/>
    <cellStyle name="見出し 1" xfId="3318"/>
    <cellStyle name="見出し 1 10" xfId="3319"/>
    <cellStyle name="見出し 1 11" xfId="3320"/>
    <cellStyle name="見出し 1 12" xfId="3321"/>
    <cellStyle name="見出し 1 13" xfId="3322"/>
    <cellStyle name="見出し 1 2" xfId="3323"/>
    <cellStyle name="見出し 1 3" xfId="3324"/>
    <cellStyle name="見出し 1 4" xfId="3325"/>
    <cellStyle name="見出し 1 5" xfId="3326"/>
    <cellStyle name="見出し 1 6" xfId="3327"/>
    <cellStyle name="見出し 1 7" xfId="3328"/>
    <cellStyle name="見出し 1 8" xfId="3329"/>
    <cellStyle name="見出し 1 9" xfId="3330"/>
    <cellStyle name="見出し 1_Xl0000042" xfId="3331"/>
    <cellStyle name="見出し 2" xfId="3332"/>
    <cellStyle name="見出し 2 10" xfId="3333"/>
    <cellStyle name="見出し 2 11" xfId="3334"/>
    <cellStyle name="見出し 2 12" xfId="3335"/>
    <cellStyle name="見出し 2 13" xfId="3336"/>
    <cellStyle name="見出し 2 2" xfId="3337"/>
    <cellStyle name="見出し 2 3" xfId="3338"/>
    <cellStyle name="見出し 2 4" xfId="3339"/>
    <cellStyle name="見出し 2 5" xfId="3340"/>
    <cellStyle name="見出し 2 6" xfId="3341"/>
    <cellStyle name="見出し 2 7" xfId="3342"/>
    <cellStyle name="見出し 2 8" xfId="3343"/>
    <cellStyle name="見出し 2 9" xfId="3344"/>
    <cellStyle name="見出し 2_Xl0000042" xfId="3345"/>
    <cellStyle name="見出し 3" xfId="3346"/>
    <cellStyle name="見出し 3 10" xfId="3347"/>
    <cellStyle name="見出し 3 11" xfId="3348"/>
    <cellStyle name="見出し 3 12" xfId="3349"/>
    <cellStyle name="見出し 3 13" xfId="3350"/>
    <cellStyle name="見出し 3 2" xfId="3351"/>
    <cellStyle name="見出し 3 3" xfId="3352"/>
    <cellStyle name="見出し 3 4" xfId="3353"/>
    <cellStyle name="見出し 3 5" xfId="3354"/>
    <cellStyle name="見出し 3 6" xfId="3355"/>
    <cellStyle name="見出し 3 7" xfId="3356"/>
    <cellStyle name="見出し 3 8" xfId="3357"/>
    <cellStyle name="見出し 3 9" xfId="3358"/>
    <cellStyle name="見出し 3_Xl0000042" xfId="3359"/>
    <cellStyle name="見出し 4" xfId="3360"/>
    <cellStyle name="見出し 4 10" xfId="3361"/>
    <cellStyle name="見出し 4 11" xfId="3362"/>
    <cellStyle name="見出し 4 12" xfId="3363"/>
    <cellStyle name="見出し 4 13" xfId="3364"/>
    <cellStyle name="見出し 4 2" xfId="3365"/>
    <cellStyle name="見出し 4 3" xfId="3366"/>
    <cellStyle name="見出し 4 4" xfId="3367"/>
    <cellStyle name="見出し 4 5" xfId="3368"/>
    <cellStyle name="見出し 4 6" xfId="3369"/>
    <cellStyle name="見出し 4 7" xfId="3370"/>
    <cellStyle name="見出し 4 8" xfId="3371"/>
    <cellStyle name="見出し 4 9" xfId="3372"/>
    <cellStyle name="計算" xfId="3373"/>
    <cellStyle name="計算 10" xfId="3374"/>
    <cellStyle name="計算 11" xfId="3375"/>
    <cellStyle name="計算 12" xfId="3376"/>
    <cellStyle name="計算 13" xfId="3377"/>
    <cellStyle name="計算 2" xfId="3378"/>
    <cellStyle name="計算 3" xfId="3379"/>
    <cellStyle name="計算 4" xfId="3380"/>
    <cellStyle name="計算 5" xfId="3381"/>
    <cellStyle name="計算 6" xfId="3382"/>
    <cellStyle name="計算 7" xfId="3383"/>
    <cellStyle name="計算 8" xfId="3384"/>
    <cellStyle name="計算 9" xfId="3385"/>
    <cellStyle name="計算_Xl0000042" xfId="3386"/>
    <cellStyle name="説明文" xfId="3387"/>
    <cellStyle name="説明文 10" xfId="3388"/>
    <cellStyle name="説明文 11" xfId="3389"/>
    <cellStyle name="説明文 12" xfId="3390"/>
    <cellStyle name="説明文 13" xfId="3391"/>
    <cellStyle name="説明文 2" xfId="3392"/>
    <cellStyle name="説明文 3" xfId="3393"/>
    <cellStyle name="説明文 4" xfId="3394"/>
    <cellStyle name="説明文 5" xfId="3395"/>
    <cellStyle name="説明文 6" xfId="3396"/>
    <cellStyle name="説明文 7" xfId="3397"/>
    <cellStyle name="説明文 8" xfId="3398"/>
    <cellStyle name="説明文 9" xfId="3399"/>
    <cellStyle name="警告文" xfId="3400"/>
    <cellStyle name="警告文 10" xfId="3401"/>
    <cellStyle name="警告文 11" xfId="3402"/>
    <cellStyle name="警告文 12" xfId="3403"/>
    <cellStyle name="警告文 13" xfId="3404"/>
    <cellStyle name="警告文 2" xfId="3405"/>
    <cellStyle name="警告文 3" xfId="3406"/>
    <cellStyle name="警告文 4" xfId="3407"/>
    <cellStyle name="警告文 5" xfId="3408"/>
    <cellStyle name="警告文 6" xfId="3409"/>
    <cellStyle name="警告文 7" xfId="3410"/>
    <cellStyle name="警告文 8" xfId="3411"/>
    <cellStyle name="警告文 9" xfId="3412"/>
    <cellStyle name="貨幣 [0]_00Q3902REV.1" xfId="3413"/>
    <cellStyle name="貨幣[0]_1-99" xfId="3414"/>
    <cellStyle name="貨幣_00Q3902REV.1" xfId="3415"/>
    <cellStyle name="集計" xfId="3416"/>
    <cellStyle name="集計 10" xfId="3417"/>
    <cellStyle name="集計 11" xfId="3418"/>
    <cellStyle name="集計 12" xfId="3419"/>
    <cellStyle name="集計 13" xfId="3420"/>
    <cellStyle name="集計 2" xfId="3421"/>
    <cellStyle name="集計 3" xfId="3422"/>
    <cellStyle name="集計 4" xfId="3423"/>
    <cellStyle name="集計 5" xfId="3424"/>
    <cellStyle name="集計 6" xfId="3425"/>
    <cellStyle name="集計 7" xfId="3426"/>
    <cellStyle name="集計 8" xfId="3427"/>
    <cellStyle name="集計 9" xfId="3428"/>
    <cellStyle name="集計_Xl0000042" xfId="3429"/>
  </cellStyles>
  <dxfs count="0"/>
  <tableStyles count="0" defaultTableStyle="TableStyleMedium9" defaultPivotStyle="PivotStyleLight16"/>
  <colors>
    <mruColors>
      <color rgb="FFE6B8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1</xdr:row>
      <xdr:rowOff>38100</xdr:rowOff>
    </xdr:from>
    <xdr:to>
      <xdr:col>1</xdr:col>
      <xdr:colOff>952500</xdr:colOff>
      <xdr:row>1</xdr:row>
      <xdr:rowOff>742950</xdr:rowOff>
    </xdr:to>
    <xdr:pic>
      <xdr:nvPicPr>
        <xdr:cNvPr id="2" name="Picture 2" descr="FSOFT-new-vertical.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200025"/>
          <a:ext cx="7810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238125</xdr:colOff>
          <xdr:row>1</xdr:row>
          <xdr:rowOff>0</xdr:rowOff>
        </xdr:from>
        <xdr:to>
          <xdr:col>14</xdr:col>
          <xdr:colOff>0</xdr:colOff>
          <xdr:row>15</xdr:row>
          <xdr:rowOff>0</xdr:rowOff>
        </xdr:to>
        <xdr:sp macro="" textlink="">
          <xdr:nvSpPr>
            <xdr:cNvPr id="21506" name="Object 2" hidden="1">
              <a:extLst>
                <a:ext uri="{63B3BB69-23CF-44E3-9099-C40C66FF867C}">
                  <a14:compatExt spid="_x0000_s2150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
  <sheetViews>
    <sheetView showGridLines="0" workbookViewId="0">
      <selection activeCell="F16" sqref="F16"/>
    </sheetView>
  </sheetViews>
  <sheetFormatPr defaultRowHeight="12.75"/>
  <cols>
    <col min="1" max="1" width="2.28515625" style="20" customWidth="1"/>
    <col min="2" max="2" width="14.42578125" style="36" customWidth="1"/>
    <col min="3" max="3" width="9.28515625" style="20" customWidth="1"/>
    <col min="4" max="4" width="14.42578125" style="20" customWidth="1"/>
    <col min="5" max="5" width="8" style="20" customWidth="1"/>
    <col min="6" max="6" width="36.85546875" style="20" customWidth="1"/>
    <col min="7" max="7" width="31" style="20" customWidth="1"/>
    <col min="8" max="256" width="9" style="20"/>
    <col min="257" max="257" width="2.28515625" style="20" customWidth="1"/>
    <col min="258" max="258" width="19.5703125" style="20" customWidth="1"/>
    <col min="259" max="259" width="9.28515625" style="20" customWidth="1"/>
    <col min="260" max="260" width="14.42578125" style="20" customWidth="1"/>
    <col min="261" max="261" width="8" style="20" customWidth="1"/>
    <col min="262" max="262" width="31.140625" style="20" customWidth="1"/>
    <col min="263" max="263" width="31" style="20" customWidth="1"/>
    <col min="264" max="512" width="9" style="20"/>
    <col min="513" max="513" width="2.28515625" style="20" customWidth="1"/>
    <col min="514" max="514" width="19.5703125" style="20" customWidth="1"/>
    <col min="515" max="515" width="9.28515625" style="20" customWidth="1"/>
    <col min="516" max="516" width="14.42578125" style="20" customWidth="1"/>
    <col min="517" max="517" width="8" style="20" customWidth="1"/>
    <col min="518" max="518" width="31.140625" style="20" customWidth="1"/>
    <col min="519" max="519" width="31" style="20" customWidth="1"/>
    <col min="520" max="768" width="9" style="20"/>
    <col min="769" max="769" width="2.28515625" style="20" customWidth="1"/>
    <col min="770" max="770" width="19.5703125" style="20" customWidth="1"/>
    <col min="771" max="771" width="9.28515625" style="20" customWidth="1"/>
    <col min="772" max="772" width="14.42578125" style="20" customWidth="1"/>
    <col min="773" max="773" width="8" style="20" customWidth="1"/>
    <col min="774" max="774" width="31.140625" style="20" customWidth="1"/>
    <col min="775" max="775" width="31" style="20" customWidth="1"/>
    <col min="776" max="1024" width="9" style="20"/>
    <col min="1025" max="1025" width="2.28515625" style="20" customWidth="1"/>
    <col min="1026" max="1026" width="19.5703125" style="20" customWidth="1"/>
    <col min="1027" max="1027" width="9.28515625" style="20" customWidth="1"/>
    <col min="1028" max="1028" width="14.42578125" style="20" customWidth="1"/>
    <col min="1029" max="1029" width="8" style="20" customWidth="1"/>
    <col min="1030" max="1030" width="31.140625" style="20" customWidth="1"/>
    <col min="1031" max="1031" width="31" style="20" customWidth="1"/>
    <col min="1032" max="1280" width="9" style="20"/>
    <col min="1281" max="1281" width="2.28515625" style="20" customWidth="1"/>
    <col min="1282" max="1282" width="19.5703125" style="20" customWidth="1"/>
    <col min="1283" max="1283" width="9.28515625" style="20" customWidth="1"/>
    <col min="1284" max="1284" width="14.42578125" style="20" customWidth="1"/>
    <col min="1285" max="1285" width="8" style="20" customWidth="1"/>
    <col min="1286" max="1286" width="31.140625" style="20" customWidth="1"/>
    <col min="1287" max="1287" width="31" style="20" customWidth="1"/>
    <col min="1288" max="1536" width="9" style="20"/>
    <col min="1537" max="1537" width="2.28515625" style="20" customWidth="1"/>
    <col min="1538" max="1538" width="19.5703125" style="20" customWidth="1"/>
    <col min="1539" max="1539" width="9.28515625" style="20" customWidth="1"/>
    <col min="1540" max="1540" width="14.42578125" style="20" customWidth="1"/>
    <col min="1541" max="1541" width="8" style="20" customWidth="1"/>
    <col min="1542" max="1542" width="31.140625" style="20" customWidth="1"/>
    <col min="1543" max="1543" width="31" style="20" customWidth="1"/>
    <col min="1544" max="1792" width="9" style="20"/>
    <col min="1793" max="1793" width="2.28515625" style="20" customWidth="1"/>
    <col min="1794" max="1794" width="19.5703125" style="20" customWidth="1"/>
    <col min="1795" max="1795" width="9.28515625" style="20" customWidth="1"/>
    <col min="1796" max="1796" width="14.42578125" style="20" customWidth="1"/>
    <col min="1797" max="1797" width="8" style="20" customWidth="1"/>
    <col min="1798" max="1798" width="31.140625" style="20" customWidth="1"/>
    <col min="1799" max="1799" width="31" style="20" customWidth="1"/>
    <col min="1800" max="2048" width="9" style="20"/>
    <col min="2049" max="2049" width="2.28515625" style="20" customWidth="1"/>
    <col min="2050" max="2050" width="19.5703125" style="20" customWidth="1"/>
    <col min="2051" max="2051" width="9.28515625" style="20" customWidth="1"/>
    <col min="2052" max="2052" width="14.42578125" style="20" customWidth="1"/>
    <col min="2053" max="2053" width="8" style="20" customWidth="1"/>
    <col min="2054" max="2054" width="31.140625" style="20" customWidth="1"/>
    <col min="2055" max="2055" width="31" style="20" customWidth="1"/>
    <col min="2056" max="2304" width="9" style="20"/>
    <col min="2305" max="2305" width="2.28515625" style="20" customWidth="1"/>
    <col min="2306" max="2306" width="19.5703125" style="20" customWidth="1"/>
    <col min="2307" max="2307" width="9.28515625" style="20" customWidth="1"/>
    <col min="2308" max="2308" width="14.42578125" style="20" customWidth="1"/>
    <col min="2309" max="2309" width="8" style="20" customWidth="1"/>
    <col min="2310" max="2310" width="31.140625" style="20" customWidth="1"/>
    <col min="2311" max="2311" width="31" style="20" customWidth="1"/>
    <col min="2312" max="2560" width="9" style="20"/>
    <col min="2561" max="2561" width="2.28515625" style="20" customWidth="1"/>
    <col min="2562" max="2562" width="19.5703125" style="20" customWidth="1"/>
    <col min="2563" max="2563" width="9.28515625" style="20" customWidth="1"/>
    <col min="2564" max="2564" width="14.42578125" style="20" customWidth="1"/>
    <col min="2565" max="2565" width="8" style="20" customWidth="1"/>
    <col min="2566" max="2566" width="31.140625" style="20" customWidth="1"/>
    <col min="2567" max="2567" width="31" style="20" customWidth="1"/>
    <col min="2568" max="2816" width="9" style="20"/>
    <col min="2817" max="2817" width="2.28515625" style="20" customWidth="1"/>
    <col min="2818" max="2818" width="19.5703125" style="20" customWidth="1"/>
    <col min="2819" max="2819" width="9.28515625" style="20" customWidth="1"/>
    <col min="2820" max="2820" width="14.42578125" style="20" customWidth="1"/>
    <col min="2821" max="2821" width="8" style="20" customWidth="1"/>
    <col min="2822" max="2822" width="31.140625" style="20" customWidth="1"/>
    <col min="2823" max="2823" width="31" style="20" customWidth="1"/>
    <col min="2824" max="3072" width="9" style="20"/>
    <col min="3073" max="3073" width="2.28515625" style="20" customWidth="1"/>
    <col min="3074" max="3074" width="19.5703125" style="20" customWidth="1"/>
    <col min="3075" max="3075" width="9.28515625" style="20" customWidth="1"/>
    <col min="3076" max="3076" width="14.42578125" style="20" customWidth="1"/>
    <col min="3077" max="3077" width="8" style="20" customWidth="1"/>
    <col min="3078" max="3078" width="31.140625" style="20" customWidth="1"/>
    <col min="3079" max="3079" width="31" style="20" customWidth="1"/>
    <col min="3080" max="3328" width="9" style="20"/>
    <col min="3329" max="3329" width="2.28515625" style="20" customWidth="1"/>
    <col min="3330" max="3330" width="19.5703125" style="20" customWidth="1"/>
    <col min="3331" max="3331" width="9.28515625" style="20" customWidth="1"/>
    <col min="3332" max="3332" width="14.42578125" style="20" customWidth="1"/>
    <col min="3333" max="3333" width="8" style="20" customWidth="1"/>
    <col min="3334" max="3334" width="31.140625" style="20" customWidth="1"/>
    <col min="3335" max="3335" width="31" style="20" customWidth="1"/>
    <col min="3336" max="3584" width="9" style="20"/>
    <col min="3585" max="3585" width="2.28515625" style="20" customWidth="1"/>
    <col min="3586" max="3586" width="19.5703125" style="20" customWidth="1"/>
    <col min="3587" max="3587" width="9.28515625" style="20" customWidth="1"/>
    <col min="3588" max="3588" width="14.42578125" style="20" customWidth="1"/>
    <col min="3589" max="3589" width="8" style="20" customWidth="1"/>
    <col min="3590" max="3590" width="31.140625" style="20" customWidth="1"/>
    <col min="3591" max="3591" width="31" style="20" customWidth="1"/>
    <col min="3592" max="3840" width="9" style="20"/>
    <col min="3841" max="3841" width="2.28515625" style="20" customWidth="1"/>
    <col min="3842" max="3842" width="19.5703125" style="20" customWidth="1"/>
    <col min="3843" max="3843" width="9.28515625" style="20" customWidth="1"/>
    <col min="3844" max="3844" width="14.42578125" style="20" customWidth="1"/>
    <col min="3845" max="3845" width="8" style="20" customWidth="1"/>
    <col min="3846" max="3846" width="31.140625" style="20" customWidth="1"/>
    <col min="3847" max="3847" width="31" style="20" customWidth="1"/>
    <col min="3848" max="4096" width="9" style="20"/>
    <col min="4097" max="4097" width="2.28515625" style="20" customWidth="1"/>
    <col min="4098" max="4098" width="19.5703125" style="20" customWidth="1"/>
    <col min="4099" max="4099" width="9.28515625" style="20" customWidth="1"/>
    <col min="4100" max="4100" width="14.42578125" style="20" customWidth="1"/>
    <col min="4101" max="4101" width="8" style="20" customWidth="1"/>
    <col min="4102" max="4102" width="31.140625" style="20" customWidth="1"/>
    <col min="4103" max="4103" width="31" style="20" customWidth="1"/>
    <col min="4104" max="4352" width="9" style="20"/>
    <col min="4353" max="4353" width="2.28515625" style="20" customWidth="1"/>
    <col min="4354" max="4354" width="19.5703125" style="20" customWidth="1"/>
    <col min="4355" max="4355" width="9.28515625" style="20" customWidth="1"/>
    <col min="4356" max="4356" width="14.42578125" style="20" customWidth="1"/>
    <col min="4357" max="4357" width="8" style="20" customWidth="1"/>
    <col min="4358" max="4358" width="31.140625" style="20" customWidth="1"/>
    <col min="4359" max="4359" width="31" style="20" customWidth="1"/>
    <col min="4360" max="4608" width="9" style="20"/>
    <col min="4609" max="4609" width="2.28515625" style="20" customWidth="1"/>
    <col min="4610" max="4610" width="19.5703125" style="20" customWidth="1"/>
    <col min="4611" max="4611" width="9.28515625" style="20" customWidth="1"/>
    <col min="4612" max="4612" width="14.42578125" style="20" customWidth="1"/>
    <col min="4613" max="4613" width="8" style="20" customWidth="1"/>
    <col min="4614" max="4614" width="31.140625" style="20" customWidth="1"/>
    <col min="4615" max="4615" width="31" style="20" customWidth="1"/>
    <col min="4616" max="4864" width="9" style="20"/>
    <col min="4865" max="4865" width="2.28515625" style="20" customWidth="1"/>
    <col min="4866" max="4866" width="19.5703125" style="20" customWidth="1"/>
    <col min="4867" max="4867" width="9.28515625" style="20" customWidth="1"/>
    <col min="4868" max="4868" width="14.42578125" style="20" customWidth="1"/>
    <col min="4869" max="4869" width="8" style="20" customWidth="1"/>
    <col min="4870" max="4870" width="31.140625" style="20" customWidth="1"/>
    <col min="4871" max="4871" width="31" style="20" customWidth="1"/>
    <col min="4872" max="5120" width="9" style="20"/>
    <col min="5121" max="5121" width="2.28515625" style="20" customWidth="1"/>
    <col min="5122" max="5122" width="19.5703125" style="20" customWidth="1"/>
    <col min="5123" max="5123" width="9.28515625" style="20" customWidth="1"/>
    <col min="5124" max="5124" width="14.42578125" style="20" customWidth="1"/>
    <col min="5125" max="5125" width="8" style="20" customWidth="1"/>
    <col min="5126" max="5126" width="31.140625" style="20" customWidth="1"/>
    <col min="5127" max="5127" width="31" style="20" customWidth="1"/>
    <col min="5128" max="5376" width="9" style="20"/>
    <col min="5377" max="5377" width="2.28515625" style="20" customWidth="1"/>
    <col min="5378" max="5378" width="19.5703125" style="20" customWidth="1"/>
    <col min="5379" max="5379" width="9.28515625" style="20" customWidth="1"/>
    <col min="5380" max="5380" width="14.42578125" style="20" customWidth="1"/>
    <col min="5381" max="5381" width="8" style="20" customWidth="1"/>
    <col min="5382" max="5382" width="31.140625" style="20" customWidth="1"/>
    <col min="5383" max="5383" width="31" style="20" customWidth="1"/>
    <col min="5384" max="5632" width="9" style="20"/>
    <col min="5633" max="5633" width="2.28515625" style="20" customWidth="1"/>
    <col min="5634" max="5634" width="19.5703125" style="20" customWidth="1"/>
    <col min="5635" max="5635" width="9.28515625" style="20" customWidth="1"/>
    <col min="5636" max="5636" width="14.42578125" style="20" customWidth="1"/>
    <col min="5637" max="5637" width="8" style="20" customWidth="1"/>
    <col min="5638" max="5638" width="31.140625" style="20" customWidth="1"/>
    <col min="5639" max="5639" width="31" style="20" customWidth="1"/>
    <col min="5640" max="5888" width="9" style="20"/>
    <col min="5889" max="5889" width="2.28515625" style="20" customWidth="1"/>
    <col min="5890" max="5890" width="19.5703125" style="20" customWidth="1"/>
    <col min="5891" max="5891" width="9.28515625" style="20" customWidth="1"/>
    <col min="5892" max="5892" width="14.42578125" style="20" customWidth="1"/>
    <col min="5893" max="5893" width="8" style="20" customWidth="1"/>
    <col min="5894" max="5894" width="31.140625" style="20" customWidth="1"/>
    <col min="5895" max="5895" width="31" style="20" customWidth="1"/>
    <col min="5896" max="6144" width="9" style="20"/>
    <col min="6145" max="6145" width="2.28515625" style="20" customWidth="1"/>
    <col min="6146" max="6146" width="19.5703125" style="20" customWidth="1"/>
    <col min="6147" max="6147" width="9.28515625" style="20" customWidth="1"/>
    <col min="6148" max="6148" width="14.42578125" style="20" customWidth="1"/>
    <col min="6149" max="6149" width="8" style="20" customWidth="1"/>
    <col min="6150" max="6150" width="31.140625" style="20" customWidth="1"/>
    <col min="6151" max="6151" width="31" style="20" customWidth="1"/>
    <col min="6152" max="6400" width="9" style="20"/>
    <col min="6401" max="6401" width="2.28515625" style="20" customWidth="1"/>
    <col min="6402" max="6402" width="19.5703125" style="20" customWidth="1"/>
    <col min="6403" max="6403" width="9.28515625" style="20" customWidth="1"/>
    <col min="6404" max="6404" width="14.42578125" style="20" customWidth="1"/>
    <col min="6405" max="6405" width="8" style="20" customWidth="1"/>
    <col min="6406" max="6406" width="31.140625" style="20" customWidth="1"/>
    <col min="6407" max="6407" width="31" style="20" customWidth="1"/>
    <col min="6408" max="6656" width="9" style="20"/>
    <col min="6657" max="6657" width="2.28515625" style="20" customWidth="1"/>
    <col min="6658" max="6658" width="19.5703125" style="20" customWidth="1"/>
    <col min="6659" max="6659" width="9.28515625" style="20" customWidth="1"/>
    <col min="6660" max="6660" width="14.42578125" style="20" customWidth="1"/>
    <col min="6661" max="6661" width="8" style="20" customWidth="1"/>
    <col min="6662" max="6662" width="31.140625" style="20" customWidth="1"/>
    <col min="6663" max="6663" width="31" style="20" customWidth="1"/>
    <col min="6664" max="6912" width="9" style="20"/>
    <col min="6913" max="6913" width="2.28515625" style="20" customWidth="1"/>
    <col min="6914" max="6914" width="19.5703125" style="20" customWidth="1"/>
    <col min="6915" max="6915" width="9.28515625" style="20" customWidth="1"/>
    <col min="6916" max="6916" width="14.42578125" style="20" customWidth="1"/>
    <col min="6917" max="6917" width="8" style="20" customWidth="1"/>
    <col min="6918" max="6918" width="31.140625" style="20" customWidth="1"/>
    <col min="6919" max="6919" width="31" style="20" customWidth="1"/>
    <col min="6920" max="7168" width="9" style="20"/>
    <col min="7169" max="7169" width="2.28515625" style="20" customWidth="1"/>
    <col min="7170" max="7170" width="19.5703125" style="20" customWidth="1"/>
    <col min="7171" max="7171" width="9.28515625" style="20" customWidth="1"/>
    <col min="7172" max="7172" width="14.42578125" style="20" customWidth="1"/>
    <col min="7173" max="7173" width="8" style="20" customWidth="1"/>
    <col min="7174" max="7174" width="31.140625" style="20" customWidth="1"/>
    <col min="7175" max="7175" width="31" style="20" customWidth="1"/>
    <col min="7176" max="7424" width="9" style="20"/>
    <col min="7425" max="7425" width="2.28515625" style="20" customWidth="1"/>
    <col min="7426" max="7426" width="19.5703125" style="20" customWidth="1"/>
    <col min="7427" max="7427" width="9.28515625" style="20" customWidth="1"/>
    <col min="7428" max="7428" width="14.42578125" style="20" customWidth="1"/>
    <col min="7429" max="7429" width="8" style="20" customWidth="1"/>
    <col min="7430" max="7430" width="31.140625" style="20" customWidth="1"/>
    <col min="7431" max="7431" width="31" style="20" customWidth="1"/>
    <col min="7432" max="7680" width="9" style="20"/>
    <col min="7681" max="7681" width="2.28515625" style="20" customWidth="1"/>
    <col min="7682" max="7682" width="19.5703125" style="20" customWidth="1"/>
    <col min="7683" max="7683" width="9.28515625" style="20" customWidth="1"/>
    <col min="7684" max="7684" width="14.42578125" style="20" customWidth="1"/>
    <col min="7685" max="7685" width="8" style="20" customWidth="1"/>
    <col min="7686" max="7686" width="31.140625" style="20" customWidth="1"/>
    <col min="7687" max="7687" width="31" style="20" customWidth="1"/>
    <col min="7688" max="7936" width="9" style="20"/>
    <col min="7937" max="7937" width="2.28515625" style="20" customWidth="1"/>
    <col min="7938" max="7938" width="19.5703125" style="20" customWidth="1"/>
    <col min="7939" max="7939" width="9.28515625" style="20" customWidth="1"/>
    <col min="7940" max="7940" width="14.42578125" style="20" customWidth="1"/>
    <col min="7941" max="7941" width="8" style="20" customWidth="1"/>
    <col min="7942" max="7942" width="31.140625" style="20" customWidth="1"/>
    <col min="7943" max="7943" width="31" style="20" customWidth="1"/>
    <col min="7944" max="8192" width="9" style="20"/>
    <col min="8193" max="8193" width="2.28515625" style="20" customWidth="1"/>
    <col min="8194" max="8194" width="19.5703125" style="20" customWidth="1"/>
    <col min="8195" max="8195" width="9.28515625" style="20" customWidth="1"/>
    <col min="8196" max="8196" width="14.42578125" style="20" customWidth="1"/>
    <col min="8197" max="8197" width="8" style="20" customWidth="1"/>
    <col min="8198" max="8198" width="31.140625" style="20" customWidth="1"/>
    <col min="8199" max="8199" width="31" style="20" customWidth="1"/>
    <col min="8200" max="8448" width="9" style="20"/>
    <col min="8449" max="8449" width="2.28515625" style="20" customWidth="1"/>
    <col min="8450" max="8450" width="19.5703125" style="20" customWidth="1"/>
    <col min="8451" max="8451" width="9.28515625" style="20" customWidth="1"/>
    <col min="8452" max="8452" width="14.42578125" style="20" customWidth="1"/>
    <col min="8453" max="8453" width="8" style="20" customWidth="1"/>
    <col min="8454" max="8454" width="31.140625" style="20" customWidth="1"/>
    <col min="8455" max="8455" width="31" style="20" customWidth="1"/>
    <col min="8456" max="8704" width="9" style="20"/>
    <col min="8705" max="8705" width="2.28515625" style="20" customWidth="1"/>
    <col min="8706" max="8706" width="19.5703125" style="20" customWidth="1"/>
    <col min="8707" max="8707" width="9.28515625" style="20" customWidth="1"/>
    <col min="8708" max="8708" width="14.42578125" style="20" customWidth="1"/>
    <col min="8709" max="8709" width="8" style="20" customWidth="1"/>
    <col min="8710" max="8710" width="31.140625" style="20" customWidth="1"/>
    <col min="8711" max="8711" width="31" style="20" customWidth="1"/>
    <col min="8712" max="8960" width="9" style="20"/>
    <col min="8961" max="8961" width="2.28515625" style="20" customWidth="1"/>
    <col min="8962" max="8962" width="19.5703125" style="20" customWidth="1"/>
    <col min="8963" max="8963" width="9.28515625" style="20" customWidth="1"/>
    <col min="8964" max="8964" width="14.42578125" style="20" customWidth="1"/>
    <col min="8965" max="8965" width="8" style="20" customWidth="1"/>
    <col min="8966" max="8966" width="31.140625" style="20" customWidth="1"/>
    <col min="8967" max="8967" width="31" style="20" customWidth="1"/>
    <col min="8968" max="9216" width="9" style="20"/>
    <col min="9217" max="9217" width="2.28515625" style="20" customWidth="1"/>
    <col min="9218" max="9218" width="19.5703125" style="20" customWidth="1"/>
    <col min="9219" max="9219" width="9.28515625" style="20" customWidth="1"/>
    <col min="9220" max="9220" width="14.42578125" style="20" customWidth="1"/>
    <col min="9221" max="9221" width="8" style="20" customWidth="1"/>
    <col min="9222" max="9222" width="31.140625" style="20" customWidth="1"/>
    <col min="9223" max="9223" width="31" style="20" customWidth="1"/>
    <col min="9224" max="9472" width="9" style="20"/>
    <col min="9473" max="9473" width="2.28515625" style="20" customWidth="1"/>
    <col min="9474" max="9474" width="19.5703125" style="20" customWidth="1"/>
    <col min="9475" max="9475" width="9.28515625" style="20" customWidth="1"/>
    <col min="9476" max="9476" width="14.42578125" style="20" customWidth="1"/>
    <col min="9477" max="9477" width="8" style="20" customWidth="1"/>
    <col min="9478" max="9478" width="31.140625" style="20" customWidth="1"/>
    <col min="9479" max="9479" width="31" style="20" customWidth="1"/>
    <col min="9480" max="9728" width="9" style="20"/>
    <col min="9729" max="9729" width="2.28515625" style="20" customWidth="1"/>
    <col min="9730" max="9730" width="19.5703125" style="20" customWidth="1"/>
    <col min="9731" max="9731" width="9.28515625" style="20" customWidth="1"/>
    <col min="9732" max="9732" width="14.42578125" style="20" customWidth="1"/>
    <col min="9733" max="9733" width="8" style="20" customWidth="1"/>
    <col min="9734" max="9734" width="31.140625" style="20" customWidth="1"/>
    <col min="9735" max="9735" width="31" style="20" customWidth="1"/>
    <col min="9736" max="9984" width="9" style="20"/>
    <col min="9985" max="9985" width="2.28515625" style="20" customWidth="1"/>
    <col min="9986" max="9986" width="19.5703125" style="20" customWidth="1"/>
    <col min="9987" max="9987" width="9.28515625" style="20" customWidth="1"/>
    <col min="9988" max="9988" width="14.42578125" style="20" customWidth="1"/>
    <col min="9989" max="9989" width="8" style="20" customWidth="1"/>
    <col min="9990" max="9990" width="31.140625" style="20" customWidth="1"/>
    <col min="9991" max="9991" width="31" style="20" customWidth="1"/>
    <col min="9992" max="10240" width="9" style="20"/>
    <col min="10241" max="10241" width="2.28515625" style="20" customWidth="1"/>
    <col min="10242" max="10242" width="19.5703125" style="20" customWidth="1"/>
    <col min="10243" max="10243" width="9.28515625" style="20" customWidth="1"/>
    <col min="10244" max="10244" width="14.42578125" style="20" customWidth="1"/>
    <col min="10245" max="10245" width="8" style="20" customWidth="1"/>
    <col min="10246" max="10246" width="31.140625" style="20" customWidth="1"/>
    <col min="10247" max="10247" width="31" style="20" customWidth="1"/>
    <col min="10248" max="10496" width="9" style="20"/>
    <col min="10497" max="10497" width="2.28515625" style="20" customWidth="1"/>
    <col min="10498" max="10498" width="19.5703125" style="20" customWidth="1"/>
    <col min="10499" max="10499" width="9.28515625" style="20" customWidth="1"/>
    <col min="10500" max="10500" width="14.42578125" style="20" customWidth="1"/>
    <col min="10501" max="10501" width="8" style="20" customWidth="1"/>
    <col min="10502" max="10502" width="31.140625" style="20" customWidth="1"/>
    <col min="10503" max="10503" width="31" style="20" customWidth="1"/>
    <col min="10504" max="10752" width="9" style="20"/>
    <col min="10753" max="10753" width="2.28515625" style="20" customWidth="1"/>
    <col min="10754" max="10754" width="19.5703125" style="20" customWidth="1"/>
    <col min="10755" max="10755" width="9.28515625" style="20" customWidth="1"/>
    <col min="10756" max="10756" width="14.42578125" style="20" customWidth="1"/>
    <col min="10757" max="10757" width="8" style="20" customWidth="1"/>
    <col min="10758" max="10758" width="31.140625" style="20" customWidth="1"/>
    <col min="10759" max="10759" width="31" style="20" customWidth="1"/>
    <col min="10760" max="11008" width="9" style="20"/>
    <col min="11009" max="11009" width="2.28515625" style="20" customWidth="1"/>
    <col min="11010" max="11010" width="19.5703125" style="20" customWidth="1"/>
    <col min="11011" max="11011" width="9.28515625" style="20" customWidth="1"/>
    <col min="11012" max="11012" width="14.42578125" style="20" customWidth="1"/>
    <col min="11013" max="11013" width="8" style="20" customWidth="1"/>
    <col min="11014" max="11014" width="31.140625" style="20" customWidth="1"/>
    <col min="11015" max="11015" width="31" style="20" customWidth="1"/>
    <col min="11016" max="11264" width="9" style="20"/>
    <col min="11265" max="11265" width="2.28515625" style="20" customWidth="1"/>
    <col min="11266" max="11266" width="19.5703125" style="20" customWidth="1"/>
    <col min="11267" max="11267" width="9.28515625" style="20" customWidth="1"/>
    <col min="11268" max="11268" width="14.42578125" style="20" customWidth="1"/>
    <col min="11269" max="11269" width="8" style="20" customWidth="1"/>
    <col min="11270" max="11270" width="31.140625" style="20" customWidth="1"/>
    <col min="11271" max="11271" width="31" style="20" customWidth="1"/>
    <col min="11272" max="11520" width="9" style="20"/>
    <col min="11521" max="11521" width="2.28515625" style="20" customWidth="1"/>
    <col min="11522" max="11522" width="19.5703125" style="20" customWidth="1"/>
    <col min="11523" max="11523" width="9.28515625" style="20" customWidth="1"/>
    <col min="11524" max="11524" width="14.42578125" style="20" customWidth="1"/>
    <col min="11525" max="11525" width="8" style="20" customWidth="1"/>
    <col min="11526" max="11526" width="31.140625" style="20" customWidth="1"/>
    <col min="11527" max="11527" width="31" style="20" customWidth="1"/>
    <col min="11528" max="11776" width="9" style="20"/>
    <col min="11777" max="11777" width="2.28515625" style="20" customWidth="1"/>
    <col min="11778" max="11778" width="19.5703125" style="20" customWidth="1"/>
    <col min="11779" max="11779" width="9.28515625" style="20" customWidth="1"/>
    <col min="11780" max="11780" width="14.42578125" style="20" customWidth="1"/>
    <col min="11781" max="11781" width="8" style="20" customWidth="1"/>
    <col min="11782" max="11782" width="31.140625" style="20" customWidth="1"/>
    <col min="11783" max="11783" width="31" style="20" customWidth="1"/>
    <col min="11784" max="12032" width="9" style="20"/>
    <col min="12033" max="12033" width="2.28515625" style="20" customWidth="1"/>
    <col min="12034" max="12034" width="19.5703125" style="20" customWidth="1"/>
    <col min="12035" max="12035" width="9.28515625" style="20" customWidth="1"/>
    <col min="12036" max="12036" width="14.42578125" style="20" customWidth="1"/>
    <col min="12037" max="12037" width="8" style="20" customWidth="1"/>
    <col min="12038" max="12038" width="31.140625" style="20" customWidth="1"/>
    <col min="12039" max="12039" width="31" style="20" customWidth="1"/>
    <col min="12040" max="12288" width="9" style="20"/>
    <col min="12289" max="12289" width="2.28515625" style="20" customWidth="1"/>
    <col min="12290" max="12290" width="19.5703125" style="20" customWidth="1"/>
    <col min="12291" max="12291" width="9.28515625" style="20" customWidth="1"/>
    <col min="12292" max="12292" width="14.42578125" style="20" customWidth="1"/>
    <col min="12293" max="12293" width="8" style="20" customWidth="1"/>
    <col min="12294" max="12294" width="31.140625" style="20" customWidth="1"/>
    <col min="12295" max="12295" width="31" style="20" customWidth="1"/>
    <col min="12296" max="12544" width="9" style="20"/>
    <col min="12545" max="12545" width="2.28515625" style="20" customWidth="1"/>
    <col min="12546" max="12546" width="19.5703125" style="20" customWidth="1"/>
    <col min="12547" max="12547" width="9.28515625" style="20" customWidth="1"/>
    <col min="12548" max="12548" width="14.42578125" style="20" customWidth="1"/>
    <col min="12549" max="12549" width="8" style="20" customWidth="1"/>
    <col min="12550" max="12550" width="31.140625" style="20" customWidth="1"/>
    <col min="12551" max="12551" width="31" style="20" customWidth="1"/>
    <col min="12552" max="12800" width="9" style="20"/>
    <col min="12801" max="12801" width="2.28515625" style="20" customWidth="1"/>
    <col min="12802" max="12802" width="19.5703125" style="20" customWidth="1"/>
    <col min="12803" max="12803" width="9.28515625" style="20" customWidth="1"/>
    <col min="12804" max="12804" width="14.42578125" style="20" customWidth="1"/>
    <col min="12805" max="12805" width="8" style="20" customWidth="1"/>
    <col min="12806" max="12806" width="31.140625" style="20" customWidth="1"/>
    <col min="12807" max="12807" width="31" style="20" customWidth="1"/>
    <col min="12808" max="13056" width="9" style="20"/>
    <col min="13057" max="13057" width="2.28515625" style="20" customWidth="1"/>
    <col min="13058" max="13058" width="19.5703125" style="20" customWidth="1"/>
    <col min="13059" max="13059" width="9.28515625" style="20" customWidth="1"/>
    <col min="13060" max="13060" width="14.42578125" style="20" customWidth="1"/>
    <col min="13061" max="13061" width="8" style="20" customWidth="1"/>
    <col min="13062" max="13062" width="31.140625" style="20" customWidth="1"/>
    <col min="13063" max="13063" width="31" style="20" customWidth="1"/>
    <col min="13064" max="13312" width="9" style="20"/>
    <col min="13313" max="13313" width="2.28515625" style="20" customWidth="1"/>
    <col min="13314" max="13314" width="19.5703125" style="20" customWidth="1"/>
    <col min="13315" max="13315" width="9.28515625" style="20" customWidth="1"/>
    <col min="13316" max="13316" width="14.42578125" style="20" customWidth="1"/>
    <col min="13317" max="13317" width="8" style="20" customWidth="1"/>
    <col min="13318" max="13318" width="31.140625" style="20" customWidth="1"/>
    <col min="13319" max="13319" width="31" style="20" customWidth="1"/>
    <col min="13320" max="13568" width="9" style="20"/>
    <col min="13569" max="13569" width="2.28515625" style="20" customWidth="1"/>
    <col min="13570" max="13570" width="19.5703125" style="20" customWidth="1"/>
    <col min="13571" max="13571" width="9.28515625" style="20" customWidth="1"/>
    <col min="13572" max="13572" width="14.42578125" style="20" customWidth="1"/>
    <col min="13573" max="13573" width="8" style="20" customWidth="1"/>
    <col min="13574" max="13574" width="31.140625" style="20" customWidth="1"/>
    <col min="13575" max="13575" width="31" style="20" customWidth="1"/>
    <col min="13576" max="13824" width="9" style="20"/>
    <col min="13825" max="13825" width="2.28515625" style="20" customWidth="1"/>
    <col min="13826" max="13826" width="19.5703125" style="20" customWidth="1"/>
    <col min="13827" max="13827" width="9.28515625" style="20" customWidth="1"/>
    <col min="13828" max="13828" width="14.42578125" style="20" customWidth="1"/>
    <col min="13829" max="13829" width="8" style="20" customWidth="1"/>
    <col min="13830" max="13830" width="31.140625" style="20" customWidth="1"/>
    <col min="13831" max="13831" width="31" style="20" customWidth="1"/>
    <col min="13832" max="14080" width="9" style="20"/>
    <col min="14081" max="14081" width="2.28515625" style="20" customWidth="1"/>
    <col min="14082" max="14082" width="19.5703125" style="20" customWidth="1"/>
    <col min="14083" max="14083" width="9.28515625" style="20" customWidth="1"/>
    <col min="14084" max="14084" width="14.42578125" style="20" customWidth="1"/>
    <col min="14085" max="14085" width="8" style="20" customWidth="1"/>
    <col min="14086" max="14086" width="31.140625" style="20" customWidth="1"/>
    <col min="14087" max="14087" width="31" style="20" customWidth="1"/>
    <col min="14088" max="14336" width="9" style="20"/>
    <col min="14337" max="14337" width="2.28515625" style="20" customWidth="1"/>
    <col min="14338" max="14338" width="19.5703125" style="20" customWidth="1"/>
    <col min="14339" max="14339" width="9.28515625" style="20" customWidth="1"/>
    <col min="14340" max="14340" width="14.42578125" style="20" customWidth="1"/>
    <col min="14341" max="14341" width="8" style="20" customWidth="1"/>
    <col min="14342" max="14342" width="31.140625" style="20" customWidth="1"/>
    <col min="14343" max="14343" width="31" style="20" customWidth="1"/>
    <col min="14344" max="14592" width="9" style="20"/>
    <col min="14593" max="14593" width="2.28515625" style="20" customWidth="1"/>
    <col min="14594" max="14594" width="19.5703125" style="20" customWidth="1"/>
    <col min="14595" max="14595" width="9.28515625" style="20" customWidth="1"/>
    <col min="14596" max="14596" width="14.42578125" style="20" customWidth="1"/>
    <col min="14597" max="14597" width="8" style="20" customWidth="1"/>
    <col min="14598" max="14598" width="31.140625" style="20" customWidth="1"/>
    <col min="14599" max="14599" width="31" style="20" customWidth="1"/>
    <col min="14600" max="14848" width="9" style="20"/>
    <col min="14849" max="14849" width="2.28515625" style="20" customWidth="1"/>
    <col min="14850" max="14850" width="19.5703125" style="20" customWidth="1"/>
    <col min="14851" max="14851" width="9.28515625" style="20" customWidth="1"/>
    <col min="14852" max="14852" width="14.42578125" style="20" customWidth="1"/>
    <col min="14853" max="14853" width="8" style="20" customWidth="1"/>
    <col min="14854" max="14854" width="31.140625" style="20" customWidth="1"/>
    <col min="14855" max="14855" width="31" style="20" customWidth="1"/>
    <col min="14856" max="15104" width="9" style="20"/>
    <col min="15105" max="15105" width="2.28515625" style="20" customWidth="1"/>
    <col min="15106" max="15106" width="19.5703125" style="20" customWidth="1"/>
    <col min="15107" max="15107" width="9.28515625" style="20" customWidth="1"/>
    <col min="15108" max="15108" width="14.42578125" style="20" customWidth="1"/>
    <col min="15109" max="15109" width="8" style="20" customWidth="1"/>
    <col min="15110" max="15110" width="31.140625" style="20" customWidth="1"/>
    <col min="15111" max="15111" width="31" style="20" customWidth="1"/>
    <col min="15112" max="15360" width="9" style="20"/>
    <col min="15361" max="15361" width="2.28515625" style="20" customWidth="1"/>
    <col min="15362" max="15362" width="19.5703125" style="20" customWidth="1"/>
    <col min="15363" max="15363" width="9.28515625" style="20" customWidth="1"/>
    <col min="15364" max="15364" width="14.42578125" style="20" customWidth="1"/>
    <col min="15365" max="15365" width="8" style="20" customWidth="1"/>
    <col min="15366" max="15366" width="31.140625" style="20" customWidth="1"/>
    <col min="15367" max="15367" width="31" style="20" customWidth="1"/>
    <col min="15368" max="15616" width="9" style="20"/>
    <col min="15617" max="15617" width="2.28515625" style="20" customWidth="1"/>
    <col min="15618" max="15618" width="19.5703125" style="20" customWidth="1"/>
    <col min="15619" max="15619" width="9.28515625" style="20" customWidth="1"/>
    <col min="15620" max="15620" width="14.42578125" style="20" customWidth="1"/>
    <col min="15621" max="15621" width="8" style="20" customWidth="1"/>
    <col min="15622" max="15622" width="31.140625" style="20" customWidth="1"/>
    <col min="15623" max="15623" width="31" style="20" customWidth="1"/>
    <col min="15624" max="15872" width="9" style="20"/>
    <col min="15873" max="15873" width="2.28515625" style="20" customWidth="1"/>
    <col min="15874" max="15874" width="19.5703125" style="20" customWidth="1"/>
    <col min="15875" max="15875" width="9.28515625" style="20" customWidth="1"/>
    <col min="15876" max="15876" width="14.42578125" style="20" customWidth="1"/>
    <col min="15877" max="15877" width="8" style="20" customWidth="1"/>
    <col min="15878" max="15878" width="31.140625" style="20" customWidth="1"/>
    <col min="15879" max="15879" width="31" style="20" customWidth="1"/>
    <col min="15880" max="16128" width="9" style="20"/>
    <col min="16129" max="16129" width="2.28515625" style="20" customWidth="1"/>
    <col min="16130" max="16130" width="19.5703125" style="20" customWidth="1"/>
    <col min="16131" max="16131" width="9.28515625" style="20" customWidth="1"/>
    <col min="16132" max="16132" width="14.42578125" style="20" customWidth="1"/>
    <col min="16133" max="16133" width="8" style="20" customWidth="1"/>
    <col min="16134" max="16134" width="31.140625" style="20" customWidth="1"/>
    <col min="16135" max="16135" width="31" style="20" customWidth="1"/>
    <col min="16136" max="16384" width="9" style="20"/>
  </cols>
  <sheetData>
    <row r="2" spans="1:7" s="19" customFormat="1" ht="60" customHeight="1">
      <c r="A2" s="17"/>
      <c r="B2" s="18"/>
      <c r="C2" s="87" t="s">
        <v>132</v>
      </c>
      <c r="D2" s="88"/>
      <c r="E2" s="88"/>
      <c r="F2" s="88"/>
      <c r="G2" s="88"/>
    </row>
    <row r="3" spans="1:7">
      <c r="B3" s="21"/>
      <c r="C3" s="22"/>
      <c r="F3" s="23"/>
    </row>
    <row r="4" spans="1:7">
      <c r="B4" s="24" t="s">
        <v>55</v>
      </c>
      <c r="C4" s="89" t="s">
        <v>131</v>
      </c>
      <c r="D4" s="89"/>
      <c r="E4" s="89"/>
      <c r="F4" s="24" t="s">
        <v>56</v>
      </c>
      <c r="G4" s="25" t="s">
        <v>81</v>
      </c>
    </row>
    <row r="5" spans="1:7">
      <c r="B5" s="90" t="s">
        <v>57</v>
      </c>
      <c r="C5" s="91"/>
      <c r="D5" s="91"/>
      <c r="E5" s="91"/>
      <c r="F5" s="24" t="s">
        <v>58</v>
      </c>
      <c r="G5" s="37">
        <v>41661</v>
      </c>
    </row>
    <row r="6" spans="1:7">
      <c r="B6" s="90"/>
      <c r="C6" s="91"/>
      <c r="D6" s="91"/>
      <c r="E6" s="91"/>
      <c r="F6" s="24" t="s">
        <v>59</v>
      </c>
      <c r="G6" s="81">
        <f>MAX(C11:C35)</f>
        <v>1.5</v>
      </c>
    </row>
    <row r="7" spans="1:7">
      <c r="B7" s="26"/>
      <c r="C7" s="27"/>
      <c r="D7" s="28"/>
      <c r="E7" s="28"/>
      <c r="F7" s="29"/>
      <c r="G7" s="30"/>
    </row>
    <row r="8" spans="1:7">
      <c r="B8" s="31"/>
      <c r="C8" s="32"/>
      <c r="D8" s="32"/>
      <c r="E8" s="32"/>
      <c r="F8" s="32"/>
    </row>
    <row r="9" spans="1:7">
      <c r="B9" s="33" t="s">
        <v>60</v>
      </c>
    </row>
    <row r="10" spans="1:7" s="34" customFormat="1">
      <c r="B10" s="42" t="s">
        <v>61</v>
      </c>
      <c r="C10" s="43" t="s">
        <v>59</v>
      </c>
      <c r="D10" s="43" t="s">
        <v>62</v>
      </c>
      <c r="E10" s="43" t="s">
        <v>63</v>
      </c>
      <c r="F10" s="43" t="s">
        <v>64</v>
      </c>
      <c r="G10" s="44" t="s">
        <v>65</v>
      </c>
    </row>
    <row r="11" spans="1:7" s="35" customFormat="1" ht="25.5">
      <c r="B11" s="39">
        <v>41226</v>
      </c>
      <c r="C11" s="82">
        <v>1.1000000000000001</v>
      </c>
      <c r="D11" s="41" t="s">
        <v>66</v>
      </c>
      <c r="E11" s="41" t="s">
        <v>67</v>
      </c>
      <c r="F11" s="38" t="s">
        <v>68</v>
      </c>
      <c r="G11" s="40" t="s">
        <v>69</v>
      </c>
    </row>
    <row r="12" spans="1:7" s="35" customFormat="1" ht="40.5" customHeight="1">
      <c r="B12" s="45">
        <v>41661</v>
      </c>
      <c r="C12" s="82">
        <v>1.2</v>
      </c>
      <c r="D12" s="41" t="s">
        <v>70</v>
      </c>
      <c r="E12" s="41" t="s">
        <v>82</v>
      </c>
      <c r="F12" s="41" t="s">
        <v>83</v>
      </c>
      <c r="G12" s="40"/>
    </row>
    <row r="13" spans="1:7" s="35" customFormat="1">
      <c r="B13" s="45">
        <v>41697</v>
      </c>
      <c r="C13" s="83">
        <v>1.3</v>
      </c>
      <c r="D13" s="46"/>
      <c r="E13" s="46"/>
      <c r="F13" s="46" t="s">
        <v>154</v>
      </c>
      <c r="G13" s="47"/>
    </row>
    <row r="14" spans="1:7">
      <c r="B14" s="45">
        <v>41711</v>
      </c>
      <c r="C14" s="83">
        <v>1.4</v>
      </c>
      <c r="D14" s="46"/>
      <c r="E14" s="46"/>
      <c r="F14" s="46" t="s">
        <v>164</v>
      </c>
      <c r="G14" s="47"/>
    </row>
    <row r="15" spans="1:7">
      <c r="B15" s="45">
        <v>41755</v>
      </c>
      <c r="C15" s="83">
        <v>1.5</v>
      </c>
      <c r="D15" s="46"/>
      <c r="E15" s="46"/>
      <c r="F15" s="46" t="s">
        <v>166</v>
      </c>
      <c r="G15" s="47"/>
    </row>
  </sheetData>
  <mergeCells count="4">
    <mergeCell ref="C2:G2"/>
    <mergeCell ref="C4:E4"/>
    <mergeCell ref="B5:B6"/>
    <mergeCell ref="C5:E6"/>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R15"/>
  <sheetViews>
    <sheetView showGridLines="0" topLeftCell="A3" zoomScaleNormal="100" zoomScaleSheetLayoutView="100" workbookViewId="0">
      <selection activeCell="E22" sqref="E22"/>
    </sheetView>
  </sheetViews>
  <sheetFormatPr defaultColWidth="9.140625" defaultRowHeight="15"/>
  <cols>
    <col min="1" max="1" width="3.7109375" style="8" customWidth="1"/>
    <col min="2" max="2" width="12.5703125" style="3" customWidth="1"/>
    <col min="3" max="3" width="22.42578125" style="3" customWidth="1"/>
    <col min="4" max="4" width="7.42578125" style="3" customWidth="1"/>
    <col min="5" max="16" width="5.28515625" style="3" customWidth="1"/>
    <col min="17" max="17" width="4.85546875" style="3" bestFit="1" customWidth="1"/>
    <col min="18" max="22" width="4.140625" style="3" customWidth="1"/>
    <col min="23" max="16384" width="9.140625" style="3"/>
  </cols>
  <sheetData>
    <row r="1" spans="1:18" ht="18.75">
      <c r="B1" s="4" t="s">
        <v>125</v>
      </c>
    </row>
    <row r="2" spans="1:18" ht="18.75">
      <c r="B2" s="4"/>
    </row>
    <row r="3" spans="1:18" ht="18.75">
      <c r="B3" s="4"/>
    </row>
    <row r="4" spans="1:18" ht="18.75">
      <c r="B4" s="4"/>
    </row>
    <row r="5" spans="1:18" ht="18.75">
      <c r="B5" s="4"/>
    </row>
    <row r="6" spans="1:18" ht="18.75">
      <c r="B6" s="4"/>
    </row>
    <row r="7" spans="1:18" ht="18.75">
      <c r="B7" s="4"/>
    </row>
    <row r="8" spans="1:18" s="10" customFormat="1">
      <c r="A8" s="9"/>
      <c r="B8"/>
      <c r="E8" s="11"/>
      <c r="F8" s="11"/>
      <c r="G8" s="11"/>
      <c r="H8" s="11"/>
      <c r="I8" s="11"/>
      <c r="J8" s="11"/>
      <c r="K8" s="11"/>
      <c r="L8" s="11"/>
      <c r="M8" s="11"/>
      <c r="N8" s="11"/>
      <c r="O8" s="11"/>
      <c r="P8" s="11"/>
      <c r="Q8" s="11"/>
      <c r="R8" s="11"/>
    </row>
    <row r="9" spans="1:18" ht="18.75">
      <c r="B9" s="4"/>
    </row>
    <row r="10" spans="1:18" ht="18.75">
      <c r="B10" s="4"/>
    </row>
    <row r="11" spans="1:18" ht="18.75">
      <c r="B11" s="4"/>
    </row>
    <row r="12" spans="1:18" ht="18.75">
      <c r="B12" s="4"/>
    </row>
    <row r="13" spans="1:18" ht="18.75">
      <c r="B13" s="4"/>
    </row>
    <row r="14" spans="1:18" ht="18.75">
      <c r="B14" s="4"/>
    </row>
    <row r="15" spans="1:18" ht="18.75">
      <c r="B15" s="4"/>
    </row>
  </sheetData>
  <printOptions horizontalCentered="1"/>
  <pageMargins left="0.5" right="0.5" top="0.75" bottom="0.75" header="0.31496062992126" footer="0.31496062992126"/>
  <pageSetup paperSize="9" fitToHeight="2" orientation="landscape" r:id="rId1"/>
  <headerFooter>
    <oddFooter>&amp;R&amp;P/&amp;N</oddFooter>
  </headerFooter>
  <drawing r:id="rId2"/>
  <legacyDrawing r:id="rId3"/>
  <oleObjects>
    <mc:AlternateContent xmlns:mc="http://schemas.openxmlformats.org/markup-compatibility/2006">
      <mc:Choice Requires="x14">
        <oleObject progId="Visio.Drawing.11" shapeId="21506" r:id="rId4">
          <objectPr defaultSize="0" autoPict="0" r:id="rId5">
            <anchor moveWithCells="1" sizeWithCells="1">
              <from>
                <xdr:col>0</xdr:col>
                <xdr:colOff>238125</xdr:colOff>
                <xdr:row>1</xdr:row>
                <xdr:rowOff>0</xdr:rowOff>
              </from>
              <to>
                <xdr:col>14</xdr:col>
                <xdr:colOff>0</xdr:colOff>
                <xdr:row>15</xdr:row>
                <xdr:rowOff>0</xdr:rowOff>
              </to>
            </anchor>
          </objectPr>
        </oleObject>
      </mc:Choice>
      <mc:Fallback>
        <oleObject progId="Visio.Drawing.11" shapeId="21506"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V11"/>
  <sheetViews>
    <sheetView workbookViewId="0">
      <selection activeCell="AT11" sqref="AT11"/>
    </sheetView>
  </sheetViews>
  <sheetFormatPr defaultRowHeight="15"/>
  <sheetData>
    <row r="1" spans="1:256">
      <c r="A1" t="e">
        <f>IF(#REF!,"AAAAAFt6TwA=",0)</f>
        <v>#REF!</v>
      </c>
      <c r="B1" t="e">
        <f>AND(#REF!,"AAAAAFt6TwE=")</f>
        <v>#REF!</v>
      </c>
      <c r="C1" t="e">
        <f>AND(#REF!,"AAAAAFt6TwI=")</f>
        <v>#REF!</v>
      </c>
      <c r="D1" t="e">
        <f>AND(#REF!,"AAAAAFt6TwM=")</f>
        <v>#REF!</v>
      </c>
      <c r="E1" t="e">
        <f>AND(#REF!,"AAAAAFt6TwQ=")</f>
        <v>#REF!</v>
      </c>
      <c r="F1" t="e">
        <f>AND(#REF!,"AAAAAFt6TwU=")</f>
        <v>#REF!</v>
      </c>
      <c r="G1" t="e">
        <f>AND(#REF!,"AAAAAFt6TwY=")</f>
        <v>#REF!</v>
      </c>
      <c r="H1" t="e">
        <f>AND(#REF!,"AAAAAFt6Twc=")</f>
        <v>#REF!</v>
      </c>
      <c r="I1" t="e">
        <f>AND(#REF!,"AAAAAFt6Twg=")</f>
        <v>#REF!</v>
      </c>
      <c r="J1" t="e">
        <f>IF(#REF!,"AAAAAFt6Twk=",0)</f>
        <v>#REF!</v>
      </c>
      <c r="K1" t="e">
        <f>AND(#REF!,"AAAAAFt6Two=")</f>
        <v>#REF!</v>
      </c>
      <c r="L1" t="e">
        <f>AND(#REF!,"AAAAAFt6Tws=")</f>
        <v>#REF!</v>
      </c>
      <c r="M1" t="e">
        <f>AND(#REF!,"AAAAAFt6Tww=")</f>
        <v>#REF!</v>
      </c>
      <c r="N1" t="e">
        <f>AND(#REF!,"AAAAAFt6Tw0=")</f>
        <v>#REF!</v>
      </c>
      <c r="O1" t="e">
        <f>AND(#REF!,"AAAAAFt6Tw4=")</f>
        <v>#REF!</v>
      </c>
      <c r="P1" t="e">
        <f>AND(#REF!,"AAAAAFt6Tw8=")</f>
        <v>#REF!</v>
      </c>
      <c r="Q1" t="e">
        <f>AND(#REF!,"AAAAAFt6TxA=")</f>
        <v>#REF!</v>
      </c>
      <c r="R1" t="e">
        <f>AND(#REF!,"AAAAAFt6TxE=")</f>
        <v>#REF!</v>
      </c>
      <c r="S1" t="e">
        <f>IF(#REF!,"AAAAAFt6TxI=",0)</f>
        <v>#REF!</v>
      </c>
      <c r="T1" t="e">
        <f>AND(#REF!,"AAAAAFt6TxM=")</f>
        <v>#REF!</v>
      </c>
      <c r="U1" t="e">
        <f>AND(#REF!,"AAAAAFt6TxQ=")</f>
        <v>#REF!</v>
      </c>
      <c r="V1" t="e">
        <f>AND(#REF!,"AAAAAFt6TxU=")</f>
        <v>#REF!</v>
      </c>
      <c r="W1" t="e">
        <f>AND(#REF!,"AAAAAFt6TxY=")</f>
        <v>#REF!</v>
      </c>
      <c r="X1" t="e">
        <f>AND(#REF!,"AAAAAFt6Txc=")</f>
        <v>#REF!</v>
      </c>
      <c r="Y1" t="e">
        <f>AND(#REF!,"AAAAAFt6Txg=")</f>
        <v>#REF!</v>
      </c>
      <c r="Z1" t="e">
        <f>AND(#REF!,"AAAAAFt6Txk=")</f>
        <v>#REF!</v>
      </c>
      <c r="AA1" t="e">
        <f>AND(#REF!,"AAAAAFt6Txo=")</f>
        <v>#REF!</v>
      </c>
      <c r="AB1" t="e">
        <f>IF(#REF!,"AAAAAFt6Txs=",0)</f>
        <v>#REF!</v>
      </c>
      <c r="AC1" t="e">
        <f>AND(#REF!,"AAAAAFt6Txw=")</f>
        <v>#REF!</v>
      </c>
      <c r="AD1" t="e">
        <f>AND(#REF!,"AAAAAFt6Tx0=")</f>
        <v>#REF!</v>
      </c>
      <c r="AE1" t="e">
        <f>AND(#REF!,"AAAAAFt6Tx4=")</f>
        <v>#REF!</v>
      </c>
      <c r="AF1" t="e">
        <f>AND(#REF!,"AAAAAFt6Tx8=")</f>
        <v>#REF!</v>
      </c>
      <c r="AG1" t="e">
        <f>AND(#REF!,"AAAAAFt6TyA=")</f>
        <v>#REF!</v>
      </c>
      <c r="AH1" t="e">
        <f>AND(#REF!,"AAAAAFt6TyE=")</f>
        <v>#REF!</v>
      </c>
      <c r="AI1" t="e">
        <f>AND(#REF!,"AAAAAFt6TyI=")</f>
        <v>#REF!</v>
      </c>
      <c r="AJ1" t="e">
        <f>AND(#REF!,"AAAAAFt6TyM=")</f>
        <v>#REF!</v>
      </c>
      <c r="AK1" t="e">
        <f>IF(#REF!,"AAAAAFt6TyQ=",0)</f>
        <v>#REF!</v>
      </c>
      <c r="AL1" t="e">
        <f>AND(#REF!,"AAAAAFt6TyU=")</f>
        <v>#REF!</v>
      </c>
      <c r="AM1" t="e">
        <f>AND(#REF!,"AAAAAFt6TyY=")</f>
        <v>#REF!</v>
      </c>
      <c r="AN1" t="e">
        <f>AND(#REF!,"AAAAAFt6Tyc=")</f>
        <v>#REF!</v>
      </c>
      <c r="AO1" t="e">
        <f>AND(#REF!,"AAAAAFt6Tyg=")</f>
        <v>#REF!</v>
      </c>
      <c r="AP1" t="e">
        <f>AND(#REF!,"AAAAAFt6Tyk=")</f>
        <v>#REF!</v>
      </c>
      <c r="AQ1" t="e">
        <f>AND(#REF!,"AAAAAFt6Tyo=")</f>
        <v>#REF!</v>
      </c>
      <c r="AR1" t="e">
        <f>AND(#REF!,"AAAAAFt6Tys=")</f>
        <v>#REF!</v>
      </c>
      <c r="AS1" t="e">
        <f>AND(#REF!,"AAAAAFt6Tyw=")</f>
        <v>#REF!</v>
      </c>
      <c r="AT1" t="e">
        <f>IF(#REF!,"AAAAAFt6Ty0=",0)</f>
        <v>#REF!</v>
      </c>
      <c r="AU1" t="e">
        <f>AND(#REF!,"AAAAAFt6Ty4=")</f>
        <v>#REF!</v>
      </c>
      <c r="AV1" t="e">
        <f>AND(#REF!,"AAAAAFt6Ty8=")</f>
        <v>#REF!</v>
      </c>
      <c r="AW1" t="e">
        <f>AND(#REF!,"AAAAAFt6TzA=")</f>
        <v>#REF!</v>
      </c>
      <c r="AX1" t="e">
        <f>AND(#REF!,"AAAAAFt6TzE=")</f>
        <v>#REF!</v>
      </c>
      <c r="AY1" t="e">
        <f>AND(#REF!,"AAAAAFt6TzI=")</f>
        <v>#REF!</v>
      </c>
      <c r="AZ1" t="e">
        <f>AND(#REF!,"AAAAAFt6TzM=")</f>
        <v>#REF!</v>
      </c>
      <c r="BA1" t="e">
        <f>AND(#REF!,"AAAAAFt6TzQ=")</f>
        <v>#REF!</v>
      </c>
      <c r="BB1" t="e">
        <f>AND(#REF!,"AAAAAFt6TzU=")</f>
        <v>#REF!</v>
      </c>
      <c r="BC1" t="e">
        <f>IF(#REF!,"AAAAAFt6TzY=",0)</f>
        <v>#REF!</v>
      </c>
      <c r="BD1" t="e">
        <f>AND(#REF!,"AAAAAFt6Tzc=")</f>
        <v>#REF!</v>
      </c>
      <c r="BE1" t="e">
        <f>AND(#REF!,"AAAAAFt6Tzg=")</f>
        <v>#REF!</v>
      </c>
      <c r="BF1" t="e">
        <f>AND(#REF!,"AAAAAFt6Tzk=")</f>
        <v>#REF!</v>
      </c>
      <c r="BG1" t="e">
        <f>AND(#REF!,"AAAAAFt6Tzo=")</f>
        <v>#REF!</v>
      </c>
      <c r="BH1" t="e">
        <f>AND(#REF!,"AAAAAFt6Tzs=")</f>
        <v>#REF!</v>
      </c>
      <c r="BI1" t="e">
        <f>AND(#REF!,"AAAAAFt6Tzw=")</f>
        <v>#REF!</v>
      </c>
      <c r="BJ1" t="e">
        <f>AND(#REF!,"AAAAAFt6Tz0=")</f>
        <v>#REF!</v>
      </c>
      <c r="BK1" t="e">
        <f>AND(#REF!,"AAAAAFt6Tz4=")</f>
        <v>#REF!</v>
      </c>
      <c r="BL1" t="e">
        <f>IF(#REF!,"AAAAAFt6Tz8=",0)</f>
        <v>#REF!</v>
      </c>
      <c r="BM1" t="e">
        <f>AND(#REF!,"AAAAAFt6T0A=")</f>
        <v>#REF!</v>
      </c>
      <c r="BN1" t="e">
        <f>AND(#REF!,"AAAAAFt6T0E=")</f>
        <v>#REF!</v>
      </c>
      <c r="BO1" t="e">
        <f>AND(#REF!,"AAAAAFt6T0I=")</f>
        <v>#REF!</v>
      </c>
      <c r="BP1" t="e">
        <f>AND(#REF!,"AAAAAFt6T0M=")</f>
        <v>#REF!</v>
      </c>
      <c r="BQ1" t="e">
        <f>AND(#REF!,"AAAAAFt6T0Q=")</f>
        <v>#REF!</v>
      </c>
      <c r="BR1" t="e">
        <f>AND(#REF!,"AAAAAFt6T0U=")</f>
        <v>#REF!</v>
      </c>
      <c r="BS1" t="e">
        <f>AND(#REF!,"AAAAAFt6T0Y=")</f>
        <v>#REF!</v>
      </c>
      <c r="BT1" t="e">
        <f>AND(#REF!,"AAAAAFt6T0c=")</f>
        <v>#REF!</v>
      </c>
      <c r="BU1" t="e">
        <f>IF(#REF!,"AAAAAFt6T0g=",0)</f>
        <v>#REF!</v>
      </c>
      <c r="BV1" t="e">
        <f>AND(#REF!,"AAAAAFt6T0k=")</f>
        <v>#REF!</v>
      </c>
      <c r="BW1" t="e">
        <f>AND(#REF!,"AAAAAFt6T0o=")</f>
        <v>#REF!</v>
      </c>
      <c r="BX1" t="e">
        <f>AND(#REF!,"AAAAAFt6T0s=")</f>
        <v>#REF!</v>
      </c>
      <c r="BY1" t="e">
        <f>AND(#REF!,"AAAAAFt6T0w=")</f>
        <v>#REF!</v>
      </c>
      <c r="BZ1" t="e">
        <f>AND(#REF!,"AAAAAFt6T00=")</f>
        <v>#REF!</v>
      </c>
      <c r="CA1" t="e">
        <f>AND(#REF!,"AAAAAFt6T04=")</f>
        <v>#REF!</v>
      </c>
      <c r="CB1" t="e">
        <f>AND(#REF!,"AAAAAFt6T08=")</f>
        <v>#REF!</v>
      </c>
      <c r="CC1" t="e">
        <f>AND(#REF!,"AAAAAFt6T1A=")</f>
        <v>#REF!</v>
      </c>
      <c r="CD1" t="e">
        <f>IF(#REF!,"AAAAAFt6T1E=",0)</f>
        <v>#REF!</v>
      </c>
      <c r="CE1" t="e">
        <f>AND(#REF!,"AAAAAFt6T1I=")</f>
        <v>#REF!</v>
      </c>
      <c r="CF1" t="e">
        <f>AND(#REF!,"AAAAAFt6T1M=")</f>
        <v>#REF!</v>
      </c>
      <c r="CG1" t="e">
        <f>AND(#REF!,"AAAAAFt6T1Q=")</f>
        <v>#REF!</v>
      </c>
      <c r="CH1" t="e">
        <f>AND(#REF!,"AAAAAFt6T1U=")</f>
        <v>#REF!</v>
      </c>
      <c r="CI1" t="e">
        <f>AND(#REF!,"AAAAAFt6T1Y=")</f>
        <v>#REF!</v>
      </c>
      <c r="CJ1" t="e">
        <f>AND(#REF!,"AAAAAFt6T1c=")</f>
        <v>#REF!</v>
      </c>
      <c r="CK1" t="e">
        <f>AND(#REF!,"AAAAAFt6T1g=")</f>
        <v>#REF!</v>
      </c>
      <c r="CL1" t="e">
        <f>AND(#REF!,"AAAAAFt6T1k=")</f>
        <v>#REF!</v>
      </c>
      <c r="CM1" t="e">
        <f>IF(#REF!,"AAAAAFt6T1o=",0)</f>
        <v>#REF!</v>
      </c>
      <c r="CN1" t="e">
        <f>AND(#REF!,"AAAAAFt6T1s=")</f>
        <v>#REF!</v>
      </c>
      <c r="CO1" t="e">
        <f>AND(#REF!,"AAAAAFt6T1w=")</f>
        <v>#REF!</v>
      </c>
      <c r="CP1" t="e">
        <f>AND(#REF!,"AAAAAFt6T10=")</f>
        <v>#REF!</v>
      </c>
      <c r="CQ1" t="e">
        <f>AND(#REF!,"AAAAAFt6T14=")</f>
        <v>#REF!</v>
      </c>
      <c r="CR1" t="e">
        <f>AND(#REF!,"AAAAAFt6T18=")</f>
        <v>#REF!</v>
      </c>
      <c r="CS1" t="e">
        <f>AND(#REF!,"AAAAAFt6T2A=")</f>
        <v>#REF!</v>
      </c>
      <c r="CT1" t="e">
        <f>AND(#REF!,"AAAAAFt6T2E=")</f>
        <v>#REF!</v>
      </c>
      <c r="CU1" t="e">
        <f>AND(#REF!,"AAAAAFt6T2I=")</f>
        <v>#REF!</v>
      </c>
      <c r="CV1" t="e">
        <f>IF(#REF!,"AAAAAFt6T2M=",0)</f>
        <v>#REF!</v>
      </c>
      <c r="CW1" t="e">
        <f>AND(#REF!,"AAAAAFt6T2Q=")</f>
        <v>#REF!</v>
      </c>
      <c r="CX1" t="e">
        <f>AND(#REF!,"AAAAAFt6T2U=")</f>
        <v>#REF!</v>
      </c>
      <c r="CY1" t="e">
        <f>AND(#REF!,"AAAAAFt6T2Y=")</f>
        <v>#REF!</v>
      </c>
      <c r="CZ1" t="e">
        <f>AND(#REF!,"AAAAAFt6T2c=")</f>
        <v>#REF!</v>
      </c>
      <c r="DA1" t="e">
        <f>AND(#REF!,"AAAAAFt6T2g=")</f>
        <v>#REF!</v>
      </c>
      <c r="DB1" t="e">
        <f>AND(#REF!,"AAAAAFt6T2k=")</f>
        <v>#REF!</v>
      </c>
      <c r="DC1" t="e">
        <f>AND(#REF!,"AAAAAFt6T2o=")</f>
        <v>#REF!</v>
      </c>
      <c r="DD1" t="e">
        <f>AND(#REF!,"AAAAAFt6T2s=")</f>
        <v>#REF!</v>
      </c>
      <c r="DE1" t="e">
        <f>IF(#REF!,"AAAAAFt6T2w=",0)</f>
        <v>#REF!</v>
      </c>
      <c r="DF1" t="e">
        <f>AND(#REF!,"AAAAAFt6T20=")</f>
        <v>#REF!</v>
      </c>
      <c r="DG1" t="e">
        <f>AND(#REF!,"AAAAAFt6T24=")</f>
        <v>#REF!</v>
      </c>
      <c r="DH1" t="e">
        <f>AND(#REF!,"AAAAAFt6T28=")</f>
        <v>#REF!</v>
      </c>
      <c r="DI1" t="e">
        <f>AND(#REF!,"AAAAAFt6T3A=")</f>
        <v>#REF!</v>
      </c>
      <c r="DJ1" t="e">
        <f>AND(#REF!,"AAAAAFt6T3E=")</f>
        <v>#REF!</v>
      </c>
      <c r="DK1" t="e">
        <f>AND(#REF!,"AAAAAFt6T3I=")</f>
        <v>#REF!</v>
      </c>
      <c r="DL1" t="e">
        <f>AND(#REF!,"AAAAAFt6T3M=")</f>
        <v>#REF!</v>
      </c>
      <c r="DM1" t="e">
        <f>AND(#REF!,"AAAAAFt6T3Q=")</f>
        <v>#REF!</v>
      </c>
      <c r="DN1" t="e">
        <f>IF(#REF!,"AAAAAFt6T3U=",0)</f>
        <v>#REF!</v>
      </c>
      <c r="DO1" t="e">
        <f>AND(#REF!,"AAAAAFt6T3Y=")</f>
        <v>#REF!</v>
      </c>
      <c r="DP1" t="e">
        <f>AND(#REF!,"AAAAAFt6T3c=")</f>
        <v>#REF!</v>
      </c>
      <c r="DQ1" t="e">
        <f>AND(#REF!,"AAAAAFt6T3g=")</f>
        <v>#REF!</v>
      </c>
      <c r="DR1" t="e">
        <f>AND(#REF!,"AAAAAFt6T3k=")</f>
        <v>#REF!</v>
      </c>
      <c r="DS1" t="e">
        <f>AND(#REF!,"AAAAAFt6T3o=")</f>
        <v>#REF!</v>
      </c>
      <c r="DT1" t="e">
        <f>AND(#REF!,"AAAAAFt6T3s=")</f>
        <v>#REF!</v>
      </c>
      <c r="DU1" t="e">
        <f>AND(#REF!,"AAAAAFt6T3w=")</f>
        <v>#REF!</v>
      </c>
      <c r="DV1" t="e">
        <f>AND(#REF!,"AAAAAFt6T30=")</f>
        <v>#REF!</v>
      </c>
      <c r="DW1" t="e">
        <f>IF(#REF!,"AAAAAFt6T34=",0)</f>
        <v>#REF!</v>
      </c>
      <c r="DX1" t="e">
        <f>AND(#REF!,"AAAAAFt6T38=")</f>
        <v>#REF!</v>
      </c>
      <c r="DY1" t="e">
        <f>AND(#REF!,"AAAAAFt6T4A=")</f>
        <v>#REF!</v>
      </c>
      <c r="DZ1" t="e">
        <f>AND(#REF!,"AAAAAFt6T4E=")</f>
        <v>#REF!</v>
      </c>
      <c r="EA1" t="e">
        <f>AND(#REF!,"AAAAAFt6T4I=")</f>
        <v>#REF!</v>
      </c>
      <c r="EB1" t="e">
        <f>AND(#REF!,"AAAAAFt6T4M=")</f>
        <v>#REF!</v>
      </c>
      <c r="EC1" t="e">
        <f>AND(#REF!,"AAAAAFt6T4Q=")</f>
        <v>#REF!</v>
      </c>
      <c r="ED1" t="e">
        <f>AND(#REF!,"AAAAAFt6T4U=")</f>
        <v>#REF!</v>
      </c>
      <c r="EE1" t="e">
        <f>AND(#REF!,"AAAAAFt6T4Y=")</f>
        <v>#REF!</v>
      </c>
      <c r="EF1" t="e">
        <f>IF(#REF!,"AAAAAFt6T4c=",0)</f>
        <v>#REF!</v>
      </c>
      <c r="EG1" t="e">
        <f>AND(#REF!,"AAAAAFt6T4g=")</f>
        <v>#REF!</v>
      </c>
      <c r="EH1" t="e">
        <f>AND(#REF!,"AAAAAFt6T4k=")</f>
        <v>#REF!</v>
      </c>
      <c r="EI1" t="e">
        <f>IF(#REF!,"AAAAAFt6T4o=",0)</f>
        <v>#REF!</v>
      </c>
      <c r="EJ1" t="e">
        <f>AND(#REF!,"AAAAAFt6T4s=")</f>
        <v>#REF!</v>
      </c>
      <c r="EK1" t="e">
        <f>AND(#REF!,"AAAAAFt6T4w=")</f>
        <v>#REF!</v>
      </c>
      <c r="EL1" t="e">
        <f>IF(#REF!,"AAAAAFt6T40=",0)</f>
        <v>#REF!</v>
      </c>
      <c r="EM1" t="e">
        <f>AND(#REF!,"AAAAAFt6T44=")</f>
        <v>#REF!</v>
      </c>
      <c r="EN1" t="e">
        <f>AND(#REF!,"AAAAAFt6T48=")</f>
        <v>#REF!</v>
      </c>
      <c r="EO1" t="e">
        <f>IF(#REF!,"AAAAAFt6T5A=",0)</f>
        <v>#REF!</v>
      </c>
      <c r="EP1" t="e">
        <f>AND(#REF!,"AAAAAFt6T5E=")</f>
        <v>#REF!</v>
      </c>
      <c r="EQ1" t="e">
        <f>AND(#REF!,"AAAAAFt6T5I=")</f>
        <v>#REF!</v>
      </c>
      <c r="ER1" t="e">
        <f>IF(#REF!,"AAAAAFt6T5M=",0)</f>
        <v>#REF!</v>
      </c>
      <c r="ES1" t="e">
        <f>AND(#REF!,"AAAAAFt6T5Q=")</f>
        <v>#REF!</v>
      </c>
      <c r="ET1" t="e">
        <f>AND(#REF!,"AAAAAFt6T5U=")</f>
        <v>#REF!</v>
      </c>
      <c r="EU1" t="e">
        <f>IF(#REF!,"AAAAAFt6T5Y=",0)</f>
        <v>#REF!</v>
      </c>
      <c r="EV1" t="e">
        <f>AND(#REF!,"AAAAAFt6T5c=")</f>
        <v>#REF!</v>
      </c>
      <c r="EW1" t="e">
        <f>AND(#REF!,"AAAAAFt6T5g=")</f>
        <v>#REF!</v>
      </c>
      <c r="EX1" t="e">
        <f>IF(#REF!,"AAAAAFt6T5k=",0)</f>
        <v>#REF!</v>
      </c>
      <c r="EY1" t="e">
        <f>AND(#REF!,"AAAAAFt6T5o=")</f>
        <v>#REF!</v>
      </c>
      <c r="EZ1" t="e">
        <f>AND(#REF!,"AAAAAFt6T5s=")</f>
        <v>#REF!</v>
      </c>
      <c r="FA1" t="e">
        <f>IF(#REF!,"AAAAAFt6T5w=",0)</f>
        <v>#REF!</v>
      </c>
      <c r="FB1" t="e">
        <f>AND(#REF!,"AAAAAFt6T50=")</f>
        <v>#REF!</v>
      </c>
      <c r="FC1" t="e">
        <f>AND(#REF!,"AAAAAFt6T54=")</f>
        <v>#REF!</v>
      </c>
      <c r="FD1" t="e">
        <f>IF(#REF!,"AAAAAFt6T58=",0)</f>
        <v>#REF!</v>
      </c>
      <c r="FE1" t="e">
        <f>AND(#REF!,"AAAAAFt6T6A=")</f>
        <v>#REF!</v>
      </c>
      <c r="FF1" t="e">
        <f>AND(#REF!,"AAAAAFt6T6E=")</f>
        <v>#REF!</v>
      </c>
      <c r="FG1" t="e">
        <f>IF(#REF!,"AAAAAFt6T6I=",0)</f>
        <v>#REF!</v>
      </c>
      <c r="FH1" t="e">
        <f>AND(#REF!,"AAAAAFt6T6M=")</f>
        <v>#REF!</v>
      </c>
      <c r="FI1" t="e">
        <f>AND(#REF!,"AAAAAFt6T6Q=")</f>
        <v>#REF!</v>
      </c>
      <c r="FJ1" t="e">
        <f>IF(#REF!,"AAAAAFt6T6U=",0)</f>
        <v>#REF!</v>
      </c>
      <c r="FK1" t="e">
        <f>AND(#REF!,"AAAAAFt6T6Y=")</f>
        <v>#REF!</v>
      </c>
      <c r="FL1" t="e">
        <f>AND(#REF!,"AAAAAFt6T6c=")</f>
        <v>#REF!</v>
      </c>
      <c r="FM1" t="e">
        <f>IF(#REF!,"AAAAAFt6T6g=",0)</f>
        <v>#REF!</v>
      </c>
      <c r="FN1" t="e">
        <f>AND(#REF!,"AAAAAFt6T6k=")</f>
        <v>#REF!</v>
      </c>
      <c r="FO1" t="e">
        <f>AND(#REF!,"AAAAAFt6T6o=")</f>
        <v>#REF!</v>
      </c>
      <c r="FP1" t="e">
        <f>IF(#REF!,"AAAAAFt6T6s=",0)</f>
        <v>#REF!</v>
      </c>
      <c r="FQ1" t="e">
        <f>AND(#REF!,"AAAAAFt6T6w=")</f>
        <v>#REF!</v>
      </c>
      <c r="FR1" t="e">
        <f>AND(#REF!,"AAAAAFt6T60=")</f>
        <v>#REF!</v>
      </c>
      <c r="FS1" t="e">
        <f>IF(#REF!,"AAAAAFt6T64=",0)</f>
        <v>#REF!</v>
      </c>
      <c r="FT1" t="e">
        <f>IF(#REF!,"AAAAAFt6T68=",0)</f>
        <v>#REF!</v>
      </c>
      <c r="FU1" t="e">
        <f>IF(#REF!,"AAAAAFt6T7A=",0)</f>
        <v>#REF!</v>
      </c>
      <c r="FV1" t="e">
        <f>IF(#REF!,"AAAAAFt6T7E=",0)</f>
        <v>#REF!</v>
      </c>
      <c r="FW1" t="e">
        <f>IF(#REF!,"AAAAAFt6T7I=",0)</f>
        <v>#REF!</v>
      </c>
      <c r="FX1" t="e">
        <f>IF(#REF!,"AAAAAFt6T7M=",0)</f>
        <v>#REF!</v>
      </c>
      <c r="FY1" t="e">
        <f>IF(#REF!,"AAAAAFt6T7Q=",0)</f>
        <v>#REF!</v>
      </c>
      <c r="FZ1" t="e">
        <f>IF(#REF!,"AAAAAFt6T7U=",0)</f>
        <v>#REF!</v>
      </c>
      <c r="GA1" t="e">
        <f>IF(#REF!,"AAAAAFt6T7Y=",0)</f>
        <v>#REF!</v>
      </c>
      <c r="GB1" t="e">
        <f>AND(#REF!,"AAAAAFt6T7c=")</f>
        <v>#REF!</v>
      </c>
      <c r="GC1" t="e">
        <f>AND(#REF!,"AAAAAFt6T7g=")</f>
        <v>#REF!</v>
      </c>
      <c r="GD1" t="e">
        <f>AND(#REF!,"AAAAAFt6T7k=")</f>
        <v>#REF!</v>
      </c>
      <c r="GE1" t="e">
        <f>AND(#REF!,"AAAAAFt6T7o=")</f>
        <v>#REF!</v>
      </c>
      <c r="GF1" t="e">
        <f>AND(#REF!,"AAAAAFt6T7s=")</f>
        <v>#REF!</v>
      </c>
      <c r="GG1" t="e">
        <f>AND(#REF!,"AAAAAFt6T7w=")</f>
        <v>#REF!</v>
      </c>
      <c r="GH1" t="e">
        <f>AND(#REF!,"AAAAAFt6T70=")</f>
        <v>#REF!</v>
      </c>
      <c r="GI1" t="e">
        <f>AND(#REF!,"AAAAAFt6T74=")</f>
        <v>#REF!</v>
      </c>
      <c r="GJ1" t="e">
        <f>AND(#REF!,"AAAAAFt6T78=")</f>
        <v>#REF!</v>
      </c>
      <c r="GK1" t="e">
        <f>AND(#REF!,"AAAAAFt6T8A=")</f>
        <v>#REF!</v>
      </c>
      <c r="GL1" t="e">
        <f>AND(#REF!,"AAAAAFt6T8E=")</f>
        <v>#REF!</v>
      </c>
      <c r="GM1" t="e">
        <f>AND(#REF!,"AAAAAFt6T8I=")</f>
        <v>#REF!</v>
      </c>
      <c r="GN1" t="e">
        <f>AND(#REF!,"AAAAAFt6T8M=")</f>
        <v>#REF!</v>
      </c>
      <c r="GO1" t="e">
        <f>AND(#REF!,"AAAAAFt6T8Q=")</f>
        <v>#REF!</v>
      </c>
      <c r="GP1" t="e">
        <f>AND(#REF!,"AAAAAFt6T8U=")</f>
        <v>#REF!</v>
      </c>
      <c r="GQ1" t="e">
        <f>AND(#REF!,"AAAAAFt6T8Y=")</f>
        <v>#REF!</v>
      </c>
      <c r="GR1" t="e">
        <f>AND(#REF!,"AAAAAFt6T8c=")</f>
        <v>#REF!</v>
      </c>
      <c r="GS1" t="e">
        <f>AND(#REF!,"AAAAAFt6T8g=")</f>
        <v>#REF!</v>
      </c>
      <c r="GT1" t="e">
        <f>IF(#REF!,"AAAAAFt6T8k=",0)</f>
        <v>#REF!</v>
      </c>
      <c r="GU1" t="e">
        <f>AND(#REF!,"AAAAAFt6T8o=")</f>
        <v>#REF!</v>
      </c>
      <c r="GV1" t="e">
        <f>AND(#REF!,"AAAAAFt6T8s=")</f>
        <v>#REF!</v>
      </c>
      <c r="GW1" t="e">
        <f>AND(#REF!,"AAAAAFt6T8w=")</f>
        <v>#REF!</v>
      </c>
      <c r="GX1" t="e">
        <f>AND(#REF!,"AAAAAFt6T80=")</f>
        <v>#REF!</v>
      </c>
      <c r="GY1" t="e">
        <f>AND(#REF!,"AAAAAFt6T84=")</f>
        <v>#REF!</v>
      </c>
      <c r="GZ1" t="e">
        <f>AND(#REF!,"AAAAAFt6T88=")</f>
        <v>#REF!</v>
      </c>
      <c r="HA1" t="e">
        <f>AND(#REF!,"AAAAAFt6T9A=")</f>
        <v>#REF!</v>
      </c>
      <c r="HB1" t="e">
        <f>AND(#REF!,"AAAAAFt6T9E=")</f>
        <v>#REF!</v>
      </c>
      <c r="HC1" t="e">
        <f>AND(#REF!,"AAAAAFt6T9I=")</f>
        <v>#REF!</v>
      </c>
      <c r="HD1" t="e">
        <f>AND(#REF!,"AAAAAFt6T9M=")</f>
        <v>#REF!</v>
      </c>
      <c r="HE1" t="e">
        <f>AND(#REF!,"AAAAAFt6T9Q=")</f>
        <v>#REF!</v>
      </c>
      <c r="HF1" t="e">
        <f>AND(#REF!,"AAAAAFt6T9U=")</f>
        <v>#REF!</v>
      </c>
      <c r="HG1" t="e">
        <f>AND(#REF!,"AAAAAFt6T9Y=")</f>
        <v>#REF!</v>
      </c>
      <c r="HH1" t="e">
        <f>AND(#REF!,"AAAAAFt6T9c=")</f>
        <v>#REF!</v>
      </c>
      <c r="HI1" t="e">
        <f>AND(#REF!,"AAAAAFt6T9g=")</f>
        <v>#REF!</v>
      </c>
      <c r="HJ1" t="e">
        <f>AND(#REF!,"AAAAAFt6T9k=")</f>
        <v>#REF!</v>
      </c>
      <c r="HK1" t="e">
        <f>AND(#REF!,"AAAAAFt6T9o=")</f>
        <v>#REF!</v>
      </c>
      <c r="HL1" t="e">
        <f>AND(#REF!,"AAAAAFt6T9s=")</f>
        <v>#REF!</v>
      </c>
      <c r="HM1" t="e">
        <f>IF(#REF!,"AAAAAFt6T9w=",0)</f>
        <v>#REF!</v>
      </c>
      <c r="HN1" t="e">
        <f>AND(#REF!,"AAAAAFt6T90=")</f>
        <v>#REF!</v>
      </c>
      <c r="HO1" t="e">
        <f>AND(#REF!,"AAAAAFt6T94=")</f>
        <v>#REF!</v>
      </c>
      <c r="HP1" t="e">
        <f>AND(#REF!,"AAAAAFt6T98=")</f>
        <v>#REF!</v>
      </c>
      <c r="HQ1" t="e">
        <f>AND(#REF!,"AAAAAFt6T+A=")</f>
        <v>#REF!</v>
      </c>
      <c r="HR1" t="e">
        <f>AND(#REF!,"AAAAAFt6T+E=")</f>
        <v>#REF!</v>
      </c>
      <c r="HS1" t="e">
        <f>AND(#REF!,"AAAAAFt6T+I=")</f>
        <v>#REF!</v>
      </c>
      <c r="HT1" t="e">
        <f>AND(#REF!,"AAAAAFt6T+M=")</f>
        <v>#REF!</v>
      </c>
      <c r="HU1" t="e">
        <f>AND(#REF!,"AAAAAFt6T+Q=")</f>
        <v>#REF!</v>
      </c>
      <c r="HV1" t="e">
        <f>AND(#REF!,"AAAAAFt6T+U=")</f>
        <v>#REF!</v>
      </c>
      <c r="HW1" t="e">
        <f>AND(#REF!,"AAAAAFt6T+Y=")</f>
        <v>#REF!</v>
      </c>
      <c r="HX1" t="e">
        <f>AND(#REF!,"AAAAAFt6T+c=")</f>
        <v>#REF!</v>
      </c>
      <c r="HY1" t="e">
        <f>AND(#REF!,"AAAAAFt6T+g=")</f>
        <v>#REF!</v>
      </c>
      <c r="HZ1" t="e">
        <f>AND(#REF!,"AAAAAFt6T+k=")</f>
        <v>#REF!</v>
      </c>
      <c r="IA1" t="e">
        <f>AND(#REF!,"AAAAAFt6T+o=")</f>
        <v>#REF!</v>
      </c>
      <c r="IB1" t="e">
        <f>AND(#REF!,"AAAAAFt6T+s=")</f>
        <v>#REF!</v>
      </c>
      <c r="IC1" t="e">
        <f>AND(#REF!,"AAAAAFt6T+w=")</f>
        <v>#REF!</v>
      </c>
      <c r="ID1" t="e">
        <f>AND(#REF!,"AAAAAFt6T+0=")</f>
        <v>#REF!</v>
      </c>
      <c r="IE1" t="e">
        <f>AND(#REF!,"AAAAAFt6T+4=")</f>
        <v>#REF!</v>
      </c>
      <c r="IF1" t="e">
        <f>IF(#REF!,"AAAAAFt6T+8=",0)</f>
        <v>#REF!</v>
      </c>
      <c r="IG1" t="e">
        <f>AND(#REF!,"AAAAAFt6T/A=")</f>
        <v>#REF!</v>
      </c>
      <c r="IH1" t="e">
        <f>AND(#REF!,"AAAAAFt6T/E=")</f>
        <v>#REF!</v>
      </c>
      <c r="II1" t="e">
        <f>AND(#REF!,"AAAAAFt6T/I=")</f>
        <v>#REF!</v>
      </c>
      <c r="IJ1" t="e">
        <f>AND(#REF!,"AAAAAFt6T/M=")</f>
        <v>#REF!</v>
      </c>
      <c r="IK1" t="e">
        <f>AND(#REF!,"AAAAAFt6T/Q=")</f>
        <v>#REF!</v>
      </c>
      <c r="IL1" t="e">
        <f>AND(#REF!,"AAAAAFt6T/U=")</f>
        <v>#REF!</v>
      </c>
      <c r="IM1" t="e">
        <f>AND(#REF!,"AAAAAFt6T/Y=")</f>
        <v>#REF!</v>
      </c>
      <c r="IN1" t="e">
        <f>AND(#REF!,"AAAAAFt6T/c=")</f>
        <v>#REF!</v>
      </c>
      <c r="IO1" t="e">
        <f>AND(#REF!,"AAAAAFt6T/g=")</f>
        <v>#REF!</v>
      </c>
      <c r="IP1" t="e">
        <f>AND(#REF!,"AAAAAFt6T/k=")</f>
        <v>#REF!</v>
      </c>
      <c r="IQ1" t="e">
        <f>AND(#REF!,"AAAAAFt6T/o=")</f>
        <v>#REF!</v>
      </c>
      <c r="IR1" t="e">
        <f>AND(#REF!,"AAAAAFt6T/s=")</f>
        <v>#REF!</v>
      </c>
      <c r="IS1" t="e">
        <f>AND(#REF!,"AAAAAFt6T/w=")</f>
        <v>#REF!</v>
      </c>
      <c r="IT1" t="e">
        <f>AND(#REF!,"AAAAAFt6T/0=")</f>
        <v>#REF!</v>
      </c>
      <c r="IU1" t="e">
        <f>AND(#REF!,"AAAAAFt6T/4=")</f>
        <v>#REF!</v>
      </c>
      <c r="IV1" t="e">
        <f>AND(#REF!,"AAAAAFt6T/8=")</f>
        <v>#REF!</v>
      </c>
    </row>
    <row r="2" spans="1:256">
      <c r="A2" t="e">
        <f>AND(#REF!,"AAAAAF4f6QA=")</f>
        <v>#REF!</v>
      </c>
      <c r="B2" t="e">
        <f>AND(#REF!,"AAAAAF4f6QE=")</f>
        <v>#REF!</v>
      </c>
      <c r="C2" t="e">
        <f>IF(#REF!,"AAAAAF4f6QI=",0)</f>
        <v>#REF!</v>
      </c>
      <c r="D2" t="e">
        <f>AND(#REF!,"AAAAAF4f6QM=")</f>
        <v>#REF!</v>
      </c>
      <c r="E2" t="e">
        <f>AND(#REF!,"AAAAAF4f6QQ=")</f>
        <v>#REF!</v>
      </c>
      <c r="F2" t="e">
        <f>AND(#REF!,"AAAAAF4f6QU=")</f>
        <v>#REF!</v>
      </c>
      <c r="G2" t="e">
        <f>AND(#REF!,"AAAAAF4f6QY=")</f>
        <v>#REF!</v>
      </c>
      <c r="H2" t="e">
        <f>AND(#REF!,"AAAAAF4f6Qc=")</f>
        <v>#REF!</v>
      </c>
      <c r="I2" t="e">
        <f>AND(#REF!,"AAAAAF4f6Qg=")</f>
        <v>#REF!</v>
      </c>
      <c r="J2" t="e">
        <f>AND(#REF!,"AAAAAF4f6Qk=")</f>
        <v>#REF!</v>
      </c>
      <c r="K2" t="e">
        <f>AND(#REF!,"AAAAAF4f6Qo=")</f>
        <v>#REF!</v>
      </c>
      <c r="L2" t="e">
        <f>AND(#REF!,"AAAAAF4f6Qs=")</f>
        <v>#REF!</v>
      </c>
      <c r="M2" t="e">
        <f>AND(#REF!,"AAAAAF4f6Qw=")</f>
        <v>#REF!</v>
      </c>
      <c r="N2" t="e">
        <f>AND(#REF!,"AAAAAF4f6Q0=")</f>
        <v>#REF!</v>
      </c>
      <c r="O2" t="e">
        <f>AND(#REF!,"AAAAAF4f6Q4=")</f>
        <v>#REF!</v>
      </c>
      <c r="P2" t="e">
        <f>AND(#REF!,"AAAAAF4f6Q8=")</f>
        <v>#REF!</v>
      </c>
      <c r="Q2" t="e">
        <f>AND(#REF!,"AAAAAF4f6RA=")</f>
        <v>#REF!</v>
      </c>
      <c r="R2" t="e">
        <f>AND(#REF!,"AAAAAF4f6RE=")</f>
        <v>#REF!</v>
      </c>
      <c r="S2" t="e">
        <f>AND(#REF!,"AAAAAF4f6RI=")</f>
        <v>#REF!</v>
      </c>
      <c r="T2" t="e">
        <f>AND(#REF!,"AAAAAF4f6RM=")</f>
        <v>#REF!</v>
      </c>
      <c r="U2" t="e">
        <f>AND(#REF!,"AAAAAF4f6RQ=")</f>
        <v>#REF!</v>
      </c>
      <c r="V2" t="e">
        <f>IF(#REF!,"AAAAAF4f6RU=",0)</f>
        <v>#REF!</v>
      </c>
      <c r="W2" t="e">
        <f>AND(#REF!,"AAAAAF4f6RY=")</f>
        <v>#REF!</v>
      </c>
      <c r="X2" t="e">
        <f>AND(#REF!,"AAAAAF4f6Rc=")</f>
        <v>#REF!</v>
      </c>
      <c r="Y2" t="e">
        <f>AND(#REF!,"AAAAAF4f6Rg=")</f>
        <v>#REF!</v>
      </c>
      <c r="Z2" t="e">
        <f>AND(#REF!,"AAAAAF4f6Rk=")</f>
        <v>#REF!</v>
      </c>
      <c r="AA2" t="e">
        <f>AND(#REF!,"AAAAAF4f6Ro=")</f>
        <v>#REF!</v>
      </c>
      <c r="AB2" t="e">
        <f>AND(#REF!,"AAAAAF4f6Rs=")</f>
        <v>#REF!</v>
      </c>
      <c r="AC2" t="e">
        <f>AND(#REF!,"AAAAAF4f6Rw=")</f>
        <v>#REF!</v>
      </c>
      <c r="AD2" t="e">
        <f>AND(#REF!,"AAAAAF4f6R0=")</f>
        <v>#REF!</v>
      </c>
      <c r="AE2" t="e">
        <f>AND(#REF!,"AAAAAF4f6R4=")</f>
        <v>#REF!</v>
      </c>
      <c r="AF2" t="e">
        <f>AND(#REF!,"AAAAAF4f6R8=")</f>
        <v>#REF!</v>
      </c>
      <c r="AG2" t="e">
        <f>AND(#REF!,"AAAAAF4f6SA=")</f>
        <v>#REF!</v>
      </c>
      <c r="AH2" t="e">
        <f>AND(#REF!,"AAAAAF4f6SE=")</f>
        <v>#REF!</v>
      </c>
      <c r="AI2" t="e">
        <f>AND(#REF!,"AAAAAF4f6SI=")</f>
        <v>#REF!</v>
      </c>
      <c r="AJ2" t="e">
        <f>AND(#REF!,"AAAAAF4f6SM=")</f>
        <v>#REF!</v>
      </c>
      <c r="AK2" t="e">
        <f>AND(#REF!,"AAAAAF4f6SQ=")</f>
        <v>#REF!</v>
      </c>
      <c r="AL2" t="e">
        <f>AND(#REF!,"AAAAAF4f6SU=")</f>
        <v>#REF!</v>
      </c>
      <c r="AM2" t="e">
        <f>AND(#REF!,"AAAAAF4f6SY=")</f>
        <v>#REF!</v>
      </c>
      <c r="AN2" t="e">
        <f>AND(#REF!,"AAAAAF4f6Sc=")</f>
        <v>#REF!</v>
      </c>
      <c r="AO2" t="e">
        <f>IF(#REF!,"AAAAAF4f6Sg=",0)</f>
        <v>#REF!</v>
      </c>
      <c r="AP2" t="e">
        <f>AND(#REF!,"AAAAAF4f6Sk=")</f>
        <v>#REF!</v>
      </c>
      <c r="AQ2" t="e">
        <f>AND(#REF!,"AAAAAF4f6So=")</f>
        <v>#REF!</v>
      </c>
      <c r="AR2" t="e">
        <f>AND(#REF!,"AAAAAF4f6Ss=")</f>
        <v>#REF!</v>
      </c>
      <c r="AS2" t="e">
        <f>AND(#REF!,"AAAAAF4f6Sw=")</f>
        <v>#REF!</v>
      </c>
      <c r="AT2" t="e">
        <f>AND(#REF!,"AAAAAF4f6S0=")</f>
        <v>#REF!</v>
      </c>
      <c r="AU2" t="e">
        <f>AND(#REF!,"AAAAAF4f6S4=")</f>
        <v>#REF!</v>
      </c>
      <c r="AV2" t="e">
        <f>AND(#REF!,"AAAAAF4f6S8=")</f>
        <v>#REF!</v>
      </c>
      <c r="AW2" t="e">
        <f>AND(#REF!,"AAAAAF4f6TA=")</f>
        <v>#REF!</v>
      </c>
      <c r="AX2" t="e">
        <f>AND(#REF!,"AAAAAF4f6TE=")</f>
        <v>#REF!</v>
      </c>
      <c r="AY2" t="e">
        <f>AND(#REF!,"AAAAAF4f6TI=")</f>
        <v>#REF!</v>
      </c>
      <c r="AZ2" t="e">
        <f>AND(#REF!,"AAAAAF4f6TM=")</f>
        <v>#REF!</v>
      </c>
      <c r="BA2" t="e">
        <f>AND(#REF!,"AAAAAF4f6TQ=")</f>
        <v>#REF!</v>
      </c>
      <c r="BB2" t="e">
        <f>AND(#REF!,"AAAAAF4f6TU=")</f>
        <v>#REF!</v>
      </c>
      <c r="BC2" t="e">
        <f>AND(#REF!,"AAAAAF4f6TY=")</f>
        <v>#REF!</v>
      </c>
      <c r="BD2" t="e">
        <f>AND(#REF!,"AAAAAF4f6Tc=")</f>
        <v>#REF!</v>
      </c>
      <c r="BE2" t="e">
        <f>AND(#REF!,"AAAAAF4f6Tg=")</f>
        <v>#REF!</v>
      </c>
      <c r="BF2" t="e">
        <f>AND(#REF!,"AAAAAF4f6Tk=")</f>
        <v>#REF!</v>
      </c>
      <c r="BG2" t="e">
        <f>AND(#REF!,"AAAAAF4f6To=")</f>
        <v>#REF!</v>
      </c>
      <c r="BH2" t="e">
        <f>IF(#REF!,"AAAAAF4f6Ts=",0)</f>
        <v>#REF!</v>
      </c>
      <c r="BI2" t="e">
        <f>AND(#REF!,"AAAAAF4f6Tw=")</f>
        <v>#REF!</v>
      </c>
      <c r="BJ2" t="e">
        <f>AND(#REF!,"AAAAAF4f6T0=")</f>
        <v>#REF!</v>
      </c>
      <c r="BK2" t="e">
        <f>AND(#REF!,"AAAAAF4f6T4=")</f>
        <v>#REF!</v>
      </c>
      <c r="BL2" t="e">
        <f>AND(#REF!,"AAAAAF4f6T8=")</f>
        <v>#REF!</v>
      </c>
      <c r="BM2" t="e">
        <f>AND(#REF!,"AAAAAF4f6UA=")</f>
        <v>#REF!</v>
      </c>
      <c r="BN2" t="e">
        <f>AND(#REF!,"AAAAAF4f6UE=")</f>
        <v>#REF!</v>
      </c>
      <c r="BO2" t="e">
        <f>AND(#REF!,"AAAAAF4f6UI=")</f>
        <v>#REF!</v>
      </c>
      <c r="BP2" t="e">
        <f>AND(#REF!,"AAAAAF4f6UM=")</f>
        <v>#REF!</v>
      </c>
      <c r="BQ2" t="e">
        <f>AND(#REF!,"AAAAAF4f6UQ=")</f>
        <v>#REF!</v>
      </c>
      <c r="BR2" t="e">
        <f>AND(#REF!,"AAAAAF4f6UU=")</f>
        <v>#REF!</v>
      </c>
      <c r="BS2" t="e">
        <f>AND(#REF!,"AAAAAF4f6UY=")</f>
        <v>#REF!</v>
      </c>
      <c r="BT2" t="e">
        <f>AND(#REF!,"AAAAAF4f6Uc=")</f>
        <v>#REF!</v>
      </c>
      <c r="BU2" t="e">
        <f>AND(#REF!,"AAAAAF4f6Ug=")</f>
        <v>#REF!</v>
      </c>
      <c r="BV2" t="e">
        <f>AND(#REF!,"AAAAAF4f6Uk=")</f>
        <v>#REF!</v>
      </c>
      <c r="BW2" t="e">
        <f>AND(#REF!,"AAAAAF4f6Uo=")</f>
        <v>#REF!</v>
      </c>
      <c r="BX2" t="e">
        <f>AND(#REF!,"AAAAAF4f6Us=")</f>
        <v>#REF!</v>
      </c>
      <c r="BY2" t="e">
        <f>AND(#REF!,"AAAAAF4f6Uw=")</f>
        <v>#REF!</v>
      </c>
      <c r="BZ2" t="e">
        <f>AND(#REF!,"AAAAAF4f6U0=")</f>
        <v>#REF!</v>
      </c>
      <c r="CA2" t="e">
        <f>IF(#REF!,"AAAAAF4f6U4=",0)</f>
        <v>#REF!</v>
      </c>
      <c r="CB2" t="e">
        <f>AND(#REF!,"AAAAAF4f6U8=")</f>
        <v>#REF!</v>
      </c>
      <c r="CC2" t="e">
        <f>AND(#REF!,"AAAAAF4f6VA=")</f>
        <v>#REF!</v>
      </c>
      <c r="CD2" t="e">
        <f>AND(#REF!,"AAAAAF4f6VE=")</f>
        <v>#REF!</v>
      </c>
      <c r="CE2" t="e">
        <f>AND(#REF!,"AAAAAF4f6VI=")</f>
        <v>#REF!</v>
      </c>
      <c r="CF2" t="e">
        <f>AND(#REF!,"AAAAAF4f6VM=")</f>
        <v>#REF!</v>
      </c>
      <c r="CG2" t="e">
        <f>AND(#REF!,"AAAAAF4f6VQ=")</f>
        <v>#REF!</v>
      </c>
      <c r="CH2" t="e">
        <f>AND(#REF!,"AAAAAF4f6VU=")</f>
        <v>#REF!</v>
      </c>
      <c r="CI2" t="e">
        <f>AND(#REF!,"AAAAAF4f6VY=")</f>
        <v>#REF!</v>
      </c>
      <c r="CJ2" t="e">
        <f>AND(#REF!,"AAAAAF4f6Vc=")</f>
        <v>#REF!</v>
      </c>
      <c r="CK2" t="e">
        <f>AND(#REF!,"AAAAAF4f6Vg=")</f>
        <v>#REF!</v>
      </c>
      <c r="CL2" t="e">
        <f>AND(#REF!,"AAAAAF4f6Vk=")</f>
        <v>#REF!</v>
      </c>
      <c r="CM2" t="e">
        <f>AND(#REF!,"AAAAAF4f6Vo=")</f>
        <v>#REF!</v>
      </c>
      <c r="CN2" t="e">
        <f>AND(#REF!,"AAAAAF4f6Vs=")</f>
        <v>#REF!</v>
      </c>
      <c r="CO2" t="e">
        <f>AND(#REF!,"AAAAAF4f6Vw=")</f>
        <v>#REF!</v>
      </c>
      <c r="CP2" t="e">
        <f>AND(#REF!,"AAAAAF4f6V0=")</f>
        <v>#REF!</v>
      </c>
      <c r="CQ2" t="e">
        <f>AND(#REF!,"AAAAAF4f6V4=")</f>
        <v>#REF!</v>
      </c>
      <c r="CR2" t="e">
        <f>AND(#REF!,"AAAAAF4f6V8=")</f>
        <v>#REF!</v>
      </c>
      <c r="CS2" t="e">
        <f>AND(#REF!,"AAAAAF4f6WA=")</f>
        <v>#REF!</v>
      </c>
      <c r="CT2" t="e">
        <f>IF(#REF!,"AAAAAF4f6WE=",0)</f>
        <v>#REF!</v>
      </c>
      <c r="CU2" t="e">
        <f>AND(#REF!,"AAAAAF4f6WI=")</f>
        <v>#REF!</v>
      </c>
      <c r="CV2" t="e">
        <f>AND(#REF!,"AAAAAF4f6WM=")</f>
        <v>#REF!</v>
      </c>
      <c r="CW2" t="e">
        <f>AND(#REF!,"AAAAAF4f6WQ=")</f>
        <v>#REF!</v>
      </c>
      <c r="CX2" t="e">
        <f>AND(#REF!,"AAAAAF4f6WU=")</f>
        <v>#REF!</v>
      </c>
      <c r="CY2" t="e">
        <f>AND(#REF!,"AAAAAF4f6WY=")</f>
        <v>#REF!</v>
      </c>
      <c r="CZ2" t="e">
        <f>AND(#REF!,"AAAAAF4f6Wc=")</f>
        <v>#REF!</v>
      </c>
      <c r="DA2" t="e">
        <f>AND(#REF!,"AAAAAF4f6Wg=")</f>
        <v>#REF!</v>
      </c>
      <c r="DB2" t="e">
        <f>AND(#REF!,"AAAAAF4f6Wk=")</f>
        <v>#REF!</v>
      </c>
      <c r="DC2" t="e">
        <f>AND(#REF!,"AAAAAF4f6Wo=")</f>
        <v>#REF!</v>
      </c>
      <c r="DD2" t="e">
        <f>AND(#REF!,"AAAAAF4f6Ws=")</f>
        <v>#REF!</v>
      </c>
      <c r="DE2" t="e">
        <f>AND(#REF!,"AAAAAF4f6Ww=")</f>
        <v>#REF!</v>
      </c>
      <c r="DF2" t="e">
        <f>AND(#REF!,"AAAAAF4f6W0=")</f>
        <v>#REF!</v>
      </c>
      <c r="DG2" t="e">
        <f>AND(#REF!,"AAAAAF4f6W4=")</f>
        <v>#REF!</v>
      </c>
      <c r="DH2" t="e">
        <f>AND(#REF!,"AAAAAF4f6W8=")</f>
        <v>#REF!</v>
      </c>
      <c r="DI2" t="e">
        <f>AND(#REF!,"AAAAAF4f6XA=")</f>
        <v>#REF!</v>
      </c>
      <c r="DJ2" t="e">
        <f>AND(#REF!,"AAAAAF4f6XE=")</f>
        <v>#REF!</v>
      </c>
      <c r="DK2" t="e">
        <f>AND(#REF!,"AAAAAF4f6XI=")</f>
        <v>#REF!</v>
      </c>
      <c r="DL2" t="e">
        <f>AND(#REF!,"AAAAAF4f6XM=")</f>
        <v>#REF!</v>
      </c>
      <c r="DM2" t="e">
        <f>IF(#REF!,"AAAAAF4f6XQ=",0)</f>
        <v>#REF!</v>
      </c>
      <c r="DN2" t="e">
        <f>AND(#REF!,"AAAAAF4f6XU=")</f>
        <v>#REF!</v>
      </c>
      <c r="DO2" t="e">
        <f>AND(#REF!,"AAAAAF4f6XY=")</f>
        <v>#REF!</v>
      </c>
      <c r="DP2" t="e">
        <f>AND(#REF!,"AAAAAF4f6Xc=")</f>
        <v>#REF!</v>
      </c>
      <c r="DQ2" t="e">
        <f>AND(#REF!,"AAAAAF4f6Xg=")</f>
        <v>#REF!</v>
      </c>
      <c r="DR2" t="e">
        <f>AND(#REF!,"AAAAAF4f6Xk=")</f>
        <v>#REF!</v>
      </c>
      <c r="DS2" t="e">
        <f>AND(#REF!,"AAAAAF4f6Xo=")</f>
        <v>#REF!</v>
      </c>
      <c r="DT2" t="e">
        <f>AND(#REF!,"AAAAAF4f6Xs=")</f>
        <v>#REF!</v>
      </c>
      <c r="DU2" t="e">
        <f>AND(#REF!,"AAAAAF4f6Xw=")</f>
        <v>#REF!</v>
      </c>
      <c r="DV2" t="e">
        <f>AND(#REF!,"AAAAAF4f6X0=")</f>
        <v>#REF!</v>
      </c>
      <c r="DW2" t="e">
        <f>AND(#REF!,"AAAAAF4f6X4=")</f>
        <v>#REF!</v>
      </c>
      <c r="DX2" t="e">
        <f>AND(#REF!,"AAAAAF4f6X8=")</f>
        <v>#REF!</v>
      </c>
      <c r="DY2" t="e">
        <f>AND(#REF!,"AAAAAF4f6YA=")</f>
        <v>#REF!</v>
      </c>
      <c r="DZ2" t="e">
        <f>AND(#REF!,"AAAAAF4f6YE=")</f>
        <v>#REF!</v>
      </c>
      <c r="EA2" t="e">
        <f>AND(#REF!,"AAAAAF4f6YI=")</f>
        <v>#REF!</v>
      </c>
      <c r="EB2" t="e">
        <f>AND(#REF!,"AAAAAF4f6YM=")</f>
        <v>#REF!</v>
      </c>
      <c r="EC2" t="e">
        <f>AND(#REF!,"AAAAAF4f6YQ=")</f>
        <v>#REF!</v>
      </c>
      <c r="ED2" t="e">
        <f>AND(#REF!,"AAAAAF4f6YU=")</f>
        <v>#REF!</v>
      </c>
      <c r="EE2" t="e">
        <f>AND(#REF!,"AAAAAF4f6YY=")</f>
        <v>#REF!</v>
      </c>
      <c r="EF2" t="e">
        <f>IF(#REF!,"AAAAAF4f6Yc=",0)</f>
        <v>#REF!</v>
      </c>
      <c r="EG2" t="e">
        <f>AND(#REF!,"AAAAAF4f6Yg=")</f>
        <v>#REF!</v>
      </c>
      <c r="EH2" t="e">
        <f>AND(#REF!,"AAAAAF4f6Yk=")</f>
        <v>#REF!</v>
      </c>
      <c r="EI2" t="e">
        <f>AND(#REF!,"AAAAAF4f6Yo=")</f>
        <v>#REF!</v>
      </c>
      <c r="EJ2" t="e">
        <f>AND(#REF!,"AAAAAF4f6Ys=")</f>
        <v>#REF!</v>
      </c>
      <c r="EK2" t="e">
        <f>AND(#REF!,"AAAAAF4f6Yw=")</f>
        <v>#REF!</v>
      </c>
      <c r="EL2" t="e">
        <f>AND(#REF!,"AAAAAF4f6Y0=")</f>
        <v>#REF!</v>
      </c>
      <c r="EM2" t="e">
        <f>AND(#REF!,"AAAAAF4f6Y4=")</f>
        <v>#REF!</v>
      </c>
      <c r="EN2" t="e">
        <f>AND(#REF!,"AAAAAF4f6Y8=")</f>
        <v>#REF!</v>
      </c>
      <c r="EO2" t="e">
        <f>AND(#REF!,"AAAAAF4f6ZA=")</f>
        <v>#REF!</v>
      </c>
      <c r="EP2" t="e">
        <f>AND(#REF!,"AAAAAF4f6ZE=")</f>
        <v>#REF!</v>
      </c>
      <c r="EQ2" t="e">
        <f>AND(#REF!,"AAAAAF4f6ZI=")</f>
        <v>#REF!</v>
      </c>
      <c r="ER2" t="e">
        <f>AND(#REF!,"AAAAAF4f6ZM=")</f>
        <v>#REF!</v>
      </c>
      <c r="ES2" t="e">
        <f>AND(#REF!,"AAAAAF4f6ZQ=")</f>
        <v>#REF!</v>
      </c>
      <c r="ET2" t="e">
        <f>AND(#REF!,"AAAAAF4f6ZU=")</f>
        <v>#REF!</v>
      </c>
      <c r="EU2" t="e">
        <f>AND(#REF!,"AAAAAF4f6ZY=")</f>
        <v>#REF!</v>
      </c>
      <c r="EV2" t="e">
        <f>AND(#REF!,"AAAAAF4f6Zc=")</f>
        <v>#REF!</v>
      </c>
      <c r="EW2" t="e">
        <f>AND(#REF!,"AAAAAF4f6Zg=")</f>
        <v>#REF!</v>
      </c>
      <c r="EX2" t="e">
        <f>AND(#REF!,"AAAAAF4f6Zk=")</f>
        <v>#REF!</v>
      </c>
      <c r="EY2" t="e">
        <f>IF(#REF!,"AAAAAF4f6Zo=",0)</f>
        <v>#REF!</v>
      </c>
      <c r="EZ2" t="e">
        <f>AND(#REF!,"AAAAAF4f6Zs=")</f>
        <v>#REF!</v>
      </c>
      <c r="FA2" t="e">
        <f>AND(#REF!,"AAAAAF4f6Zw=")</f>
        <v>#REF!</v>
      </c>
      <c r="FB2" t="e">
        <f>AND(#REF!,"AAAAAF4f6Z0=")</f>
        <v>#REF!</v>
      </c>
      <c r="FC2" t="e">
        <f>AND(#REF!,"AAAAAF4f6Z4=")</f>
        <v>#REF!</v>
      </c>
      <c r="FD2" t="e">
        <f>AND(#REF!,"AAAAAF4f6Z8=")</f>
        <v>#REF!</v>
      </c>
      <c r="FE2" t="e">
        <f>AND(#REF!,"AAAAAF4f6aA=")</f>
        <v>#REF!</v>
      </c>
      <c r="FF2" t="e">
        <f>AND(#REF!,"AAAAAF4f6aE=")</f>
        <v>#REF!</v>
      </c>
      <c r="FG2" t="e">
        <f>AND(#REF!,"AAAAAF4f6aI=")</f>
        <v>#REF!</v>
      </c>
      <c r="FH2" t="e">
        <f>AND(#REF!,"AAAAAF4f6aM=")</f>
        <v>#REF!</v>
      </c>
      <c r="FI2" t="e">
        <f>AND(#REF!,"AAAAAF4f6aQ=")</f>
        <v>#REF!</v>
      </c>
      <c r="FJ2" t="e">
        <f>AND(#REF!,"AAAAAF4f6aU=")</f>
        <v>#REF!</v>
      </c>
      <c r="FK2" t="e">
        <f>AND(#REF!,"AAAAAF4f6aY=")</f>
        <v>#REF!</v>
      </c>
      <c r="FL2" t="e">
        <f>AND(#REF!,"AAAAAF4f6ac=")</f>
        <v>#REF!</v>
      </c>
      <c r="FM2" t="e">
        <f>AND(#REF!,"AAAAAF4f6ag=")</f>
        <v>#REF!</v>
      </c>
      <c r="FN2" t="e">
        <f>AND(#REF!,"AAAAAF4f6ak=")</f>
        <v>#REF!</v>
      </c>
      <c r="FO2" t="e">
        <f>AND(#REF!,"AAAAAF4f6ao=")</f>
        <v>#REF!</v>
      </c>
      <c r="FP2" t="e">
        <f>AND(#REF!,"AAAAAF4f6as=")</f>
        <v>#REF!</v>
      </c>
      <c r="FQ2" t="e">
        <f>AND(#REF!,"AAAAAF4f6aw=")</f>
        <v>#REF!</v>
      </c>
      <c r="FR2" t="e">
        <f>IF(#REF!,"AAAAAF4f6a0=",0)</f>
        <v>#REF!</v>
      </c>
      <c r="FS2" t="e">
        <f>AND(#REF!,"AAAAAF4f6a4=")</f>
        <v>#REF!</v>
      </c>
      <c r="FT2" t="e">
        <f>AND(#REF!,"AAAAAF4f6a8=")</f>
        <v>#REF!</v>
      </c>
      <c r="FU2" t="e">
        <f>AND(#REF!,"AAAAAF4f6bA=")</f>
        <v>#REF!</v>
      </c>
      <c r="FV2" t="e">
        <f>AND(#REF!,"AAAAAF4f6bE=")</f>
        <v>#REF!</v>
      </c>
      <c r="FW2" t="e">
        <f>AND(#REF!,"AAAAAF4f6bI=")</f>
        <v>#REF!</v>
      </c>
      <c r="FX2" t="e">
        <f>AND(#REF!,"AAAAAF4f6bM=")</f>
        <v>#REF!</v>
      </c>
      <c r="FY2" t="e">
        <f>AND(#REF!,"AAAAAF4f6bQ=")</f>
        <v>#REF!</v>
      </c>
      <c r="FZ2" t="e">
        <f>AND(#REF!,"AAAAAF4f6bU=")</f>
        <v>#REF!</v>
      </c>
      <c r="GA2" t="e">
        <f>AND(#REF!,"AAAAAF4f6bY=")</f>
        <v>#REF!</v>
      </c>
      <c r="GB2" t="e">
        <f>AND(#REF!,"AAAAAF4f6bc=")</f>
        <v>#REF!</v>
      </c>
      <c r="GC2" t="e">
        <f>AND(#REF!,"AAAAAF4f6bg=")</f>
        <v>#REF!</v>
      </c>
      <c r="GD2" t="e">
        <f>AND(#REF!,"AAAAAF4f6bk=")</f>
        <v>#REF!</v>
      </c>
      <c r="GE2" t="e">
        <f>AND(#REF!,"AAAAAF4f6bo=")</f>
        <v>#REF!</v>
      </c>
      <c r="GF2" t="e">
        <f>AND(#REF!,"AAAAAF4f6bs=")</f>
        <v>#REF!</v>
      </c>
      <c r="GG2" t="e">
        <f>AND(#REF!,"AAAAAF4f6bw=")</f>
        <v>#REF!</v>
      </c>
      <c r="GH2" t="e">
        <f>AND(#REF!,"AAAAAF4f6b0=")</f>
        <v>#REF!</v>
      </c>
      <c r="GI2" t="e">
        <f>AND(#REF!,"AAAAAF4f6b4=")</f>
        <v>#REF!</v>
      </c>
      <c r="GJ2" t="e">
        <f>AND(#REF!,"AAAAAF4f6b8=")</f>
        <v>#REF!</v>
      </c>
      <c r="GK2" t="e">
        <f>IF(#REF!,"AAAAAF4f6cA=",0)</f>
        <v>#REF!</v>
      </c>
      <c r="GL2" t="e">
        <f>AND(#REF!,"AAAAAF4f6cE=")</f>
        <v>#REF!</v>
      </c>
      <c r="GM2" t="e">
        <f>AND(#REF!,"AAAAAF4f6cI=")</f>
        <v>#REF!</v>
      </c>
      <c r="GN2" t="e">
        <f>AND(#REF!,"AAAAAF4f6cM=")</f>
        <v>#REF!</v>
      </c>
      <c r="GO2" t="e">
        <f>AND(#REF!,"AAAAAF4f6cQ=")</f>
        <v>#REF!</v>
      </c>
      <c r="GP2" t="e">
        <f>AND(#REF!,"AAAAAF4f6cU=")</f>
        <v>#REF!</v>
      </c>
      <c r="GQ2" t="e">
        <f>AND(#REF!,"AAAAAF4f6cY=")</f>
        <v>#REF!</v>
      </c>
      <c r="GR2" t="e">
        <f>AND(#REF!,"AAAAAF4f6cc=")</f>
        <v>#REF!</v>
      </c>
      <c r="GS2" t="e">
        <f>AND(#REF!,"AAAAAF4f6cg=")</f>
        <v>#REF!</v>
      </c>
      <c r="GT2" t="e">
        <f>AND(#REF!,"AAAAAF4f6ck=")</f>
        <v>#REF!</v>
      </c>
      <c r="GU2" t="e">
        <f>AND(#REF!,"AAAAAF4f6co=")</f>
        <v>#REF!</v>
      </c>
      <c r="GV2" t="e">
        <f>AND(#REF!,"AAAAAF4f6cs=")</f>
        <v>#REF!</v>
      </c>
      <c r="GW2" t="e">
        <f>AND(#REF!,"AAAAAF4f6cw=")</f>
        <v>#REF!</v>
      </c>
      <c r="GX2" t="e">
        <f>AND(#REF!,"AAAAAF4f6c0=")</f>
        <v>#REF!</v>
      </c>
      <c r="GY2" t="e">
        <f>AND(#REF!,"AAAAAF4f6c4=")</f>
        <v>#REF!</v>
      </c>
      <c r="GZ2" t="e">
        <f>AND(#REF!,"AAAAAF4f6c8=")</f>
        <v>#REF!</v>
      </c>
      <c r="HA2" t="e">
        <f>AND(#REF!,"AAAAAF4f6dA=")</f>
        <v>#REF!</v>
      </c>
      <c r="HB2" t="e">
        <f>AND(#REF!,"AAAAAF4f6dE=")</f>
        <v>#REF!</v>
      </c>
      <c r="HC2" t="e">
        <f>AND(#REF!,"AAAAAF4f6dI=")</f>
        <v>#REF!</v>
      </c>
      <c r="HD2" t="e">
        <f>IF(#REF!,"AAAAAF4f6dM=",0)</f>
        <v>#REF!</v>
      </c>
      <c r="HE2" t="e">
        <f>AND(#REF!,"AAAAAF4f6dQ=")</f>
        <v>#REF!</v>
      </c>
      <c r="HF2" t="e">
        <f>AND(#REF!,"AAAAAF4f6dU=")</f>
        <v>#REF!</v>
      </c>
      <c r="HG2" t="e">
        <f>AND(#REF!,"AAAAAF4f6dY=")</f>
        <v>#REF!</v>
      </c>
      <c r="HH2" t="e">
        <f>AND(#REF!,"AAAAAF4f6dc=")</f>
        <v>#REF!</v>
      </c>
      <c r="HI2" t="e">
        <f>AND(#REF!,"AAAAAF4f6dg=")</f>
        <v>#REF!</v>
      </c>
      <c r="HJ2" t="e">
        <f>AND(#REF!,"AAAAAF4f6dk=")</f>
        <v>#REF!</v>
      </c>
      <c r="HK2" t="e">
        <f>AND(#REF!,"AAAAAF4f6do=")</f>
        <v>#REF!</v>
      </c>
      <c r="HL2" t="e">
        <f>AND(#REF!,"AAAAAF4f6ds=")</f>
        <v>#REF!</v>
      </c>
      <c r="HM2" t="e">
        <f>AND(#REF!,"AAAAAF4f6dw=")</f>
        <v>#REF!</v>
      </c>
      <c r="HN2" t="e">
        <f>AND(#REF!,"AAAAAF4f6d0=")</f>
        <v>#REF!</v>
      </c>
      <c r="HO2" t="e">
        <f>AND(#REF!,"AAAAAF4f6d4=")</f>
        <v>#REF!</v>
      </c>
      <c r="HP2" t="e">
        <f>AND(#REF!,"AAAAAF4f6d8=")</f>
        <v>#REF!</v>
      </c>
      <c r="HQ2" t="e">
        <f>AND(#REF!,"AAAAAF4f6eA=")</f>
        <v>#REF!</v>
      </c>
      <c r="HR2" t="e">
        <f>AND(#REF!,"AAAAAF4f6eE=")</f>
        <v>#REF!</v>
      </c>
      <c r="HS2" t="e">
        <f>AND(#REF!,"AAAAAF4f6eI=")</f>
        <v>#REF!</v>
      </c>
      <c r="HT2" t="e">
        <f>AND(#REF!,"AAAAAF4f6eM=")</f>
        <v>#REF!</v>
      </c>
      <c r="HU2" t="e">
        <f>AND(#REF!,"AAAAAF4f6eQ=")</f>
        <v>#REF!</v>
      </c>
      <c r="HV2" t="e">
        <f>AND(#REF!,"AAAAAF4f6eU=")</f>
        <v>#REF!</v>
      </c>
      <c r="HW2" t="e">
        <f>IF(#REF!,"AAAAAF4f6eY=",0)</f>
        <v>#REF!</v>
      </c>
      <c r="HX2" t="e">
        <f>AND(#REF!,"AAAAAF4f6ec=")</f>
        <v>#REF!</v>
      </c>
      <c r="HY2" t="e">
        <f>AND(#REF!,"AAAAAF4f6eg=")</f>
        <v>#REF!</v>
      </c>
      <c r="HZ2" t="e">
        <f>AND(#REF!,"AAAAAF4f6ek=")</f>
        <v>#REF!</v>
      </c>
      <c r="IA2" t="e">
        <f>AND(#REF!,"AAAAAF4f6eo=")</f>
        <v>#REF!</v>
      </c>
      <c r="IB2" t="e">
        <f>AND(#REF!,"AAAAAF4f6es=")</f>
        <v>#REF!</v>
      </c>
      <c r="IC2" t="e">
        <f>AND(#REF!,"AAAAAF4f6ew=")</f>
        <v>#REF!</v>
      </c>
      <c r="ID2" t="e">
        <f>AND(#REF!,"AAAAAF4f6e0=")</f>
        <v>#REF!</v>
      </c>
      <c r="IE2" t="e">
        <f>AND(#REF!,"AAAAAF4f6e4=")</f>
        <v>#REF!</v>
      </c>
      <c r="IF2" t="e">
        <f>AND(#REF!,"AAAAAF4f6e8=")</f>
        <v>#REF!</v>
      </c>
      <c r="IG2" t="e">
        <f>AND(#REF!,"AAAAAF4f6fA=")</f>
        <v>#REF!</v>
      </c>
      <c r="IH2" t="e">
        <f>AND(#REF!,"AAAAAF4f6fE=")</f>
        <v>#REF!</v>
      </c>
      <c r="II2" t="e">
        <f>AND(#REF!,"AAAAAF4f6fI=")</f>
        <v>#REF!</v>
      </c>
      <c r="IJ2" t="e">
        <f>AND(#REF!,"AAAAAF4f6fM=")</f>
        <v>#REF!</v>
      </c>
      <c r="IK2" t="e">
        <f>AND(#REF!,"AAAAAF4f6fQ=")</f>
        <v>#REF!</v>
      </c>
      <c r="IL2" t="e">
        <f>AND(#REF!,"AAAAAF4f6fU=")</f>
        <v>#REF!</v>
      </c>
      <c r="IM2" t="e">
        <f>AND(#REF!,"AAAAAF4f6fY=")</f>
        <v>#REF!</v>
      </c>
      <c r="IN2" t="e">
        <f>AND(#REF!,"AAAAAF4f6fc=")</f>
        <v>#REF!</v>
      </c>
      <c r="IO2" t="e">
        <f>AND(#REF!,"AAAAAF4f6fg=")</f>
        <v>#REF!</v>
      </c>
      <c r="IP2" t="e">
        <f>IF(#REF!,"AAAAAF4f6fk=",0)</f>
        <v>#REF!</v>
      </c>
      <c r="IQ2" t="e">
        <f>AND(#REF!,"AAAAAF4f6fo=")</f>
        <v>#REF!</v>
      </c>
      <c r="IR2" t="e">
        <f>AND(#REF!,"AAAAAF4f6fs=")</f>
        <v>#REF!</v>
      </c>
      <c r="IS2" t="e">
        <f>AND(#REF!,"AAAAAF4f6fw=")</f>
        <v>#REF!</v>
      </c>
      <c r="IT2" t="e">
        <f>AND(#REF!,"AAAAAF4f6f0=")</f>
        <v>#REF!</v>
      </c>
      <c r="IU2" t="e">
        <f>AND(#REF!,"AAAAAF4f6f4=")</f>
        <v>#REF!</v>
      </c>
      <c r="IV2" t="e">
        <f>AND(#REF!,"AAAAAF4f6f8=")</f>
        <v>#REF!</v>
      </c>
    </row>
    <row r="3" spans="1:256">
      <c r="A3" t="e">
        <f>AND(#REF!,"AAAAAH+/WgA=")</f>
        <v>#REF!</v>
      </c>
      <c r="B3" t="e">
        <f>AND(#REF!,"AAAAAH+/WgE=")</f>
        <v>#REF!</v>
      </c>
      <c r="C3" t="e">
        <f>AND(#REF!,"AAAAAH+/WgI=")</f>
        <v>#REF!</v>
      </c>
      <c r="D3" t="e">
        <f>AND(#REF!,"AAAAAH+/WgM=")</f>
        <v>#REF!</v>
      </c>
      <c r="E3" t="e">
        <f>AND(#REF!,"AAAAAH+/WgQ=")</f>
        <v>#REF!</v>
      </c>
      <c r="F3" t="e">
        <f>AND(#REF!,"AAAAAH+/WgU=")</f>
        <v>#REF!</v>
      </c>
      <c r="G3" t="e">
        <f>AND(#REF!,"AAAAAH+/WgY=")</f>
        <v>#REF!</v>
      </c>
      <c r="H3" t="e">
        <f>AND(#REF!,"AAAAAH+/Wgc=")</f>
        <v>#REF!</v>
      </c>
      <c r="I3" t="e">
        <f>AND(#REF!,"AAAAAH+/Wgg=")</f>
        <v>#REF!</v>
      </c>
      <c r="J3" t="e">
        <f>AND(#REF!,"AAAAAH+/Wgk=")</f>
        <v>#REF!</v>
      </c>
      <c r="K3" t="e">
        <f>AND(#REF!,"AAAAAH+/Wgo=")</f>
        <v>#REF!</v>
      </c>
      <c r="L3" t="e">
        <f>AND(#REF!,"AAAAAH+/Wgs=")</f>
        <v>#REF!</v>
      </c>
      <c r="M3" t="e">
        <f>IF(#REF!,"AAAAAH+/Wgw=",0)</f>
        <v>#REF!</v>
      </c>
      <c r="N3" t="e">
        <f>AND(#REF!,"AAAAAH+/Wg0=")</f>
        <v>#REF!</v>
      </c>
      <c r="O3" t="e">
        <f>AND(#REF!,"AAAAAH+/Wg4=")</f>
        <v>#REF!</v>
      </c>
      <c r="P3" t="e">
        <f>AND(#REF!,"AAAAAH+/Wg8=")</f>
        <v>#REF!</v>
      </c>
      <c r="Q3" t="e">
        <f>AND(#REF!,"AAAAAH+/WhA=")</f>
        <v>#REF!</v>
      </c>
      <c r="R3" t="e">
        <f>AND(#REF!,"AAAAAH+/WhE=")</f>
        <v>#REF!</v>
      </c>
      <c r="S3" t="e">
        <f>AND(#REF!,"AAAAAH+/WhI=")</f>
        <v>#REF!</v>
      </c>
      <c r="T3" t="e">
        <f>AND(#REF!,"AAAAAH+/WhM=")</f>
        <v>#REF!</v>
      </c>
      <c r="U3" t="e">
        <f>AND(#REF!,"AAAAAH+/WhQ=")</f>
        <v>#REF!</v>
      </c>
      <c r="V3" t="e">
        <f>AND(#REF!,"AAAAAH+/WhU=")</f>
        <v>#REF!</v>
      </c>
      <c r="W3" t="e">
        <f>AND(#REF!,"AAAAAH+/WhY=")</f>
        <v>#REF!</v>
      </c>
      <c r="X3" t="e">
        <f>AND(#REF!,"AAAAAH+/Whc=")</f>
        <v>#REF!</v>
      </c>
      <c r="Y3" t="e">
        <f>AND(#REF!,"AAAAAH+/Whg=")</f>
        <v>#REF!</v>
      </c>
      <c r="Z3" t="e">
        <f>AND(#REF!,"AAAAAH+/Whk=")</f>
        <v>#REF!</v>
      </c>
      <c r="AA3" t="e">
        <f>AND(#REF!,"AAAAAH+/Who=")</f>
        <v>#REF!</v>
      </c>
      <c r="AB3" t="e">
        <f>AND(#REF!,"AAAAAH+/Whs=")</f>
        <v>#REF!</v>
      </c>
      <c r="AC3" t="e">
        <f>AND(#REF!,"AAAAAH+/Whw=")</f>
        <v>#REF!</v>
      </c>
      <c r="AD3" t="e">
        <f>AND(#REF!,"AAAAAH+/Wh0=")</f>
        <v>#REF!</v>
      </c>
      <c r="AE3" t="e">
        <f>AND(#REF!,"AAAAAH+/Wh4=")</f>
        <v>#REF!</v>
      </c>
      <c r="AF3" t="e">
        <f>IF(#REF!,"AAAAAH+/Wh8=",0)</f>
        <v>#REF!</v>
      </c>
      <c r="AG3" t="e">
        <f>AND(#REF!,"AAAAAH+/WiA=")</f>
        <v>#REF!</v>
      </c>
      <c r="AH3" t="e">
        <f>AND(#REF!,"AAAAAH+/WiE=")</f>
        <v>#REF!</v>
      </c>
      <c r="AI3" t="e">
        <f>AND(#REF!,"AAAAAH+/WiI=")</f>
        <v>#REF!</v>
      </c>
      <c r="AJ3" t="e">
        <f>AND(#REF!,"AAAAAH+/WiM=")</f>
        <v>#REF!</v>
      </c>
      <c r="AK3" t="e">
        <f>AND(#REF!,"AAAAAH+/WiQ=")</f>
        <v>#REF!</v>
      </c>
      <c r="AL3" t="e">
        <f>AND(#REF!,"AAAAAH+/WiU=")</f>
        <v>#REF!</v>
      </c>
      <c r="AM3" t="e">
        <f>AND(#REF!,"AAAAAH+/WiY=")</f>
        <v>#REF!</v>
      </c>
      <c r="AN3" t="e">
        <f>AND(#REF!,"AAAAAH+/Wic=")</f>
        <v>#REF!</v>
      </c>
      <c r="AO3" t="e">
        <f>AND(#REF!,"AAAAAH+/Wig=")</f>
        <v>#REF!</v>
      </c>
      <c r="AP3" t="e">
        <f>AND(#REF!,"AAAAAH+/Wik=")</f>
        <v>#REF!</v>
      </c>
      <c r="AQ3" t="e">
        <f>AND(#REF!,"AAAAAH+/Wio=")</f>
        <v>#REF!</v>
      </c>
      <c r="AR3" t="e">
        <f>AND(#REF!,"AAAAAH+/Wis=")</f>
        <v>#REF!</v>
      </c>
      <c r="AS3" t="e">
        <f>AND(#REF!,"AAAAAH+/Wiw=")</f>
        <v>#REF!</v>
      </c>
      <c r="AT3" t="e">
        <f>AND(#REF!,"AAAAAH+/Wi0=")</f>
        <v>#REF!</v>
      </c>
      <c r="AU3" t="e">
        <f>AND(#REF!,"AAAAAH+/Wi4=")</f>
        <v>#REF!</v>
      </c>
      <c r="AV3" t="e">
        <f>AND(#REF!,"AAAAAH+/Wi8=")</f>
        <v>#REF!</v>
      </c>
      <c r="AW3" t="e">
        <f>AND(#REF!,"AAAAAH+/WjA=")</f>
        <v>#REF!</v>
      </c>
      <c r="AX3" t="e">
        <f>AND(#REF!,"AAAAAH+/WjE=")</f>
        <v>#REF!</v>
      </c>
      <c r="AY3" t="e">
        <f>IF(#REF!,"AAAAAH+/WjI=",0)</f>
        <v>#REF!</v>
      </c>
      <c r="AZ3" t="e">
        <f>AND(#REF!,"AAAAAH+/WjM=")</f>
        <v>#REF!</v>
      </c>
      <c r="BA3" t="e">
        <f>AND(#REF!,"AAAAAH+/WjQ=")</f>
        <v>#REF!</v>
      </c>
      <c r="BB3" t="e">
        <f>AND(#REF!,"AAAAAH+/WjU=")</f>
        <v>#REF!</v>
      </c>
      <c r="BC3" t="e">
        <f>AND(#REF!,"AAAAAH+/WjY=")</f>
        <v>#REF!</v>
      </c>
      <c r="BD3" t="e">
        <f>AND(#REF!,"AAAAAH+/Wjc=")</f>
        <v>#REF!</v>
      </c>
      <c r="BE3" t="e">
        <f>AND(#REF!,"AAAAAH+/Wjg=")</f>
        <v>#REF!</v>
      </c>
      <c r="BF3" t="e">
        <f>AND(#REF!,"AAAAAH+/Wjk=")</f>
        <v>#REF!</v>
      </c>
      <c r="BG3" t="e">
        <f>AND(#REF!,"AAAAAH+/Wjo=")</f>
        <v>#REF!</v>
      </c>
      <c r="BH3" t="e">
        <f>AND(#REF!,"AAAAAH+/Wjs=")</f>
        <v>#REF!</v>
      </c>
      <c r="BI3" t="e">
        <f>AND(#REF!,"AAAAAH+/Wjw=")</f>
        <v>#REF!</v>
      </c>
      <c r="BJ3" t="e">
        <f>AND(#REF!,"AAAAAH+/Wj0=")</f>
        <v>#REF!</v>
      </c>
      <c r="BK3" t="e">
        <f>AND(#REF!,"AAAAAH+/Wj4=")</f>
        <v>#REF!</v>
      </c>
      <c r="BL3" t="e">
        <f>AND(#REF!,"AAAAAH+/Wj8=")</f>
        <v>#REF!</v>
      </c>
      <c r="BM3" t="e">
        <f>AND(#REF!,"AAAAAH+/WkA=")</f>
        <v>#REF!</v>
      </c>
      <c r="BN3" t="e">
        <f>AND(#REF!,"AAAAAH+/WkE=")</f>
        <v>#REF!</v>
      </c>
      <c r="BO3" t="e">
        <f>AND(#REF!,"AAAAAH+/WkI=")</f>
        <v>#REF!</v>
      </c>
      <c r="BP3" t="e">
        <f>AND(#REF!,"AAAAAH+/WkM=")</f>
        <v>#REF!</v>
      </c>
      <c r="BQ3" t="e">
        <f>AND(#REF!,"AAAAAH+/WkQ=")</f>
        <v>#REF!</v>
      </c>
      <c r="BR3" t="e">
        <f>IF(#REF!,"AAAAAH+/WkU=",0)</f>
        <v>#REF!</v>
      </c>
      <c r="BS3" t="e">
        <f>AND(#REF!,"AAAAAH+/WkY=")</f>
        <v>#REF!</v>
      </c>
      <c r="BT3" t="e">
        <f>AND(#REF!,"AAAAAH+/Wkc=")</f>
        <v>#REF!</v>
      </c>
      <c r="BU3" t="e">
        <f>AND(#REF!,"AAAAAH+/Wkg=")</f>
        <v>#REF!</v>
      </c>
      <c r="BV3" t="e">
        <f>AND(#REF!,"AAAAAH+/Wkk=")</f>
        <v>#REF!</v>
      </c>
      <c r="BW3" t="e">
        <f>AND(#REF!,"AAAAAH+/Wko=")</f>
        <v>#REF!</v>
      </c>
      <c r="BX3" t="e">
        <f>AND(#REF!,"AAAAAH+/Wks=")</f>
        <v>#REF!</v>
      </c>
      <c r="BY3" t="e">
        <f>AND(#REF!,"AAAAAH+/Wkw=")</f>
        <v>#REF!</v>
      </c>
      <c r="BZ3" t="e">
        <f>AND(#REF!,"AAAAAH+/Wk0=")</f>
        <v>#REF!</v>
      </c>
      <c r="CA3" t="e">
        <f>AND(#REF!,"AAAAAH+/Wk4=")</f>
        <v>#REF!</v>
      </c>
      <c r="CB3" t="e">
        <f>AND(#REF!,"AAAAAH+/Wk8=")</f>
        <v>#REF!</v>
      </c>
      <c r="CC3" t="e">
        <f>AND(#REF!,"AAAAAH+/WlA=")</f>
        <v>#REF!</v>
      </c>
      <c r="CD3" t="e">
        <f>AND(#REF!,"AAAAAH+/WlE=")</f>
        <v>#REF!</v>
      </c>
      <c r="CE3" t="e">
        <f>AND(#REF!,"AAAAAH+/WlI=")</f>
        <v>#REF!</v>
      </c>
      <c r="CF3" t="e">
        <f>AND(#REF!,"AAAAAH+/WlM=")</f>
        <v>#REF!</v>
      </c>
      <c r="CG3" t="e">
        <f>AND(#REF!,"AAAAAH+/WlQ=")</f>
        <v>#REF!</v>
      </c>
      <c r="CH3" t="e">
        <f>AND(#REF!,"AAAAAH+/WlU=")</f>
        <v>#REF!</v>
      </c>
      <c r="CI3" t="e">
        <f>AND(#REF!,"AAAAAH+/WlY=")</f>
        <v>#REF!</v>
      </c>
      <c r="CJ3" t="e">
        <f>AND(#REF!,"AAAAAH+/Wlc=")</f>
        <v>#REF!</v>
      </c>
      <c r="CK3" t="e">
        <f>IF(#REF!,"AAAAAH+/Wlg=",0)</f>
        <v>#REF!</v>
      </c>
      <c r="CL3" t="e">
        <f>AND(#REF!,"AAAAAH+/Wlk=")</f>
        <v>#REF!</v>
      </c>
      <c r="CM3" t="e">
        <f>AND(#REF!,"AAAAAH+/Wlo=")</f>
        <v>#REF!</v>
      </c>
      <c r="CN3" t="e">
        <f>AND(#REF!,"AAAAAH+/Wls=")</f>
        <v>#REF!</v>
      </c>
      <c r="CO3" t="e">
        <f>AND(#REF!,"AAAAAH+/Wlw=")</f>
        <v>#REF!</v>
      </c>
      <c r="CP3" t="e">
        <f>AND(#REF!,"AAAAAH+/Wl0=")</f>
        <v>#REF!</v>
      </c>
      <c r="CQ3" t="e">
        <f>AND(#REF!,"AAAAAH+/Wl4=")</f>
        <v>#REF!</v>
      </c>
      <c r="CR3" t="e">
        <f>AND(#REF!,"AAAAAH+/Wl8=")</f>
        <v>#REF!</v>
      </c>
      <c r="CS3" t="e">
        <f>AND(#REF!,"AAAAAH+/WmA=")</f>
        <v>#REF!</v>
      </c>
      <c r="CT3" t="e">
        <f>AND(#REF!,"AAAAAH+/WmE=")</f>
        <v>#REF!</v>
      </c>
      <c r="CU3" t="e">
        <f>AND(#REF!,"AAAAAH+/WmI=")</f>
        <v>#REF!</v>
      </c>
      <c r="CV3" t="e">
        <f>AND(#REF!,"AAAAAH+/WmM=")</f>
        <v>#REF!</v>
      </c>
      <c r="CW3" t="e">
        <f>AND(#REF!,"AAAAAH+/WmQ=")</f>
        <v>#REF!</v>
      </c>
      <c r="CX3" t="e">
        <f>AND(#REF!,"AAAAAH+/WmU=")</f>
        <v>#REF!</v>
      </c>
      <c r="CY3" t="e">
        <f>AND(#REF!,"AAAAAH+/WmY=")</f>
        <v>#REF!</v>
      </c>
      <c r="CZ3" t="e">
        <f>AND(#REF!,"AAAAAH+/Wmc=")</f>
        <v>#REF!</v>
      </c>
      <c r="DA3" t="e">
        <f>AND(#REF!,"AAAAAH+/Wmg=")</f>
        <v>#REF!</v>
      </c>
      <c r="DB3" t="e">
        <f>AND(#REF!,"AAAAAH+/Wmk=")</f>
        <v>#REF!</v>
      </c>
      <c r="DC3" t="e">
        <f>AND(#REF!,"AAAAAH+/Wmo=")</f>
        <v>#REF!</v>
      </c>
      <c r="DD3" t="e">
        <f>IF(#REF!,"AAAAAH+/Wms=",0)</f>
        <v>#REF!</v>
      </c>
      <c r="DE3" t="e">
        <f>AND(#REF!,"AAAAAH+/Wmw=")</f>
        <v>#REF!</v>
      </c>
      <c r="DF3" t="e">
        <f>AND(#REF!,"AAAAAH+/Wm0=")</f>
        <v>#REF!</v>
      </c>
      <c r="DG3" t="e">
        <f>AND(#REF!,"AAAAAH+/Wm4=")</f>
        <v>#REF!</v>
      </c>
      <c r="DH3" t="e">
        <f>AND(#REF!,"AAAAAH+/Wm8=")</f>
        <v>#REF!</v>
      </c>
      <c r="DI3" t="e">
        <f>AND(#REF!,"AAAAAH+/WnA=")</f>
        <v>#REF!</v>
      </c>
      <c r="DJ3" t="e">
        <f>AND(#REF!,"AAAAAH+/WnE=")</f>
        <v>#REF!</v>
      </c>
      <c r="DK3" t="e">
        <f>AND(#REF!,"AAAAAH+/WnI=")</f>
        <v>#REF!</v>
      </c>
      <c r="DL3" t="e">
        <f>AND(#REF!,"AAAAAH+/WnM=")</f>
        <v>#REF!</v>
      </c>
      <c r="DM3" t="e">
        <f>AND(#REF!,"AAAAAH+/WnQ=")</f>
        <v>#REF!</v>
      </c>
      <c r="DN3" t="e">
        <f>AND(#REF!,"AAAAAH+/WnU=")</f>
        <v>#REF!</v>
      </c>
      <c r="DO3" t="e">
        <f>AND(#REF!,"AAAAAH+/WnY=")</f>
        <v>#REF!</v>
      </c>
      <c r="DP3" t="e">
        <f>AND(#REF!,"AAAAAH+/Wnc=")</f>
        <v>#REF!</v>
      </c>
      <c r="DQ3" t="e">
        <f>AND(#REF!,"AAAAAH+/Wng=")</f>
        <v>#REF!</v>
      </c>
      <c r="DR3" t="e">
        <f>AND(#REF!,"AAAAAH+/Wnk=")</f>
        <v>#REF!</v>
      </c>
      <c r="DS3" t="e">
        <f>AND(#REF!,"AAAAAH+/Wno=")</f>
        <v>#REF!</v>
      </c>
      <c r="DT3" t="e">
        <f>AND(#REF!,"AAAAAH+/Wns=")</f>
        <v>#REF!</v>
      </c>
      <c r="DU3" t="e">
        <f>AND(#REF!,"AAAAAH+/Wnw=")</f>
        <v>#REF!</v>
      </c>
      <c r="DV3" t="e">
        <f>AND(#REF!,"AAAAAH+/Wn0=")</f>
        <v>#REF!</v>
      </c>
      <c r="DW3" t="e">
        <f>IF(#REF!,"AAAAAH+/Wn4=",0)</f>
        <v>#REF!</v>
      </c>
      <c r="DX3" t="e">
        <f>AND(#REF!,"AAAAAH+/Wn8=")</f>
        <v>#REF!</v>
      </c>
      <c r="DY3" t="e">
        <f>AND(#REF!,"AAAAAH+/WoA=")</f>
        <v>#REF!</v>
      </c>
      <c r="DZ3" t="e">
        <f>AND(#REF!,"AAAAAH+/WoE=")</f>
        <v>#REF!</v>
      </c>
      <c r="EA3" t="e">
        <f>AND(#REF!,"AAAAAH+/WoI=")</f>
        <v>#REF!</v>
      </c>
      <c r="EB3" t="e">
        <f>AND(#REF!,"AAAAAH+/WoM=")</f>
        <v>#REF!</v>
      </c>
      <c r="EC3" t="e">
        <f>AND(#REF!,"AAAAAH+/WoQ=")</f>
        <v>#REF!</v>
      </c>
      <c r="ED3" t="e">
        <f>AND(#REF!,"AAAAAH+/WoU=")</f>
        <v>#REF!</v>
      </c>
      <c r="EE3" t="e">
        <f>AND(#REF!,"AAAAAH+/WoY=")</f>
        <v>#REF!</v>
      </c>
      <c r="EF3" t="e">
        <f>AND(#REF!,"AAAAAH+/Woc=")</f>
        <v>#REF!</v>
      </c>
      <c r="EG3" t="e">
        <f>AND(#REF!,"AAAAAH+/Wog=")</f>
        <v>#REF!</v>
      </c>
      <c r="EH3" t="e">
        <f>AND(#REF!,"AAAAAH+/Wok=")</f>
        <v>#REF!</v>
      </c>
      <c r="EI3" t="e">
        <f>AND(#REF!,"AAAAAH+/Woo=")</f>
        <v>#REF!</v>
      </c>
      <c r="EJ3" t="e">
        <f>AND(#REF!,"AAAAAH+/Wos=")</f>
        <v>#REF!</v>
      </c>
      <c r="EK3" t="e">
        <f>AND(#REF!,"AAAAAH+/Wow=")</f>
        <v>#REF!</v>
      </c>
      <c r="EL3" t="e">
        <f>AND(#REF!,"AAAAAH+/Wo0=")</f>
        <v>#REF!</v>
      </c>
      <c r="EM3" t="e">
        <f>AND(#REF!,"AAAAAH+/Wo4=")</f>
        <v>#REF!</v>
      </c>
      <c r="EN3" t="e">
        <f>AND(#REF!,"AAAAAH+/Wo8=")</f>
        <v>#REF!</v>
      </c>
      <c r="EO3" t="e">
        <f>AND(#REF!,"AAAAAH+/WpA=")</f>
        <v>#REF!</v>
      </c>
      <c r="EP3" t="e">
        <f>IF(#REF!,"AAAAAH+/WpE=",0)</f>
        <v>#REF!</v>
      </c>
      <c r="EQ3" t="e">
        <f>AND(#REF!,"AAAAAH+/WpI=")</f>
        <v>#REF!</v>
      </c>
      <c r="ER3" t="e">
        <f>AND(#REF!,"AAAAAH+/WpM=")</f>
        <v>#REF!</v>
      </c>
      <c r="ES3" t="e">
        <f>AND(#REF!,"AAAAAH+/WpQ=")</f>
        <v>#REF!</v>
      </c>
      <c r="ET3" t="e">
        <f>AND(#REF!,"AAAAAH+/WpU=")</f>
        <v>#REF!</v>
      </c>
      <c r="EU3" t="e">
        <f>AND(#REF!,"AAAAAH+/WpY=")</f>
        <v>#REF!</v>
      </c>
      <c r="EV3" t="e">
        <f>AND(#REF!,"AAAAAH+/Wpc=")</f>
        <v>#REF!</v>
      </c>
      <c r="EW3" t="e">
        <f>AND(#REF!,"AAAAAH+/Wpg=")</f>
        <v>#REF!</v>
      </c>
      <c r="EX3" t="e">
        <f>AND(#REF!,"AAAAAH+/Wpk=")</f>
        <v>#REF!</v>
      </c>
      <c r="EY3" t="e">
        <f>AND(#REF!,"AAAAAH+/Wpo=")</f>
        <v>#REF!</v>
      </c>
      <c r="EZ3" t="e">
        <f>AND(#REF!,"AAAAAH+/Wps=")</f>
        <v>#REF!</v>
      </c>
      <c r="FA3" t="e">
        <f>AND(#REF!,"AAAAAH+/Wpw=")</f>
        <v>#REF!</v>
      </c>
      <c r="FB3" t="e">
        <f>AND(#REF!,"AAAAAH+/Wp0=")</f>
        <v>#REF!</v>
      </c>
      <c r="FC3" t="e">
        <f>AND(#REF!,"AAAAAH+/Wp4=")</f>
        <v>#REF!</v>
      </c>
      <c r="FD3" t="e">
        <f>AND(#REF!,"AAAAAH+/Wp8=")</f>
        <v>#REF!</v>
      </c>
      <c r="FE3" t="e">
        <f>AND(#REF!,"AAAAAH+/WqA=")</f>
        <v>#REF!</v>
      </c>
      <c r="FF3" t="e">
        <f>AND(#REF!,"AAAAAH+/WqE=")</f>
        <v>#REF!</v>
      </c>
      <c r="FG3" t="e">
        <f>AND(#REF!,"AAAAAH+/WqI=")</f>
        <v>#REF!</v>
      </c>
      <c r="FH3" t="e">
        <f>AND(#REF!,"AAAAAH+/WqM=")</f>
        <v>#REF!</v>
      </c>
      <c r="FI3" t="e">
        <f>IF(#REF!,"AAAAAH+/WqQ=",0)</f>
        <v>#REF!</v>
      </c>
      <c r="FJ3" t="e">
        <f>AND(#REF!,"AAAAAH+/WqU=")</f>
        <v>#REF!</v>
      </c>
      <c r="FK3" t="e">
        <f>AND(#REF!,"AAAAAH+/WqY=")</f>
        <v>#REF!</v>
      </c>
      <c r="FL3" t="e">
        <f>AND(#REF!,"AAAAAH+/Wqc=")</f>
        <v>#REF!</v>
      </c>
      <c r="FM3" t="e">
        <f>AND(#REF!,"AAAAAH+/Wqg=")</f>
        <v>#REF!</v>
      </c>
      <c r="FN3" t="e">
        <f>AND(#REF!,"AAAAAH+/Wqk=")</f>
        <v>#REF!</v>
      </c>
      <c r="FO3" t="e">
        <f>AND(#REF!,"AAAAAH+/Wqo=")</f>
        <v>#REF!</v>
      </c>
      <c r="FP3" t="e">
        <f>AND(#REF!,"AAAAAH+/Wqs=")</f>
        <v>#REF!</v>
      </c>
      <c r="FQ3" t="e">
        <f>AND(#REF!,"AAAAAH+/Wqw=")</f>
        <v>#REF!</v>
      </c>
      <c r="FR3" t="e">
        <f>AND(#REF!,"AAAAAH+/Wq0=")</f>
        <v>#REF!</v>
      </c>
      <c r="FS3" t="e">
        <f>AND(#REF!,"AAAAAH+/Wq4=")</f>
        <v>#REF!</v>
      </c>
      <c r="FT3" t="e">
        <f>AND(#REF!,"AAAAAH+/Wq8=")</f>
        <v>#REF!</v>
      </c>
      <c r="FU3" t="e">
        <f>AND(#REF!,"AAAAAH+/WrA=")</f>
        <v>#REF!</v>
      </c>
      <c r="FV3" t="e">
        <f>AND(#REF!,"AAAAAH+/WrE=")</f>
        <v>#REF!</v>
      </c>
      <c r="FW3" t="e">
        <f>AND(#REF!,"AAAAAH+/WrI=")</f>
        <v>#REF!</v>
      </c>
      <c r="FX3" t="e">
        <f>AND(#REF!,"AAAAAH+/WrM=")</f>
        <v>#REF!</v>
      </c>
      <c r="FY3" t="e">
        <f>AND(#REF!,"AAAAAH+/WrQ=")</f>
        <v>#REF!</v>
      </c>
      <c r="FZ3" t="e">
        <f>AND(#REF!,"AAAAAH+/WrU=")</f>
        <v>#REF!</v>
      </c>
      <c r="GA3" t="e">
        <f>AND(#REF!,"AAAAAH+/WrY=")</f>
        <v>#REF!</v>
      </c>
      <c r="GB3" t="e">
        <f>IF(#REF!,"AAAAAH+/Wrc=",0)</f>
        <v>#REF!</v>
      </c>
      <c r="GC3" t="e">
        <f>AND(#REF!,"AAAAAH+/Wrg=")</f>
        <v>#REF!</v>
      </c>
      <c r="GD3" t="e">
        <f>AND(#REF!,"AAAAAH+/Wrk=")</f>
        <v>#REF!</v>
      </c>
      <c r="GE3" t="e">
        <f>AND(#REF!,"AAAAAH+/Wro=")</f>
        <v>#REF!</v>
      </c>
      <c r="GF3" t="e">
        <f>AND(#REF!,"AAAAAH+/Wrs=")</f>
        <v>#REF!</v>
      </c>
      <c r="GG3" t="e">
        <f>AND(#REF!,"AAAAAH+/Wrw=")</f>
        <v>#REF!</v>
      </c>
      <c r="GH3" t="e">
        <f>AND(#REF!,"AAAAAH+/Wr0=")</f>
        <v>#REF!</v>
      </c>
      <c r="GI3" t="e">
        <f>AND(#REF!,"AAAAAH+/Wr4=")</f>
        <v>#REF!</v>
      </c>
      <c r="GJ3" t="e">
        <f>AND(#REF!,"AAAAAH+/Wr8=")</f>
        <v>#REF!</v>
      </c>
      <c r="GK3" t="e">
        <f>AND(#REF!,"AAAAAH+/WsA=")</f>
        <v>#REF!</v>
      </c>
      <c r="GL3" t="e">
        <f>AND(#REF!,"AAAAAH+/WsE=")</f>
        <v>#REF!</v>
      </c>
      <c r="GM3" t="e">
        <f>AND(#REF!,"AAAAAH+/WsI=")</f>
        <v>#REF!</v>
      </c>
      <c r="GN3" t="e">
        <f>AND(#REF!,"AAAAAH+/WsM=")</f>
        <v>#REF!</v>
      </c>
      <c r="GO3" t="e">
        <f>AND(#REF!,"AAAAAH+/WsQ=")</f>
        <v>#REF!</v>
      </c>
      <c r="GP3" t="e">
        <f>AND(#REF!,"AAAAAH+/WsU=")</f>
        <v>#REF!</v>
      </c>
      <c r="GQ3" t="e">
        <f>AND(#REF!,"AAAAAH+/WsY=")</f>
        <v>#REF!</v>
      </c>
      <c r="GR3" t="e">
        <f>AND(#REF!,"AAAAAH+/Wsc=")</f>
        <v>#REF!</v>
      </c>
      <c r="GS3" t="e">
        <f>AND(#REF!,"AAAAAH+/Wsg=")</f>
        <v>#REF!</v>
      </c>
      <c r="GT3" t="e">
        <f>AND(#REF!,"AAAAAH+/Wsk=")</f>
        <v>#REF!</v>
      </c>
      <c r="GU3" t="e">
        <f>IF(#REF!,"AAAAAH+/Wso=",0)</f>
        <v>#REF!</v>
      </c>
      <c r="GV3" t="e">
        <f>AND(#REF!,"AAAAAH+/Wss=")</f>
        <v>#REF!</v>
      </c>
      <c r="GW3" t="e">
        <f>AND(#REF!,"AAAAAH+/Wsw=")</f>
        <v>#REF!</v>
      </c>
      <c r="GX3" t="e">
        <f>AND(#REF!,"AAAAAH+/Ws0=")</f>
        <v>#REF!</v>
      </c>
      <c r="GY3" t="e">
        <f>AND(#REF!,"AAAAAH+/Ws4=")</f>
        <v>#REF!</v>
      </c>
      <c r="GZ3" t="e">
        <f>AND(#REF!,"AAAAAH+/Ws8=")</f>
        <v>#REF!</v>
      </c>
      <c r="HA3" t="e">
        <f>AND(#REF!,"AAAAAH+/WtA=")</f>
        <v>#REF!</v>
      </c>
      <c r="HB3" t="e">
        <f>AND(#REF!,"AAAAAH+/WtE=")</f>
        <v>#REF!</v>
      </c>
      <c r="HC3" t="e">
        <f>AND(#REF!,"AAAAAH+/WtI=")</f>
        <v>#REF!</v>
      </c>
      <c r="HD3" t="e">
        <f>AND(#REF!,"AAAAAH+/WtM=")</f>
        <v>#REF!</v>
      </c>
      <c r="HE3" t="e">
        <f>AND(#REF!,"AAAAAH+/WtQ=")</f>
        <v>#REF!</v>
      </c>
      <c r="HF3" t="e">
        <f>AND(#REF!,"AAAAAH+/WtU=")</f>
        <v>#REF!</v>
      </c>
      <c r="HG3" t="e">
        <f>AND(#REF!,"AAAAAH+/WtY=")</f>
        <v>#REF!</v>
      </c>
      <c r="HH3" t="e">
        <f>AND(#REF!,"AAAAAH+/Wtc=")</f>
        <v>#REF!</v>
      </c>
      <c r="HI3" t="e">
        <f>AND(#REF!,"AAAAAH+/Wtg=")</f>
        <v>#REF!</v>
      </c>
      <c r="HJ3" t="e">
        <f>AND(#REF!,"AAAAAH+/Wtk=")</f>
        <v>#REF!</v>
      </c>
      <c r="HK3" t="e">
        <f>AND(#REF!,"AAAAAH+/Wto=")</f>
        <v>#REF!</v>
      </c>
      <c r="HL3" t="e">
        <f>AND(#REF!,"AAAAAH+/Wts=")</f>
        <v>#REF!</v>
      </c>
      <c r="HM3" t="e">
        <f>AND(#REF!,"AAAAAH+/Wtw=")</f>
        <v>#REF!</v>
      </c>
      <c r="HN3" t="e">
        <f>IF(#REF!,"AAAAAH+/Wt0=",0)</f>
        <v>#REF!</v>
      </c>
      <c r="HO3" t="e">
        <f>AND(#REF!,"AAAAAH+/Wt4=")</f>
        <v>#REF!</v>
      </c>
      <c r="HP3" t="e">
        <f>AND(#REF!,"AAAAAH+/Wt8=")</f>
        <v>#REF!</v>
      </c>
      <c r="HQ3" t="e">
        <f>AND(#REF!,"AAAAAH+/WuA=")</f>
        <v>#REF!</v>
      </c>
      <c r="HR3" t="e">
        <f>AND(#REF!,"AAAAAH+/WuE=")</f>
        <v>#REF!</v>
      </c>
      <c r="HS3" t="e">
        <f>AND(#REF!,"AAAAAH+/WuI=")</f>
        <v>#REF!</v>
      </c>
      <c r="HT3" t="e">
        <f>AND(#REF!,"AAAAAH+/WuM=")</f>
        <v>#REF!</v>
      </c>
      <c r="HU3" t="e">
        <f>AND(#REF!,"AAAAAH+/WuQ=")</f>
        <v>#REF!</v>
      </c>
      <c r="HV3" t="e">
        <f>AND(#REF!,"AAAAAH+/WuU=")</f>
        <v>#REF!</v>
      </c>
      <c r="HW3" t="e">
        <f>AND(#REF!,"AAAAAH+/WuY=")</f>
        <v>#REF!</v>
      </c>
      <c r="HX3" t="e">
        <f>AND(#REF!,"AAAAAH+/Wuc=")</f>
        <v>#REF!</v>
      </c>
      <c r="HY3" t="e">
        <f>AND(#REF!,"AAAAAH+/Wug=")</f>
        <v>#REF!</v>
      </c>
      <c r="HZ3" t="e">
        <f>AND(#REF!,"AAAAAH+/Wuk=")</f>
        <v>#REF!</v>
      </c>
      <c r="IA3" t="e">
        <f>AND(#REF!,"AAAAAH+/Wuo=")</f>
        <v>#REF!</v>
      </c>
      <c r="IB3" t="e">
        <f>AND(#REF!,"AAAAAH+/Wus=")</f>
        <v>#REF!</v>
      </c>
      <c r="IC3" t="e">
        <f>AND(#REF!,"AAAAAH+/Wuw=")</f>
        <v>#REF!</v>
      </c>
      <c r="ID3" t="e">
        <f>AND(#REF!,"AAAAAH+/Wu0=")</f>
        <v>#REF!</v>
      </c>
      <c r="IE3" t="e">
        <f>AND(#REF!,"AAAAAH+/Wu4=")</f>
        <v>#REF!</v>
      </c>
      <c r="IF3" t="e">
        <f>AND(#REF!,"AAAAAH+/Wu8=")</f>
        <v>#REF!</v>
      </c>
      <c r="IG3" t="e">
        <f>IF(#REF!,"AAAAAH+/WvA=",0)</f>
        <v>#REF!</v>
      </c>
      <c r="IH3" t="e">
        <f>AND(#REF!,"AAAAAH+/WvE=")</f>
        <v>#REF!</v>
      </c>
      <c r="II3" t="e">
        <f>AND(#REF!,"AAAAAH+/WvI=")</f>
        <v>#REF!</v>
      </c>
      <c r="IJ3" t="e">
        <f>AND(#REF!,"AAAAAH+/WvM=")</f>
        <v>#REF!</v>
      </c>
      <c r="IK3" t="e">
        <f>AND(#REF!,"AAAAAH+/WvQ=")</f>
        <v>#REF!</v>
      </c>
      <c r="IL3" t="e">
        <f>AND(#REF!,"AAAAAH+/WvU=")</f>
        <v>#REF!</v>
      </c>
      <c r="IM3" t="e">
        <f>AND(#REF!,"AAAAAH+/WvY=")</f>
        <v>#REF!</v>
      </c>
      <c r="IN3" t="e">
        <f>AND(#REF!,"AAAAAH+/Wvc=")</f>
        <v>#REF!</v>
      </c>
      <c r="IO3" t="e">
        <f>AND(#REF!,"AAAAAH+/Wvg=")</f>
        <v>#REF!</v>
      </c>
      <c r="IP3" t="e">
        <f>AND(#REF!,"AAAAAH+/Wvk=")</f>
        <v>#REF!</v>
      </c>
      <c r="IQ3" t="e">
        <f>AND(#REF!,"AAAAAH+/Wvo=")</f>
        <v>#REF!</v>
      </c>
      <c r="IR3" t="e">
        <f>AND(#REF!,"AAAAAH+/Wvs=")</f>
        <v>#REF!</v>
      </c>
      <c r="IS3" t="e">
        <f>AND(#REF!,"AAAAAH+/Wvw=")</f>
        <v>#REF!</v>
      </c>
      <c r="IT3" t="e">
        <f>AND(#REF!,"AAAAAH+/Wv0=")</f>
        <v>#REF!</v>
      </c>
      <c r="IU3" t="e">
        <f>AND(#REF!,"AAAAAH+/Wv4=")</f>
        <v>#REF!</v>
      </c>
      <c r="IV3" t="e">
        <f>AND(#REF!,"AAAAAH+/Wv8=")</f>
        <v>#REF!</v>
      </c>
    </row>
    <row r="4" spans="1:256">
      <c r="A4" t="e">
        <f>AND(#REF!,"AAAAAH7n/gA=")</f>
        <v>#REF!</v>
      </c>
      <c r="B4" t="e">
        <f>AND(#REF!,"AAAAAH7n/gE=")</f>
        <v>#REF!</v>
      </c>
      <c r="C4" t="e">
        <f>AND(#REF!,"AAAAAH7n/gI=")</f>
        <v>#REF!</v>
      </c>
      <c r="D4" t="e">
        <f>IF(#REF!,"AAAAAH7n/gM=",0)</f>
        <v>#REF!</v>
      </c>
      <c r="E4" t="e">
        <f>AND(#REF!,"AAAAAH7n/gQ=")</f>
        <v>#REF!</v>
      </c>
      <c r="F4" t="e">
        <f>AND(#REF!,"AAAAAH7n/gU=")</f>
        <v>#REF!</v>
      </c>
      <c r="G4" t="e">
        <f>AND(#REF!,"AAAAAH7n/gY=")</f>
        <v>#REF!</v>
      </c>
      <c r="H4" t="e">
        <f>AND(#REF!,"AAAAAH7n/gc=")</f>
        <v>#REF!</v>
      </c>
      <c r="I4" t="e">
        <f>AND(#REF!,"AAAAAH7n/gg=")</f>
        <v>#REF!</v>
      </c>
      <c r="J4" t="e">
        <f>AND(#REF!,"AAAAAH7n/gk=")</f>
        <v>#REF!</v>
      </c>
      <c r="K4" t="e">
        <f>AND(#REF!,"AAAAAH7n/go=")</f>
        <v>#REF!</v>
      </c>
      <c r="L4" t="e">
        <f>AND(#REF!,"AAAAAH7n/gs=")</f>
        <v>#REF!</v>
      </c>
      <c r="M4" t="e">
        <f>AND(#REF!,"AAAAAH7n/gw=")</f>
        <v>#REF!</v>
      </c>
      <c r="N4" t="e">
        <f>AND(#REF!,"AAAAAH7n/g0=")</f>
        <v>#REF!</v>
      </c>
      <c r="O4" t="e">
        <f>AND(#REF!,"AAAAAH7n/g4=")</f>
        <v>#REF!</v>
      </c>
      <c r="P4" t="e">
        <f>AND(#REF!,"AAAAAH7n/g8=")</f>
        <v>#REF!</v>
      </c>
      <c r="Q4" t="e">
        <f>AND(#REF!,"AAAAAH7n/hA=")</f>
        <v>#REF!</v>
      </c>
      <c r="R4" t="e">
        <f>AND(#REF!,"AAAAAH7n/hE=")</f>
        <v>#REF!</v>
      </c>
      <c r="S4" t="e">
        <f>AND(#REF!,"AAAAAH7n/hI=")</f>
        <v>#REF!</v>
      </c>
      <c r="T4" t="e">
        <f>AND(#REF!,"AAAAAH7n/hM=")</f>
        <v>#REF!</v>
      </c>
      <c r="U4" t="e">
        <f>AND(#REF!,"AAAAAH7n/hQ=")</f>
        <v>#REF!</v>
      </c>
      <c r="V4" t="e">
        <f>AND(#REF!,"AAAAAH7n/hU=")</f>
        <v>#REF!</v>
      </c>
      <c r="W4" t="e">
        <f>IF(#REF!,"AAAAAH7n/hY=",0)</f>
        <v>#REF!</v>
      </c>
      <c r="X4" t="e">
        <f>AND(#REF!,"AAAAAH7n/hc=")</f>
        <v>#REF!</v>
      </c>
      <c r="Y4" t="e">
        <f>AND(#REF!,"AAAAAH7n/hg=")</f>
        <v>#REF!</v>
      </c>
      <c r="Z4" t="e">
        <f>AND(#REF!,"AAAAAH7n/hk=")</f>
        <v>#REF!</v>
      </c>
      <c r="AA4" t="e">
        <f>AND(#REF!,"AAAAAH7n/ho=")</f>
        <v>#REF!</v>
      </c>
      <c r="AB4" t="e">
        <f>AND(#REF!,"AAAAAH7n/hs=")</f>
        <v>#REF!</v>
      </c>
      <c r="AC4" t="e">
        <f>AND(#REF!,"AAAAAH7n/hw=")</f>
        <v>#REF!</v>
      </c>
      <c r="AD4" t="e">
        <f>AND(#REF!,"AAAAAH7n/h0=")</f>
        <v>#REF!</v>
      </c>
      <c r="AE4" t="e">
        <f>AND(#REF!,"AAAAAH7n/h4=")</f>
        <v>#REF!</v>
      </c>
      <c r="AF4" t="e">
        <f>AND(#REF!,"AAAAAH7n/h8=")</f>
        <v>#REF!</v>
      </c>
      <c r="AG4" t="e">
        <f>AND(#REF!,"AAAAAH7n/iA=")</f>
        <v>#REF!</v>
      </c>
      <c r="AH4" t="e">
        <f>AND(#REF!,"AAAAAH7n/iE=")</f>
        <v>#REF!</v>
      </c>
      <c r="AI4" t="e">
        <f>AND(#REF!,"AAAAAH7n/iI=")</f>
        <v>#REF!</v>
      </c>
      <c r="AJ4" t="e">
        <f>AND(#REF!,"AAAAAH7n/iM=")</f>
        <v>#REF!</v>
      </c>
      <c r="AK4" t="e">
        <f>AND(#REF!,"AAAAAH7n/iQ=")</f>
        <v>#REF!</v>
      </c>
      <c r="AL4" t="e">
        <f>AND(#REF!,"AAAAAH7n/iU=")</f>
        <v>#REF!</v>
      </c>
      <c r="AM4" t="e">
        <f>AND(#REF!,"AAAAAH7n/iY=")</f>
        <v>#REF!</v>
      </c>
      <c r="AN4" t="e">
        <f>AND(#REF!,"AAAAAH7n/ic=")</f>
        <v>#REF!</v>
      </c>
      <c r="AO4" t="e">
        <f>AND(#REF!,"AAAAAH7n/ig=")</f>
        <v>#REF!</v>
      </c>
      <c r="AP4" t="e">
        <f>IF(#REF!,"AAAAAH7n/ik=",0)</f>
        <v>#REF!</v>
      </c>
      <c r="AQ4" t="e">
        <f>AND(#REF!,"AAAAAH7n/io=")</f>
        <v>#REF!</v>
      </c>
      <c r="AR4" t="e">
        <f>AND(#REF!,"AAAAAH7n/is=")</f>
        <v>#REF!</v>
      </c>
      <c r="AS4" t="e">
        <f>AND(#REF!,"AAAAAH7n/iw=")</f>
        <v>#REF!</v>
      </c>
      <c r="AT4" t="e">
        <f>AND(#REF!,"AAAAAH7n/i0=")</f>
        <v>#REF!</v>
      </c>
      <c r="AU4" t="e">
        <f>AND(#REF!,"AAAAAH7n/i4=")</f>
        <v>#REF!</v>
      </c>
      <c r="AV4" t="e">
        <f>AND(#REF!,"AAAAAH7n/i8=")</f>
        <v>#REF!</v>
      </c>
      <c r="AW4" t="e">
        <f>AND(#REF!,"AAAAAH7n/jA=")</f>
        <v>#REF!</v>
      </c>
      <c r="AX4" t="e">
        <f>AND(#REF!,"AAAAAH7n/jE=")</f>
        <v>#REF!</v>
      </c>
      <c r="AY4" t="e">
        <f>AND(#REF!,"AAAAAH7n/jI=")</f>
        <v>#REF!</v>
      </c>
      <c r="AZ4" t="e">
        <f>AND(#REF!,"AAAAAH7n/jM=")</f>
        <v>#REF!</v>
      </c>
      <c r="BA4" t="e">
        <f>AND(#REF!,"AAAAAH7n/jQ=")</f>
        <v>#REF!</v>
      </c>
      <c r="BB4" t="e">
        <f>AND(#REF!,"AAAAAH7n/jU=")</f>
        <v>#REF!</v>
      </c>
      <c r="BC4" t="e">
        <f>AND(#REF!,"AAAAAH7n/jY=")</f>
        <v>#REF!</v>
      </c>
      <c r="BD4" t="e">
        <f>AND(#REF!,"AAAAAH7n/jc=")</f>
        <v>#REF!</v>
      </c>
      <c r="BE4" t="e">
        <f>AND(#REF!,"AAAAAH7n/jg=")</f>
        <v>#REF!</v>
      </c>
      <c r="BF4" t="e">
        <f>AND(#REF!,"AAAAAH7n/jk=")</f>
        <v>#REF!</v>
      </c>
      <c r="BG4" t="e">
        <f>AND(#REF!,"AAAAAH7n/jo=")</f>
        <v>#REF!</v>
      </c>
      <c r="BH4" t="e">
        <f>AND(#REF!,"AAAAAH7n/js=")</f>
        <v>#REF!</v>
      </c>
      <c r="BI4" t="e">
        <f>IF(#REF!,"AAAAAH7n/jw=",0)</f>
        <v>#REF!</v>
      </c>
      <c r="BJ4" t="e">
        <f>AND(#REF!,"AAAAAH7n/j0=")</f>
        <v>#REF!</v>
      </c>
      <c r="BK4" t="e">
        <f>AND(#REF!,"AAAAAH7n/j4=")</f>
        <v>#REF!</v>
      </c>
      <c r="BL4" t="e">
        <f>AND(#REF!,"AAAAAH7n/j8=")</f>
        <v>#REF!</v>
      </c>
      <c r="BM4" t="e">
        <f>AND(#REF!,"AAAAAH7n/kA=")</f>
        <v>#REF!</v>
      </c>
      <c r="BN4" t="e">
        <f>AND(#REF!,"AAAAAH7n/kE=")</f>
        <v>#REF!</v>
      </c>
      <c r="BO4" t="e">
        <f>AND(#REF!,"AAAAAH7n/kI=")</f>
        <v>#REF!</v>
      </c>
      <c r="BP4" t="e">
        <f>AND(#REF!,"AAAAAH7n/kM=")</f>
        <v>#REF!</v>
      </c>
      <c r="BQ4" t="e">
        <f>AND(#REF!,"AAAAAH7n/kQ=")</f>
        <v>#REF!</v>
      </c>
      <c r="BR4" t="e">
        <f>AND(#REF!,"AAAAAH7n/kU=")</f>
        <v>#REF!</v>
      </c>
      <c r="BS4" t="e">
        <f>AND(#REF!,"AAAAAH7n/kY=")</f>
        <v>#REF!</v>
      </c>
      <c r="BT4" t="e">
        <f>AND(#REF!,"AAAAAH7n/kc=")</f>
        <v>#REF!</v>
      </c>
      <c r="BU4" t="e">
        <f>AND(#REF!,"AAAAAH7n/kg=")</f>
        <v>#REF!</v>
      </c>
      <c r="BV4" t="e">
        <f>AND(#REF!,"AAAAAH7n/kk=")</f>
        <v>#REF!</v>
      </c>
      <c r="BW4" t="e">
        <f>AND(#REF!,"AAAAAH7n/ko=")</f>
        <v>#REF!</v>
      </c>
      <c r="BX4" t="e">
        <f>AND(#REF!,"AAAAAH7n/ks=")</f>
        <v>#REF!</v>
      </c>
      <c r="BY4" t="e">
        <f>AND(#REF!,"AAAAAH7n/kw=")</f>
        <v>#REF!</v>
      </c>
      <c r="BZ4" t="e">
        <f>AND(#REF!,"AAAAAH7n/k0=")</f>
        <v>#REF!</v>
      </c>
      <c r="CA4" t="e">
        <f>AND(#REF!,"AAAAAH7n/k4=")</f>
        <v>#REF!</v>
      </c>
      <c r="CB4" t="e">
        <f>IF(#REF!,"AAAAAH7n/k8=",0)</f>
        <v>#REF!</v>
      </c>
      <c r="CC4" t="e">
        <f>AND(#REF!,"AAAAAH7n/lA=")</f>
        <v>#REF!</v>
      </c>
      <c r="CD4" t="e">
        <f>AND(#REF!,"AAAAAH7n/lE=")</f>
        <v>#REF!</v>
      </c>
      <c r="CE4" t="e">
        <f>AND(#REF!,"AAAAAH7n/lI=")</f>
        <v>#REF!</v>
      </c>
      <c r="CF4" t="e">
        <f>AND(#REF!,"AAAAAH7n/lM=")</f>
        <v>#REF!</v>
      </c>
      <c r="CG4" t="e">
        <f>AND(#REF!,"AAAAAH7n/lQ=")</f>
        <v>#REF!</v>
      </c>
      <c r="CH4" t="e">
        <f>AND(#REF!,"AAAAAH7n/lU=")</f>
        <v>#REF!</v>
      </c>
      <c r="CI4" t="e">
        <f>AND(#REF!,"AAAAAH7n/lY=")</f>
        <v>#REF!</v>
      </c>
      <c r="CJ4" t="e">
        <f>AND(#REF!,"AAAAAH7n/lc=")</f>
        <v>#REF!</v>
      </c>
      <c r="CK4" t="e">
        <f>AND(#REF!,"AAAAAH7n/lg=")</f>
        <v>#REF!</v>
      </c>
      <c r="CL4" t="e">
        <f>AND(#REF!,"AAAAAH7n/lk=")</f>
        <v>#REF!</v>
      </c>
      <c r="CM4" t="e">
        <f>AND(#REF!,"AAAAAH7n/lo=")</f>
        <v>#REF!</v>
      </c>
      <c r="CN4" t="e">
        <f>AND(#REF!,"AAAAAH7n/ls=")</f>
        <v>#REF!</v>
      </c>
      <c r="CO4" t="e">
        <f>AND(#REF!,"AAAAAH7n/lw=")</f>
        <v>#REF!</v>
      </c>
      <c r="CP4" t="e">
        <f>AND(#REF!,"AAAAAH7n/l0=")</f>
        <v>#REF!</v>
      </c>
      <c r="CQ4" t="e">
        <f>AND(#REF!,"AAAAAH7n/l4=")</f>
        <v>#REF!</v>
      </c>
      <c r="CR4" t="e">
        <f>AND(#REF!,"AAAAAH7n/l8=")</f>
        <v>#REF!</v>
      </c>
      <c r="CS4" t="e">
        <f>AND(#REF!,"AAAAAH7n/mA=")</f>
        <v>#REF!</v>
      </c>
      <c r="CT4" t="e">
        <f>AND(#REF!,"AAAAAH7n/mE=")</f>
        <v>#REF!</v>
      </c>
      <c r="CU4" t="e">
        <f>IF(#REF!,"AAAAAH7n/mI=",0)</f>
        <v>#REF!</v>
      </c>
      <c r="CV4" t="e">
        <f>AND(#REF!,"AAAAAH7n/mM=")</f>
        <v>#REF!</v>
      </c>
      <c r="CW4" t="e">
        <f>AND(#REF!,"AAAAAH7n/mQ=")</f>
        <v>#REF!</v>
      </c>
      <c r="CX4" t="e">
        <f>AND(#REF!,"AAAAAH7n/mU=")</f>
        <v>#REF!</v>
      </c>
      <c r="CY4" t="e">
        <f>AND(#REF!,"AAAAAH7n/mY=")</f>
        <v>#REF!</v>
      </c>
      <c r="CZ4" t="e">
        <f>AND(#REF!,"AAAAAH7n/mc=")</f>
        <v>#REF!</v>
      </c>
      <c r="DA4" t="e">
        <f>AND(#REF!,"AAAAAH7n/mg=")</f>
        <v>#REF!</v>
      </c>
      <c r="DB4" t="e">
        <f>AND(#REF!,"AAAAAH7n/mk=")</f>
        <v>#REF!</v>
      </c>
      <c r="DC4" t="e">
        <f>AND(#REF!,"AAAAAH7n/mo=")</f>
        <v>#REF!</v>
      </c>
      <c r="DD4" t="e">
        <f>AND(#REF!,"AAAAAH7n/ms=")</f>
        <v>#REF!</v>
      </c>
      <c r="DE4" t="e">
        <f>AND(#REF!,"AAAAAH7n/mw=")</f>
        <v>#REF!</v>
      </c>
      <c r="DF4" t="e">
        <f>AND(#REF!,"AAAAAH7n/m0=")</f>
        <v>#REF!</v>
      </c>
      <c r="DG4" t="e">
        <f>AND(#REF!,"AAAAAH7n/m4=")</f>
        <v>#REF!</v>
      </c>
      <c r="DH4" t="e">
        <f>AND(#REF!,"AAAAAH7n/m8=")</f>
        <v>#REF!</v>
      </c>
      <c r="DI4" t="e">
        <f>AND(#REF!,"AAAAAH7n/nA=")</f>
        <v>#REF!</v>
      </c>
      <c r="DJ4" t="e">
        <f>AND(#REF!,"AAAAAH7n/nE=")</f>
        <v>#REF!</v>
      </c>
      <c r="DK4" t="e">
        <f>AND(#REF!,"AAAAAH7n/nI=")</f>
        <v>#REF!</v>
      </c>
      <c r="DL4" t="e">
        <f>AND(#REF!,"AAAAAH7n/nM=")</f>
        <v>#REF!</v>
      </c>
      <c r="DM4" t="e">
        <f>AND(#REF!,"AAAAAH7n/nQ=")</f>
        <v>#REF!</v>
      </c>
      <c r="DN4" t="e">
        <f>IF(#REF!,"AAAAAH7n/nU=",0)</f>
        <v>#REF!</v>
      </c>
      <c r="DO4" t="e">
        <f>AND(#REF!,"AAAAAH7n/nY=")</f>
        <v>#REF!</v>
      </c>
      <c r="DP4" t="e">
        <f>AND(#REF!,"AAAAAH7n/nc=")</f>
        <v>#REF!</v>
      </c>
      <c r="DQ4" t="e">
        <f>AND(#REF!,"AAAAAH7n/ng=")</f>
        <v>#REF!</v>
      </c>
      <c r="DR4" t="e">
        <f>AND(#REF!,"AAAAAH7n/nk=")</f>
        <v>#REF!</v>
      </c>
      <c r="DS4" t="e">
        <f>AND(#REF!,"AAAAAH7n/no=")</f>
        <v>#REF!</v>
      </c>
      <c r="DT4" t="e">
        <f>AND(#REF!,"AAAAAH7n/ns=")</f>
        <v>#REF!</v>
      </c>
      <c r="DU4" t="e">
        <f>AND(#REF!,"AAAAAH7n/nw=")</f>
        <v>#REF!</v>
      </c>
      <c r="DV4" t="e">
        <f>AND(#REF!,"AAAAAH7n/n0=")</f>
        <v>#REF!</v>
      </c>
      <c r="DW4" t="e">
        <f>AND(#REF!,"AAAAAH7n/n4=")</f>
        <v>#REF!</v>
      </c>
      <c r="DX4" t="e">
        <f>AND(#REF!,"AAAAAH7n/n8=")</f>
        <v>#REF!</v>
      </c>
      <c r="DY4" t="e">
        <f>AND(#REF!,"AAAAAH7n/oA=")</f>
        <v>#REF!</v>
      </c>
      <c r="DZ4" t="e">
        <f>AND(#REF!,"AAAAAH7n/oE=")</f>
        <v>#REF!</v>
      </c>
      <c r="EA4" t="e">
        <f>AND(#REF!,"AAAAAH7n/oI=")</f>
        <v>#REF!</v>
      </c>
      <c r="EB4" t="e">
        <f>AND(#REF!,"AAAAAH7n/oM=")</f>
        <v>#REF!</v>
      </c>
      <c r="EC4" t="e">
        <f>AND(#REF!,"AAAAAH7n/oQ=")</f>
        <v>#REF!</v>
      </c>
      <c r="ED4" t="e">
        <f>AND(#REF!,"AAAAAH7n/oU=")</f>
        <v>#REF!</v>
      </c>
      <c r="EE4" t="e">
        <f>AND(#REF!,"AAAAAH7n/oY=")</f>
        <v>#REF!</v>
      </c>
      <c r="EF4" t="e">
        <f>AND(#REF!,"AAAAAH7n/oc=")</f>
        <v>#REF!</v>
      </c>
      <c r="EG4" t="e">
        <f>IF(#REF!,"AAAAAH7n/og=",0)</f>
        <v>#REF!</v>
      </c>
      <c r="EH4" t="e">
        <f>AND(#REF!,"AAAAAH7n/ok=")</f>
        <v>#REF!</v>
      </c>
      <c r="EI4" t="e">
        <f>AND(#REF!,"AAAAAH7n/oo=")</f>
        <v>#REF!</v>
      </c>
      <c r="EJ4" t="e">
        <f>AND(#REF!,"AAAAAH7n/os=")</f>
        <v>#REF!</v>
      </c>
      <c r="EK4" t="e">
        <f>AND(#REF!,"AAAAAH7n/ow=")</f>
        <v>#REF!</v>
      </c>
      <c r="EL4" t="e">
        <f>AND(#REF!,"AAAAAH7n/o0=")</f>
        <v>#REF!</v>
      </c>
      <c r="EM4" t="e">
        <f>AND(#REF!,"AAAAAH7n/o4=")</f>
        <v>#REF!</v>
      </c>
      <c r="EN4" t="e">
        <f>AND(#REF!,"AAAAAH7n/o8=")</f>
        <v>#REF!</v>
      </c>
      <c r="EO4" t="e">
        <f>AND(#REF!,"AAAAAH7n/pA=")</f>
        <v>#REF!</v>
      </c>
      <c r="EP4" t="e">
        <f>AND(#REF!,"AAAAAH7n/pE=")</f>
        <v>#REF!</v>
      </c>
      <c r="EQ4" t="e">
        <f>AND(#REF!,"AAAAAH7n/pI=")</f>
        <v>#REF!</v>
      </c>
      <c r="ER4" t="e">
        <f>AND(#REF!,"AAAAAH7n/pM=")</f>
        <v>#REF!</v>
      </c>
      <c r="ES4" t="e">
        <f>AND(#REF!,"AAAAAH7n/pQ=")</f>
        <v>#REF!</v>
      </c>
      <c r="ET4" t="e">
        <f>AND(#REF!,"AAAAAH7n/pU=")</f>
        <v>#REF!</v>
      </c>
      <c r="EU4" t="e">
        <f>AND(#REF!,"AAAAAH7n/pY=")</f>
        <v>#REF!</v>
      </c>
      <c r="EV4" t="e">
        <f>AND(#REF!,"AAAAAH7n/pc=")</f>
        <v>#REF!</v>
      </c>
      <c r="EW4" t="e">
        <f>AND(#REF!,"AAAAAH7n/pg=")</f>
        <v>#REF!</v>
      </c>
      <c r="EX4" t="e">
        <f>AND(#REF!,"AAAAAH7n/pk=")</f>
        <v>#REF!</v>
      </c>
      <c r="EY4" t="e">
        <f>AND(#REF!,"AAAAAH7n/po=")</f>
        <v>#REF!</v>
      </c>
      <c r="EZ4" t="e">
        <f>IF(#REF!,"AAAAAH7n/ps=",0)</f>
        <v>#REF!</v>
      </c>
      <c r="FA4" t="e">
        <f>AND(#REF!,"AAAAAH7n/pw=")</f>
        <v>#REF!</v>
      </c>
      <c r="FB4" t="e">
        <f>AND(#REF!,"AAAAAH7n/p0=")</f>
        <v>#REF!</v>
      </c>
      <c r="FC4" t="e">
        <f>AND(#REF!,"AAAAAH7n/p4=")</f>
        <v>#REF!</v>
      </c>
      <c r="FD4" t="e">
        <f>AND(#REF!,"AAAAAH7n/p8=")</f>
        <v>#REF!</v>
      </c>
      <c r="FE4" t="e">
        <f>AND(#REF!,"AAAAAH7n/qA=")</f>
        <v>#REF!</v>
      </c>
      <c r="FF4" t="e">
        <f>AND(#REF!,"AAAAAH7n/qE=")</f>
        <v>#REF!</v>
      </c>
      <c r="FG4" t="e">
        <f>AND(#REF!,"AAAAAH7n/qI=")</f>
        <v>#REF!</v>
      </c>
      <c r="FH4" t="e">
        <f>AND(#REF!,"AAAAAH7n/qM=")</f>
        <v>#REF!</v>
      </c>
      <c r="FI4" t="e">
        <f>AND(#REF!,"AAAAAH7n/qQ=")</f>
        <v>#REF!</v>
      </c>
      <c r="FJ4" t="e">
        <f>AND(#REF!,"AAAAAH7n/qU=")</f>
        <v>#REF!</v>
      </c>
      <c r="FK4" t="e">
        <f>AND(#REF!,"AAAAAH7n/qY=")</f>
        <v>#REF!</v>
      </c>
      <c r="FL4" t="e">
        <f>AND(#REF!,"AAAAAH7n/qc=")</f>
        <v>#REF!</v>
      </c>
      <c r="FM4" t="e">
        <f>AND(#REF!,"AAAAAH7n/qg=")</f>
        <v>#REF!</v>
      </c>
      <c r="FN4" t="e">
        <f>AND(#REF!,"AAAAAH7n/qk=")</f>
        <v>#REF!</v>
      </c>
      <c r="FO4" t="e">
        <f>AND(#REF!,"AAAAAH7n/qo=")</f>
        <v>#REF!</v>
      </c>
      <c r="FP4" t="e">
        <f>AND(#REF!,"AAAAAH7n/qs=")</f>
        <v>#REF!</v>
      </c>
      <c r="FQ4" t="e">
        <f>AND(#REF!,"AAAAAH7n/qw=")</f>
        <v>#REF!</v>
      </c>
      <c r="FR4" t="e">
        <f>AND(#REF!,"AAAAAH7n/q0=")</f>
        <v>#REF!</v>
      </c>
      <c r="FS4" t="e">
        <f>IF(#REF!,"AAAAAH7n/q4=",0)</f>
        <v>#REF!</v>
      </c>
      <c r="FT4" t="e">
        <f>AND(#REF!,"AAAAAH7n/q8=")</f>
        <v>#REF!</v>
      </c>
      <c r="FU4" t="e">
        <f>AND(#REF!,"AAAAAH7n/rA=")</f>
        <v>#REF!</v>
      </c>
      <c r="FV4" t="e">
        <f>AND(#REF!,"AAAAAH7n/rE=")</f>
        <v>#REF!</v>
      </c>
      <c r="FW4" t="e">
        <f>AND(#REF!,"AAAAAH7n/rI=")</f>
        <v>#REF!</v>
      </c>
      <c r="FX4" t="e">
        <f>AND(#REF!,"AAAAAH7n/rM=")</f>
        <v>#REF!</v>
      </c>
      <c r="FY4" t="e">
        <f>AND(#REF!,"AAAAAH7n/rQ=")</f>
        <v>#REF!</v>
      </c>
      <c r="FZ4" t="e">
        <f>AND(#REF!,"AAAAAH7n/rU=")</f>
        <v>#REF!</v>
      </c>
      <c r="GA4" t="e">
        <f>AND(#REF!,"AAAAAH7n/rY=")</f>
        <v>#REF!</v>
      </c>
      <c r="GB4" t="e">
        <f>AND(#REF!,"AAAAAH7n/rc=")</f>
        <v>#REF!</v>
      </c>
      <c r="GC4" t="e">
        <f>AND(#REF!,"AAAAAH7n/rg=")</f>
        <v>#REF!</v>
      </c>
      <c r="GD4" t="e">
        <f>AND(#REF!,"AAAAAH7n/rk=")</f>
        <v>#REF!</v>
      </c>
      <c r="GE4" t="e">
        <f>AND(#REF!,"AAAAAH7n/ro=")</f>
        <v>#REF!</v>
      </c>
      <c r="GF4" t="e">
        <f>AND(#REF!,"AAAAAH7n/rs=")</f>
        <v>#REF!</v>
      </c>
      <c r="GG4" t="e">
        <f>AND(#REF!,"AAAAAH7n/rw=")</f>
        <v>#REF!</v>
      </c>
      <c r="GH4" t="e">
        <f>AND(#REF!,"AAAAAH7n/r0=")</f>
        <v>#REF!</v>
      </c>
      <c r="GI4" t="e">
        <f>AND(#REF!,"AAAAAH7n/r4=")</f>
        <v>#REF!</v>
      </c>
      <c r="GJ4" t="e">
        <f>AND(#REF!,"AAAAAH7n/r8=")</f>
        <v>#REF!</v>
      </c>
      <c r="GK4" t="e">
        <f>AND(#REF!,"AAAAAH7n/sA=")</f>
        <v>#REF!</v>
      </c>
      <c r="GL4" t="e">
        <f>IF(#REF!,"AAAAAH7n/sE=",0)</f>
        <v>#REF!</v>
      </c>
      <c r="GM4" t="e">
        <f>AND(#REF!,"AAAAAH7n/sI=")</f>
        <v>#REF!</v>
      </c>
      <c r="GN4" t="e">
        <f>AND(#REF!,"AAAAAH7n/sM=")</f>
        <v>#REF!</v>
      </c>
      <c r="GO4" t="e">
        <f>AND(#REF!,"AAAAAH7n/sQ=")</f>
        <v>#REF!</v>
      </c>
      <c r="GP4" t="e">
        <f>AND(#REF!,"AAAAAH7n/sU=")</f>
        <v>#REF!</v>
      </c>
      <c r="GQ4" t="e">
        <f>AND(#REF!,"AAAAAH7n/sY=")</f>
        <v>#REF!</v>
      </c>
      <c r="GR4" t="e">
        <f>AND(#REF!,"AAAAAH7n/sc=")</f>
        <v>#REF!</v>
      </c>
      <c r="GS4" t="e">
        <f>AND(#REF!,"AAAAAH7n/sg=")</f>
        <v>#REF!</v>
      </c>
      <c r="GT4" t="e">
        <f>AND(#REF!,"AAAAAH7n/sk=")</f>
        <v>#REF!</v>
      </c>
      <c r="GU4" t="e">
        <f>AND(#REF!,"AAAAAH7n/so=")</f>
        <v>#REF!</v>
      </c>
      <c r="GV4" t="e">
        <f>AND(#REF!,"AAAAAH7n/ss=")</f>
        <v>#REF!</v>
      </c>
      <c r="GW4" t="e">
        <f>AND(#REF!,"AAAAAH7n/sw=")</f>
        <v>#REF!</v>
      </c>
      <c r="GX4" t="e">
        <f>AND(#REF!,"AAAAAH7n/s0=")</f>
        <v>#REF!</v>
      </c>
      <c r="GY4" t="e">
        <f>AND(#REF!,"AAAAAH7n/s4=")</f>
        <v>#REF!</v>
      </c>
      <c r="GZ4" t="e">
        <f>AND(#REF!,"AAAAAH7n/s8=")</f>
        <v>#REF!</v>
      </c>
      <c r="HA4" t="e">
        <f>AND(#REF!,"AAAAAH7n/tA=")</f>
        <v>#REF!</v>
      </c>
      <c r="HB4" t="e">
        <f>AND(#REF!,"AAAAAH7n/tE=")</f>
        <v>#REF!</v>
      </c>
      <c r="HC4" t="e">
        <f>AND(#REF!,"AAAAAH7n/tI=")</f>
        <v>#REF!</v>
      </c>
      <c r="HD4" t="e">
        <f>AND(#REF!,"AAAAAH7n/tM=")</f>
        <v>#REF!</v>
      </c>
      <c r="HE4" t="e">
        <f>IF(#REF!,"AAAAAH7n/tQ=",0)</f>
        <v>#REF!</v>
      </c>
      <c r="HF4" t="e">
        <f>AND(#REF!,"AAAAAH7n/tU=")</f>
        <v>#REF!</v>
      </c>
      <c r="HG4" t="e">
        <f>AND(#REF!,"AAAAAH7n/tY=")</f>
        <v>#REF!</v>
      </c>
      <c r="HH4" t="e">
        <f>AND(#REF!,"AAAAAH7n/tc=")</f>
        <v>#REF!</v>
      </c>
      <c r="HI4" t="e">
        <f>AND(#REF!,"AAAAAH7n/tg=")</f>
        <v>#REF!</v>
      </c>
      <c r="HJ4" t="e">
        <f>AND(#REF!,"AAAAAH7n/tk=")</f>
        <v>#REF!</v>
      </c>
      <c r="HK4" t="e">
        <f>AND(#REF!,"AAAAAH7n/to=")</f>
        <v>#REF!</v>
      </c>
      <c r="HL4" t="e">
        <f>AND(#REF!,"AAAAAH7n/ts=")</f>
        <v>#REF!</v>
      </c>
      <c r="HM4" t="e">
        <f>AND(#REF!,"AAAAAH7n/tw=")</f>
        <v>#REF!</v>
      </c>
      <c r="HN4" t="e">
        <f>AND(#REF!,"AAAAAH7n/t0=")</f>
        <v>#REF!</v>
      </c>
      <c r="HO4" t="e">
        <f>AND(#REF!,"AAAAAH7n/t4=")</f>
        <v>#REF!</v>
      </c>
      <c r="HP4" t="e">
        <f>AND(#REF!,"AAAAAH7n/t8=")</f>
        <v>#REF!</v>
      </c>
      <c r="HQ4" t="e">
        <f>AND(#REF!,"AAAAAH7n/uA=")</f>
        <v>#REF!</v>
      </c>
      <c r="HR4" t="e">
        <f>AND(#REF!,"AAAAAH7n/uE=")</f>
        <v>#REF!</v>
      </c>
      <c r="HS4" t="e">
        <f>AND(#REF!,"AAAAAH7n/uI=")</f>
        <v>#REF!</v>
      </c>
      <c r="HT4" t="e">
        <f>AND(#REF!,"AAAAAH7n/uM=")</f>
        <v>#REF!</v>
      </c>
      <c r="HU4" t="e">
        <f>AND(#REF!,"AAAAAH7n/uQ=")</f>
        <v>#REF!</v>
      </c>
      <c r="HV4" t="e">
        <f>AND(#REF!,"AAAAAH7n/uU=")</f>
        <v>#REF!</v>
      </c>
      <c r="HW4" t="e">
        <f>AND(#REF!,"AAAAAH7n/uY=")</f>
        <v>#REF!</v>
      </c>
      <c r="HX4" t="e">
        <f>IF(#REF!,"AAAAAH7n/uc=",0)</f>
        <v>#REF!</v>
      </c>
      <c r="HY4" t="e">
        <f>AND(#REF!,"AAAAAH7n/ug=")</f>
        <v>#REF!</v>
      </c>
      <c r="HZ4" t="e">
        <f>AND(#REF!,"AAAAAH7n/uk=")</f>
        <v>#REF!</v>
      </c>
      <c r="IA4" t="e">
        <f>AND(#REF!,"AAAAAH7n/uo=")</f>
        <v>#REF!</v>
      </c>
      <c r="IB4" t="e">
        <f>AND(#REF!,"AAAAAH7n/us=")</f>
        <v>#REF!</v>
      </c>
      <c r="IC4" t="e">
        <f>AND(#REF!,"AAAAAH7n/uw=")</f>
        <v>#REF!</v>
      </c>
      <c r="ID4" t="e">
        <f>AND(#REF!,"AAAAAH7n/u0=")</f>
        <v>#REF!</v>
      </c>
      <c r="IE4" t="e">
        <f>AND(#REF!,"AAAAAH7n/u4=")</f>
        <v>#REF!</v>
      </c>
      <c r="IF4" t="e">
        <f>AND(#REF!,"AAAAAH7n/u8=")</f>
        <v>#REF!</v>
      </c>
      <c r="IG4" t="e">
        <f>AND(#REF!,"AAAAAH7n/vA=")</f>
        <v>#REF!</v>
      </c>
      <c r="IH4" t="e">
        <f>AND(#REF!,"AAAAAH7n/vE=")</f>
        <v>#REF!</v>
      </c>
      <c r="II4" t="e">
        <f>AND(#REF!,"AAAAAH7n/vI=")</f>
        <v>#REF!</v>
      </c>
      <c r="IJ4" t="e">
        <f>AND(#REF!,"AAAAAH7n/vM=")</f>
        <v>#REF!</v>
      </c>
      <c r="IK4" t="e">
        <f>AND(#REF!,"AAAAAH7n/vQ=")</f>
        <v>#REF!</v>
      </c>
      <c r="IL4" t="e">
        <f>AND(#REF!,"AAAAAH7n/vU=")</f>
        <v>#REF!</v>
      </c>
      <c r="IM4" t="e">
        <f>AND(#REF!,"AAAAAH7n/vY=")</f>
        <v>#REF!</v>
      </c>
      <c r="IN4" t="e">
        <f>AND(#REF!,"AAAAAH7n/vc=")</f>
        <v>#REF!</v>
      </c>
      <c r="IO4" t="e">
        <f>AND(#REF!,"AAAAAH7n/vg=")</f>
        <v>#REF!</v>
      </c>
      <c r="IP4" t="e">
        <f>AND(#REF!,"AAAAAH7n/vk=")</f>
        <v>#REF!</v>
      </c>
      <c r="IQ4" t="e">
        <f>IF(#REF!,"AAAAAH7n/vo=",0)</f>
        <v>#REF!</v>
      </c>
      <c r="IR4" t="e">
        <f>AND(#REF!,"AAAAAH7n/vs=")</f>
        <v>#REF!</v>
      </c>
      <c r="IS4" t="e">
        <f>AND(#REF!,"AAAAAH7n/vw=")</f>
        <v>#REF!</v>
      </c>
      <c r="IT4" t="e">
        <f>AND(#REF!,"AAAAAH7n/v0=")</f>
        <v>#REF!</v>
      </c>
      <c r="IU4" t="e">
        <f>AND(#REF!,"AAAAAH7n/v4=")</f>
        <v>#REF!</v>
      </c>
      <c r="IV4" t="e">
        <f>AND(#REF!,"AAAAAH7n/v8=")</f>
        <v>#REF!</v>
      </c>
    </row>
    <row r="5" spans="1:256">
      <c r="A5" t="e">
        <f>AND(#REF!,"AAAAAE//cgA=")</f>
        <v>#REF!</v>
      </c>
      <c r="B5" t="e">
        <f>AND(#REF!,"AAAAAE//cgE=")</f>
        <v>#REF!</v>
      </c>
      <c r="C5" t="e">
        <f>AND(#REF!,"AAAAAE//cgI=")</f>
        <v>#REF!</v>
      </c>
      <c r="D5" t="e">
        <f>AND(#REF!,"AAAAAE//cgM=")</f>
        <v>#REF!</v>
      </c>
      <c r="E5" t="e">
        <f>AND(#REF!,"AAAAAE//cgQ=")</f>
        <v>#REF!</v>
      </c>
      <c r="F5" t="e">
        <f>AND(#REF!,"AAAAAE//cgU=")</f>
        <v>#REF!</v>
      </c>
      <c r="G5" t="e">
        <f>AND(#REF!,"AAAAAE//cgY=")</f>
        <v>#REF!</v>
      </c>
      <c r="H5" t="e">
        <f>AND(#REF!,"AAAAAE//cgc=")</f>
        <v>#REF!</v>
      </c>
      <c r="I5" t="e">
        <f>AND(#REF!,"AAAAAE//cgg=")</f>
        <v>#REF!</v>
      </c>
      <c r="J5" t="e">
        <f>AND(#REF!,"AAAAAE//cgk=")</f>
        <v>#REF!</v>
      </c>
      <c r="K5" t="e">
        <f>AND(#REF!,"AAAAAE//cgo=")</f>
        <v>#REF!</v>
      </c>
      <c r="L5" t="e">
        <f>AND(#REF!,"AAAAAE//cgs=")</f>
        <v>#REF!</v>
      </c>
      <c r="M5" t="e">
        <f>AND(#REF!,"AAAAAE//cgw=")</f>
        <v>#REF!</v>
      </c>
      <c r="N5" t="e">
        <f>IF(#REF!,"AAAAAE//cg0=",0)</f>
        <v>#REF!</v>
      </c>
      <c r="O5" t="e">
        <f>AND(#REF!,"AAAAAE//cg4=")</f>
        <v>#REF!</v>
      </c>
      <c r="P5" t="e">
        <f>AND(#REF!,"AAAAAE//cg8=")</f>
        <v>#REF!</v>
      </c>
      <c r="Q5" t="e">
        <f>AND(#REF!,"AAAAAE//chA=")</f>
        <v>#REF!</v>
      </c>
      <c r="R5" t="e">
        <f>AND(#REF!,"AAAAAE//chE=")</f>
        <v>#REF!</v>
      </c>
      <c r="S5" t="e">
        <f>AND(#REF!,"AAAAAE//chI=")</f>
        <v>#REF!</v>
      </c>
      <c r="T5" t="e">
        <f>AND(#REF!,"AAAAAE//chM=")</f>
        <v>#REF!</v>
      </c>
      <c r="U5" t="e">
        <f>AND(#REF!,"AAAAAE//chQ=")</f>
        <v>#REF!</v>
      </c>
      <c r="V5" t="e">
        <f>AND(#REF!,"AAAAAE//chU=")</f>
        <v>#REF!</v>
      </c>
      <c r="W5" t="e">
        <f>AND(#REF!,"AAAAAE//chY=")</f>
        <v>#REF!</v>
      </c>
      <c r="X5" t="e">
        <f>AND(#REF!,"AAAAAE//chc=")</f>
        <v>#REF!</v>
      </c>
      <c r="Y5" t="e">
        <f>AND(#REF!,"AAAAAE//chg=")</f>
        <v>#REF!</v>
      </c>
      <c r="Z5" t="e">
        <f>AND(#REF!,"AAAAAE//chk=")</f>
        <v>#REF!</v>
      </c>
      <c r="AA5" t="e">
        <f>AND(#REF!,"AAAAAE//cho=")</f>
        <v>#REF!</v>
      </c>
      <c r="AB5" t="e">
        <f>AND(#REF!,"AAAAAE//chs=")</f>
        <v>#REF!</v>
      </c>
      <c r="AC5" t="e">
        <f>AND(#REF!,"AAAAAE//chw=")</f>
        <v>#REF!</v>
      </c>
      <c r="AD5" t="e">
        <f>AND(#REF!,"AAAAAE//ch0=")</f>
        <v>#REF!</v>
      </c>
      <c r="AE5" t="e">
        <f>AND(#REF!,"AAAAAE//ch4=")</f>
        <v>#REF!</v>
      </c>
      <c r="AF5" t="e">
        <f>AND(#REF!,"AAAAAE//ch8=")</f>
        <v>#REF!</v>
      </c>
      <c r="AG5" t="e">
        <f>IF(#REF!,"AAAAAE//ciA=",0)</f>
        <v>#REF!</v>
      </c>
      <c r="AH5" t="e">
        <f>AND(#REF!,"AAAAAE//ciE=")</f>
        <v>#REF!</v>
      </c>
      <c r="AI5" t="e">
        <f>AND(#REF!,"AAAAAE//ciI=")</f>
        <v>#REF!</v>
      </c>
      <c r="AJ5" t="e">
        <f>AND(#REF!,"AAAAAE//ciM=")</f>
        <v>#REF!</v>
      </c>
      <c r="AK5" t="e">
        <f>AND(#REF!,"AAAAAE//ciQ=")</f>
        <v>#REF!</v>
      </c>
      <c r="AL5" t="e">
        <f>AND(#REF!,"AAAAAE//ciU=")</f>
        <v>#REF!</v>
      </c>
      <c r="AM5" t="e">
        <f>AND(#REF!,"AAAAAE//ciY=")</f>
        <v>#REF!</v>
      </c>
      <c r="AN5" t="e">
        <f>AND(#REF!,"AAAAAE//cic=")</f>
        <v>#REF!</v>
      </c>
      <c r="AO5" t="e">
        <f>AND(#REF!,"AAAAAE//cig=")</f>
        <v>#REF!</v>
      </c>
      <c r="AP5" t="e">
        <f>AND(#REF!,"AAAAAE//cik=")</f>
        <v>#REF!</v>
      </c>
      <c r="AQ5" t="e">
        <f>AND(#REF!,"AAAAAE//cio=")</f>
        <v>#REF!</v>
      </c>
      <c r="AR5" t="e">
        <f>AND(#REF!,"AAAAAE//cis=")</f>
        <v>#REF!</v>
      </c>
      <c r="AS5" t="e">
        <f>AND(#REF!,"AAAAAE//ciw=")</f>
        <v>#REF!</v>
      </c>
      <c r="AT5" t="e">
        <f>AND(#REF!,"AAAAAE//ci0=")</f>
        <v>#REF!</v>
      </c>
      <c r="AU5" t="e">
        <f>AND(#REF!,"AAAAAE//ci4=")</f>
        <v>#REF!</v>
      </c>
      <c r="AV5" t="e">
        <f>AND(#REF!,"AAAAAE//ci8=")</f>
        <v>#REF!</v>
      </c>
      <c r="AW5" t="e">
        <f>AND(#REF!,"AAAAAE//cjA=")</f>
        <v>#REF!</v>
      </c>
      <c r="AX5" t="e">
        <f>AND(#REF!,"AAAAAE//cjE=")</f>
        <v>#REF!</v>
      </c>
      <c r="AY5" t="e">
        <f>AND(#REF!,"AAAAAE//cjI=")</f>
        <v>#REF!</v>
      </c>
      <c r="AZ5" t="e">
        <f>IF(#REF!,"AAAAAE//cjM=",0)</f>
        <v>#REF!</v>
      </c>
      <c r="BA5" t="e">
        <f>AND(#REF!,"AAAAAE//cjQ=")</f>
        <v>#REF!</v>
      </c>
      <c r="BB5" t="e">
        <f>AND(#REF!,"AAAAAE//cjU=")</f>
        <v>#REF!</v>
      </c>
      <c r="BC5" t="e">
        <f>AND(#REF!,"AAAAAE//cjY=")</f>
        <v>#REF!</v>
      </c>
      <c r="BD5" t="e">
        <f>AND(#REF!,"AAAAAE//cjc=")</f>
        <v>#REF!</v>
      </c>
      <c r="BE5" t="e">
        <f>AND(#REF!,"AAAAAE//cjg=")</f>
        <v>#REF!</v>
      </c>
      <c r="BF5" t="e">
        <f>AND(#REF!,"AAAAAE//cjk=")</f>
        <v>#REF!</v>
      </c>
      <c r="BG5" t="e">
        <f>AND(#REF!,"AAAAAE//cjo=")</f>
        <v>#REF!</v>
      </c>
      <c r="BH5" t="e">
        <f>AND(#REF!,"AAAAAE//cjs=")</f>
        <v>#REF!</v>
      </c>
      <c r="BI5" t="e">
        <f>AND(#REF!,"AAAAAE//cjw=")</f>
        <v>#REF!</v>
      </c>
      <c r="BJ5" t="e">
        <f>AND(#REF!,"AAAAAE//cj0=")</f>
        <v>#REF!</v>
      </c>
      <c r="BK5" t="e">
        <f>AND(#REF!,"AAAAAE//cj4=")</f>
        <v>#REF!</v>
      </c>
      <c r="BL5" t="e">
        <f>AND(#REF!,"AAAAAE//cj8=")</f>
        <v>#REF!</v>
      </c>
      <c r="BM5" t="e">
        <f>AND(#REF!,"AAAAAE//ckA=")</f>
        <v>#REF!</v>
      </c>
      <c r="BN5" t="e">
        <f>AND(#REF!,"AAAAAE//ckE=")</f>
        <v>#REF!</v>
      </c>
      <c r="BO5" t="e">
        <f>AND(#REF!,"AAAAAE//ckI=")</f>
        <v>#REF!</v>
      </c>
      <c r="BP5" t="e">
        <f>AND(#REF!,"AAAAAE//ckM=")</f>
        <v>#REF!</v>
      </c>
      <c r="BQ5" t="e">
        <f>AND(#REF!,"AAAAAE//ckQ=")</f>
        <v>#REF!</v>
      </c>
      <c r="BR5" t="e">
        <f>AND(#REF!,"AAAAAE//ckU=")</f>
        <v>#REF!</v>
      </c>
      <c r="BS5" t="e">
        <f>IF(#REF!,"AAAAAE//ckY=",0)</f>
        <v>#REF!</v>
      </c>
      <c r="BT5" t="e">
        <f>AND(#REF!,"AAAAAE//ckc=")</f>
        <v>#REF!</v>
      </c>
      <c r="BU5" t="e">
        <f>AND(#REF!,"AAAAAE//ckg=")</f>
        <v>#REF!</v>
      </c>
      <c r="BV5" t="e">
        <f>AND(#REF!,"AAAAAE//ckk=")</f>
        <v>#REF!</v>
      </c>
      <c r="BW5" t="e">
        <f>AND(#REF!,"AAAAAE//cko=")</f>
        <v>#REF!</v>
      </c>
      <c r="BX5" t="e">
        <f>AND(#REF!,"AAAAAE//cks=")</f>
        <v>#REF!</v>
      </c>
      <c r="BY5" t="e">
        <f>AND(#REF!,"AAAAAE//ckw=")</f>
        <v>#REF!</v>
      </c>
      <c r="BZ5" t="e">
        <f>AND(#REF!,"AAAAAE//ck0=")</f>
        <v>#REF!</v>
      </c>
      <c r="CA5" t="e">
        <f>AND(#REF!,"AAAAAE//ck4=")</f>
        <v>#REF!</v>
      </c>
      <c r="CB5" t="e">
        <f>AND(#REF!,"AAAAAE//ck8=")</f>
        <v>#REF!</v>
      </c>
      <c r="CC5" t="e">
        <f>AND(#REF!,"AAAAAE//clA=")</f>
        <v>#REF!</v>
      </c>
      <c r="CD5" t="e">
        <f>AND(#REF!,"AAAAAE//clE=")</f>
        <v>#REF!</v>
      </c>
      <c r="CE5" t="e">
        <f>AND(#REF!,"AAAAAE//clI=")</f>
        <v>#REF!</v>
      </c>
      <c r="CF5" t="e">
        <f>AND(#REF!,"AAAAAE//clM=")</f>
        <v>#REF!</v>
      </c>
      <c r="CG5" t="e">
        <f>AND(#REF!,"AAAAAE//clQ=")</f>
        <v>#REF!</v>
      </c>
      <c r="CH5" t="e">
        <f>AND(#REF!,"AAAAAE//clU=")</f>
        <v>#REF!</v>
      </c>
      <c r="CI5" t="e">
        <f>AND(#REF!,"AAAAAE//clY=")</f>
        <v>#REF!</v>
      </c>
      <c r="CJ5" t="e">
        <f>AND(#REF!,"AAAAAE//clc=")</f>
        <v>#REF!</v>
      </c>
      <c r="CK5" t="e">
        <f>AND(#REF!,"AAAAAE//clg=")</f>
        <v>#REF!</v>
      </c>
      <c r="CL5" t="e">
        <f>IF(#REF!,"AAAAAE//clk=",0)</f>
        <v>#REF!</v>
      </c>
      <c r="CM5" t="e">
        <f>AND(#REF!,"AAAAAE//clo=")</f>
        <v>#REF!</v>
      </c>
      <c r="CN5" t="e">
        <f>AND(#REF!,"AAAAAE//cls=")</f>
        <v>#REF!</v>
      </c>
      <c r="CO5" t="e">
        <f>AND(#REF!,"AAAAAE//clw=")</f>
        <v>#REF!</v>
      </c>
      <c r="CP5" t="e">
        <f>AND(#REF!,"AAAAAE//cl0=")</f>
        <v>#REF!</v>
      </c>
      <c r="CQ5" t="e">
        <f>AND(#REF!,"AAAAAE//cl4=")</f>
        <v>#REF!</v>
      </c>
      <c r="CR5" t="e">
        <f>AND(#REF!,"AAAAAE//cl8=")</f>
        <v>#REF!</v>
      </c>
      <c r="CS5" t="e">
        <f>AND(#REF!,"AAAAAE//cmA=")</f>
        <v>#REF!</v>
      </c>
      <c r="CT5" t="e">
        <f>AND(#REF!,"AAAAAE//cmE=")</f>
        <v>#REF!</v>
      </c>
      <c r="CU5" t="e">
        <f>AND(#REF!,"AAAAAE//cmI=")</f>
        <v>#REF!</v>
      </c>
      <c r="CV5" t="e">
        <f>AND(#REF!,"AAAAAE//cmM=")</f>
        <v>#REF!</v>
      </c>
      <c r="CW5" t="e">
        <f>AND(#REF!,"AAAAAE//cmQ=")</f>
        <v>#REF!</v>
      </c>
      <c r="CX5" t="e">
        <f>AND(#REF!,"AAAAAE//cmU=")</f>
        <v>#REF!</v>
      </c>
      <c r="CY5" t="e">
        <f>AND(#REF!,"AAAAAE//cmY=")</f>
        <v>#REF!</v>
      </c>
      <c r="CZ5" t="e">
        <f>AND(#REF!,"AAAAAE//cmc=")</f>
        <v>#REF!</v>
      </c>
      <c r="DA5" t="e">
        <f>AND(#REF!,"AAAAAE//cmg=")</f>
        <v>#REF!</v>
      </c>
      <c r="DB5" t="e">
        <f>AND(#REF!,"AAAAAE//cmk=")</f>
        <v>#REF!</v>
      </c>
      <c r="DC5" t="e">
        <f>AND(#REF!,"AAAAAE//cmo=")</f>
        <v>#REF!</v>
      </c>
      <c r="DD5" t="e">
        <f>AND(#REF!,"AAAAAE//cms=")</f>
        <v>#REF!</v>
      </c>
      <c r="DE5" t="e">
        <f>IF(#REF!,"AAAAAE//cmw=",0)</f>
        <v>#REF!</v>
      </c>
      <c r="DF5" t="e">
        <f>AND(#REF!,"AAAAAE//cm0=")</f>
        <v>#REF!</v>
      </c>
      <c r="DG5" t="e">
        <f>AND(#REF!,"AAAAAE//cm4=")</f>
        <v>#REF!</v>
      </c>
      <c r="DH5" t="e">
        <f>AND(#REF!,"AAAAAE//cm8=")</f>
        <v>#REF!</v>
      </c>
      <c r="DI5" t="e">
        <f>AND(#REF!,"AAAAAE//cnA=")</f>
        <v>#REF!</v>
      </c>
      <c r="DJ5" t="e">
        <f>AND(#REF!,"AAAAAE//cnE=")</f>
        <v>#REF!</v>
      </c>
      <c r="DK5" t="e">
        <f>AND(#REF!,"AAAAAE//cnI=")</f>
        <v>#REF!</v>
      </c>
      <c r="DL5" t="e">
        <f>AND(#REF!,"AAAAAE//cnM=")</f>
        <v>#REF!</v>
      </c>
      <c r="DM5" t="e">
        <f>AND(#REF!,"AAAAAE//cnQ=")</f>
        <v>#REF!</v>
      </c>
      <c r="DN5" t="e">
        <f>AND(#REF!,"AAAAAE//cnU=")</f>
        <v>#REF!</v>
      </c>
      <c r="DO5" t="e">
        <f>AND(#REF!,"AAAAAE//cnY=")</f>
        <v>#REF!</v>
      </c>
      <c r="DP5" t="e">
        <f>AND(#REF!,"AAAAAE//cnc=")</f>
        <v>#REF!</v>
      </c>
      <c r="DQ5" t="e">
        <f>AND(#REF!,"AAAAAE//cng=")</f>
        <v>#REF!</v>
      </c>
      <c r="DR5" t="e">
        <f>AND(#REF!,"AAAAAE//cnk=")</f>
        <v>#REF!</v>
      </c>
      <c r="DS5" t="e">
        <f>AND(#REF!,"AAAAAE//cno=")</f>
        <v>#REF!</v>
      </c>
      <c r="DT5" t="e">
        <f>AND(#REF!,"AAAAAE//cns=")</f>
        <v>#REF!</v>
      </c>
      <c r="DU5" t="e">
        <f>AND(#REF!,"AAAAAE//cnw=")</f>
        <v>#REF!</v>
      </c>
      <c r="DV5" t="e">
        <f>AND(#REF!,"AAAAAE//cn0=")</f>
        <v>#REF!</v>
      </c>
      <c r="DW5" t="e">
        <f>AND(#REF!,"AAAAAE//cn4=")</f>
        <v>#REF!</v>
      </c>
      <c r="DX5" t="e">
        <f>IF(#REF!,"AAAAAE//cn8=",0)</f>
        <v>#REF!</v>
      </c>
      <c r="DY5" t="e">
        <f>AND(#REF!,"AAAAAE//coA=")</f>
        <v>#REF!</v>
      </c>
      <c r="DZ5" t="e">
        <f>AND(#REF!,"AAAAAE//coE=")</f>
        <v>#REF!</v>
      </c>
      <c r="EA5" t="e">
        <f>AND(#REF!,"AAAAAE//coI=")</f>
        <v>#REF!</v>
      </c>
      <c r="EB5" t="e">
        <f>AND(#REF!,"AAAAAE//coM=")</f>
        <v>#REF!</v>
      </c>
      <c r="EC5" t="e">
        <f>AND(#REF!,"AAAAAE//coQ=")</f>
        <v>#REF!</v>
      </c>
      <c r="ED5" t="e">
        <f>AND(#REF!,"AAAAAE//coU=")</f>
        <v>#REF!</v>
      </c>
      <c r="EE5" t="e">
        <f>AND(#REF!,"AAAAAE//coY=")</f>
        <v>#REF!</v>
      </c>
      <c r="EF5" t="e">
        <f>AND(#REF!,"AAAAAE//coc=")</f>
        <v>#REF!</v>
      </c>
      <c r="EG5" t="e">
        <f>AND(#REF!,"AAAAAE//cog=")</f>
        <v>#REF!</v>
      </c>
      <c r="EH5" t="e">
        <f>AND(#REF!,"AAAAAE//cok=")</f>
        <v>#REF!</v>
      </c>
      <c r="EI5" t="e">
        <f>AND(#REF!,"AAAAAE//coo=")</f>
        <v>#REF!</v>
      </c>
      <c r="EJ5" t="e">
        <f>AND(#REF!,"AAAAAE//cos=")</f>
        <v>#REF!</v>
      </c>
      <c r="EK5" t="e">
        <f>AND(#REF!,"AAAAAE//cow=")</f>
        <v>#REF!</v>
      </c>
      <c r="EL5" t="e">
        <f>AND(#REF!,"AAAAAE//co0=")</f>
        <v>#REF!</v>
      </c>
      <c r="EM5" t="e">
        <f>AND(#REF!,"AAAAAE//co4=")</f>
        <v>#REF!</v>
      </c>
      <c r="EN5" t="e">
        <f>AND(#REF!,"AAAAAE//co8=")</f>
        <v>#REF!</v>
      </c>
      <c r="EO5" t="e">
        <f>AND(#REF!,"AAAAAE//cpA=")</f>
        <v>#REF!</v>
      </c>
      <c r="EP5" t="e">
        <f>AND(#REF!,"AAAAAE//cpE=")</f>
        <v>#REF!</v>
      </c>
      <c r="EQ5" t="e">
        <f>IF(#REF!,"AAAAAE//cpI=",0)</f>
        <v>#REF!</v>
      </c>
      <c r="ER5" t="e">
        <f>AND(#REF!,"AAAAAE//cpM=")</f>
        <v>#REF!</v>
      </c>
      <c r="ES5" t="e">
        <f>AND(#REF!,"AAAAAE//cpQ=")</f>
        <v>#REF!</v>
      </c>
      <c r="ET5" t="e">
        <f>AND(#REF!,"AAAAAE//cpU=")</f>
        <v>#REF!</v>
      </c>
      <c r="EU5" t="e">
        <f>AND(#REF!,"AAAAAE//cpY=")</f>
        <v>#REF!</v>
      </c>
      <c r="EV5" t="e">
        <f>AND(#REF!,"AAAAAE//cpc=")</f>
        <v>#REF!</v>
      </c>
      <c r="EW5" t="e">
        <f>AND(#REF!,"AAAAAE//cpg=")</f>
        <v>#REF!</v>
      </c>
      <c r="EX5" t="e">
        <f>AND(#REF!,"AAAAAE//cpk=")</f>
        <v>#REF!</v>
      </c>
      <c r="EY5" t="e">
        <f>AND(#REF!,"AAAAAE//cpo=")</f>
        <v>#REF!</v>
      </c>
      <c r="EZ5" t="e">
        <f>AND(#REF!,"AAAAAE//cps=")</f>
        <v>#REF!</v>
      </c>
      <c r="FA5" t="e">
        <f>AND(#REF!,"AAAAAE//cpw=")</f>
        <v>#REF!</v>
      </c>
      <c r="FB5" t="e">
        <f>AND(#REF!,"AAAAAE//cp0=")</f>
        <v>#REF!</v>
      </c>
      <c r="FC5" t="e">
        <f>AND(#REF!,"AAAAAE//cp4=")</f>
        <v>#REF!</v>
      </c>
      <c r="FD5" t="e">
        <f>AND(#REF!,"AAAAAE//cp8=")</f>
        <v>#REF!</v>
      </c>
      <c r="FE5" t="e">
        <f>AND(#REF!,"AAAAAE//cqA=")</f>
        <v>#REF!</v>
      </c>
      <c r="FF5" t="e">
        <f>AND(#REF!,"AAAAAE//cqE=")</f>
        <v>#REF!</v>
      </c>
      <c r="FG5" t="e">
        <f>AND(#REF!,"AAAAAE//cqI=")</f>
        <v>#REF!</v>
      </c>
      <c r="FH5" t="e">
        <f>AND(#REF!,"AAAAAE//cqM=")</f>
        <v>#REF!</v>
      </c>
      <c r="FI5" t="e">
        <f>AND(#REF!,"AAAAAE//cqQ=")</f>
        <v>#REF!</v>
      </c>
      <c r="FJ5" t="e">
        <f>IF(#REF!,"AAAAAE//cqU=",0)</f>
        <v>#REF!</v>
      </c>
      <c r="FK5" t="e">
        <f>AND(#REF!,"AAAAAE//cqY=")</f>
        <v>#REF!</v>
      </c>
      <c r="FL5" t="e">
        <f>AND(#REF!,"AAAAAE//cqc=")</f>
        <v>#REF!</v>
      </c>
      <c r="FM5" t="e">
        <f>AND(#REF!,"AAAAAE//cqg=")</f>
        <v>#REF!</v>
      </c>
      <c r="FN5" t="e">
        <f>AND(#REF!,"AAAAAE//cqk=")</f>
        <v>#REF!</v>
      </c>
      <c r="FO5" t="e">
        <f>AND(#REF!,"AAAAAE//cqo=")</f>
        <v>#REF!</v>
      </c>
      <c r="FP5" t="e">
        <f>AND(#REF!,"AAAAAE//cqs=")</f>
        <v>#REF!</v>
      </c>
      <c r="FQ5" t="e">
        <f>AND(#REF!,"AAAAAE//cqw=")</f>
        <v>#REF!</v>
      </c>
      <c r="FR5" t="e">
        <f>AND(#REF!,"AAAAAE//cq0=")</f>
        <v>#REF!</v>
      </c>
      <c r="FS5" t="e">
        <f>AND(#REF!,"AAAAAE//cq4=")</f>
        <v>#REF!</v>
      </c>
      <c r="FT5" t="e">
        <f>AND(#REF!,"AAAAAE//cq8=")</f>
        <v>#REF!</v>
      </c>
      <c r="FU5" t="e">
        <f>AND(#REF!,"AAAAAE//crA=")</f>
        <v>#REF!</v>
      </c>
      <c r="FV5" t="e">
        <f>AND(#REF!,"AAAAAE//crE=")</f>
        <v>#REF!</v>
      </c>
      <c r="FW5" t="e">
        <f>AND(#REF!,"AAAAAE//crI=")</f>
        <v>#REF!</v>
      </c>
      <c r="FX5" t="e">
        <f>AND(#REF!,"AAAAAE//crM=")</f>
        <v>#REF!</v>
      </c>
      <c r="FY5" t="e">
        <f>AND(#REF!,"AAAAAE//crQ=")</f>
        <v>#REF!</v>
      </c>
      <c r="FZ5" t="e">
        <f>AND(#REF!,"AAAAAE//crU=")</f>
        <v>#REF!</v>
      </c>
      <c r="GA5" t="e">
        <f>AND(#REF!,"AAAAAE//crY=")</f>
        <v>#REF!</v>
      </c>
      <c r="GB5" t="e">
        <f>AND(#REF!,"AAAAAE//crc=")</f>
        <v>#REF!</v>
      </c>
      <c r="GC5" t="e">
        <f>IF(#REF!,"AAAAAE//crg=",0)</f>
        <v>#REF!</v>
      </c>
      <c r="GD5" t="e">
        <f>AND(#REF!,"AAAAAE//crk=")</f>
        <v>#REF!</v>
      </c>
      <c r="GE5" t="e">
        <f>AND(#REF!,"AAAAAE//cro=")</f>
        <v>#REF!</v>
      </c>
      <c r="GF5" t="e">
        <f>AND(#REF!,"AAAAAE//crs=")</f>
        <v>#REF!</v>
      </c>
      <c r="GG5" t="e">
        <f>AND(#REF!,"AAAAAE//crw=")</f>
        <v>#REF!</v>
      </c>
      <c r="GH5" t="e">
        <f>AND(#REF!,"AAAAAE//cr0=")</f>
        <v>#REF!</v>
      </c>
      <c r="GI5" t="e">
        <f>AND(#REF!,"AAAAAE//cr4=")</f>
        <v>#REF!</v>
      </c>
      <c r="GJ5" t="e">
        <f>AND(#REF!,"AAAAAE//cr8=")</f>
        <v>#REF!</v>
      </c>
      <c r="GK5" t="e">
        <f>AND(#REF!,"AAAAAE//csA=")</f>
        <v>#REF!</v>
      </c>
      <c r="GL5" t="e">
        <f>AND(#REF!,"AAAAAE//csE=")</f>
        <v>#REF!</v>
      </c>
      <c r="GM5" t="e">
        <f>AND(#REF!,"AAAAAE//csI=")</f>
        <v>#REF!</v>
      </c>
      <c r="GN5" t="e">
        <f>AND(#REF!,"AAAAAE//csM=")</f>
        <v>#REF!</v>
      </c>
      <c r="GO5" t="e">
        <f>AND(#REF!,"AAAAAE//csQ=")</f>
        <v>#REF!</v>
      </c>
      <c r="GP5" t="e">
        <f>AND(#REF!,"AAAAAE//csU=")</f>
        <v>#REF!</v>
      </c>
      <c r="GQ5" t="e">
        <f>AND(#REF!,"AAAAAE//csY=")</f>
        <v>#REF!</v>
      </c>
      <c r="GR5" t="e">
        <f>AND(#REF!,"AAAAAE//csc=")</f>
        <v>#REF!</v>
      </c>
      <c r="GS5" t="e">
        <f>AND(#REF!,"AAAAAE//csg=")</f>
        <v>#REF!</v>
      </c>
      <c r="GT5" t="e">
        <f>AND(#REF!,"AAAAAE//csk=")</f>
        <v>#REF!</v>
      </c>
      <c r="GU5" t="e">
        <f>AND(#REF!,"AAAAAE//cso=")</f>
        <v>#REF!</v>
      </c>
      <c r="GV5" t="e">
        <f>IF(#REF!,"AAAAAE//css=",0)</f>
        <v>#REF!</v>
      </c>
      <c r="GW5" t="e">
        <f>AND(#REF!,"AAAAAE//csw=")</f>
        <v>#REF!</v>
      </c>
      <c r="GX5" t="e">
        <f>AND(#REF!,"AAAAAE//cs0=")</f>
        <v>#REF!</v>
      </c>
      <c r="GY5" t="e">
        <f>AND(#REF!,"AAAAAE//cs4=")</f>
        <v>#REF!</v>
      </c>
      <c r="GZ5" t="e">
        <f>AND(#REF!,"AAAAAE//cs8=")</f>
        <v>#REF!</v>
      </c>
      <c r="HA5" t="e">
        <f>AND(#REF!,"AAAAAE//ctA=")</f>
        <v>#REF!</v>
      </c>
      <c r="HB5" t="e">
        <f>AND(#REF!,"AAAAAE//ctE=")</f>
        <v>#REF!</v>
      </c>
      <c r="HC5" t="e">
        <f>AND(#REF!,"AAAAAE//ctI=")</f>
        <v>#REF!</v>
      </c>
      <c r="HD5" t="e">
        <f>AND(#REF!,"AAAAAE//ctM=")</f>
        <v>#REF!</v>
      </c>
      <c r="HE5" t="e">
        <f>AND(#REF!,"AAAAAE//ctQ=")</f>
        <v>#REF!</v>
      </c>
      <c r="HF5" t="e">
        <f>AND(#REF!,"AAAAAE//ctU=")</f>
        <v>#REF!</v>
      </c>
      <c r="HG5" t="e">
        <f>AND(#REF!,"AAAAAE//ctY=")</f>
        <v>#REF!</v>
      </c>
      <c r="HH5" t="e">
        <f>AND(#REF!,"AAAAAE//ctc=")</f>
        <v>#REF!</v>
      </c>
      <c r="HI5" t="e">
        <f>AND(#REF!,"AAAAAE//ctg=")</f>
        <v>#REF!</v>
      </c>
      <c r="HJ5" t="e">
        <f>AND(#REF!,"AAAAAE//ctk=")</f>
        <v>#REF!</v>
      </c>
      <c r="HK5" t="e">
        <f>AND(#REF!,"AAAAAE//cto=")</f>
        <v>#REF!</v>
      </c>
      <c r="HL5" t="e">
        <f>AND(#REF!,"AAAAAE//cts=")</f>
        <v>#REF!</v>
      </c>
      <c r="HM5" t="e">
        <f>AND(#REF!,"AAAAAE//ctw=")</f>
        <v>#REF!</v>
      </c>
      <c r="HN5" t="e">
        <f>AND(#REF!,"AAAAAE//ct0=")</f>
        <v>#REF!</v>
      </c>
      <c r="HO5" t="e">
        <f>IF(#REF!,"AAAAAE//ct4=",0)</f>
        <v>#REF!</v>
      </c>
      <c r="HP5" t="e">
        <f>AND(#REF!,"AAAAAE//ct8=")</f>
        <v>#REF!</v>
      </c>
      <c r="HQ5" t="e">
        <f>AND(#REF!,"AAAAAE//cuA=")</f>
        <v>#REF!</v>
      </c>
      <c r="HR5" t="e">
        <f>AND(#REF!,"AAAAAE//cuE=")</f>
        <v>#REF!</v>
      </c>
      <c r="HS5" t="e">
        <f>AND(#REF!,"AAAAAE//cuI=")</f>
        <v>#REF!</v>
      </c>
      <c r="HT5" t="e">
        <f>AND(#REF!,"AAAAAE//cuM=")</f>
        <v>#REF!</v>
      </c>
      <c r="HU5" t="e">
        <f>AND(#REF!,"AAAAAE//cuQ=")</f>
        <v>#REF!</v>
      </c>
      <c r="HV5" t="e">
        <f>AND(#REF!,"AAAAAE//cuU=")</f>
        <v>#REF!</v>
      </c>
      <c r="HW5" t="e">
        <f>AND(#REF!,"AAAAAE//cuY=")</f>
        <v>#REF!</v>
      </c>
      <c r="HX5" t="e">
        <f>AND(#REF!,"AAAAAE//cuc=")</f>
        <v>#REF!</v>
      </c>
      <c r="HY5" t="e">
        <f>AND(#REF!,"AAAAAE//cug=")</f>
        <v>#REF!</v>
      </c>
      <c r="HZ5" t="e">
        <f>AND(#REF!,"AAAAAE//cuk=")</f>
        <v>#REF!</v>
      </c>
      <c r="IA5" t="e">
        <f>AND(#REF!,"AAAAAE//cuo=")</f>
        <v>#REF!</v>
      </c>
      <c r="IB5" t="e">
        <f>AND(#REF!,"AAAAAE//cus=")</f>
        <v>#REF!</v>
      </c>
      <c r="IC5" t="e">
        <f>AND(#REF!,"AAAAAE//cuw=")</f>
        <v>#REF!</v>
      </c>
      <c r="ID5" t="e">
        <f>AND(#REF!,"AAAAAE//cu0=")</f>
        <v>#REF!</v>
      </c>
      <c r="IE5" t="e">
        <f>AND(#REF!,"AAAAAE//cu4=")</f>
        <v>#REF!</v>
      </c>
      <c r="IF5" t="e">
        <f>AND(#REF!,"AAAAAE//cu8=")</f>
        <v>#REF!</v>
      </c>
      <c r="IG5" t="e">
        <f>AND(#REF!,"AAAAAE//cvA=")</f>
        <v>#REF!</v>
      </c>
      <c r="IH5" t="e">
        <f>IF(#REF!,"AAAAAE//cvE=",0)</f>
        <v>#REF!</v>
      </c>
      <c r="II5" t="e">
        <f>AND(#REF!,"AAAAAE//cvI=")</f>
        <v>#REF!</v>
      </c>
      <c r="IJ5" t="e">
        <f>AND(#REF!,"AAAAAE//cvM=")</f>
        <v>#REF!</v>
      </c>
      <c r="IK5" t="e">
        <f>AND(#REF!,"AAAAAE//cvQ=")</f>
        <v>#REF!</v>
      </c>
      <c r="IL5" t="e">
        <f>AND(#REF!,"AAAAAE//cvU=")</f>
        <v>#REF!</v>
      </c>
      <c r="IM5" t="e">
        <f>AND(#REF!,"AAAAAE//cvY=")</f>
        <v>#REF!</v>
      </c>
      <c r="IN5" t="e">
        <f>AND(#REF!,"AAAAAE//cvc=")</f>
        <v>#REF!</v>
      </c>
      <c r="IO5" t="e">
        <f>AND(#REF!,"AAAAAE//cvg=")</f>
        <v>#REF!</v>
      </c>
      <c r="IP5" t="e">
        <f>AND(#REF!,"AAAAAE//cvk=")</f>
        <v>#REF!</v>
      </c>
      <c r="IQ5" t="e">
        <f>AND(#REF!,"AAAAAE//cvo=")</f>
        <v>#REF!</v>
      </c>
      <c r="IR5" t="e">
        <f>AND(#REF!,"AAAAAE//cvs=")</f>
        <v>#REF!</v>
      </c>
      <c r="IS5" t="e">
        <f>AND(#REF!,"AAAAAE//cvw=")</f>
        <v>#REF!</v>
      </c>
      <c r="IT5" t="e">
        <f>AND(#REF!,"AAAAAE//cv0=")</f>
        <v>#REF!</v>
      </c>
      <c r="IU5" t="e">
        <f>AND(#REF!,"AAAAAE//cv4=")</f>
        <v>#REF!</v>
      </c>
      <c r="IV5" t="e">
        <f>AND(#REF!,"AAAAAE//cv8=")</f>
        <v>#REF!</v>
      </c>
    </row>
    <row r="6" spans="1:256">
      <c r="A6" t="e">
        <f>AND(#REF!,"AAAAAD/z/gA=")</f>
        <v>#REF!</v>
      </c>
      <c r="B6" t="e">
        <f>AND(#REF!,"AAAAAD/z/gE=")</f>
        <v>#REF!</v>
      </c>
      <c r="C6" t="e">
        <f>AND(#REF!,"AAAAAD/z/gI=")</f>
        <v>#REF!</v>
      </c>
      <c r="D6" t="e">
        <f>AND(#REF!,"AAAAAD/z/gM=")</f>
        <v>#REF!</v>
      </c>
      <c r="E6" t="e">
        <f>IF(#REF!,"AAAAAD/z/gQ=",0)</f>
        <v>#REF!</v>
      </c>
      <c r="F6" t="e">
        <f>AND(#REF!,"AAAAAD/z/gU=")</f>
        <v>#REF!</v>
      </c>
      <c r="G6" t="e">
        <f>AND(#REF!,"AAAAAD/z/gY=")</f>
        <v>#REF!</v>
      </c>
      <c r="H6" t="e">
        <f>AND(#REF!,"AAAAAD/z/gc=")</f>
        <v>#REF!</v>
      </c>
      <c r="I6" t="e">
        <f>AND(#REF!,"AAAAAD/z/gg=")</f>
        <v>#REF!</v>
      </c>
      <c r="J6" t="e">
        <f>AND(#REF!,"AAAAAD/z/gk=")</f>
        <v>#REF!</v>
      </c>
      <c r="K6" t="e">
        <f>AND(#REF!,"AAAAAD/z/go=")</f>
        <v>#REF!</v>
      </c>
      <c r="L6" t="e">
        <f>AND(#REF!,"AAAAAD/z/gs=")</f>
        <v>#REF!</v>
      </c>
      <c r="M6" t="e">
        <f>AND(#REF!,"AAAAAD/z/gw=")</f>
        <v>#REF!</v>
      </c>
      <c r="N6" t="e">
        <f>AND(#REF!,"AAAAAD/z/g0=")</f>
        <v>#REF!</v>
      </c>
      <c r="O6" t="e">
        <f>AND(#REF!,"AAAAAD/z/g4=")</f>
        <v>#REF!</v>
      </c>
      <c r="P6" t="e">
        <f>AND(#REF!,"AAAAAD/z/g8=")</f>
        <v>#REF!</v>
      </c>
      <c r="Q6" t="e">
        <f>AND(#REF!,"AAAAAD/z/hA=")</f>
        <v>#REF!</v>
      </c>
      <c r="R6" t="e">
        <f>AND(#REF!,"AAAAAD/z/hE=")</f>
        <v>#REF!</v>
      </c>
      <c r="S6" t="e">
        <f>AND(#REF!,"AAAAAD/z/hI=")</f>
        <v>#REF!</v>
      </c>
      <c r="T6" t="e">
        <f>AND(#REF!,"AAAAAD/z/hM=")</f>
        <v>#REF!</v>
      </c>
      <c r="U6" t="e">
        <f>AND(#REF!,"AAAAAD/z/hQ=")</f>
        <v>#REF!</v>
      </c>
      <c r="V6" t="e">
        <f>AND(#REF!,"AAAAAD/z/hU=")</f>
        <v>#REF!</v>
      </c>
      <c r="W6" t="e">
        <f>AND(#REF!,"AAAAAD/z/hY=")</f>
        <v>#REF!</v>
      </c>
      <c r="X6" t="e">
        <f>IF(#REF!,"AAAAAD/z/hc=",0)</f>
        <v>#REF!</v>
      </c>
      <c r="Y6" t="e">
        <f>AND(#REF!,"AAAAAD/z/hg=")</f>
        <v>#REF!</v>
      </c>
      <c r="Z6" t="e">
        <f>AND(#REF!,"AAAAAD/z/hk=")</f>
        <v>#REF!</v>
      </c>
      <c r="AA6" t="e">
        <f>AND(#REF!,"AAAAAD/z/ho=")</f>
        <v>#REF!</v>
      </c>
      <c r="AB6" t="e">
        <f>AND(#REF!,"AAAAAD/z/hs=")</f>
        <v>#REF!</v>
      </c>
      <c r="AC6" t="e">
        <f>AND(#REF!,"AAAAAD/z/hw=")</f>
        <v>#REF!</v>
      </c>
      <c r="AD6" t="e">
        <f>AND(#REF!,"AAAAAD/z/h0=")</f>
        <v>#REF!</v>
      </c>
      <c r="AE6" t="e">
        <f>AND(#REF!,"AAAAAD/z/h4=")</f>
        <v>#REF!</v>
      </c>
      <c r="AF6" t="e">
        <f>AND(#REF!,"AAAAAD/z/h8=")</f>
        <v>#REF!</v>
      </c>
      <c r="AG6" t="e">
        <f>AND(#REF!,"AAAAAD/z/iA=")</f>
        <v>#REF!</v>
      </c>
      <c r="AH6" t="e">
        <f>AND(#REF!,"AAAAAD/z/iE=")</f>
        <v>#REF!</v>
      </c>
      <c r="AI6" t="e">
        <f>AND(#REF!,"AAAAAD/z/iI=")</f>
        <v>#REF!</v>
      </c>
      <c r="AJ6" t="e">
        <f>AND(#REF!,"AAAAAD/z/iM=")</f>
        <v>#REF!</v>
      </c>
      <c r="AK6" t="e">
        <f>AND(#REF!,"AAAAAD/z/iQ=")</f>
        <v>#REF!</v>
      </c>
      <c r="AL6" t="e">
        <f>AND(#REF!,"AAAAAD/z/iU=")</f>
        <v>#REF!</v>
      </c>
      <c r="AM6" t="e">
        <f>AND(#REF!,"AAAAAD/z/iY=")</f>
        <v>#REF!</v>
      </c>
      <c r="AN6" t="e">
        <f>AND(#REF!,"AAAAAD/z/ic=")</f>
        <v>#REF!</v>
      </c>
      <c r="AO6" t="e">
        <f>AND(#REF!,"AAAAAD/z/ig=")</f>
        <v>#REF!</v>
      </c>
      <c r="AP6" t="e">
        <f>AND(#REF!,"AAAAAD/z/ik=")</f>
        <v>#REF!</v>
      </c>
      <c r="AQ6" t="e">
        <f>IF(#REF!,"AAAAAD/z/io=",0)</f>
        <v>#REF!</v>
      </c>
      <c r="AR6" t="e">
        <f>AND(#REF!,"AAAAAD/z/is=")</f>
        <v>#REF!</v>
      </c>
      <c r="AS6" t="e">
        <f>AND(#REF!,"AAAAAD/z/iw=")</f>
        <v>#REF!</v>
      </c>
      <c r="AT6" t="e">
        <f>AND(#REF!,"AAAAAD/z/i0=")</f>
        <v>#REF!</v>
      </c>
      <c r="AU6" t="e">
        <f>AND(#REF!,"AAAAAD/z/i4=")</f>
        <v>#REF!</v>
      </c>
      <c r="AV6" t="e">
        <f>AND(#REF!,"AAAAAD/z/i8=")</f>
        <v>#REF!</v>
      </c>
      <c r="AW6" t="e">
        <f>AND(#REF!,"AAAAAD/z/jA=")</f>
        <v>#REF!</v>
      </c>
      <c r="AX6" t="e">
        <f>AND(#REF!,"AAAAAD/z/jE=")</f>
        <v>#REF!</v>
      </c>
      <c r="AY6" t="e">
        <f>AND(#REF!,"AAAAAD/z/jI=")</f>
        <v>#REF!</v>
      </c>
      <c r="AZ6" t="e">
        <f>AND(#REF!,"AAAAAD/z/jM=")</f>
        <v>#REF!</v>
      </c>
      <c r="BA6" t="e">
        <f>AND(#REF!,"AAAAAD/z/jQ=")</f>
        <v>#REF!</v>
      </c>
      <c r="BB6" t="e">
        <f>AND(#REF!,"AAAAAD/z/jU=")</f>
        <v>#REF!</v>
      </c>
      <c r="BC6" t="e">
        <f>AND(#REF!,"AAAAAD/z/jY=")</f>
        <v>#REF!</v>
      </c>
      <c r="BD6" t="e">
        <f>AND(#REF!,"AAAAAD/z/jc=")</f>
        <v>#REF!</v>
      </c>
      <c r="BE6" t="e">
        <f>AND(#REF!,"AAAAAD/z/jg=")</f>
        <v>#REF!</v>
      </c>
      <c r="BF6" t="e">
        <f>AND(#REF!,"AAAAAD/z/jk=")</f>
        <v>#REF!</v>
      </c>
      <c r="BG6" t="e">
        <f>AND(#REF!,"AAAAAD/z/jo=")</f>
        <v>#REF!</v>
      </c>
      <c r="BH6" t="e">
        <f>AND(#REF!,"AAAAAD/z/js=")</f>
        <v>#REF!</v>
      </c>
      <c r="BI6" t="e">
        <f>AND(#REF!,"AAAAAD/z/jw=")</f>
        <v>#REF!</v>
      </c>
      <c r="BJ6" t="e">
        <f>IF(#REF!,"AAAAAD/z/j0=",0)</f>
        <v>#REF!</v>
      </c>
      <c r="BK6" t="e">
        <f>AND(#REF!,"AAAAAD/z/j4=")</f>
        <v>#REF!</v>
      </c>
      <c r="BL6" t="e">
        <f>AND(#REF!,"AAAAAD/z/j8=")</f>
        <v>#REF!</v>
      </c>
      <c r="BM6" t="e">
        <f>AND(#REF!,"AAAAAD/z/kA=")</f>
        <v>#REF!</v>
      </c>
      <c r="BN6" t="e">
        <f>AND(#REF!,"AAAAAD/z/kE=")</f>
        <v>#REF!</v>
      </c>
      <c r="BO6" t="e">
        <f>AND(#REF!,"AAAAAD/z/kI=")</f>
        <v>#REF!</v>
      </c>
      <c r="BP6" t="e">
        <f>AND(#REF!,"AAAAAD/z/kM=")</f>
        <v>#REF!</v>
      </c>
      <c r="BQ6" t="e">
        <f>AND(#REF!,"AAAAAD/z/kQ=")</f>
        <v>#REF!</v>
      </c>
      <c r="BR6" t="e">
        <f>AND(#REF!,"AAAAAD/z/kU=")</f>
        <v>#REF!</v>
      </c>
      <c r="BS6" t="e">
        <f>AND(#REF!,"AAAAAD/z/kY=")</f>
        <v>#REF!</v>
      </c>
      <c r="BT6" t="e">
        <f>AND(#REF!,"AAAAAD/z/kc=")</f>
        <v>#REF!</v>
      </c>
      <c r="BU6" t="e">
        <f>AND(#REF!,"AAAAAD/z/kg=")</f>
        <v>#REF!</v>
      </c>
      <c r="BV6" t="e">
        <f>AND(#REF!,"AAAAAD/z/kk=")</f>
        <v>#REF!</v>
      </c>
      <c r="BW6" t="e">
        <f>AND(#REF!,"AAAAAD/z/ko=")</f>
        <v>#REF!</v>
      </c>
      <c r="BX6" t="e">
        <f>AND(#REF!,"AAAAAD/z/ks=")</f>
        <v>#REF!</v>
      </c>
      <c r="BY6" t="e">
        <f>AND(#REF!,"AAAAAD/z/kw=")</f>
        <v>#REF!</v>
      </c>
      <c r="BZ6" t="e">
        <f>AND(#REF!,"AAAAAD/z/k0=")</f>
        <v>#REF!</v>
      </c>
      <c r="CA6" t="e">
        <f>AND(#REF!,"AAAAAD/z/k4=")</f>
        <v>#REF!</v>
      </c>
      <c r="CB6" t="e">
        <f>AND(#REF!,"AAAAAD/z/k8=")</f>
        <v>#REF!</v>
      </c>
      <c r="CC6" t="e">
        <f>IF(#REF!,"AAAAAD/z/lA=",0)</f>
        <v>#REF!</v>
      </c>
      <c r="CD6" t="e">
        <f>AND(#REF!,"AAAAAD/z/lE=")</f>
        <v>#REF!</v>
      </c>
      <c r="CE6" t="e">
        <f>AND(#REF!,"AAAAAD/z/lI=")</f>
        <v>#REF!</v>
      </c>
      <c r="CF6" t="e">
        <f>AND(#REF!,"AAAAAD/z/lM=")</f>
        <v>#REF!</v>
      </c>
      <c r="CG6" t="e">
        <f>AND(#REF!,"AAAAAD/z/lQ=")</f>
        <v>#REF!</v>
      </c>
      <c r="CH6" t="e">
        <f>AND(#REF!,"AAAAAD/z/lU=")</f>
        <v>#REF!</v>
      </c>
      <c r="CI6" t="e">
        <f>AND(#REF!,"AAAAAD/z/lY=")</f>
        <v>#REF!</v>
      </c>
      <c r="CJ6" t="e">
        <f>AND(#REF!,"AAAAAD/z/lc=")</f>
        <v>#REF!</v>
      </c>
      <c r="CK6" t="e">
        <f>AND(#REF!,"AAAAAD/z/lg=")</f>
        <v>#REF!</v>
      </c>
      <c r="CL6" t="e">
        <f>AND(#REF!,"AAAAAD/z/lk=")</f>
        <v>#REF!</v>
      </c>
      <c r="CM6" t="e">
        <f>AND(#REF!,"AAAAAD/z/lo=")</f>
        <v>#REF!</v>
      </c>
      <c r="CN6" t="e">
        <f>AND(#REF!,"AAAAAD/z/ls=")</f>
        <v>#REF!</v>
      </c>
      <c r="CO6" t="e">
        <f>AND(#REF!,"AAAAAD/z/lw=")</f>
        <v>#REF!</v>
      </c>
      <c r="CP6" t="e">
        <f>AND(#REF!,"AAAAAD/z/l0=")</f>
        <v>#REF!</v>
      </c>
      <c r="CQ6" t="e">
        <f>AND(#REF!,"AAAAAD/z/l4=")</f>
        <v>#REF!</v>
      </c>
      <c r="CR6" t="e">
        <f>AND(#REF!,"AAAAAD/z/l8=")</f>
        <v>#REF!</v>
      </c>
      <c r="CS6" t="e">
        <f>AND(#REF!,"AAAAAD/z/mA=")</f>
        <v>#REF!</v>
      </c>
      <c r="CT6" t="e">
        <f>AND(#REF!,"AAAAAD/z/mE=")</f>
        <v>#REF!</v>
      </c>
      <c r="CU6" t="e">
        <f>AND(#REF!,"AAAAAD/z/mI=")</f>
        <v>#REF!</v>
      </c>
      <c r="CV6" t="e">
        <f>IF(#REF!,"AAAAAD/z/mM=",0)</f>
        <v>#REF!</v>
      </c>
      <c r="CW6" t="e">
        <f>AND(#REF!,"AAAAAD/z/mQ=")</f>
        <v>#REF!</v>
      </c>
      <c r="CX6" t="e">
        <f>AND(#REF!,"AAAAAD/z/mU=")</f>
        <v>#REF!</v>
      </c>
      <c r="CY6" t="e">
        <f>AND(#REF!,"AAAAAD/z/mY=")</f>
        <v>#REF!</v>
      </c>
      <c r="CZ6" t="e">
        <f>AND(#REF!,"AAAAAD/z/mc=")</f>
        <v>#REF!</v>
      </c>
      <c r="DA6" t="e">
        <f>AND(#REF!,"AAAAAD/z/mg=")</f>
        <v>#REF!</v>
      </c>
      <c r="DB6" t="e">
        <f>AND(#REF!,"AAAAAD/z/mk=")</f>
        <v>#REF!</v>
      </c>
      <c r="DC6" t="e">
        <f>AND(#REF!,"AAAAAD/z/mo=")</f>
        <v>#REF!</v>
      </c>
      <c r="DD6" t="e">
        <f>AND(#REF!,"AAAAAD/z/ms=")</f>
        <v>#REF!</v>
      </c>
      <c r="DE6" t="e">
        <f>AND(#REF!,"AAAAAD/z/mw=")</f>
        <v>#REF!</v>
      </c>
      <c r="DF6" t="e">
        <f>AND(#REF!,"AAAAAD/z/m0=")</f>
        <v>#REF!</v>
      </c>
      <c r="DG6" t="e">
        <f>AND(#REF!,"AAAAAD/z/m4=")</f>
        <v>#REF!</v>
      </c>
      <c r="DH6" t="e">
        <f>AND(#REF!,"AAAAAD/z/m8=")</f>
        <v>#REF!</v>
      </c>
      <c r="DI6" t="e">
        <f>AND(#REF!,"AAAAAD/z/nA=")</f>
        <v>#REF!</v>
      </c>
      <c r="DJ6" t="e">
        <f>AND(#REF!,"AAAAAD/z/nE=")</f>
        <v>#REF!</v>
      </c>
      <c r="DK6" t="e">
        <f>AND(#REF!,"AAAAAD/z/nI=")</f>
        <v>#REF!</v>
      </c>
      <c r="DL6" t="e">
        <f>AND(#REF!,"AAAAAD/z/nM=")</f>
        <v>#REF!</v>
      </c>
      <c r="DM6" t="e">
        <f>AND(#REF!,"AAAAAD/z/nQ=")</f>
        <v>#REF!</v>
      </c>
      <c r="DN6" t="e">
        <f>AND(#REF!,"AAAAAD/z/nU=")</f>
        <v>#REF!</v>
      </c>
      <c r="DO6" t="e">
        <f>IF(#REF!,"AAAAAD/z/nY=",0)</f>
        <v>#REF!</v>
      </c>
      <c r="DP6" t="e">
        <f>AND(#REF!,"AAAAAD/z/nc=")</f>
        <v>#REF!</v>
      </c>
      <c r="DQ6" t="e">
        <f>AND(#REF!,"AAAAAD/z/ng=")</f>
        <v>#REF!</v>
      </c>
      <c r="DR6" t="e">
        <f>AND(#REF!,"AAAAAD/z/nk=")</f>
        <v>#REF!</v>
      </c>
      <c r="DS6" t="e">
        <f>AND(#REF!,"AAAAAD/z/no=")</f>
        <v>#REF!</v>
      </c>
      <c r="DT6" t="e">
        <f>AND(#REF!,"AAAAAD/z/ns=")</f>
        <v>#REF!</v>
      </c>
      <c r="DU6" t="e">
        <f>AND(#REF!,"AAAAAD/z/nw=")</f>
        <v>#REF!</v>
      </c>
      <c r="DV6" t="e">
        <f>AND(#REF!,"AAAAAD/z/n0=")</f>
        <v>#REF!</v>
      </c>
      <c r="DW6" t="e">
        <f>AND(#REF!,"AAAAAD/z/n4=")</f>
        <v>#REF!</v>
      </c>
      <c r="DX6" t="e">
        <f>AND(#REF!,"AAAAAD/z/n8=")</f>
        <v>#REF!</v>
      </c>
      <c r="DY6" t="e">
        <f>AND(#REF!,"AAAAAD/z/oA=")</f>
        <v>#REF!</v>
      </c>
      <c r="DZ6" t="e">
        <f>AND(#REF!,"AAAAAD/z/oE=")</f>
        <v>#REF!</v>
      </c>
      <c r="EA6" t="e">
        <f>AND(#REF!,"AAAAAD/z/oI=")</f>
        <v>#REF!</v>
      </c>
      <c r="EB6" t="e">
        <f>AND(#REF!,"AAAAAD/z/oM=")</f>
        <v>#REF!</v>
      </c>
      <c r="EC6" t="e">
        <f>AND(#REF!,"AAAAAD/z/oQ=")</f>
        <v>#REF!</v>
      </c>
      <c r="ED6" t="e">
        <f>AND(#REF!,"AAAAAD/z/oU=")</f>
        <v>#REF!</v>
      </c>
      <c r="EE6" t="e">
        <f>AND(#REF!,"AAAAAD/z/oY=")</f>
        <v>#REF!</v>
      </c>
      <c r="EF6" t="e">
        <f>AND(#REF!,"AAAAAD/z/oc=")</f>
        <v>#REF!</v>
      </c>
      <c r="EG6" t="e">
        <f>AND(#REF!,"AAAAAD/z/og=")</f>
        <v>#REF!</v>
      </c>
      <c r="EH6" t="e">
        <f>IF(#REF!,"AAAAAD/z/ok=",0)</f>
        <v>#REF!</v>
      </c>
      <c r="EI6" t="e">
        <f>AND(#REF!,"AAAAAD/z/oo=")</f>
        <v>#REF!</v>
      </c>
      <c r="EJ6" t="e">
        <f>AND(#REF!,"AAAAAD/z/os=")</f>
        <v>#REF!</v>
      </c>
      <c r="EK6" t="e">
        <f>AND(#REF!,"AAAAAD/z/ow=")</f>
        <v>#REF!</v>
      </c>
      <c r="EL6" t="e">
        <f>AND(#REF!,"AAAAAD/z/o0=")</f>
        <v>#REF!</v>
      </c>
      <c r="EM6" t="e">
        <f>AND(#REF!,"AAAAAD/z/o4=")</f>
        <v>#REF!</v>
      </c>
      <c r="EN6" t="e">
        <f>AND(#REF!,"AAAAAD/z/o8=")</f>
        <v>#REF!</v>
      </c>
      <c r="EO6" t="e">
        <f>AND(#REF!,"AAAAAD/z/pA=")</f>
        <v>#REF!</v>
      </c>
      <c r="EP6" t="e">
        <f>AND(#REF!,"AAAAAD/z/pE=")</f>
        <v>#REF!</v>
      </c>
      <c r="EQ6" t="e">
        <f>AND(#REF!,"AAAAAD/z/pI=")</f>
        <v>#REF!</v>
      </c>
      <c r="ER6" t="e">
        <f>AND(#REF!,"AAAAAD/z/pM=")</f>
        <v>#REF!</v>
      </c>
      <c r="ES6" t="e">
        <f>AND(#REF!,"AAAAAD/z/pQ=")</f>
        <v>#REF!</v>
      </c>
      <c r="ET6" t="e">
        <f>AND(#REF!,"AAAAAD/z/pU=")</f>
        <v>#REF!</v>
      </c>
      <c r="EU6" t="e">
        <f>AND(#REF!,"AAAAAD/z/pY=")</f>
        <v>#REF!</v>
      </c>
      <c r="EV6" t="e">
        <f>AND(#REF!,"AAAAAD/z/pc=")</f>
        <v>#REF!</v>
      </c>
      <c r="EW6" t="e">
        <f>AND(#REF!,"AAAAAD/z/pg=")</f>
        <v>#REF!</v>
      </c>
      <c r="EX6" t="e">
        <f>AND(#REF!,"AAAAAD/z/pk=")</f>
        <v>#REF!</v>
      </c>
      <c r="EY6" t="e">
        <f>AND(#REF!,"AAAAAD/z/po=")</f>
        <v>#REF!</v>
      </c>
      <c r="EZ6" t="e">
        <f>AND(#REF!,"AAAAAD/z/ps=")</f>
        <v>#REF!</v>
      </c>
      <c r="FA6" t="e">
        <f>IF(#REF!,"AAAAAD/z/pw=",0)</f>
        <v>#REF!</v>
      </c>
      <c r="FB6" t="e">
        <f>AND(#REF!,"AAAAAD/z/p0=")</f>
        <v>#REF!</v>
      </c>
      <c r="FC6" t="e">
        <f>AND(#REF!,"AAAAAD/z/p4=")</f>
        <v>#REF!</v>
      </c>
      <c r="FD6" t="e">
        <f>AND(#REF!,"AAAAAD/z/p8=")</f>
        <v>#REF!</v>
      </c>
      <c r="FE6" t="e">
        <f>AND(#REF!,"AAAAAD/z/qA=")</f>
        <v>#REF!</v>
      </c>
      <c r="FF6" t="e">
        <f>AND(#REF!,"AAAAAD/z/qE=")</f>
        <v>#REF!</v>
      </c>
      <c r="FG6" t="e">
        <f>AND(#REF!,"AAAAAD/z/qI=")</f>
        <v>#REF!</v>
      </c>
      <c r="FH6" t="e">
        <f>AND(#REF!,"AAAAAD/z/qM=")</f>
        <v>#REF!</v>
      </c>
      <c r="FI6" t="e">
        <f>AND(#REF!,"AAAAAD/z/qQ=")</f>
        <v>#REF!</v>
      </c>
      <c r="FJ6" t="e">
        <f>AND(#REF!,"AAAAAD/z/qU=")</f>
        <v>#REF!</v>
      </c>
      <c r="FK6" t="e">
        <f>AND(#REF!,"AAAAAD/z/qY=")</f>
        <v>#REF!</v>
      </c>
      <c r="FL6" t="e">
        <f>AND(#REF!,"AAAAAD/z/qc=")</f>
        <v>#REF!</v>
      </c>
      <c r="FM6" t="e">
        <f>AND(#REF!,"AAAAAD/z/qg=")</f>
        <v>#REF!</v>
      </c>
      <c r="FN6" t="e">
        <f>AND(#REF!,"AAAAAD/z/qk=")</f>
        <v>#REF!</v>
      </c>
      <c r="FO6" t="e">
        <f>AND(#REF!,"AAAAAD/z/qo=")</f>
        <v>#REF!</v>
      </c>
      <c r="FP6" t="e">
        <f>AND(#REF!,"AAAAAD/z/qs=")</f>
        <v>#REF!</v>
      </c>
      <c r="FQ6" t="e">
        <f>AND(#REF!,"AAAAAD/z/qw=")</f>
        <v>#REF!</v>
      </c>
      <c r="FR6" t="e">
        <f>AND(#REF!,"AAAAAD/z/q0=")</f>
        <v>#REF!</v>
      </c>
      <c r="FS6" t="e">
        <f>AND(#REF!,"AAAAAD/z/q4=")</f>
        <v>#REF!</v>
      </c>
      <c r="FT6" t="e">
        <f>IF(#REF!,"AAAAAD/z/q8=",0)</f>
        <v>#REF!</v>
      </c>
      <c r="FU6" t="e">
        <f>AND(#REF!,"AAAAAD/z/rA=")</f>
        <v>#REF!</v>
      </c>
      <c r="FV6" t="e">
        <f>AND(#REF!,"AAAAAD/z/rE=")</f>
        <v>#REF!</v>
      </c>
      <c r="FW6" t="e">
        <f>AND(#REF!,"AAAAAD/z/rI=")</f>
        <v>#REF!</v>
      </c>
      <c r="FX6" t="e">
        <f>AND(#REF!,"AAAAAD/z/rM=")</f>
        <v>#REF!</v>
      </c>
      <c r="FY6" t="e">
        <f>AND(#REF!,"AAAAAD/z/rQ=")</f>
        <v>#REF!</v>
      </c>
      <c r="FZ6" t="e">
        <f>AND(#REF!,"AAAAAD/z/rU=")</f>
        <v>#REF!</v>
      </c>
      <c r="GA6" t="e">
        <f>AND(#REF!,"AAAAAD/z/rY=")</f>
        <v>#REF!</v>
      </c>
      <c r="GB6" t="e">
        <f>AND(#REF!,"AAAAAD/z/rc=")</f>
        <v>#REF!</v>
      </c>
      <c r="GC6" t="e">
        <f>AND(#REF!,"AAAAAD/z/rg=")</f>
        <v>#REF!</v>
      </c>
      <c r="GD6" t="e">
        <f>AND(#REF!,"AAAAAD/z/rk=")</f>
        <v>#REF!</v>
      </c>
      <c r="GE6" t="e">
        <f>AND(#REF!,"AAAAAD/z/ro=")</f>
        <v>#REF!</v>
      </c>
      <c r="GF6" t="e">
        <f>AND(#REF!,"AAAAAD/z/rs=")</f>
        <v>#REF!</v>
      </c>
      <c r="GG6" t="e">
        <f>AND(#REF!,"AAAAAD/z/rw=")</f>
        <v>#REF!</v>
      </c>
      <c r="GH6" t="e">
        <f>AND(#REF!,"AAAAAD/z/r0=")</f>
        <v>#REF!</v>
      </c>
      <c r="GI6" t="e">
        <f>AND(#REF!,"AAAAAD/z/r4=")</f>
        <v>#REF!</v>
      </c>
      <c r="GJ6" t="e">
        <f>AND(#REF!,"AAAAAD/z/r8=")</f>
        <v>#REF!</v>
      </c>
      <c r="GK6" t="e">
        <f>AND(#REF!,"AAAAAD/z/sA=")</f>
        <v>#REF!</v>
      </c>
      <c r="GL6" t="e">
        <f>AND(#REF!,"AAAAAD/z/sE=")</f>
        <v>#REF!</v>
      </c>
      <c r="GM6" t="e">
        <f>IF(#REF!,"AAAAAD/z/sI=",0)</f>
        <v>#REF!</v>
      </c>
      <c r="GN6" t="e">
        <f>AND(#REF!,"AAAAAD/z/sM=")</f>
        <v>#REF!</v>
      </c>
      <c r="GO6" t="e">
        <f>AND(#REF!,"AAAAAD/z/sQ=")</f>
        <v>#REF!</v>
      </c>
      <c r="GP6" t="e">
        <f>AND(#REF!,"AAAAAD/z/sU=")</f>
        <v>#REF!</v>
      </c>
      <c r="GQ6" t="e">
        <f>AND(#REF!,"AAAAAD/z/sY=")</f>
        <v>#REF!</v>
      </c>
      <c r="GR6" t="e">
        <f>AND(#REF!,"AAAAAD/z/sc=")</f>
        <v>#REF!</v>
      </c>
      <c r="GS6" t="e">
        <f>AND(#REF!,"AAAAAD/z/sg=")</f>
        <v>#REF!</v>
      </c>
      <c r="GT6" t="e">
        <f>AND(#REF!,"AAAAAD/z/sk=")</f>
        <v>#REF!</v>
      </c>
      <c r="GU6" t="e">
        <f>AND(#REF!,"AAAAAD/z/so=")</f>
        <v>#REF!</v>
      </c>
      <c r="GV6" t="e">
        <f>AND(#REF!,"AAAAAD/z/ss=")</f>
        <v>#REF!</v>
      </c>
      <c r="GW6" t="e">
        <f>AND(#REF!,"AAAAAD/z/sw=")</f>
        <v>#REF!</v>
      </c>
      <c r="GX6" t="e">
        <f>AND(#REF!,"AAAAAD/z/s0=")</f>
        <v>#REF!</v>
      </c>
      <c r="GY6" t="e">
        <f>AND(#REF!,"AAAAAD/z/s4=")</f>
        <v>#REF!</v>
      </c>
      <c r="GZ6" t="e">
        <f>AND(#REF!,"AAAAAD/z/s8=")</f>
        <v>#REF!</v>
      </c>
      <c r="HA6" t="e">
        <f>AND(#REF!,"AAAAAD/z/tA=")</f>
        <v>#REF!</v>
      </c>
      <c r="HB6" t="e">
        <f>AND(#REF!,"AAAAAD/z/tE=")</f>
        <v>#REF!</v>
      </c>
      <c r="HC6" t="e">
        <f>AND(#REF!,"AAAAAD/z/tI=")</f>
        <v>#REF!</v>
      </c>
      <c r="HD6" t="e">
        <f>AND(#REF!,"AAAAAD/z/tM=")</f>
        <v>#REF!</v>
      </c>
      <c r="HE6" t="e">
        <f>AND(#REF!,"AAAAAD/z/tQ=")</f>
        <v>#REF!</v>
      </c>
      <c r="HF6" t="e">
        <f>IF(#REF!,"AAAAAD/z/tU=",0)</f>
        <v>#REF!</v>
      </c>
      <c r="HG6" t="e">
        <f>AND(#REF!,"AAAAAD/z/tY=")</f>
        <v>#REF!</v>
      </c>
      <c r="HH6" t="e">
        <f>AND(#REF!,"AAAAAD/z/tc=")</f>
        <v>#REF!</v>
      </c>
      <c r="HI6" t="e">
        <f>AND(#REF!,"AAAAAD/z/tg=")</f>
        <v>#REF!</v>
      </c>
      <c r="HJ6" t="e">
        <f>AND(#REF!,"AAAAAD/z/tk=")</f>
        <v>#REF!</v>
      </c>
      <c r="HK6" t="e">
        <f>AND(#REF!,"AAAAAD/z/to=")</f>
        <v>#REF!</v>
      </c>
      <c r="HL6" t="e">
        <f>AND(#REF!,"AAAAAD/z/ts=")</f>
        <v>#REF!</v>
      </c>
      <c r="HM6" t="e">
        <f>AND(#REF!,"AAAAAD/z/tw=")</f>
        <v>#REF!</v>
      </c>
      <c r="HN6" t="e">
        <f>AND(#REF!,"AAAAAD/z/t0=")</f>
        <v>#REF!</v>
      </c>
      <c r="HO6" t="e">
        <f>AND(#REF!,"AAAAAD/z/t4=")</f>
        <v>#REF!</v>
      </c>
      <c r="HP6" t="e">
        <f>AND(#REF!,"AAAAAD/z/t8=")</f>
        <v>#REF!</v>
      </c>
      <c r="HQ6" t="e">
        <f>AND(#REF!,"AAAAAD/z/uA=")</f>
        <v>#REF!</v>
      </c>
      <c r="HR6" t="e">
        <f>AND(#REF!,"AAAAAD/z/uE=")</f>
        <v>#REF!</v>
      </c>
      <c r="HS6" t="e">
        <f>AND(#REF!,"AAAAAD/z/uI=")</f>
        <v>#REF!</v>
      </c>
      <c r="HT6" t="e">
        <f>AND(#REF!,"AAAAAD/z/uM=")</f>
        <v>#REF!</v>
      </c>
      <c r="HU6" t="e">
        <f>AND(#REF!,"AAAAAD/z/uQ=")</f>
        <v>#REF!</v>
      </c>
      <c r="HV6" t="e">
        <f>AND(#REF!,"AAAAAD/z/uU=")</f>
        <v>#REF!</v>
      </c>
      <c r="HW6" t="e">
        <f>AND(#REF!,"AAAAAD/z/uY=")</f>
        <v>#REF!</v>
      </c>
      <c r="HX6" t="e">
        <f>AND(#REF!,"AAAAAD/z/uc=")</f>
        <v>#REF!</v>
      </c>
      <c r="HY6" t="e">
        <f>IF(#REF!,"AAAAAD/z/ug=",0)</f>
        <v>#REF!</v>
      </c>
      <c r="HZ6" t="e">
        <f>AND(#REF!,"AAAAAD/z/uk=")</f>
        <v>#REF!</v>
      </c>
      <c r="IA6" t="e">
        <f>AND(#REF!,"AAAAAD/z/uo=")</f>
        <v>#REF!</v>
      </c>
      <c r="IB6" t="e">
        <f>AND(#REF!,"AAAAAD/z/us=")</f>
        <v>#REF!</v>
      </c>
      <c r="IC6" t="e">
        <f>AND(#REF!,"AAAAAD/z/uw=")</f>
        <v>#REF!</v>
      </c>
      <c r="ID6" t="e">
        <f>AND(#REF!,"AAAAAD/z/u0=")</f>
        <v>#REF!</v>
      </c>
      <c r="IE6" t="e">
        <f>AND(#REF!,"AAAAAD/z/u4=")</f>
        <v>#REF!</v>
      </c>
      <c r="IF6" t="e">
        <f>AND(#REF!,"AAAAAD/z/u8=")</f>
        <v>#REF!</v>
      </c>
      <c r="IG6" t="e">
        <f>AND(#REF!,"AAAAAD/z/vA=")</f>
        <v>#REF!</v>
      </c>
      <c r="IH6" t="e">
        <f>AND(#REF!,"AAAAAD/z/vE=")</f>
        <v>#REF!</v>
      </c>
      <c r="II6" t="e">
        <f>AND(#REF!,"AAAAAD/z/vI=")</f>
        <v>#REF!</v>
      </c>
      <c r="IJ6" t="e">
        <f>AND(#REF!,"AAAAAD/z/vM=")</f>
        <v>#REF!</v>
      </c>
      <c r="IK6" t="e">
        <f>AND(#REF!,"AAAAAD/z/vQ=")</f>
        <v>#REF!</v>
      </c>
      <c r="IL6" t="e">
        <f>AND(#REF!,"AAAAAD/z/vU=")</f>
        <v>#REF!</v>
      </c>
      <c r="IM6" t="e">
        <f>AND(#REF!,"AAAAAD/z/vY=")</f>
        <v>#REF!</v>
      </c>
      <c r="IN6" t="e">
        <f>AND(#REF!,"AAAAAD/z/vc=")</f>
        <v>#REF!</v>
      </c>
      <c r="IO6" t="e">
        <f>AND(#REF!,"AAAAAD/z/vg=")</f>
        <v>#REF!</v>
      </c>
      <c r="IP6" t="e">
        <f>AND(#REF!,"AAAAAD/z/vk=")</f>
        <v>#REF!</v>
      </c>
      <c r="IQ6" t="e">
        <f>AND(#REF!,"AAAAAD/z/vo=")</f>
        <v>#REF!</v>
      </c>
      <c r="IR6" t="e">
        <f>IF(#REF!,"AAAAAD/z/vs=",0)</f>
        <v>#REF!</v>
      </c>
      <c r="IS6" t="e">
        <f>AND(#REF!,"AAAAAD/z/vw=")</f>
        <v>#REF!</v>
      </c>
      <c r="IT6" t="e">
        <f>AND(#REF!,"AAAAAD/z/v0=")</f>
        <v>#REF!</v>
      </c>
      <c r="IU6" t="e">
        <f>AND(#REF!,"AAAAAD/z/v4=")</f>
        <v>#REF!</v>
      </c>
      <c r="IV6" t="e">
        <f>AND(#REF!,"AAAAAD/z/v8=")</f>
        <v>#REF!</v>
      </c>
    </row>
    <row r="7" spans="1:256">
      <c r="A7" t="e">
        <f>AND(#REF!,"AAAAAHuuvwA=")</f>
        <v>#REF!</v>
      </c>
      <c r="B7" t="e">
        <f>AND(#REF!,"AAAAAHuuvwE=")</f>
        <v>#REF!</v>
      </c>
      <c r="C7" t="e">
        <f>AND(#REF!,"AAAAAHuuvwI=")</f>
        <v>#REF!</v>
      </c>
      <c r="D7" t="e">
        <f>AND(#REF!,"AAAAAHuuvwM=")</f>
        <v>#REF!</v>
      </c>
      <c r="E7" t="e">
        <f>AND(#REF!,"AAAAAHuuvwQ=")</f>
        <v>#REF!</v>
      </c>
      <c r="F7" t="e">
        <f>AND(#REF!,"AAAAAHuuvwU=")</f>
        <v>#REF!</v>
      </c>
      <c r="G7" t="e">
        <f>AND(#REF!,"AAAAAHuuvwY=")</f>
        <v>#REF!</v>
      </c>
      <c r="H7" t="e">
        <f>AND(#REF!,"AAAAAHuuvwc=")</f>
        <v>#REF!</v>
      </c>
      <c r="I7" t="e">
        <f>AND(#REF!,"AAAAAHuuvwg=")</f>
        <v>#REF!</v>
      </c>
      <c r="J7" t="e">
        <f>AND(#REF!,"AAAAAHuuvwk=")</f>
        <v>#REF!</v>
      </c>
      <c r="K7" t="e">
        <f>AND(#REF!,"AAAAAHuuvwo=")</f>
        <v>#REF!</v>
      </c>
      <c r="L7" t="e">
        <f>AND(#REF!,"AAAAAHuuvws=")</f>
        <v>#REF!</v>
      </c>
      <c r="M7" t="e">
        <f>AND(#REF!,"AAAAAHuuvww=")</f>
        <v>#REF!</v>
      </c>
      <c r="N7" t="e">
        <f>AND(#REF!,"AAAAAHuuvw0=")</f>
        <v>#REF!</v>
      </c>
      <c r="O7" t="e">
        <f>IF(#REF!,"AAAAAHuuvw4=",0)</f>
        <v>#REF!</v>
      </c>
      <c r="P7" t="e">
        <f>AND(#REF!,"AAAAAHuuvw8=")</f>
        <v>#REF!</v>
      </c>
      <c r="Q7" t="e">
        <f>AND(#REF!,"AAAAAHuuvxA=")</f>
        <v>#REF!</v>
      </c>
      <c r="R7" t="e">
        <f>AND(#REF!,"AAAAAHuuvxE=")</f>
        <v>#REF!</v>
      </c>
      <c r="S7" t="e">
        <f>AND(#REF!,"AAAAAHuuvxI=")</f>
        <v>#REF!</v>
      </c>
      <c r="T7" t="e">
        <f>AND(#REF!,"AAAAAHuuvxM=")</f>
        <v>#REF!</v>
      </c>
      <c r="U7" t="e">
        <f>AND(#REF!,"AAAAAHuuvxQ=")</f>
        <v>#REF!</v>
      </c>
      <c r="V7" t="e">
        <f>AND(#REF!,"AAAAAHuuvxU=")</f>
        <v>#REF!</v>
      </c>
      <c r="W7" t="e">
        <f>AND(#REF!,"AAAAAHuuvxY=")</f>
        <v>#REF!</v>
      </c>
      <c r="X7" t="e">
        <f>AND(#REF!,"AAAAAHuuvxc=")</f>
        <v>#REF!</v>
      </c>
      <c r="Y7" t="e">
        <f>AND(#REF!,"AAAAAHuuvxg=")</f>
        <v>#REF!</v>
      </c>
      <c r="Z7" t="e">
        <f>AND(#REF!,"AAAAAHuuvxk=")</f>
        <v>#REF!</v>
      </c>
      <c r="AA7" t="e">
        <f>AND(#REF!,"AAAAAHuuvxo=")</f>
        <v>#REF!</v>
      </c>
      <c r="AB7" t="e">
        <f>AND(#REF!,"AAAAAHuuvxs=")</f>
        <v>#REF!</v>
      </c>
      <c r="AC7" t="e">
        <f>AND(#REF!,"AAAAAHuuvxw=")</f>
        <v>#REF!</v>
      </c>
      <c r="AD7" t="e">
        <f>AND(#REF!,"AAAAAHuuvx0=")</f>
        <v>#REF!</v>
      </c>
      <c r="AE7" t="e">
        <f>AND(#REF!,"AAAAAHuuvx4=")</f>
        <v>#REF!</v>
      </c>
      <c r="AF7" t="e">
        <f>AND(#REF!,"AAAAAHuuvx8=")</f>
        <v>#REF!</v>
      </c>
      <c r="AG7" t="e">
        <f>AND(#REF!,"AAAAAHuuvyA=")</f>
        <v>#REF!</v>
      </c>
      <c r="AH7" t="e">
        <f>IF(#REF!,"AAAAAHuuvyE=",0)</f>
        <v>#REF!</v>
      </c>
      <c r="AI7" t="e">
        <f>AND(#REF!,"AAAAAHuuvyI=")</f>
        <v>#REF!</v>
      </c>
      <c r="AJ7" t="e">
        <f>AND(#REF!,"AAAAAHuuvyM=")</f>
        <v>#REF!</v>
      </c>
      <c r="AK7" t="e">
        <f>AND(#REF!,"AAAAAHuuvyQ=")</f>
        <v>#REF!</v>
      </c>
      <c r="AL7" t="e">
        <f>AND(#REF!,"AAAAAHuuvyU=")</f>
        <v>#REF!</v>
      </c>
      <c r="AM7" t="e">
        <f>AND(#REF!,"AAAAAHuuvyY=")</f>
        <v>#REF!</v>
      </c>
      <c r="AN7" t="e">
        <f>AND(#REF!,"AAAAAHuuvyc=")</f>
        <v>#REF!</v>
      </c>
      <c r="AO7" t="e">
        <f>AND(#REF!,"AAAAAHuuvyg=")</f>
        <v>#REF!</v>
      </c>
      <c r="AP7" t="e">
        <f>AND(#REF!,"AAAAAHuuvyk=")</f>
        <v>#REF!</v>
      </c>
      <c r="AQ7" t="e">
        <f>AND(#REF!,"AAAAAHuuvyo=")</f>
        <v>#REF!</v>
      </c>
      <c r="AR7" t="e">
        <f>AND(#REF!,"AAAAAHuuvys=")</f>
        <v>#REF!</v>
      </c>
      <c r="AS7" t="e">
        <f>AND(#REF!,"AAAAAHuuvyw=")</f>
        <v>#REF!</v>
      </c>
      <c r="AT7" t="e">
        <f>AND(#REF!,"AAAAAHuuvy0=")</f>
        <v>#REF!</v>
      </c>
      <c r="AU7" t="e">
        <f>AND(#REF!,"AAAAAHuuvy4=")</f>
        <v>#REF!</v>
      </c>
      <c r="AV7" t="e">
        <f>AND(#REF!,"AAAAAHuuvy8=")</f>
        <v>#REF!</v>
      </c>
      <c r="AW7" t="e">
        <f>AND(#REF!,"AAAAAHuuvzA=")</f>
        <v>#REF!</v>
      </c>
      <c r="AX7" t="e">
        <f>AND(#REF!,"AAAAAHuuvzE=")</f>
        <v>#REF!</v>
      </c>
      <c r="AY7" t="e">
        <f>AND(#REF!,"AAAAAHuuvzI=")</f>
        <v>#REF!</v>
      </c>
      <c r="AZ7" t="e">
        <f>AND(#REF!,"AAAAAHuuvzM=")</f>
        <v>#REF!</v>
      </c>
      <c r="BA7" t="e">
        <f>IF(#REF!,"AAAAAHuuvzQ=",0)</f>
        <v>#REF!</v>
      </c>
      <c r="BB7" t="e">
        <f>AND(#REF!,"AAAAAHuuvzU=")</f>
        <v>#REF!</v>
      </c>
      <c r="BC7" t="e">
        <f>AND(#REF!,"AAAAAHuuvzY=")</f>
        <v>#REF!</v>
      </c>
      <c r="BD7" t="e">
        <f>AND(#REF!,"AAAAAHuuvzc=")</f>
        <v>#REF!</v>
      </c>
      <c r="BE7" t="e">
        <f>AND(#REF!,"AAAAAHuuvzg=")</f>
        <v>#REF!</v>
      </c>
      <c r="BF7" t="e">
        <f>AND(#REF!,"AAAAAHuuvzk=")</f>
        <v>#REF!</v>
      </c>
      <c r="BG7" t="e">
        <f>AND(#REF!,"AAAAAHuuvzo=")</f>
        <v>#REF!</v>
      </c>
      <c r="BH7" t="e">
        <f>AND(#REF!,"AAAAAHuuvzs=")</f>
        <v>#REF!</v>
      </c>
      <c r="BI7" t="e">
        <f>AND(#REF!,"AAAAAHuuvzw=")</f>
        <v>#REF!</v>
      </c>
      <c r="BJ7" t="e">
        <f>AND(#REF!,"AAAAAHuuvz0=")</f>
        <v>#REF!</v>
      </c>
      <c r="BK7" t="e">
        <f>AND(#REF!,"AAAAAHuuvz4=")</f>
        <v>#REF!</v>
      </c>
      <c r="BL7" t="e">
        <f>AND(#REF!,"AAAAAHuuvz8=")</f>
        <v>#REF!</v>
      </c>
      <c r="BM7" t="e">
        <f>AND(#REF!,"AAAAAHuuv0A=")</f>
        <v>#REF!</v>
      </c>
      <c r="BN7" t="e">
        <f>AND(#REF!,"AAAAAHuuv0E=")</f>
        <v>#REF!</v>
      </c>
      <c r="BO7" t="e">
        <f>AND(#REF!,"AAAAAHuuv0I=")</f>
        <v>#REF!</v>
      </c>
      <c r="BP7" t="e">
        <f>AND(#REF!,"AAAAAHuuv0M=")</f>
        <v>#REF!</v>
      </c>
      <c r="BQ7" t="e">
        <f>AND(#REF!,"AAAAAHuuv0Q=")</f>
        <v>#REF!</v>
      </c>
      <c r="BR7" t="e">
        <f>AND(#REF!,"AAAAAHuuv0U=")</f>
        <v>#REF!</v>
      </c>
      <c r="BS7" t="e">
        <f>AND(#REF!,"AAAAAHuuv0Y=")</f>
        <v>#REF!</v>
      </c>
      <c r="BT7" t="e">
        <f>IF(#REF!,"AAAAAHuuv0c=",0)</f>
        <v>#REF!</v>
      </c>
      <c r="BU7" t="e">
        <f>AND(#REF!,"AAAAAHuuv0g=")</f>
        <v>#REF!</v>
      </c>
      <c r="BV7" t="e">
        <f>AND(#REF!,"AAAAAHuuv0k=")</f>
        <v>#REF!</v>
      </c>
      <c r="BW7" t="e">
        <f>AND(#REF!,"AAAAAHuuv0o=")</f>
        <v>#REF!</v>
      </c>
      <c r="BX7" t="e">
        <f>AND(#REF!,"AAAAAHuuv0s=")</f>
        <v>#REF!</v>
      </c>
      <c r="BY7" t="e">
        <f>AND(#REF!,"AAAAAHuuv0w=")</f>
        <v>#REF!</v>
      </c>
      <c r="BZ7" t="e">
        <f>AND(#REF!,"AAAAAHuuv00=")</f>
        <v>#REF!</v>
      </c>
      <c r="CA7" t="e">
        <f>AND(#REF!,"AAAAAHuuv04=")</f>
        <v>#REF!</v>
      </c>
      <c r="CB7" t="e">
        <f>AND(#REF!,"AAAAAHuuv08=")</f>
        <v>#REF!</v>
      </c>
      <c r="CC7" t="e">
        <f>AND(#REF!,"AAAAAHuuv1A=")</f>
        <v>#REF!</v>
      </c>
      <c r="CD7" t="e">
        <f>AND(#REF!,"AAAAAHuuv1E=")</f>
        <v>#REF!</v>
      </c>
      <c r="CE7" t="e">
        <f>AND(#REF!,"AAAAAHuuv1I=")</f>
        <v>#REF!</v>
      </c>
      <c r="CF7" t="e">
        <f>AND(#REF!,"AAAAAHuuv1M=")</f>
        <v>#REF!</v>
      </c>
      <c r="CG7" t="e">
        <f>AND(#REF!,"AAAAAHuuv1Q=")</f>
        <v>#REF!</v>
      </c>
      <c r="CH7" t="e">
        <f>AND(#REF!,"AAAAAHuuv1U=")</f>
        <v>#REF!</v>
      </c>
      <c r="CI7" t="e">
        <f>AND(#REF!,"AAAAAHuuv1Y=")</f>
        <v>#REF!</v>
      </c>
      <c r="CJ7" t="e">
        <f>AND(#REF!,"AAAAAHuuv1c=")</f>
        <v>#REF!</v>
      </c>
      <c r="CK7" t="e">
        <f>AND(#REF!,"AAAAAHuuv1g=")</f>
        <v>#REF!</v>
      </c>
      <c r="CL7" t="e">
        <f>AND(#REF!,"AAAAAHuuv1k=")</f>
        <v>#REF!</v>
      </c>
      <c r="CM7" t="e">
        <f>IF(#REF!,"AAAAAHuuv1o=",0)</f>
        <v>#REF!</v>
      </c>
      <c r="CN7" t="e">
        <f>AND(#REF!,"AAAAAHuuv1s=")</f>
        <v>#REF!</v>
      </c>
      <c r="CO7" t="e">
        <f>AND(#REF!,"AAAAAHuuv1w=")</f>
        <v>#REF!</v>
      </c>
      <c r="CP7" t="e">
        <f>AND(#REF!,"AAAAAHuuv10=")</f>
        <v>#REF!</v>
      </c>
      <c r="CQ7" t="e">
        <f>AND(#REF!,"AAAAAHuuv14=")</f>
        <v>#REF!</v>
      </c>
      <c r="CR7" t="e">
        <f>AND(#REF!,"AAAAAHuuv18=")</f>
        <v>#REF!</v>
      </c>
      <c r="CS7" t="e">
        <f>AND(#REF!,"AAAAAHuuv2A=")</f>
        <v>#REF!</v>
      </c>
      <c r="CT7" t="e">
        <f>AND(#REF!,"AAAAAHuuv2E=")</f>
        <v>#REF!</v>
      </c>
      <c r="CU7" t="e">
        <f>AND(#REF!,"AAAAAHuuv2I=")</f>
        <v>#REF!</v>
      </c>
      <c r="CV7" t="e">
        <f>AND(#REF!,"AAAAAHuuv2M=")</f>
        <v>#REF!</v>
      </c>
      <c r="CW7" t="e">
        <f>AND(#REF!,"AAAAAHuuv2Q=")</f>
        <v>#REF!</v>
      </c>
      <c r="CX7" t="e">
        <f>AND(#REF!,"AAAAAHuuv2U=")</f>
        <v>#REF!</v>
      </c>
      <c r="CY7" t="e">
        <f>AND(#REF!,"AAAAAHuuv2Y=")</f>
        <v>#REF!</v>
      </c>
      <c r="CZ7" t="e">
        <f>AND(#REF!,"AAAAAHuuv2c=")</f>
        <v>#REF!</v>
      </c>
      <c r="DA7" t="e">
        <f>AND(#REF!,"AAAAAHuuv2g=")</f>
        <v>#REF!</v>
      </c>
      <c r="DB7" t="e">
        <f>AND(#REF!,"AAAAAHuuv2k=")</f>
        <v>#REF!</v>
      </c>
      <c r="DC7" t="e">
        <f>AND(#REF!,"AAAAAHuuv2o=")</f>
        <v>#REF!</v>
      </c>
      <c r="DD7" t="e">
        <f>AND(#REF!,"AAAAAHuuv2s=")</f>
        <v>#REF!</v>
      </c>
      <c r="DE7" t="e">
        <f>AND(#REF!,"AAAAAHuuv2w=")</f>
        <v>#REF!</v>
      </c>
      <c r="DF7" t="e">
        <f>IF(#REF!,"AAAAAHuuv20=",0)</f>
        <v>#REF!</v>
      </c>
      <c r="DG7" t="e">
        <f>AND(#REF!,"AAAAAHuuv24=")</f>
        <v>#REF!</v>
      </c>
      <c r="DH7" t="e">
        <f>AND(#REF!,"AAAAAHuuv28=")</f>
        <v>#REF!</v>
      </c>
      <c r="DI7" t="e">
        <f>AND(#REF!,"AAAAAHuuv3A=")</f>
        <v>#REF!</v>
      </c>
      <c r="DJ7" t="e">
        <f>AND(#REF!,"AAAAAHuuv3E=")</f>
        <v>#REF!</v>
      </c>
      <c r="DK7" t="e">
        <f>AND(#REF!,"AAAAAHuuv3I=")</f>
        <v>#REF!</v>
      </c>
      <c r="DL7" t="e">
        <f>AND(#REF!,"AAAAAHuuv3M=")</f>
        <v>#REF!</v>
      </c>
      <c r="DM7" t="e">
        <f>AND(#REF!,"AAAAAHuuv3Q=")</f>
        <v>#REF!</v>
      </c>
      <c r="DN7" t="e">
        <f>AND(#REF!,"AAAAAHuuv3U=")</f>
        <v>#REF!</v>
      </c>
      <c r="DO7" t="e">
        <f>AND(#REF!,"AAAAAHuuv3Y=")</f>
        <v>#REF!</v>
      </c>
      <c r="DP7" t="e">
        <f>AND(#REF!,"AAAAAHuuv3c=")</f>
        <v>#REF!</v>
      </c>
      <c r="DQ7" t="e">
        <f>AND(#REF!,"AAAAAHuuv3g=")</f>
        <v>#REF!</v>
      </c>
      <c r="DR7" t="e">
        <f>AND(#REF!,"AAAAAHuuv3k=")</f>
        <v>#REF!</v>
      </c>
      <c r="DS7" t="e">
        <f>AND(#REF!,"AAAAAHuuv3o=")</f>
        <v>#REF!</v>
      </c>
      <c r="DT7" t="e">
        <f>AND(#REF!,"AAAAAHuuv3s=")</f>
        <v>#REF!</v>
      </c>
      <c r="DU7" t="e">
        <f>AND(#REF!,"AAAAAHuuv3w=")</f>
        <v>#REF!</v>
      </c>
      <c r="DV7" t="e">
        <f>AND(#REF!,"AAAAAHuuv30=")</f>
        <v>#REF!</v>
      </c>
      <c r="DW7" t="e">
        <f>AND(#REF!,"AAAAAHuuv34=")</f>
        <v>#REF!</v>
      </c>
      <c r="DX7" t="e">
        <f>AND(#REF!,"AAAAAHuuv38=")</f>
        <v>#REF!</v>
      </c>
      <c r="DY7" t="e">
        <f>IF(#REF!,"AAAAAHuuv4A=",0)</f>
        <v>#REF!</v>
      </c>
      <c r="DZ7" t="e">
        <f>IF(#REF!,"AAAAAHuuv4E=",0)</f>
        <v>#REF!</v>
      </c>
      <c r="EA7" t="e">
        <f>IF(#REF!,"AAAAAHuuv4I=",0)</f>
        <v>#REF!</v>
      </c>
      <c r="EB7" t="e">
        <f>IF(#REF!,"AAAAAHuuv4M=",0)</f>
        <v>#REF!</v>
      </c>
      <c r="EC7" t="e">
        <f>IF(#REF!,"AAAAAHuuv4Q=",0)</f>
        <v>#REF!</v>
      </c>
      <c r="ED7" t="e">
        <f>IF(#REF!,"AAAAAHuuv4U=",0)</f>
        <v>#REF!</v>
      </c>
      <c r="EE7" t="e">
        <f>IF(#REF!,"AAAAAHuuv4Y=",0)</f>
        <v>#REF!</v>
      </c>
      <c r="EF7" t="e">
        <f>IF(#REF!,"AAAAAHuuv4c=",0)</f>
        <v>#REF!</v>
      </c>
      <c r="EG7" t="e">
        <f>IF(#REF!,"AAAAAHuuv4g=",0)</f>
        <v>#REF!</v>
      </c>
      <c r="EH7" t="e">
        <f>IF(#REF!,"AAAAAHuuv4k=",0)</f>
        <v>#REF!</v>
      </c>
      <c r="EI7" t="e">
        <f>IF(#REF!,"AAAAAHuuv4o=",0)</f>
        <v>#REF!</v>
      </c>
      <c r="EJ7" t="e">
        <f>IF(#REF!,"AAAAAHuuv4s=",0)</f>
        <v>#REF!</v>
      </c>
      <c r="EK7" t="e">
        <f>IF(#REF!,"AAAAAHuuv4w=",0)</f>
        <v>#REF!</v>
      </c>
      <c r="EL7" t="e">
        <f>IF(#REF!,"AAAAAHuuv40=",0)</f>
        <v>#REF!</v>
      </c>
      <c r="EM7" t="e">
        <f>IF(#REF!,"AAAAAHuuv44=",0)</f>
        <v>#REF!</v>
      </c>
      <c r="EN7" t="e">
        <f>IF(#REF!,"AAAAAHuuv48=",0)</f>
        <v>#REF!</v>
      </c>
      <c r="EO7" t="e">
        <f>IF(#REF!,"AAAAAHuuv5A=",0)</f>
        <v>#REF!</v>
      </c>
      <c r="EP7" t="e">
        <f>IF(#REF!,"AAAAAHuuv5E=",0)</f>
        <v>#REF!</v>
      </c>
      <c r="EQ7" t="e">
        <f>IF(#REF!,"AAAAAHuuv5I=",0)</f>
        <v>#REF!</v>
      </c>
      <c r="ER7" t="e">
        <f>IF(#REF!,"AAAAAHuuv5M=",0)</f>
        <v>#REF!</v>
      </c>
      <c r="ES7" t="e">
        <f>AND(#REF!,"AAAAAHuuv5Q=")</f>
        <v>#REF!</v>
      </c>
      <c r="ET7" t="e">
        <f>AND(#REF!,"AAAAAHuuv5U=")</f>
        <v>#REF!</v>
      </c>
      <c r="EU7" t="e">
        <f>AND(#REF!,"AAAAAHuuv5Y=")</f>
        <v>#REF!</v>
      </c>
      <c r="EV7" t="e">
        <f>AND(#REF!,"AAAAAHuuv5c=")</f>
        <v>#REF!</v>
      </c>
      <c r="EW7" t="e">
        <f>AND(#REF!,"AAAAAHuuv5g=")</f>
        <v>#REF!</v>
      </c>
      <c r="EX7" t="e">
        <f>AND(#REF!,"AAAAAHuuv5k=")</f>
        <v>#REF!</v>
      </c>
      <c r="EY7" t="e">
        <f>AND(#REF!,"AAAAAHuuv5o=")</f>
        <v>#REF!</v>
      </c>
      <c r="EZ7" t="e">
        <f>AND(#REF!,"AAAAAHuuv5s=")</f>
        <v>#REF!</v>
      </c>
      <c r="FA7" t="e">
        <f>AND(#REF!,"AAAAAHuuv5w=")</f>
        <v>#REF!</v>
      </c>
      <c r="FB7" t="e">
        <f>AND(#REF!,"AAAAAHuuv50=")</f>
        <v>#REF!</v>
      </c>
      <c r="FC7" t="e">
        <f>AND(#REF!,"AAAAAHuuv54=")</f>
        <v>#REF!</v>
      </c>
      <c r="FD7" t="e">
        <f>AND(#REF!,"AAAAAHuuv58=")</f>
        <v>#REF!</v>
      </c>
      <c r="FE7" t="e">
        <f>AND(#REF!,"AAAAAHuuv6A=")</f>
        <v>#REF!</v>
      </c>
      <c r="FF7" t="e">
        <f>IF(#REF!,"AAAAAHuuv6E=",0)</f>
        <v>#REF!</v>
      </c>
      <c r="FG7" t="e">
        <f>AND(#REF!,"AAAAAHuuv6I=")</f>
        <v>#REF!</v>
      </c>
      <c r="FH7" t="e">
        <f>AND(#REF!,"AAAAAHuuv6M=")</f>
        <v>#REF!</v>
      </c>
      <c r="FI7" t="e">
        <f>AND(#REF!,"AAAAAHuuv6Q=")</f>
        <v>#REF!</v>
      </c>
      <c r="FJ7" t="e">
        <f>AND(#REF!,"AAAAAHuuv6U=")</f>
        <v>#REF!</v>
      </c>
      <c r="FK7" t="e">
        <f>AND(#REF!,"AAAAAHuuv6Y=")</f>
        <v>#REF!</v>
      </c>
      <c r="FL7" t="e">
        <f>AND(#REF!,"AAAAAHuuv6c=")</f>
        <v>#REF!</v>
      </c>
      <c r="FM7" t="e">
        <f>AND(#REF!,"AAAAAHuuv6g=")</f>
        <v>#REF!</v>
      </c>
      <c r="FN7" t="e">
        <f>AND(#REF!,"AAAAAHuuv6k=")</f>
        <v>#REF!</v>
      </c>
      <c r="FO7" t="e">
        <f>AND(#REF!,"AAAAAHuuv6o=")</f>
        <v>#REF!</v>
      </c>
      <c r="FP7" t="e">
        <f>AND(#REF!,"AAAAAHuuv6s=")</f>
        <v>#REF!</v>
      </c>
      <c r="FQ7" t="e">
        <f>AND(#REF!,"AAAAAHuuv6w=")</f>
        <v>#REF!</v>
      </c>
      <c r="FR7" t="e">
        <f>AND(#REF!,"AAAAAHuuv60=")</f>
        <v>#REF!</v>
      </c>
      <c r="FS7" t="e">
        <f>AND(#REF!,"AAAAAHuuv64=")</f>
        <v>#REF!</v>
      </c>
      <c r="FT7" t="e">
        <f>IF(#REF!,"AAAAAHuuv68=",0)</f>
        <v>#REF!</v>
      </c>
      <c r="FU7" t="e">
        <f>AND(#REF!,"AAAAAHuuv7A=")</f>
        <v>#REF!</v>
      </c>
      <c r="FV7" t="e">
        <f>AND(#REF!,"AAAAAHuuv7E=")</f>
        <v>#REF!</v>
      </c>
      <c r="FW7" t="e">
        <f>AND(#REF!,"AAAAAHuuv7I=")</f>
        <v>#REF!</v>
      </c>
      <c r="FX7" t="e">
        <f>AND(#REF!,"AAAAAHuuv7M=")</f>
        <v>#REF!</v>
      </c>
      <c r="FY7" t="e">
        <f>AND(#REF!,"AAAAAHuuv7Q=")</f>
        <v>#REF!</v>
      </c>
      <c r="FZ7" t="e">
        <f>AND(#REF!,"AAAAAHuuv7U=")</f>
        <v>#REF!</v>
      </c>
      <c r="GA7" t="e">
        <f>AND(#REF!,"AAAAAHuuv7Y=")</f>
        <v>#REF!</v>
      </c>
      <c r="GB7" t="e">
        <f>AND(#REF!,"AAAAAHuuv7c=")</f>
        <v>#REF!</v>
      </c>
      <c r="GC7" t="e">
        <f>AND(#REF!,"AAAAAHuuv7g=")</f>
        <v>#REF!</v>
      </c>
      <c r="GD7" t="e">
        <f>AND(#REF!,"AAAAAHuuv7k=")</f>
        <v>#REF!</v>
      </c>
      <c r="GE7" t="e">
        <f>AND(#REF!,"AAAAAHuuv7o=")</f>
        <v>#REF!</v>
      </c>
      <c r="GF7" t="e">
        <f>AND(#REF!,"AAAAAHuuv7s=")</f>
        <v>#REF!</v>
      </c>
      <c r="GG7" t="e">
        <f>AND(#REF!,"AAAAAHuuv7w=")</f>
        <v>#REF!</v>
      </c>
      <c r="GH7" t="e">
        <f>IF(#REF!,"AAAAAHuuv70=",0)</f>
        <v>#REF!</v>
      </c>
      <c r="GI7" t="e">
        <f>AND(#REF!,"AAAAAHuuv74=")</f>
        <v>#REF!</v>
      </c>
      <c r="GJ7" t="e">
        <f>AND(#REF!,"AAAAAHuuv78=")</f>
        <v>#REF!</v>
      </c>
      <c r="GK7" t="e">
        <f>AND(#REF!,"AAAAAHuuv8A=")</f>
        <v>#REF!</v>
      </c>
      <c r="GL7" t="e">
        <f>AND(#REF!,"AAAAAHuuv8E=")</f>
        <v>#REF!</v>
      </c>
      <c r="GM7" t="e">
        <f>AND(#REF!,"AAAAAHuuv8I=")</f>
        <v>#REF!</v>
      </c>
      <c r="GN7" t="e">
        <f>AND(#REF!,"AAAAAHuuv8M=")</f>
        <v>#REF!</v>
      </c>
      <c r="GO7" t="e">
        <f>AND(#REF!,"AAAAAHuuv8Q=")</f>
        <v>#REF!</v>
      </c>
      <c r="GP7" t="e">
        <f>AND(#REF!,"AAAAAHuuv8U=")</f>
        <v>#REF!</v>
      </c>
      <c r="GQ7" t="e">
        <f>AND(#REF!,"AAAAAHuuv8Y=")</f>
        <v>#REF!</v>
      </c>
      <c r="GR7" t="e">
        <f>AND(#REF!,"AAAAAHuuv8c=")</f>
        <v>#REF!</v>
      </c>
      <c r="GS7" t="e">
        <f>AND(#REF!,"AAAAAHuuv8g=")</f>
        <v>#REF!</v>
      </c>
      <c r="GT7" t="e">
        <f>AND(#REF!,"AAAAAHuuv8k=")</f>
        <v>#REF!</v>
      </c>
      <c r="GU7" t="e">
        <f>AND(#REF!,"AAAAAHuuv8o=")</f>
        <v>#REF!</v>
      </c>
      <c r="GV7" t="e">
        <f>IF(#REF!,"AAAAAHuuv8s=",0)</f>
        <v>#REF!</v>
      </c>
      <c r="GW7" t="e">
        <f>AND(#REF!,"AAAAAHuuv8w=")</f>
        <v>#REF!</v>
      </c>
      <c r="GX7" t="e">
        <f>AND(#REF!,"AAAAAHuuv80=")</f>
        <v>#REF!</v>
      </c>
      <c r="GY7" t="e">
        <f>AND(#REF!,"AAAAAHuuv84=")</f>
        <v>#REF!</v>
      </c>
      <c r="GZ7" t="e">
        <f>AND(#REF!,"AAAAAHuuv88=")</f>
        <v>#REF!</v>
      </c>
      <c r="HA7" t="e">
        <f>AND(#REF!,"AAAAAHuuv9A=")</f>
        <v>#REF!</v>
      </c>
      <c r="HB7" t="e">
        <f>AND(#REF!,"AAAAAHuuv9E=")</f>
        <v>#REF!</v>
      </c>
      <c r="HC7" t="e">
        <f>AND(#REF!,"AAAAAHuuv9I=")</f>
        <v>#REF!</v>
      </c>
      <c r="HD7" t="e">
        <f>AND(#REF!,"AAAAAHuuv9M=")</f>
        <v>#REF!</v>
      </c>
      <c r="HE7" t="e">
        <f>AND(#REF!,"AAAAAHuuv9Q=")</f>
        <v>#REF!</v>
      </c>
      <c r="HF7" t="e">
        <f>AND(#REF!,"AAAAAHuuv9U=")</f>
        <v>#REF!</v>
      </c>
      <c r="HG7" t="e">
        <f>AND(#REF!,"AAAAAHuuv9Y=")</f>
        <v>#REF!</v>
      </c>
      <c r="HH7" t="e">
        <f>AND(#REF!,"AAAAAHuuv9c=")</f>
        <v>#REF!</v>
      </c>
      <c r="HI7" t="e">
        <f>AND(#REF!,"AAAAAHuuv9g=")</f>
        <v>#REF!</v>
      </c>
      <c r="HJ7" t="e">
        <f>IF(#REF!,"AAAAAHuuv9k=",0)</f>
        <v>#REF!</v>
      </c>
      <c r="HK7" t="e">
        <f>AND(#REF!,"AAAAAHuuv9o=")</f>
        <v>#REF!</v>
      </c>
      <c r="HL7" t="e">
        <f>AND(#REF!,"AAAAAHuuv9s=")</f>
        <v>#REF!</v>
      </c>
      <c r="HM7" t="e">
        <f>AND(#REF!,"AAAAAHuuv9w=")</f>
        <v>#REF!</v>
      </c>
      <c r="HN7" t="e">
        <f>AND(#REF!,"AAAAAHuuv90=")</f>
        <v>#REF!</v>
      </c>
      <c r="HO7" t="e">
        <f>AND(#REF!,"AAAAAHuuv94=")</f>
        <v>#REF!</v>
      </c>
      <c r="HP7" t="e">
        <f>AND(#REF!,"AAAAAHuuv98=")</f>
        <v>#REF!</v>
      </c>
      <c r="HQ7" t="e">
        <f>AND(#REF!,"AAAAAHuuv+A=")</f>
        <v>#REF!</v>
      </c>
      <c r="HR7" t="e">
        <f>AND(#REF!,"AAAAAHuuv+E=")</f>
        <v>#REF!</v>
      </c>
      <c r="HS7" t="e">
        <f>AND(#REF!,"AAAAAHuuv+I=")</f>
        <v>#REF!</v>
      </c>
      <c r="HT7" t="e">
        <f>AND(#REF!,"AAAAAHuuv+M=")</f>
        <v>#REF!</v>
      </c>
      <c r="HU7" t="e">
        <f>AND(#REF!,"AAAAAHuuv+Q=")</f>
        <v>#REF!</v>
      </c>
      <c r="HV7" t="e">
        <f>AND(#REF!,"AAAAAHuuv+U=")</f>
        <v>#REF!</v>
      </c>
      <c r="HW7" t="e">
        <f>AND(#REF!,"AAAAAHuuv+Y=")</f>
        <v>#REF!</v>
      </c>
      <c r="HX7" t="e">
        <f>IF(#REF!,"AAAAAHuuv+c=",0)</f>
        <v>#REF!</v>
      </c>
      <c r="HY7" t="e">
        <f>AND(#REF!,"AAAAAHuuv+g=")</f>
        <v>#REF!</v>
      </c>
      <c r="HZ7" t="e">
        <f>AND(#REF!,"AAAAAHuuv+k=")</f>
        <v>#REF!</v>
      </c>
      <c r="IA7" t="e">
        <f>AND(#REF!,"AAAAAHuuv+o=")</f>
        <v>#REF!</v>
      </c>
      <c r="IB7" t="e">
        <f>AND(#REF!,"AAAAAHuuv+s=")</f>
        <v>#REF!</v>
      </c>
      <c r="IC7" t="e">
        <f>AND(#REF!,"AAAAAHuuv+w=")</f>
        <v>#REF!</v>
      </c>
      <c r="ID7" t="e">
        <f>AND(#REF!,"AAAAAHuuv+0=")</f>
        <v>#REF!</v>
      </c>
      <c r="IE7" t="e">
        <f>AND(#REF!,"AAAAAHuuv+4=")</f>
        <v>#REF!</v>
      </c>
      <c r="IF7" t="e">
        <f>AND(#REF!,"AAAAAHuuv+8=")</f>
        <v>#REF!</v>
      </c>
      <c r="IG7" t="e">
        <f>AND(#REF!,"AAAAAHuuv/A=")</f>
        <v>#REF!</v>
      </c>
      <c r="IH7" t="e">
        <f>AND(#REF!,"AAAAAHuuv/E=")</f>
        <v>#REF!</v>
      </c>
      <c r="II7" t="e">
        <f>AND(#REF!,"AAAAAHuuv/I=")</f>
        <v>#REF!</v>
      </c>
      <c r="IJ7" t="e">
        <f>AND(#REF!,"AAAAAHuuv/M=")</f>
        <v>#REF!</v>
      </c>
      <c r="IK7" t="e">
        <f>AND(#REF!,"AAAAAHuuv/Q=")</f>
        <v>#REF!</v>
      </c>
      <c r="IL7" t="e">
        <f>IF(#REF!,"AAAAAHuuv/U=",0)</f>
        <v>#REF!</v>
      </c>
      <c r="IM7" t="e">
        <f>AND(#REF!,"AAAAAHuuv/Y=")</f>
        <v>#REF!</v>
      </c>
      <c r="IN7" t="e">
        <f>AND(#REF!,"AAAAAHuuv/c=")</f>
        <v>#REF!</v>
      </c>
      <c r="IO7" t="e">
        <f>AND(#REF!,"AAAAAHuuv/g=")</f>
        <v>#REF!</v>
      </c>
      <c r="IP7" t="e">
        <f>AND(#REF!,"AAAAAHuuv/k=")</f>
        <v>#REF!</v>
      </c>
      <c r="IQ7" t="e">
        <f>AND(#REF!,"AAAAAHuuv/o=")</f>
        <v>#REF!</v>
      </c>
      <c r="IR7" t="e">
        <f>AND(#REF!,"AAAAAHuuv/s=")</f>
        <v>#REF!</v>
      </c>
      <c r="IS7" t="e">
        <f>AND(#REF!,"AAAAAHuuv/w=")</f>
        <v>#REF!</v>
      </c>
      <c r="IT7" t="e">
        <f>AND(#REF!,"AAAAAHuuv/0=")</f>
        <v>#REF!</v>
      </c>
      <c r="IU7" t="e">
        <f>AND(#REF!,"AAAAAHuuv/4=")</f>
        <v>#REF!</v>
      </c>
      <c r="IV7" t="e">
        <f>AND(#REF!,"AAAAAHuuv/8=")</f>
        <v>#REF!</v>
      </c>
    </row>
    <row r="8" spans="1:256">
      <c r="A8" t="e">
        <f>AND(#REF!,"AAAAAF7S9AA=")</f>
        <v>#REF!</v>
      </c>
      <c r="B8" t="e">
        <f>AND(#REF!,"AAAAAF7S9AE=")</f>
        <v>#REF!</v>
      </c>
      <c r="C8" t="e">
        <f>AND(#REF!,"AAAAAF7S9AI=")</f>
        <v>#REF!</v>
      </c>
      <c r="D8" t="e">
        <f>IF(#REF!,"AAAAAF7S9AM=",0)</f>
        <v>#REF!</v>
      </c>
      <c r="E8" t="e">
        <f>AND(#REF!,"AAAAAF7S9AQ=")</f>
        <v>#REF!</v>
      </c>
      <c r="F8" t="e">
        <f>AND(#REF!,"AAAAAF7S9AU=")</f>
        <v>#REF!</v>
      </c>
      <c r="G8" t="e">
        <f>AND(#REF!,"AAAAAF7S9AY=")</f>
        <v>#REF!</v>
      </c>
      <c r="H8" t="e">
        <f>AND(#REF!,"AAAAAF7S9Ac=")</f>
        <v>#REF!</v>
      </c>
      <c r="I8" t="e">
        <f>AND(#REF!,"AAAAAF7S9Ag=")</f>
        <v>#REF!</v>
      </c>
      <c r="J8" t="e">
        <f>AND(#REF!,"AAAAAF7S9Ak=")</f>
        <v>#REF!</v>
      </c>
      <c r="K8" t="e">
        <f>AND(#REF!,"AAAAAF7S9Ao=")</f>
        <v>#REF!</v>
      </c>
      <c r="L8" t="e">
        <f>AND(#REF!,"AAAAAF7S9As=")</f>
        <v>#REF!</v>
      </c>
      <c r="M8" t="e">
        <f>AND(#REF!,"AAAAAF7S9Aw=")</f>
        <v>#REF!</v>
      </c>
      <c r="N8" t="e">
        <f>AND(#REF!,"AAAAAF7S9A0=")</f>
        <v>#REF!</v>
      </c>
      <c r="O8" t="e">
        <f>AND(#REF!,"AAAAAF7S9A4=")</f>
        <v>#REF!</v>
      </c>
      <c r="P8" t="e">
        <f>AND(#REF!,"AAAAAF7S9A8=")</f>
        <v>#REF!</v>
      </c>
      <c r="Q8" t="e">
        <f>AND(#REF!,"AAAAAF7S9BA=")</f>
        <v>#REF!</v>
      </c>
      <c r="R8" t="e">
        <f>IF(#REF!,"AAAAAF7S9BE=",0)</f>
        <v>#REF!</v>
      </c>
      <c r="S8" t="e">
        <f>AND(#REF!,"AAAAAF7S9BI=")</f>
        <v>#REF!</v>
      </c>
      <c r="T8" t="e">
        <f>AND(#REF!,"AAAAAF7S9BM=")</f>
        <v>#REF!</v>
      </c>
      <c r="U8" t="e">
        <f>AND(#REF!,"AAAAAF7S9BQ=")</f>
        <v>#REF!</v>
      </c>
      <c r="V8" t="e">
        <f>AND(#REF!,"AAAAAF7S9BU=")</f>
        <v>#REF!</v>
      </c>
      <c r="W8" t="e">
        <f>AND(#REF!,"AAAAAF7S9BY=")</f>
        <v>#REF!</v>
      </c>
      <c r="X8" t="e">
        <f>AND(#REF!,"AAAAAF7S9Bc=")</f>
        <v>#REF!</v>
      </c>
      <c r="Y8" t="e">
        <f>AND(#REF!,"AAAAAF7S9Bg=")</f>
        <v>#REF!</v>
      </c>
      <c r="Z8" t="e">
        <f>AND(#REF!,"AAAAAF7S9Bk=")</f>
        <v>#REF!</v>
      </c>
      <c r="AA8" t="e">
        <f>AND(#REF!,"AAAAAF7S9Bo=")</f>
        <v>#REF!</v>
      </c>
      <c r="AB8" t="e">
        <f>AND(#REF!,"AAAAAF7S9Bs=")</f>
        <v>#REF!</v>
      </c>
      <c r="AC8" t="e">
        <f>AND(#REF!,"AAAAAF7S9Bw=")</f>
        <v>#REF!</v>
      </c>
      <c r="AD8" t="e">
        <f>AND(#REF!,"AAAAAF7S9B0=")</f>
        <v>#REF!</v>
      </c>
      <c r="AE8" t="e">
        <f>AND(#REF!,"AAAAAF7S9B4=")</f>
        <v>#REF!</v>
      </c>
      <c r="AF8" t="e">
        <f>IF(#REF!,"AAAAAF7S9B8=",0)</f>
        <v>#REF!</v>
      </c>
      <c r="AG8" t="e">
        <f>AND(#REF!,"AAAAAF7S9CA=")</f>
        <v>#REF!</v>
      </c>
      <c r="AH8" t="e">
        <f>AND(#REF!,"AAAAAF7S9CE=")</f>
        <v>#REF!</v>
      </c>
      <c r="AI8" t="e">
        <f>AND(#REF!,"AAAAAF7S9CI=")</f>
        <v>#REF!</v>
      </c>
      <c r="AJ8" t="e">
        <f>AND(#REF!,"AAAAAF7S9CM=")</f>
        <v>#REF!</v>
      </c>
      <c r="AK8" t="e">
        <f>AND(#REF!,"AAAAAF7S9CQ=")</f>
        <v>#REF!</v>
      </c>
      <c r="AL8" t="e">
        <f>AND(#REF!,"AAAAAF7S9CU=")</f>
        <v>#REF!</v>
      </c>
      <c r="AM8" t="e">
        <f>AND(#REF!,"AAAAAF7S9CY=")</f>
        <v>#REF!</v>
      </c>
      <c r="AN8" t="e">
        <f>AND(#REF!,"AAAAAF7S9Cc=")</f>
        <v>#REF!</v>
      </c>
      <c r="AO8" t="e">
        <f>AND(#REF!,"AAAAAF7S9Cg=")</f>
        <v>#REF!</v>
      </c>
      <c r="AP8" t="e">
        <f>AND(#REF!,"AAAAAF7S9Ck=")</f>
        <v>#REF!</v>
      </c>
      <c r="AQ8" t="e">
        <f>AND(#REF!,"AAAAAF7S9Co=")</f>
        <v>#REF!</v>
      </c>
      <c r="AR8" t="e">
        <f>AND(#REF!,"AAAAAF7S9Cs=")</f>
        <v>#REF!</v>
      </c>
      <c r="AS8" t="e">
        <f>AND(#REF!,"AAAAAF7S9Cw=")</f>
        <v>#REF!</v>
      </c>
      <c r="AT8" t="e">
        <f>IF(#REF!,"AAAAAF7S9C0=",0)</f>
        <v>#REF!</v>
      </c>
      <c r="AU8" t="e">
        <f>AND(#REF!,"AAAAAF7S9C4=")</f>
        <v>#REF!</v>
      </c>
      <c r="AV8" t="e">
        <f>AND(#REF!,"AAAAAF7S9C8=")</f>
        <v>#REF!</v>
      </c>
      <c r="AW8" t="e">
        <f>AND(#REF!,"AAAAAF7S9DA=")</f>
        <v>#REF!</v>
      </c>
      <c r="AX8" t="e">
        <f>AND(#REF!,"AAAAAF7S9DE=")</f>
        <v>#REF!</v>
      </c>
      <c r="AY8" t="e">
        <f>AND(#REF!,"AAAAAF7S9DI=")</f>
        <v>#REF!</v>
      </c>
      <c r="AZ8" t="e">
        <f>AND(#REF!,"AAAAAF7S9DM=")</f>
        <v>#REF!</v>
      </c>
      <c r="BA8" t="e">
        <f>AND(#REF!,"AAAAAF7S9DQ=")</f>
        <v>#REF!</v>
      </c>
      <c r="BB8" t="e">
        <f>AND(#REF!,"AAAAAF7S9DU=")</f>
        <v>#REF!</v>
      </c>
      <c r="BC8" t="e">
        <f>AND(#REF!,"AAAAAF7S9DY=")</f>
        <v>#REF!</v>
      </c>
      <c r="BD8" t="e">
        <f>AND(#REF!,"AAAAAF7S9Dc=")</f>
        <v>#REF!</v>
      </c>
      <c r="BE8" t="e">
        <f>AND(#REF!,"AAAAAF7S9Dg=")</f>
        <v>#REF!</v>
      </c>
      <c r="BF8" t="e">
        <f>AND(#REF!,"AAAAAF7S9Dk=")</f>
        <v>#REF!</v>
      </c>
      <c r="BG8" t="e">
        <f>AND(#REF!,"AAAAAF7S9Do=")</f>
        <v>#REF!</v>
      </c>
      <c r="BH8" t="e">
        <f>IF(#REF!,"AAAAAF7S9Ds=",0)</f>
        <v>#REF!</v>
      </c>
      <c r="BI8" t="e">
        <f>AND(#REF!,"AAAAAF7S9Dw=")</f>
        <v>#REF!</v>
      </c>
      <c r="BJ8" t="e">
        <f>AND(#REF!,"AAAAAF7S9D0=")</f>
        <v>#REF!</v>
      </c>
      <c r="BK8" t="e">
        <f>AND(#REF!,"AAAAAF7S9D4=")</f>
        <v>#REF!</v>
      </c>
      <c r="BL8" t="e">
        <f>AND(#REF!,"AAAAAF7S9D8=")</f>
        <v>#REF!</v>
      </c>
      <c r="BM8" t="e">
        <f>AND(#REF!,"AAAAAF7S9EA=")</f>
        <v>#REF!</v>
      </c>
      <c r="BN8" t="e">
        <f>AND(#REF!,"AAAAAF7S9EE=")</f>
        <v>#REF!</v>
      </c>
      <c r="BO8" t="e">
        <f>AND(#REF!,"AAAAAF7S9EI=")</f>
        <v>#REF!</v>
      </c>
      <c r="BP8" t="e">
        <f>AND(#REF!,"AAAAAF7S9EM=")</f>
        <v>#REF!</v>
      </c>
      <c r="BQ8" t="e">
        <f>AND(#REF!,"AAAAAF7S9EQ=")</f>
        <v>#REF!</v>
      </c>
      <c r="BR8" t="e">
        <f>AND(#REF!,"AAAAAF7S9EU=")</f>
        <v>#REF!</v>
      </c>
      <c r="BS8" t="e">
        <f>AND(#REF!,"AAAAAF7S9EY=")</f>
        <v>#REF!</v>
      </c>
      <c r="BT8" t="e">
        <f>AND(#REF!,"AAAAAF7S9Ec=")</f>
        <v>#REF!</v>
      </c>
      <c r="BU8" t="e">
        <f>AND(#REF!,"AAAAAF7S9Eg=")</f>
        <v>#REF!</v>
      </c>
      <c r="BV8" t="e">
        <f>IF(#REF!,"AAAAAF7S9Ek=",0)</f>
        <v>#REF!</v>
      </c>
      <c r="BW8" t="e">
        <f>AND(#REF!,"AAAAAF7S9Eo=")</f>
        <v>#REF!</v>
      </c>
      <c r="BX8" t="e">
        <f>AND(#REF!,"AAAAAF7S9Es=")</f>
        <v>#REF!</v>
      </c>
      <c r="BY8" t="e">
        <f>AND(#REF!,"AAAAAF7S9Ew=")</f>
        <v>#REF!</v>
      </c>
      <c r="BZ8" t="e">
        <f>AND(#REF!,"AAAAAF7S9E0=")</f>
        <v>#REF!</v>
      </c>
      <c r="CA8" t="e">
        <f>AND(#REF!,"AAAAAF7S9E4=")</f>
        <v>#REF!</v>
      </c>
      <c r="CB8" t="e">
        <f>AND(#REF!,"AAAAAF7S9E8=")</f>
        <v>#REF!</v>
      </c>
      <c r="CC8" t="e">
        <f>AND(#REF!,"AAAAAF7S9FA=")</f>
        <v>#REF!</v>
      </c>
      <c r="CD8" t="e">
        <f>AND(#REF!,"AAAAAF7S9FE=")</f>
        <v>#REF!</v>
      </c>
      <c r="CE8" t="e">
        <f>AND(#REF!,"AAAAAF7S9FI=")</f>
        <v>#REF!</v>
      </c>
      <c r="CF8" t="e">
        <f>AND(#REF!,"AAAAAF7S9FM=")</f>
        <v>#REF!</v>
      </c>
      <c r="CG8" t="e">
        <f>AND(#REF!,"AAAAAF7S9FQ=")</f>
        <v>#REF!</v>
      </c>
      <c r="CH8" t="e">
        <f>AND(#REF!,"AAAAAF7S9FU=")</f>
        <v>#REF!</v>
      </c>
      <c r="CI8" t="e">
        <f>AND(#REF!,"AAAAAF7S9FY=")</f>
        <v>#REF!</v>
      </c>
      <c r="CJ8" t="e">
        <f>IF(#REF!,"AAAAAF7S9Fc=",0)</f>
        <v>#REF!</v>
      </c>
      <c r="CK8" t="e">
        <f>AND(#REF!,"AAAAAF7S9Fg=")</f>
        <v>#REF!</v>
      </c>
      <c r="CL8" t="e">
        <f>AND(#REF!,"AAAAAF7S9Fk=")</f>
        <v>#REF!</v>
      </c>
      <c r="CM8" t="e">
        <f>AND(#REF!,"AAAAAF7S9Fo=")</f>
        <v>#REF!</v>
      </c>
      <c r="CN8" t="e">
        <f>AND(#REF!,"AAAAAF7S9Fs=")</f>
        <v>#REF!</v>
      </c>
      <c r="CO8" t="e">
        <f>AND(#REF!,"AAAAAF7S9Fw=")</f>
        <v>#REF!</v>
      </c>
      <c r="CP8" t="e">
        <f>AND(#REF!,"AAAAAF7S9F0=")</f>
        <v>#REF!</v>
      </c>
      <c r="CQ8" t="e">
        <f>AND(#REF!,"AAAAAF7S9F4=")</f>
        <v>#REF!</v>
      </c>
      <c r="CR8" t="e">
        <f>AND(#REF!,"AAAAAF7S9F8=")</f>
        <v>#REF!</v>
      </c>
      <c r="CS8" t="e">
        <f>AND(#REF!,"AAAAAF7S9GA=")</f>
        <v>#REF!</v>
      </c>
      <c r="CT8" t="e">
        <f>AND(#REF!,"AAAAAF7S9GE=")</f>
        <v>#REF!</v>
      </c>
      <c r="CU8" t="e">
        <f>AND(#REF!,"AAAAAF7S9GI=")</f>
        <v>#REF!</v>
      </c>
      <c r="CV8" t="e">
        <f>AND(#REF!,"AAAAAF7S9GM=")</f>
        <v>#REF!</v>
      </c>
      <c r="CW8" t="e">
        <f>AND(#REF!,"AAAAAF7S9GQ=")</f>
        <v>#REF!</v>
      </c>
      <c r="CX8" t="e">
        <f>IF(#REF!,"AAAAAF7S9GU=",0)</f>
        <v>#REF!</v>
      </c>
      <c r="CY8" t="e">
        <f>AND(#REF!,"AAAAAF7S9GY=")</f>
        <v>#REF!</v>
      </c>
      <c r="CZ8" t="e">
        <f>AND(#REF!,"AAAAAF7S9Gc=")</f>
        <v>#REF!</v>
      </c>
      <c r="DA8" t="e">
        <f>AND(#REF!,"AAAAAF7S9Gg=")</f>
        <v>#REF!</v>
      </c>
      <c r="DB8" t="e">
        <f>AND(#REF!,"AAAAAF7S9Gk=")</f>
        <v>#REF!</v>
      </c>
      <c r="DC8" t="e">
        <f>AND(#REF!,"AAAAAF7S9Go=")</f>
        <v>#REF!</v>
      </c>
      <c r="DD8" t="e">
        <f>AND(#REF!,"AAAAAF7S9Gs=")</f>
        <v>#REF!</v>
      </c>
      <c r="DE8" t="e">
        <f>AND(#REF!,"AAAAAF7S9Gw=")</f>
        <v>#REF!</v>
      </c>
      <c r="DF8" t="e">
        <f>AND(#REF!,"AAAAAF7S9G0=")</f>
        <v>#REF!</v>
      </c>
      <c r="DG8" t="e">
        <f>AND(#REF!,"AAAAAF7S9G4=")</f>
        <v>#REF!</v>
      </c>
      <c r="DH8" t="e">
        <f>AND(#REF!,"AAAAAF7S9G8=")</f>
        <v>#REF!</v>
      </c>
      <c r="DI8" t="e">
        <f>AND(#REF!,"AAAAAF7S9HA=")</f>
        <v>#REF!</v>
      </c>
      <c r="DJ8" t="e">
        <f>AND(#REF!,"AAAAAF7S9HE=")</f>
        <v>#REF!</v>
      </c>
      <c r="DK8" t="e">
        <f>AND(#REF!,"AAAAAF7S9HI=")</f>
        <v>#REF!</v>
      </c>
      <c r="DL8" t="e">
        <f>IF(#REF!,"AAAAAF7S9HM=",0)</f>
        <v>#REF!</v>
      </c>
      <c r="DM8" t="e">
        <f>AND(#REF!,"AAAAAF7S9HQ=")</f>
        <v>#REF!</v>
      </c>
      <c r="DN8" t="e">
        <f>AND(#REF!,"AAAAAF7S9HU=")</f>
        <v>#REF!</v>
      </c>
      <c r="DO8" t="e">
        <f>AND(#REF!,"AAAAAF7S9HY=")</f>
        <v>#REF!</v>
      </c>
      <c r="DP8" t="e">
        <f>AND(#REF!,"AAAAAF7S9Hc=")</f>
        <v>#REF!</v>
      </c>
      <c r="DQ8" t="e">
        <f>AND(#REF!,"AAAAAF7S9Hg=")</f>
        <v>#REF!</v>
      </c>
      <c r="DR8" t="e">
        <f>AND(#REF!,"AAAAAF7S9Hk=")</f>
        <v>#REF!</v>
      </c>
      <c r="DS8" t="e">
        <f>AND(#REF!,"AAAAAF7S9Ho=")</f>
        <v>#REF!</v>
      </c>
      <c r="DT8" t="e">
        <f>AND(#REF!,"AAAAAF7S9Hs=")</f>
        <v>#REF!</v>
      </c>
      <c r="DU8" t="e">
        <f>AND(#REF!,"AAAAAF7S9Hw=")</f>
        <v>#REF!</v>
      </c>
      <c r="DV8" t="e">
        <f>AND(#REF!,"AAAAAF7S9H0=")</f>
        <v>#REF!</v>
      </c>
      <c r="DW8" t="e">
        <f>AND(#REF!,"AAAAAF7S9H4=")</f>
        <v>#REF!</v>
      </c>
      <c r="DX8" t="e">
        <f>AND(#REF!,"AAAAAF7S9H8=")</f>
        <v>#REF!</v>
      </c>
      <c r="DY8" t="e">
        <f>AND(#REF!,"AAAAAF7S9IA=")</f>
        <v>#REF!</v>
      </c>
      <c r="DZ8" t="e">
        <f>IF(#REF!,"AAAAAF7S9IE=",0)</f>
        <v>#REF!</v>
      </c>
      <c r="EA8" t="e">
        <f>AND(#REF!,"AAAAAF7S9II=")</f>
        <v>#REF!</v>
      </c>
      <c r="EB8" t="e">
        <f>AND(#REF!,"AAAAAF7S9IM=")</f>
        <v>#REF!</v>
      </c>
      <c r="EC8" t="e">
        <f>AND(#REF!,"AAAAAF7S9IQ=")</f>
        <v>#REF!</v>
      </c>
      <c r="ED8" t="e">
        <f>AND(#REF!,"AAAAAF7S9IU=")</f>
        <v>#REF!</v>
      </c>
      <c r="EE8" t="e">
        <f>AND(#REF!,"AAAAAF7S9IY=")</f>
        <v>#REF!</v>
      </c>
      <c r="EF8" t="e">
        <f>AND(#REF!,"AAAAAF7S9Ic=")</f>
        <v>#REF!</v>
      </c>
      <c r="EG8" t="e">
        <f>AND(#REF!,"AAAAAF7S9Ig=")</f>
        <v>#REF!</v>
      </c>
      <c r="EH8" t="e">
        <f>AND(#REF!,"AAAAAF7S9Ik=")</f>
        <v>#REF!</v>
      </c>
      <c r="EI8" t="e">
        <f>AND(#REF!,"AAAAAF7S9Io=")</f>
        <v>#REF!</v>
      </c>
      <c r="EJ8" t="e">
        <f>AND(#REF!,"AAAAAF7S9Is=")</f>
        <v>#REF!</v>
      </c>
      <c r="EK8" t="e">
        <f>AND(#REF!,"AAAAAF7S9Iw=")</f>
        <v>#REF!</v>
      </c>
      <c r="EL8" t="e">
        <f>AND(#REF!,"AAAAAF7S9I0=")</f>
        <v>#REF!</v>
      </c>
      <c r="EM8" t="e">
        <f>AND(#REF!,"AAAAAF7S9I4=")</f>
        <v>#REF!</v>
      </c>
      <c r="EN8" t="e">
        <f>IF(#REF!,"AAAAAF7S9I8=",0)</f>
        <v>#REF!</v>
      </c>
      <c r="EO8" t="e">
        <f>AND(#REF!,"AAAAAF7S9JA=")</f>
        <v>#REF!</v>
      </c>
      <c r="EP8" t="e">
        <f>AND(#REF!,"AAAAAF7S9JE=")</f>
        <v>#REF!</v>
      </c>
      <c r="EQ8" t="e">
        <f>AND(#REF!,"AAAAAF7S9JI=")</f>
        <v>#REF!</v>
      </c>
      <c r="ER8" t="e">
        <f>AND(#REF!,"AAAAAF7S9JM=")</f>
        <v>#REF!</v>
      </c>
      <c r="ES8" t="e">
        <f>AND(#REF!,"AAAAAF7S9JQ=")</f>
        <v>#REF!</v>
      </c>
      <c r="ET8" t="e">
        <f>AND(#REF!,"AAAAAF7S9JU=")</f>
        <v>#REF!</v>
      </c>
      <c r="EU8" t="e">
        <f>AND(#REF!,"AAAAAF7S9JY=")</f>
        <v>#REF!</v>
      </c>
      <c r="EV8" t="e">
        <f>AND(#REF!,"AAAAAF7S9Jc=")</f>
        <v>#REF!</v>
      </c>
      <c r="EW8" t="e">
        <f>AND(#REF!,"AAAAAF7S9Jg=")</f>
        <v>#REF!</v>
      </c>
      <c r="EX8" t="e">
        <f>AND(#REF!,"AAAAAF7S9Jk=")</f>
        <v>#REF!</v>
      </c>
      <c r="EY8" t="e">
        <f>AND(#REF!,"AAAAAF7S9Jo=")</f>
        <v>#REF!</v>
      </c>
      <c r="EZ8" t="e">
        <f>AND(#REF!,"AAAAAF7S9Js=")</f>
        <v>#REF!</v>
      </c>
      <c r="FA8" t="e">
        <f>AND(#REF!,"AAAAAF7S9Jw=")</f>
        <v>#REF!</v>
      </c>
      <c r="FB8" t="e">
        <f>IF(#REF!,"AAAAAF7S9J0=",0)</f>
        <v>#REF!</v>
      </c>
      <c r="FC8" t="e">
        <f>AND(#REF!,"AAAAAF7S9J4=")</f>
        <v>#REF!</v>
      </c>
      <c r="FD8" t="e">
        <f>AND(#REF!,"AAAAAF7S9J8=")</f>
        <v>#REF!</v>
      </c>
      <c r="FE8" t="e">
        <f>AND(#REF!,"AAAAAF7S9KA=")</f>
        <v>#REF!</v>
      </c>
      <c r="FF8" t="e">
        <f>AND(#REF!,"AAAAAF7S9KE=")</f>
        <v>#REF!</v>
      </c>
      <c r="FG8" t="e">
        <f>AND(#REF!,"AAAAAF7S9KI=")</f>
        <v>#REF!</v>
      </c>
      <c r="FH8" t="e">
        <f>AND(#REF!,"AAAAAF7S9KM=")</f>
        <v>#REF!</v>
      </c>
      <c r="FI8" t="e">
        <f>AND(#REF!,"AAAAAF7S9KQ=")</f>
        <v>#REF!</v>
      </c>
      <c r="FJ8" t="e">
        <f>AND(#REF!,"AAAAAF7S9KU=")</f>
        <v>#REF!</v>
      </c>
      <c r="FK8" t="e">
        <f>AND(#REF!,"AAAAAF7S9KY=")</f>
        <v>#REF!</v>
      </c>
      <c r="FL8" t="e">
        <f>AND(#REF!,"AAAAAF7S9Kc=")</f>
        <v>#REF!</v>
      </c>
      <c r="FM8" t="e">
        <f>AND(#REF!,"AAAAAF7S9Kg=")</f>
        <v>#REF!</v>
      </c>
      <c r="FN8" t="e">
        <f>AND(#REF!,"AAAAAF7S9Kk=")</f>
        <v>#REF!</v>
      </c>
      <c r="FO8" t="e">
        <f>AND(#REF!,"AAAAAF7S9Ko=")</f>
        <v>#REF!</v>
      </c>
      <c r="FP8" t="e">
        <f>IF(#REF!,"AAAAAF7S9Ks=",0)</f>
        <v>#REF!</v>
      </c>
      <c r="FQ8" t="e">
        <f>AND(#REF!,"AAAAAF7S9Kw=")</f>
        <v>#REF!</v>
      </c>
      <c r="FR8" t="e">
        <f>AND(#REF!,"AAAAAF7S9K0=")</f>
        <v>#REF!</v>
      </c>
      <c r="FS8" t="e">
        <f>AND(#REF!,"AAAAAF7S9K4=")</f>
        <v>#REF!</v>
      </c>
      <c r="FT8" t="e">
        <f>AND(#REF!,"AAAAAF7S9K8=")</f>
        <v>#REF!</v>
      </c>
      <c r="FU8" t="e">
        <f>AND(#REF!,"AAAAAF7S9LA=")</f>
        <v>#REF!</v>
      </c>
      <c r="FV8" t="e">
        <f>AND(#REF!,"AAAAAF7S9LE=")</f>
        <v>#REF!</v>
      </c>
      <c r="FW8" t="e">
        <f>AND(#REF!,"AAAAAF7S9LI=")</f>
        <v>#REF!</v>
      </c>
      <c r="FX8" t="e">
        <f>AND(#REF!,"AAAAAF7S9LM=")</f>
        <v>#REF!</v>
      </c>
      <c r="FY8" t="e">
        <f>AND(#REF!,"AAAAAF7S9LQ=")</f>
        <v>#REF!</v>
      </c>
      <c r="FZ8" t="e">
        <f>AND(#REF!,"AAAAAF7S9LU=")</f>
        <v>#REF!</v>
      </c>
      <c r="GA8" t="e">
        <f>AND(#REF!,"AAAAAF7S9LY=")</f>
        <v>#REF!</v>
      </c>
      <c r="GB8" t="e">
        <f>AND(#REF!,"AAAAAF7S9Lc=")</f>
        <v>#REF!</v>
      </c>
      <c r="GC8" t="e">
        <f>AND(#REF!,"AAAAAF7S9Lg=")</f>
        <v>#REF!</v>
      </c>
      <c r="GD8" t="e">
        <f>IF(#REF!,"AAAAAF7S9Lk=",0)</f>
        <v>#REF!</v>
      </c>
      <c r="GE8" t="e">
        <f>AND(#REF!,"AAAAAF7S9Lo=")</f>
        <v>#REF!</v>
      </c>
      <c r="GF8" t="e">
        <f>AND(#REF!,"AAAAAF7S9Ls=")</f>
        <v>#REF!</v>
      </c>
      <c r="GG8" t="e">
        <f>AND(#REF!,"AAAAAF7S9Lw=")</f>
        <v>#REF!</v>
      </c>
      <c r="GH8" t="e">
        <f>AND(#REF!,"AAAAAF7S9L0=")</f>
        <v>#REF!</v>
      </c>
      <c r="GI8" t="e">
        <f>AND(#REF!,"AAAAAF7S9L4=")</f>
        <v>#REF!</v>
      </c>
      <c r="GJ8" t="e">
        <f>AND(#REF!,"AAAAAF7S9L8=")</f>
        <v>#REF!</v>
      </c>
      <c r="GK8" t="e">
        <f>AND(#REF!,"AAAAAF7S9MA=")</f>
        <v>#REF!</v>
      </c>
      <c r="GL8" t="e">
        <f>AND(#REF!,"AAAAAF7S9ME=")</f>
        <v>#REF!</v>
      </c>
      <c r="GM8" t="e">
        <f>AND(#REF!,"AAAAAF7S9MI=")</f>
        <v>#REF!</v>
      </c>
      <c r="GN8" t="e">
        <f>AND(#REF!,"AAAAAF7S9MM=")</f>
        <v>#REF!</v>
      </c>
      <c r="GO8" t="e">
        <f>AND(#REF!,"AAAAAF7S9MQ=")</f>
        <v>#REF!</v>
      </c>
      <c r="GP8" t="e">
        <f>AND(#REF!,"AAAAAF7S9MU=")</f>
        <v>#REF!</v>
      </c>
      <c r="GQ8" t="e">
        <f>AND(#REF!,"AAAAAF7S9MY=")</f>
        <v>#REF!</v>
      </c>
      <c r="GR8" t="e">
        <f>IF(#REF!,"AAAAAF7S9Mc=",0)</f>
        <v>#REF!</v>
      </c>
      <c r="GS8" t="e">
        <f>AND(#REF!,"AAAAAF7S9Mg=")</f>
        <v>#REF!</v>
      </c>
      <c r="GT8" t="e">
        <f>AND(#REF!,"AAAAAF7S9Mk=")</f>
        <v>#REF!</v>
      </c>
      <c r="GU8" t="e">
        <f>AND(#REF!,"AAAAAF7S9Mo=")</f>
        <v>#REF!</v>
      </c>
      <c r="GV8" t="e">
        <f>AND(#REF!,"AAAAAF7S9Ms=")</f>
        <v>#REF!</v>
      </c>
      <c r="GW8" t="e">
        <f>AND(#REF!,"AAAAAF7S9Mw=")</f>
        <v>#REF!</v>
      </c>
      <c r="GX8" t="e">
        <f>AND(#REF!,"AAAAAF7S9M0=")</f>
        <v>#REF!</v>
      </c>
      <c r="GY8" t="e">
        <f>AND(#REF!,"AAAAAF7S9M4=")</f>
        <v>#REF!</v>
      </c>
      <c r="GZ8" t="e">
        <f>AND(#REF!,"AAAAAF7S9M8=")</f>
        <v>#REF!</v>
      </c>
      <c r="HA8" t="e">
        <f>AND(#REF!,"AAAAAF7S9NA=")</f>
        <v>#REF!</v>
      </c>
      <c r="HB8" t="e">
        <f>AND(#REF!,"AAAAAF7S9NE=")</f>
        <v>#REF!</v>
      </c>
      <c r="HC8" t="e">
        <f>AND(#REF!,"AAAAAF7S9NI=")</f>
        <v>#REF!</v>
      </c>
      <c r="HD8" t="e">
        <f>AND(#REF!,"AAAAAF7S9NM=")</f>
        <v>#REF!</v>
      </c>
      <c r="HE8" t="e">
        <f>AND(#REF!,"AAAAAF7S9NQ=")</f>
        <v>#REF!</v>
      </c>
      <c r="HF8" t="e">
        <f>IF(#REF!,"AAAAAF7S9NU=",0)</f>
        <v>#REF!</v>
      </c>
      <c r="HG8" t="e">
        <f>AND(#REF!,"AAAAAF7S9NY=")</f>
        <v>#REF!</v>
      </c>
      <c r="HH8" t="e">
        <f>AND(#REF!,"AAAAAF7S9Nc=")</f>
        <v>#REF!</v>
      </c>
      <c r="HI8" t="e">
        <f>AND(#REF!,"AAAAAF7S9Ng=")</f>
        <v>#REF!</v>
      </c>
      <c r="HJ8" t="e">
        <f>AND(#REF!,"AAAAAF7S9Nk=")</f>
        <v>#REF!</v>
      </c>
      <c r="HK8" t="e">
        <f>AND(#REF!,"AAAAAF7S9No=")</f>
        <v>#REF!</v>
      </c>
      <c r="HL8" t="e">
        <f>AND(#REF!,"AAAAAF7S9Ns=")</f>
        <v>#REF!</v>
      </c>
      <c r="HM8" t="e">
        <f>AND(#REF!,"AAAAAF7S9Nw=")</f>
        <v>#REF!</v>
      </c>
      <c r="HN8" t="e">
        <f>AND(#REF!,"AAAAAF7S9N0=")</f>
        <v>#REF!</v>
      </c>
      <c r="HO8" t="e">
        <f>AND(#REF!,"AAAAAF7S9N4=")</f>
        <v>#REF!</v>
      </c>
      <c r="HP8" t="e">
        <f>AND(#REF!,"AAAAAF7S9N8=")</f>
        <v>#REF!</v>
      </c>
      <c r="HQ8" t="e">
        <f>AND(#REF!,"AAAAAF7S9OA=")</f>
        <v>#REF!</v>
      </c>
      <c r="HR8" t="e">
        <f>AND(#REF!,"AAAAAF7S9OE=")</f>
        <v>#REF!</v>
      </c>
      <c r="HS8" t="e">
        <f>AND(#REF!,"AAAAAF7S9OI=")</f>
        <v>#REF!</v>
      </c>
      <c r="HT8" t="e">
        <f>IF(#REF!,"AAAAAF7S9OM=",0)</f>
        <v>#REF!</v>
      </c>
      <c r="HU8" t="e">
        <f>AND(#REF!,"AAAAAF7S9OQ=")</f>
        <v>#REF!</v>
      </c>
      <c r="HV8" t="e">
        <f>AND(#REF!,"AAAAAF7S9OU=")</f>
        <v>#REF!</v>
      </c>
      <c r="HW8" t="e">
        <f>AND(#REF!,"AAAAAF7S9OY=")</f>
        <v>#REF!</v>
      </c>
      <c r="HX8" t="e">
        <f>AND(#REF!,"AAAAAF7S9Oc=")</f>
        <v>#REF!</v>
      </c>
      <c r="HY8" t="e">
        <f>AND(#REF!,"AAAAAF7S9Og=")</f>
        <v>#REF!</v>
      </c>
      <c r="HZ8" t="e">
        <f>AND(#REF!,"AAAAAF7S9Ok=")</f>
        <v>#REF!</v>
      </c>
      <c r="IA8" t="e">
        <f>AND(#REF!,"AAAAAF7S9Oo=")</f>
        <v>#REF!</v>
      </c>
      <c r="IB8" t="e">
        <f>AND(#REF!,"AAAAAF7S9Os=")</f>
        <v>#REF!</v>
      </c>
      <c r="IC8" t="e">
        <f>AND(#REF!,"AAAAAF7S9Ow=")</f>
        <v>#REF!</v>
      </c>
      <c r="ID8" t="e">
        <f>AND(#REF!,"AAAAAF7S9O0=")</f>
        <v>#REF!</v>
      </c>
      <c r="IE8" t="e">
        <f>AND(#REF!,"AAAAAF7S9O4=")</f>
        <v>#REF!</v>
      </c>
      <c r="IF8" t="e">
        <f>AND(#REF!,"AAAAAF7S9O8=")</f>
        <v>#REF!</v>
      </c>
      <c r="IG8" t="e">
        <f>AND(#REF!,"AAAAAF7S9PA=")</f>
        <v>#REF!</v>
      </c>
      <c r="IH8" t="e">
        <f>IF(#REF!,"AAAAAF7S9PE=",0)</f>
        <v>#REF!</v>
      </c>
      <c r="II8" t="e">
        <f>AND(#REF!,"AAAAAF7S9PI=")</f>
        <v>#REF!</v>
      </c>
      <c r="IJ8" t="e">
        <f>AND(#REF!,"AAAAAF7S9PM=")</f>
        <v>#REF!</v>
      </c>
      <c r="IK8" t="e">
        <f>AND(#REF!,"AAAAAF7S9PQ=")</f>
        <v>#REF!</v>
      </c>
      <c r="IL8" t="e">
        <f>AND(#REF!,"AAAAAF7S9PU=")</f>
        <v>#REF!</v>
      </c>
      <c r="IM8" t="e">
        <f>AND(#REF!,"AAAAAF7S9PY=")</f>
        <v>#REF!</v>
      </c>
      <c r="IN8" t="e">
        <f>AND(#REF!,"AAAAAF7S9Pc=")</f>
        <v>#REF!</v>
      </c>
      <c r="IO8" t="e">
        <f>AND(#REF!,"AAAAAF7S9Pg=")</f>
        <v>#REF!</v>
      </c>
      <c r="IP8" t="e">
        <f>AND(#REF!,"AAAAAF7S9Pk=")</f>
        <v>#REF!</v>
      </c>
      <c r="IQ8" t="e">
        <f>AND(#REF!,"AAAAAF7S9Po=")</f>
        <v>#REF!</v>
      </c>
      <c r="IR8" t="e">
        <f>AND(#REF!,"AAAAAF7S9Ps=")</f>
        <v>#REF!</v>
      </c>
      <c r="IS8" t="e">
        <f>AND(#REF!,"AAAAAF7S9Pw=")</f>
        <v>#REF!</v>
      </c>
      <c r="IT8" t="e">
        <f>AND(#REF!,"AAAAAF7S9P0=")</f>
        <v>#REF!</v>
      </c>
      <c r="IU8" t="e">
        <f>AND(#REF!,"AAAAAF7S9P4=")</f>
        <v>#REF!</v>
      </c>
      <c r="IV8" t="e">
        <f>IF(#REF!,"AAAAAF7S9P8=",0)</f>
        <v>#REF!</v>
      </c>
    </row>
    <row r="9" spans="1:256">
      <c r="A9" t="e">
        <f>AND(#REF!,"AAAAAF/w7wA=")</f>
        <v>#REF!</v>
      </c>
      <c r="B9" t="e">
        <f>AND(#REF!,"AAAAAF/w7wE=")</f>
        <v>#REF!</v>
      </c>
      <c r="C9" t="e">
        <f>AND(#REF!,"AAAAAF/w7wI=")</f>
        <v>#REF!</v>
      </c>
      <c r="D9" t="e">
        <f>AND(#REF!,"AAAAAF/w7wM=")</f>
        <v>#REF!</v>
      </c>
      <c r="E9" t="e">
        <f>AND(#REF!,"AAAAAF/w7wQ=")</f>
        <v>#REF!</v>
      </c>
      <c r="F9" t="e">
        <f>AND(#REF!,"AAAAAF/w7wU=")</f>
        <v>#REF!</v>
      </c>
      <c r="G9" t="e">
        <f>AND(#REF!,"AAAAAF/w7wY=")</f>
        <v>#REF!</v>
      </c>
      <c r="H9" t="e">
        <f>AND(#REF!,"AAAAAF/w7wc=")</f>
        <v>#REF!</v>
      </c>
      <c r="I9" t="e">
        <f>AND(#REF!,"AAAAAF/w7wg=")</f>
        <v>#REF!</v>
      </c>
      <c r="J9" t="e">
        <f>AND(#REF!,"AAAAAF/w7wk=")</f>
        <v>#REF!</v>
      </c>
      <c r="K9" t="e">
        <f>AND(#REF!,"AAAAAF/w7wo=")</f>
        <v>#REF!</v>
      </c>
      <c r="L9" t="e">
        <f>AND(#REF!,"AAAAAF/w7ws=")</f>
        <v>#REF!</v>
      </c>
      <c r="M9" t="e">
        <f>AND(#REF!,"AAAAAF/w7ww=")</f>
        <v>#REF!</v>
      </c>
      <c r="N9" t="e">
        <f>IF(#REF!,"AAAAAF/w7w0=",0)</f>
        <v>#REF!</v>
      </c>
      <c r="O9" t="e">
        <f>AND(#REF!,"AAAAAF/w7w4=")</f>
        <v>#REF!</v>
      </c>
      <c r="P9" t="e">
        <f>AND(#REF!,"AAAAAF/w7w8=")</f>
        <v>#REF!</v>
      </c>
      <c r="Q9" t="e">
        <f>AND(#REF!,"AAAAAF/w7xA=")</f>
        <v>#REF!</v>
      </c>
      <c r="R9" t="e">
        <f>AND(#REF!,"AAAAAF/w7xE=")</f>
        <v>#REF!</v>
      </c>
      <c r="S9" t="e">
        <f>AND(#REF!,"AAAAAF/w7xI=")</f>
        <v>#REF!</v>
      </c>
      <c r="T9" t="e">
        <f>AND(#REF!,"AAAAAF/w7xM=")</f>
        <v>#REF!</v>
      </c>
      <c r="U9" t="e">
        <f>AND(#REF!,"AAAAAF/w7xQ=")</f>
        <v>#REF!</v>
      </c>
      <c r="V9" t="e">
        <f>AND(#REF!,"AAAAAF/w7xU=")</f>
        <v>#REF!</v>
      </c>
      <c r="W9" t="e">
        <f>AND(#REF!,"AAAAAF/w7xY=")</f>
        <v>#REF!</v>
      </c>
      <c r="X9" t="e">
        <f>AND(#REF!,"AAAAAF/w7xc=")</f>
        <v>#REF!</v>
      </c>
      <c r="Y9" t="e">
        <f>AND(#REF!,"AAAAAF/w7xg=")</f>
        <v>#REF!</v>
      </c>
      <c r="Z9" t="e">
        <f>AND(#REF!,"AAAAAF/w7xk=")</f>
        <v>#REF!</v>
      </c>
      <c r="AA9" t="e">
        <f>AND(#REF!,"AAAAAF/w7xo=")</f>
        <v>#REF!</v>
      </c>
      <c r="AB9" t="e">
        <f>IF(#REF!,"AAAAAF/w7xs=",0)</f>
        <v>#REF!</v>
      </c>
      <c r="AC9" t="e">
        <f>AND(#REF!,"AAAAAF/w7xw=")</f>
        <v>#REF!</v>
      </c>
      <c r="AD9" t="e">
        <f>AND(#REF!,"AAAAAF/w7x0=")</f>
        <v>#REF!</v>
      </c>
      <c r="AE9" t="e">
        <f>AND(#REF!,"AAAAAF/w7x4=")</f>
        <v>#REF!</v>
      </c>
      <c r="AF9" t="e">
        <f>AND(#REF!,"AAAAAF/w7x8=")</f>
        <v>#REF!</v>
      </c>
      <c r="AG9" t="e">
        <f>AND(#REF!,"AAAAAF/w7yA=")</f>
        <v>#REF!</v>
      </c>
      <c r="AH9" t="e">
        <f>AND(#REF!,"AAAAAF/w7yE=")</f>
        <v>#REF!</v>
      </c>
      <c r="AI9" t="e">
        <f>AND(#REF!,"AAAAAF/w7yI=")</f>
        <v>#REF!</v>
      </c>
      <c r="AJ9" t="e">
        <f>AND(#REF!,"AAAAAF/w7yM=")</f>
        <v>#REF!</v>
      </c>
      <c r="AK9" t="e">
        <f>AND(#REF!,"AAAAAF/w7yQ=")</f>
        <v>#REF!</v>
      </c>
      <c r="AL9" t="e">
        <f>AND(#REF!,"AAAAAF/w7yU=")</f>
        <v>#REF!</v>
      </c>
      <c r="AM9" t="e">
        <f>AND(#REF!,"AAAAAF/w7yY=")</f>
        <v>#REF!</v>
      </c>
      <c r="AN9" t="e">
        <f>AND(#REF!,"AAAAAF/w7yc=")</f>
        <v>#REF!</v>
      </c>
      <c r="AO9" t="e">
        <f>AND(#REF!,"AAAAAF/w7yg=")</f>
        <v>#REF!</v>
      </c>
      <c r="AP9" t="e">
        <f>IF(#REF!,"AAAAAF/w7yk=",0)</f>
        <v>#REF!</v>
      </c>
      <c r="AQ9" t="e">
        <f>AND(#REF!,"AAAAAF/w7yo=")</f>
        <v>#REF!</v>
      </c>
      <c r="AR9" t="e">
        <f>AND(#REF!,"AAAAAF/w7ys=")</f>
        <v>#REF!</v>
      </c>
      <c r="AS9" t="e">
        <f>AND(#REF!,"AAAAAF/w7yw=")</f>
        <v>#REF!</v>
      </c>
      <c r="AT9" t="e">
        <f>AND(#REF!,"AAAAAF/w7y0=")</f>
        <v>#REF!</v>
      </c>
      <c r="AU9" t="e">
        <f>AND(#REF!,"AAAAAF/w7y4=")</f>
        <v>#REF!</v>
      </c>
      <c r="AV9" t="e">
        <f>AND(#REF!,"AAAAAF/w7y8=")</f>
        <v>#REF!</v>
      </c>
      <c r="AW9" t="e">
        <f>AND(#REF!,"AAAAAF/w7zA=")</f>
        <v>#REF!</v>
      </c>
      <c r="AX9" t="e">
        <f>AND(#REF!,"AAAAAF/w7zE=")</f>
        <v>#REF!</v>
      </c>
      <c r="AY9" t="e">
        <f>AND(#REF!,"AAAAAF/w7zI=")</f>
        <v>#REF!</v>
      </c>
      <c r="AZ9" t="e">
        <f>AND(#REF!,"AAAAAF/w7zM=")</f>
        <v>#REF!</v>
      </c>
      <c r="BA9" t="e">
        <f>AND(#REF!,"AAAAAF/w7zQ=")</f>
        <v>#REF!</v>
      </c>
      <c r="BB9" t="e">
        <f>AND(#REF!,"AAAAAF/w7zU=")</f>
        <v>#REF!</v>
      </c>
      <c r="BC9" t="e">
        <f>AND(#REF!,"AAAAAF/w7zY=")</f>
        <v>#REF!</v>
      </c>
      <c r="BD9" t="e">
        <f>IF(#REF!,"AAAAAF/w7zc=",0)</f>
        <v>#REF!</v>
      </c>
      <c r="BE9" t="e">
        <f>AND(#REF!,"AAAAAF/w7zg=")</f>
        <v>#REF!</v>
      </c>
      <c r="BF9" t="e">
        <f>AND(#REF!,"AAAAAF/w7zk=")</f>
        <v>#REF!</v>
      </c>
      <c r="BG9" t="e">
        <f>AND(#REF!,"AAAAAF/w7zo=")</f>
        <v>#REF!</v>
      </c>
      <c r="BH9" t="e">
        <f>AND(#REF!,"AAAAAF/w7zs=")</f>
        <v>#REF!</v>
      </c>
      <c r="BI9" t="e">
        <f>AND(#REF!,"AAAAAF/w7zw=")</f>
        <v>#REF!</v>
      </c>
      <c r="BJ9" t="e">
        <f>AND(#REF!,"AAAAAF/w7z0=")</f>
        <v>#REF!</v>
      </c>
      <c r="BK9" t="e">
        <f>AND(#REF!,"AAAAAF/w7z4=")</f>
        <v>#REF!</v>
      </c>
      <c r="BL9" t="e">
        <f>AND(#REF!,"AAAAAF/w7z8=")</f>
        <v>#REF!</v>
      </c>
      <c r="BM9" t="e">
        <f>AND(#REF!,"AAAAAF/w70A=")</f>
        <v>#REF!</v>
      </c>
      <c r="BN9" t="e">
        <f>AND(#REF!,"AAAAAF/w70E=")</f>
        <v>#REF!</v>
      </c>
      <c r="BO9" t="e">
        <f>AND(#REF!,"AAAAAF/w70I=")</f>
        <v>#REF!</v>
      </c>
      <c r="BP9" t="e">
        <f>AND(#REF!,"AAAAAF/w70M=")</f>
        <v>#REF!</v>
      </c>
      <c r="BQ9" t="e">
        <f>AND(#REF!,"AAAAAF/w70Q=")</f>
        <v>#REF!</v>
      </c>
      <c r="BR9" t="e">
        <f>IF(#REF!,"AAAAAF/w70U=",0)</f>
        <v>#REF!</v>
      </c>
      <c r="BS9" t="e">
        <f>AND(#REF!,"AAAAAF/w70Y=")</f>
        <v>#REF!</v>
      </c>
      <c r="BT9" t="e">
        <f>AND(#REF!,"AAAAAF/w70c=")</f>
        <v>#REF!</v>
      </c>
      <c r="BU9" t="e">
        <f>AND(#REF!,"AAAAAF/w70g=")</f>
        <v>#REF!</v>
      </c>
      <c r="BV9" t="e">
        <f>AND(#REF!,"AAAAAF/w70k=")</f>
        <v>#REF!</v>
      </c>
      <c r="BW9" t="e">
        <f>AND(#REF!,"AAAAAF/w70o=")</f>
        <v>#REF!</v>
      </c>
      <c r="BX9" t="e">
        <f>AND(#REF!,"AAAAAF/w70s=")</f>
        <v>#REF!</v>
      </c>
      <c r="BY9" t="e">
        <f>AND(#REF!,"AAAAAF/w70w=")</f>
        <v>#REF!</v>
      </c>
      <c r="BZ9" t="e">
        <f>AND(#REF!,"AAAAAF/w700=")</f>
        <v>#REF!</v>
      </c>
      <c r="CA9" t="e">
        <f>AND(#REF!,"AAAAAF/w704=")</f>
        <v>#REF!</v>
      </c>
      <c r="CB9" t="e">
        <f>AND(#REF!,"AAAAAF/w708=")</f>
        <v>#REF!</v>
      </c>
      <c r="CC9" t="e">
        <f>AND(#REF!,"AAAAAF/w71A=")</f>
        <v>#REF!</v>
      </c>
      <c r="CD9" t="e">
        <f>AND(#REF!,"AAAAAF/w71E=")</f>
        <v>#REF!</v>
      </c>
      <c r="CE9" t="e">
        <f>AND(#REF!,"AAAAAF/w71I=")</f>
        <v>#REF!</v>
      </c>
      <c r="CF9" t="e">
        <f>IF(#REF!,"AAAAAF/w71M=",0)</f>
        <v>#REF!</v>
      </c>
      <c r="CG9" t="e">
        <f>AND(#REF!,"AAAAAF/w71Q=")</f>
        <v>#REF!</v>
      </c>
      <c r="CH9" t="e">
        <f>AND(#REF!,"AAAAAF/w71U=")</f>
        <v>#REF!</v>
      </c>
      <c r="CI9" t="e">
        <f>AND(#REF!,"AAAAAF/w71Y=")</f>
        <v>#REF!</v>
      </c>
      <c r="CJ9" t="e">
        <f>AND(#REF!,"AAAAAF/w71c=")</f>
        <v>#REF!</v>
      </c>
      <c r="CK9" t="e">
        <f>AND(#REF!,"AAAAAF/w71g=")</f>
        <v>#REF!</v>
      </c>
      <c r="CL9" t="e">
        <f>AND(#REF!,"AAAAAF/w71k=")</f>
        <v>#REF!</v>
      </c>
      <c r="CM9" t="e">
        <f>AND(#REF!,"AAAAAF/w71o=")</f>
        <v>#REF!</v>
      </c>
      <c r="CN9" t="e">
        <f>AND(#REF!,"AAAAAF/w71s=")</f>
        <v>#REF!</v>
      </c>
      <c r="CO9" t="e">
        <f>AND(#REF!,"AAAAAF/w71w=")</f>
        <v>#REF!</v>
      </c>
      <c r="CP9" t="e">
        <f>AND(#REF!,"AAAAAF/w710=")</f>
        <v>#REF!</v>
      </c>
      <c r="CQ9" t="e">
        <f>AND(#REF!,"AAAAAF/w714=")</f>
        <v>#REF!</v>
      </c>
      <c r="CR9" t="e">
        <f>AND(#REF!,"AAAAAF/w718=")</f>
        <v>#REF!</v>
      </c>
      <c r="CS9" t="e">
        <f>AND(#REF!,"AAAAAF/w72A=")</f>
        <v>#REF!</v>
      </c>
      <c r="CT9" t="e">
        <f>IF(#REF!,"AAAAAF/w72E=",0)</f>
        <v>#REF!</v>
      </c>
      <c r="CU9" t="e">
        <f>AND(#REF!,"AAAAAF/w72I=")</f>
        <v>#REF!</v>
      </c>
      <c r="CV9" t="e">
        <f>AND(#REF!,"AAAAAF/w72M=")</f>
        <v>#REF!</v>
      </c>
      <c r="CW9" t="e">
        <f>AND(#REF!,"AAAAAF/w72Q=")</f>
        <v>#REF!</v>
      </c>
      <c r="CX9" t="e">
        <f>AND(#REF!,"AAAAAF/w72U=")</f>
        <v>#REF!</v>
      </c>
      <c r="CY9" t="e">
        <f>AND(#REF!,"AAAAAF/w72Y=")</f>
        <v>#REF!</v>
      </c>
      <c r="CZ9" t="e">
        <f>AND(#REF!,"AAAAAF/w72c=")</f>
        <v>#REF!</v>
      </c>
      <c r="DA9" t="e">
        <f>AND(#REF!,"AAAAAF/w72g=")</f>
        <v>#REF!</v>
      </c>
      <c r="DB9" t="e">
        <f>AND(#REF!,"AAAAAF/w72k=")</f>
        <v>#REF!</v>
      </c>
      <c r="DC9" t="e">
        <f>AND(#REF!,"AAAAAF/w72o=")</f>
        <v>#REF!</v>
      </c>
      <c r="DD9" t="e">
        <f>AND(#REF!,"AAAAAF/w72s=")</f>
        <v>#REF!</v>
      </c>
      <c r="DE9" t="e">
        <f>AND(#REF!,"AAAAAF/w72w=")</f>
        <v>#REF!</v>
      </c>
      <c r="DF9" t="e">
        <f>AND(#REF!,"AAAAAF/w720=")</f>
        <v>#REF!</v>
      </c>
      <c r="DG9" t="e">
        <f>AND(#REF!,"AAAAAF/w724=")</f>
        <v>#REF!</v>
      </c>
      <c r="DH9" t="e">
        <f>IF(#REF!,"AAAAAF/w728=",0)</f>
        <v>#REF!</v>
      </c>
      <c r="DI9" t="e">
        <f>AND(#REF!,"AAAAAF/w73A=")</f>
        <v>#REF!</v>
      </c>
      <c r="DJ9" t="e">
        <f>AND(#REF!,"AAAAAF/w73E=")</f>
        <v>#REF!</v>
      </c>
      <c r="DK9" t="e">
        <f>AND(#REF!,"AAAAAF/w73I=")</f>
        <v>#REF!</v>
      </c>
      <c r="DL9" t="e">
        <f>AND(#REF!,"AAAAAF/w73M=")</f>
        <v>#REF!</v>
      </c>
      <c r="DM9" t="e">
        <f>AND(#REF!,"AAAAAF/w73Q=")</f>
        <v>#REF!</v>
      </c>
      <c r="DN9" t="e">
        <f>AND(#REF!,"AAAAAF/w73U=")</f>
        <v>#REF!</v>
      </c>
      <c r="DO9" t="e">
        <f>AND(#REF!,"AAAAAF/w73Y=")</f>
        <v>#REF!</v>
      </c>
      <c r="DP9" t="e">
        <f>AND(#REF!,"AAAAAF/w73c=")</f>
        <v>#REF!</v>
      </c>
      <c r="DQ9" t="e">
        <f>AND(#REF!,"AAAAAF/w73g=")</f>
        <v>#REF!</v>
      </c>
      <c r="DR9" t="e">
        <f>AND(#REF!,"AAAAAF/w73k=")</f>
        <v>#REF!</v>
      </c>
      <c r="DS9" t="e">
        <f>AND(#REF!,"AAAAAF/w73o=")</f>
        <v>#REF!</v>
      </c>
      <c r="DT9" t="e">
        <f>AND(#REF!,"AAAAAF/w73s=")</f>
        <v>#REF!</v>
      </c>
      <c r="DU9" t="e">
        <f>AND(#REF!,"AAAAAF/w73w=")</f>
        <v>#REF!</v>
      </c>
      <c r="DV9" t="e">
        <f>IF(#REF!,"AAAAAF/w730=",0)</f>
        <v>#REF!</v>
      </c>
      <c r="DW9" t="e">
        <f>AND(#REF!,"AAAAAF/w734=")</f>
        <v>#REF!</v>
      </c>
      <c r="DX9" t="e">
        <f>AND(#REF!,"AAAAAF/w738=")</f>
        <v>#REF!</v>
      </c>
      <c r="DY9" t="e">
        <f>AND(#REF!,"AAAAAF/w74A=")</f>
        <v>#REF!</v>
      </c>
      <c r="DZ9" t="e">
        <f>AND(#REF!,"AAAAAF/w74E=")</f>
        <v>#REF!</v>
      </c>
      <c r="EA9" t="e">
        <f>AND(#REF!,"AAAAAF/w74I=")</f>
        <v>#REF!</v>
      </c>
      <c r="EB9" t="e">
        <f>AND(#REF!,"AAAAAF/w74M=")</f>
        <v>#REF!</v>
      </c>
      <c r="EC9" t="e">
        <f>AND(#REF!,"AAAAAF/w74Q=")</f>
        <v>#REF!</v>
      </c>
      <c r="ED9" t="e">
        <f>AND(#REF!,"AAAAAF/w74U=")</f>
        <v>#REF!</v>
      </c>
      <c r="EE9" t="e">
        <f>AND(#REF!,"AAAAAF/w74Y=")</f>
        <v>#REF!</v>
      </c>
      <c r="EF9" t="e">
        <f>AND(#REF!,"AAAAAF/w74c=")</f>
        <v>#REF!</v>
      </c>
      <c r="EG9" t="e">
        <f>AND(#REF!,"AAAAAF/w74g=")</f>
        <v>#REF!</v>
      </c>
      <c r="EH9" t="e">
        <f>AND(#REF!,"AAAAAF/w74k=")</f>
        <v>#REF!</v>
      </c>
      <c r="EI9" t="e">
        <f>AND(#REF!,"AAAAAF/w74o=")</f>
        <v>#REF!</v>
      </c>
      <c r="EJ9" t="e">
        <f>IF(#REF!,"AAAAAF/w74s=",0)</f>
        <v>#REF!</v>
      </c>
      <c r="EK9" t="e">
        <f>AND(#REF!,"AAAAAF/w74w=")</f>
        <v>#REF!</v>
      </c>
      <c r="EL9" t="e">
        <f>AND(#REF!,"AAAAAF/w740=")</f>
        <v>#REF!</v>
      </c>
      <c r="EM9" t="e">
        <f>AND(#REF!,"AAAAAF/w744=")</f>
        <v>#REF!</v>
      </c>
      <c r="EN9" t="e">
        <f>AND(#REF!,"AAAAAF/w748=")</f>
        <v>#REF!</v>
      </c>
      <c r="EO9" t="e">
        <f>AND(#REF!,"AAAAAF/w75A=")</f>
        <v>#REF!</v>
      </c>
      <c r="EP9" t="e">
        <f>AND(#REF!,"AAAAAF/w75E=")</f>
        <v>#REF!</v>
      </c>
      <c r="EQ9" t="e">
        <f>AND(#REF!,"AAAAAF/w75I=")</f>
        <v>#REF!</v>
      </c>
      <c r="ER9" t="e">
        <f>AND(#REF!,"AAAAAF/w75M=")</f>
        <v>#REF!</v>
      </c>
      <c r="ES9" t="e">
        <f>AND(#REF!,"AAAAAF/w75Q=")</f>
        <v>#REF!</v>
      </c>
      <c r="ET9" t="e">
        <f>AND(#REF!,"AAAAAF/w75U=")</f>
        <v>#REF!</v>
      </c>
      <c r="EU9" t="e">
        <f>AND(#REF!,"AAAAAF/w75Y=")</f>
        <v>#REF!</v>
      </c>
      <c r="EV9" t="e">
        <f>AND(#REF!,"AAAAAF/w75c=")</f>
        <v>#REF!</v>
      </c>
      <c r="EW9" t="e">
        <f>AND(#REF!,"AAAAAF/w75g=")</f>
        <v>#REF!</v>
      </c>
      <c r="EX9" t="e">
        <f>IF(#REF!,"AAAAAF/w75k=",0)</f>
        <v>#REF!</v>
      </c>
      <c r="EY9" t="e">
        <f>AND(#REF!,"AAAAAF/w75o=")</f>
        <v>#REF!</v>
      </c>
      <c r="EZ9" t="e">
        <f>AND(#REF!,"AAAAAF/w75s=")</f>
        <v>#REF!</v>
      </c>
      <c r="FA9" t="e">
        <f>AND(#REF!,"AAAAAF/w75w=")</f>
        <v>#REF!</v>
      </c>
      <c r="FB9" t="e">
        <f>AND(#REF!,"AAAAAF/w750=")</f>
        <v>#REF!</v>
      </c>
      <c r="FC9" t="e">
        <f>AND(#REF!,"AAAAAF/w754=")</f>
        <v>#REF!</v>
      </c>
      <c r="FD9" t="e">
        <f>AND(#REF!,"AAAAAF/w758=")</f>
        <v>#REF!</v>
      </c>
      <c r="FE9" t="e">
        <f>AND(#REF!,"AAAAAF/w76A=")</f>
        <v>#REF!</v>
      </c>
      <c r="FF9" t="e">
        <f>AND(#REF!,"AAAAAF/w76E=")</f>
        <v>#REF!</v>
      </c>
      <c r="FG9" t="e">
        <f>AND(#REF!,"AAAAAF/w76I=")</f>
        <v>#REF!</v>
      </c>
      <c r="FH9" t="e">
        <f>AND(#REF!,"AAAAAF/w76M=")</f>
        <v>#REF!</v>
      </c>
      <c r="FI9" t="e">
        <f>AND(#REF!,"AAAAAF/w76Q=")</f>
        <v>#REF!</v>
      </c>
      <c r="FJ9" t="e">
        <f>AND(#REF!,"AAAAAF/w76U=")</f>
        <v>#REF!</v>
      </c>
      <c r="FK9" t="e">
        <f>AND(#REF!,"AAAAAF/w76Y=")</f>
        <v>#REF!</v>
      </c>
      <c r="FL9" t="e">
        <f>IF(#REF!,"AAAAAF/w76c=",0)</f>
        <v>#REF!</v>
      </c>
      <c r="FM9" t="e">
        <f>AND(#REF!,"AAAAAF/w76g=")</f>
        <v>#REF!</v>
      </c>
      <c r="FN9" t="e">
        <f>AND(#REF!,"AAAAAF/w76k=")</f>
        <v>#REF!</v>
      </c>
      <c r="FO9" t="e">
        <f>AND(#REF!,"AAAAAF/w76o=")</f>
        <v>#REF!</v>
      </c>
      <c r="FP9" t="e">
        <f>AND(#REF!,"AAAAAF/w76s=")</f>
        <v>#REF!</v>
      </c>
      <c r="FQ9" t="e">
        <f>AND(#REF!,"AAAAAF/w76w=")</f>
        <v>#REF!</v>
      </c>
      <c r="FR9" t="e">
        <f>AND(#REF!,"AAAAAF/w760=")</f>
        <v>#REF!</v>
      </c>
      <c r="FS9" t="e">
        <f>AND(#REF!,"AAAAAF/w764=")</f>
        <v>#REF!</v>
      </c>
      <c r="FT9" t="e">
        <f>AND(#REF!,"AAAAAF/w768=")</f>
        <v>#REF!</v>
      </c>
      <c r="FU9" t="e">
        <f>AND(#REF!,"AAAAAF/w77A=")</f>
        <v>#REF!</v>
      </c>
      <c r="FV9" t="e">
        <f>AND(#REF!,"AAAAAF/w77E=")</f>
        <v>#REF!</v>
      </c>
      <c r="FW9" t="e">
        <f>AND(#REF!,"AAAAAF/w77I=")</f>
        <v>#REF!</v>
      </c>
      <c r="FX9" t="e">
        <f>AND(#REF!,"AAAAAF/w77M=")</f>
        <v>#REF!</v>
      </c>
      <c r="FY9" t="e">
        <f>AND(#REF!,"AAAAAF/w77Q=")</f>
        <v>#REF!</v>
      </c>
      <c r="FZ9" t="e">
        <f>IF(#REF!,"AAAAAF/w77U=",0)</f>
        <v>#REF!</v>
      </c>
      <c r="GA9" t="e">
        <f>AND(#REF!,"AAAAAF/w77Y=")</f>
        <v>#REF!</v>
      </c>
      <c r="GB9" t="e">
        <f>AND(#REF!,"AAAAAF/w77c=")</f>
        <v>#REF!</v>
      </c>
      <c r="GC9" t="e">
        <f>AND(#REF!,"AAAAAF/w77g=")</f>
        <v>#REF!</v>
      </c>
      <c r="GD9" t="e">
        <f>AND(#REF!,"AAAAAF/w77k=")</f>
        <v>#REF!</v>
      </c>
      <c r="GE9" t="e">
        <f>AND(#REF!,"AAAAAF/w77o=")</f>
        <v>#REF!</v>
      </c>
      <c r="GF9" t="e">
        <f>AND(#REF!,"AAAAAF/w77s=")</f>
        <v>#REF!</v>
      </c>
      <c r="GG9" t="e">
        <f>AND(#REF!,"AAAAAF/w77w=")</f>
        <v>#REF!</v>
      </c>
      <c r="GH9" t="e">
        <f>AND(#REF!,"AAAAAF/w770=")</f>
        <v>#REF!</v>
      </c>
      <c r="GI9" t="e">
        <f>AND(#REF!,"AAAAAF/w774=")</f>
        <v>#REF!</v>
      </c>
      <c r="GJ9" t="e">
        <f>AND(#REF!,"AAAAAF/w778=")</f>
        <v>#REF!</v>
      </c>
      <c r="GK9" t="e">
        <f>AND(#REF!,"AAAAAF/w78A=")</f>
        <v>#REF!</v>
      </c>
      <c r="GL9" t="e">
        <f>AND(#REF!,"AAAAAF/w78E=")</f>
        <v>#REF!</v>
      </c>
      <c r="GM9" t="e">
        <f>AND(#REF!,"AAAAAF/w78I=")</f>
        <v>#REF!</v>
      </c>
      <c r="GN9" t="e">
        <f>IF(#REF!,"AAAAAF/w78M=",0)</f>
        <v>#REF!</v>
      </c>
      <c r="GO9" t="e">
        <f>IF(#REF!,"AAAAAF/w78Q=",0)</f>
        <v>#REF!</v>
      </c>
      <c r="GP9" t="e">
        <f>IF(#REF!,"AAAAAF/w78U=",0)</f>
        <v>#REF!</v>
      </c>
      <c r="GQ9" t="e">
        <f>IF(#REF!,"AAAAAF/w78Y=",0)</f>
        <v>#REF!</v>
      </c>
      <c r="GR9" t="e">
        <f>IF(#REF!,"AAAAAF/w78c=",0)</f>
        <v>#REF!</v>
      </c>
      <c r="GS9" t="e">
        <f>IF(#REF!,"AAAAAF/w78g=",0)</f>
        <v>#REF!</v>
      </c>
      <c r="GT9" t="e">
        <f>IF(#REF!,"AAAAAF/w78k=",0)</f>
        <v>#REF!</v>
      </c>
      <c r="GU9" t="e">
        <f>IF(#REF!,"AAAAAF/w78o=",0)</f>
        <v>#REF!</v>
      </c>
      <c r="GV9" t="e">
        <f>IF(#REF!,"AAAAAF/w78s=",0)</f>
        <v>#REF!</v>
      </c>
      <c r="GW9" t="e">
        <f>IF(#REF!,"AAAAAF/w78w=",0)</f>
        <v>#REF!</v>
      </c>
      <c r="GX9" t="e">
        <f>IF(#REF!,"AAAAAF/w780=",0)</f>
        <v>#REF!</v>
      </c>
      <c r="GY9" t="e">
        <f>IF(#REF!,"AAAAAF/w784=",0)</f>
        <v>#REF!</v>
      </c>
      <c r="GZ9" t="e">
        <f>IF(#REF!,"AAAAAF/w788=",0)</f>
        <v>#REF!</v>
      </c>
      <c r="HA9" t="e">
        <f>IF(#REF!,"AAAAAF/w79A=",0)</f>
        <v>#REF!</v>
      </c>
      <c r="HB9" t="e">
        <f>AND(#REF!,"AAAAAF/w79E=")</f>
        <v>#REF!</v>
      </c>
      <c r="HC9" t="e">
        <f>AND(#REF!,"AAAAAF/w79I=")</f>
        <v>#REF!</v>
      </c>
      <c r="HD9" t="e">
        <f>AND(#REF!,"AAAAAF/w79M=")</f>
        <v>#REF!</v>
      </c>
      <c r="HE9" t="e">
        <f>AND(#REF!,"AAAAAF/w79Q=")</f>
        <v>#REF!</v>
      </c>
      <c r="HF9" t="e">
        <f>AND(#REF!,"AAAAAF/w79U=")</f>
        <v>#REF!</v>
      </c>
      <c r="HG9" t="e">
        <f>IF(#REF!,"AAAAAF/w79Y=",0)</f>
        <v>#REF!</v>
      </c>
      <c r="HH9" t="e">
        <f>AND(#REF!,"AAAAAF/w79c=")</f>
        <v>#REF!</v>
      </c>
      <c r="HI9" t="e">
        <f>AND(#REF!,"AAAAAF/w79g=")</f>
        <v>#REF!</v>
      </c>
      <c r="HJ9" t="e">
        <f>AND(#REF!,"AAAAAF/w79k=")</f>
        <v>#REF!</v>
      </c>
      <c r="HK9" t="e">
        <f>AND(#REF!,"AAAAAF/w79o=")</f>
        <v>#REF!</v>
      </c>
      <c r="HL9" t="e">
        <f>AND(#REF!,"AAAAAF/w79s=")</f>
        <v>#REF!</v>
      </c>
      <c r="HM9" t="e">
        <f>IF(#REF!,"AAAAAF/w79w=",0)</f>
        <v>#REF!</v>
      </c>
      <c r="HN9" t="e">
        <f>AND(#REF!,"AAAAAF/w790=")</f>
        <v>#REF!</v>
      </c>
      <c r="HO9" t="e">
        <f>AND(#REF!,"AAAAAF/w794=")</f>
        <v>#REF!</v>
      </c>
      <c r="HP9" t="e">
        <f>AND(#REF!,"AAAAAF/w798=")</f>
        <v>#REF!</v>
      </c>
      <c r="HQ9" t="e">
        <f>AND(#REF!,"AAAAAF/w7+A=")</f>
        <v>#REF!</v>
      </c>
      <c r="HR9" t="e">
        <f>AND(#REF!,"AAAAAF/w7+E=")</f>
        <v>#REF!</v>
      </c>
      <c r="HS9" t="e">
        <f>IF(#REF!,"AAAAAF/w7+I=",0)</f>
        <v>#REF!</v>
      </c>
      <c r="HT9" t="e">
        <f>AND(#REF!,"AAAAAF/w7+M=")</f>
        <v>#REF!</v>
      </c>
      <c r="HU9" t="e">
        <f>AND(#REF!,"AAAAAF/w7+Q=")</f>
        <v>#REF!</v>
      </c>
      <c r="HV9" t="e">
        <f>AND(#REF!,"AAAAAF/w7+U=")</f>
        <v>#REF!</v>
      </c>
      <c r="HW9" t="e">
        <f>AND(#REF!,"AAAAAF/w7+Y=")</f>
        <v>#REF!</v>
      </c>
      <c r="HX9" t="e">
        <f>AND(#REF!,"AAAAAF/w7+c=")</f>
        <v>#REF!</v>
      </c>
      <c r="HY9" t="e">
        <f>IF(#REF!,"AAAAAF/w7+g=",0)</f>
        <v>#REF!</v>
      </c>
      <c r="HZ9" t="e">
        <f>AND(#REF!,"AAAAAF/w7+k=")</f>
        <v>#REF!</v>
      </c>
      <c r="IA9" t="e">
        <f>AND(#REF!,"AAAAAF/w7+o=")</f>
        <v>#REF!</v>
      </c>
      <c r="IB9" t="e">
        <f>AND(#REF!,"AAAAAF/w7+s=")</f>
        <v>#REF!</v>
      </c>
      <c r="IC9" t="e">
        <f>AND(#REF!,"AAAAAF/w7+w=")</f>
        <v>#REF!</v>
      </c>
      <c r="ID9" t="e">
        <f>AND(#REF!,"AAAAAF/w7+0=")</f>
        <v>#REF!</v>
      </c>
      <c r="IE9" t="e">
        <f>IF(#REF!,"AAAAAF/w7+4=",0)</f>
        <v>#REF!</v>
      </c>
      <c r="IF9" t="e">
        <f>AND(#REF!,"AAAAAF/w7+8=")</f>
        <v>#REF!</v>
      </c>
      <c r="IG9" t="e">
        <f>AND(#REF!,"AAAAAF/w7/A=")</f>
        <v>#REF!</v>
      </c>
      <c r="IH9" t="e">
        <f>AND(#REF!,"AAAAAF/w7/E=")</f>
        <v>#REF!</v>
      </c>
      <c r="II9" t="e">
        <f>AND(#REF!,"AAAAAF/w7/I=")</f>
        <v>#REF!</v>
      </c>
      <c r="IJ9" t="e">
        <f>AND(#REF!,"AAAAAF/w7/M=")</f>
        <v>#REF!</v>
      </c>
      <c r="IK9" t="e">
        <f>IF(#REF!,"AAAAAF/w7/Q=",0)</f>
        <v>#REF!</v>
      </c>
      <c r="IL9" t="e">
        <f>AND(#REF!,"AAAAAF/w7/U=")</f>
        <v>#REF!</v>
      </c>
      <c r="IM9" t="e">
        <f>AND(#REF!,"AAAAAF/w7/Y=")</f>
        <v>#REF!</v>
      </c>
      <c r="IN9" t="e">
        <f>AND(#REF!,"AAAAAF/w7/c=")</f>
        <v>#REF!</v>
      </c>
      <c r="IO9" t="e">
        <f>AND(#REF!,"AAAAAF/w7/g=")</f>
        <v>#REF!</v>
      </c>
      <c r="IP9" t="e">
        <f>AND(#REF!,"AAAAAF/w7/k=")</f>
        <v>#REF!</v>
      </c>
      <c r="IQ9" t="e">
        <f>IF(#REF!,"AAAAAF/w7/o=",0)</f>
        <v>#REF!</v>
      </c>
      <c r="IR9" t="e">
        <f>AND(#REF!,"AAAAAF/w7/s=")</f>
        <v>#REF!</v>
      </c>
      <c r="IS9" t="e">
        <f>AND(#REF!,"AAAAAF/w7/w=")</f>
        <v>#REF!</v>
      </c>
      <c r="IT9" t="e">
        <f>AND(#REF!,"AAAAAF/w7/0=")</f>
        <v>#REF!</v>
      </c>
      <c r="IU9" t="e">
        <f>AND(#REF!,"AAAAAF/w7/4=")</f>
        <v>#REF!</v>
      </c>
      <c r="IV9" t="e">
        <f>AND(#REF!,"AAAAAF/w7/8=")</f>
        <v>#REF!</v>
      </c>
    </row>
    <row r="10" spans="1:256">
      <c r="A10" t="e">
        <f>IF(#REF!,"AAAAAHf/vwA=",0)</f>
        <v>#REF!</v>
      </c>
      <c r="B10" t="e">
        <f>AND(#REF!,"AAAAAHf/vwE=")</f>
        <v>#REF!</v>
      </c>
      <c r="C10" t="e">
        <f>AND(#REF!,"AAAAAHf/vwI=")</f>
        <v>#REF!</v>
      </c>
      <c r="D10" t="e">
        <f>AND(#REF!,"AAAAAHf/vwM=")</f>
        <v>#REF!</v>
      </c>
      <c r="E10" t="e">
        <f>AND(#REF!,"AAAAAHf/vwQ=")</f>
        <v>#REF!</v>
      </c>
      <c r="F10" t="e">
        <f>AND(#REF!,"AAAAAHf/vwU=")</f>
        <v>#REF!</v>
      </c>
      <c r="G10" t="e">
        <f>IF(#REF!,"AAAAAHf/vwY=",0)</f>
        <v>#REF!</v>
      </c>
      <c r="H10" t="e">
        <f>AND(#REF!,"AAAAAHf/vwc=")</f>
        <v>#REF!</v>
      </c>
      <c r="I10" t="e">
        <f>AND(#REF!,"AAAAAHf/vwg=")</f>
        <v>#REF!</v>
      </c>
      <c r="J10" t="e">
        <f>AND(#REF!,"AAAAAHf/vwk=")</f>
        <v>#REF!</v>
      </c>
      <c r="K10" t="e">
        <f>AND(#REF!,"AAAAAHf/vwo=")</f>
        <v>#REF!</v>
      </c>
      <c r="L10" t="e">
        <f>AND(#REF!,"AAAAAHf/vws=")</f>
        <v>#REF!</v>
      </c>
      <c r="M10" t="e">
        <f>IF(#REF!,"AAAAAHf/vww=",0)</f>
        <v>#REF!</v>
      </c>
      <c r="N10" t="e">
        <f>AND(#REF!,"AAAAAHf/vw0=")</f>
        <v>#REF!</v>
      </c>
      <c r="O10" t="e">
        <f>AND(#REF!,"AAAAAHf/vw4=")</f>
        <v>#REF!</v>
      </c>
      <c r="P10" t="e">
        <f>AND(#REF!,"AAAAAHf/vw8=")</f>
        <v>#REF!</v>
      </c>
      <c r="Q10" t="e">
        <f>AND(#REF!,"AAAAAHf/vxA=")</f>
        <v>#REF!</v>
      </c>
      <c r="R10" t="e">
        <f>AND(#REF!,"AAAAAHf/vxE=")</f>
        <v>#REF!</v>
      </c>
      <c r="S10" t="e">
        <f>IF(#REF!,"AAAAAHf/vxI=",0)</f>
        <v>#REF!</v>
      </c>
      <c r="T10" t="e">
        <f>AND(#REF!,"AAAAAHf/vxM=")</f>
        <v>#REF!</v>
      </c>
      <c r="U10" t="e">
        <f>AND(#REF!,"AAAAAHf/vxQ=")</f>
        <v>#REF!</v>
      </c>
      <c r="V10" t="e">
        <f>AND(#REF!,"AAAAAHf/vxU=")</f>
        <v>#REF!</v>
      </c>
      <c r="W10" t="e">
        <f>AND(#REF!,"AAAAAHf/vxY=")</f>
        <v>#REF!</v>
      </c>
      <c r="X10" t="e">
        <f>AND(#REF!,"AAAAAHf/vxc=")</f>
        <v>#REF!</v>
      </c>
      <c r="Y10" t="e">
        <f>IF(#REF!,"AAAAAHf/vxg=",0)</f>
        <v>#REF!</v>
      </c>
      <c r="Z10" t="e">
        <f>AND(#REF!,"AAAAAHf/vxk=")</f>
        <v>#REF!</v>
      </c>
      <c r="AA10" t="e">
        <f>AND(#REF!,"AAAAAHf/vxo=")</f>
        <v>#REF!</v>
      </c>
      <c r="AB10" t="e">
        <f>AND(#REF!,"AAAAAHf/vxs=")</f>
        <v>#REF!</v>
      </c>
      <c r="AC10" t="e">
        <f>AND(#REF!,"AAAAAHf/vxw=")</f>
        <v>#REF!</v>
      </c>
      <c r="AD10" t="e">
        <f>AND(#REF!,"AAAAAHf/vx0=")</f>
        <v>#REF!</v>
      </c>
      <c r="AE10" t="e">
        <f>IF(#REF!,"AAAAAHf/vx4=",0)</f>
        <v>#REF!</v>
      </c>
      <c r="AF10" t="e">
        <f>AND(#REF!,"AAAAAHf/vx8=")</f>
        <v>#REF!</v>
      </c>
      <c r="AG10" t="e">
        <f>AND(#REF!,"AAAAAHf/vyA=")</f>
        <v>#REF!</v>
      </c>
      <c r="AH10" t="e">
        <f>AND(#REF!,"AAAAAHf/vyE=")</f>
        <v>#REF!</v>
      </c>
      <c r="AI10" t="e">
        <f>AND(#REF!,"AAAAAHf/vyI=")</f>
        <v>#REF!</v>
      </c>
      <c r="AJ10" t="e">
        <f>AND(#REF!,"AAAAAHf/vyM=")</f>
        <v>#REF!</v>
      </c>
      <c r="AK10" t="e">
        <f>IF(#REF!,"AAAAAHf/vyQ=",0)</f>
        <v>#REF!</v>
      </c>
      <c r="AL10" t="e">
        <f>AND(#REF!,"AAAAAHf/vyU=")</f>
        <v>#REF!</v>
      </c>
      <c r="AM10" t="e">
        <f>AND(#REF!,"AAAAAHf/vyY=")</f>
        <v>#REF!</v>
      </c>
      <c r="AN10" t="e">
        <f>AND(#REF!,"AAAAAHf/vyc=")</f>
        <v>#REF!</v>
      </c>
      <c r="AO10" t="e">
        <f>AND(#REF!,"AAAAAHf/vyg=")</f>
        <v>#REF!</v>
      </c>
      <c r="AP10" t="e">
        <f>AND(#REF!,"AAAAAHf/vyk=")</f>
        <v>#REF!</v>
      </c>
      <c r="AQ10" t="e">
        <f>IF(#REF!,"AAAAAHf/vyo=",0)</f>
        <v>#REF!</v>
      </c>
      <c r="AR10" t="e">
        <f>AND(#REF!,"AAAAAHf/vys=")</f>
        <v>#REF!</v>
      </c>
      <c r="AS10" t="e">
        <f>AND(#REF!,"AAAAAHf/vyw=")</f>
        <v>#REF!</v>
      </c>
      <c r="AT10" t="e">
        <f>AND(#REF!,"AAAAAHf/vy0=")</f>
        <v>#REF!</v>
      </c>
      <c r="AU10" t="e">
        <f>AND(#REF!,"AAAAAHf/vy4=")</f>
        <v>#REF!</v>
      </c>
      <c r="AV10" t="e">
        <f>AND(#REF!,"AAAAAHf/vy8=")</f>
        <v>#REF!</v>
      </c>
      <c r="AW10" t="e">
        <f>IF(#REF!,"AAAAAHf/vzA=",0)</f>
        <v>#REF!</v>
      </c>
      <c r="AX10" t="e">
        <f>AND(#REF!,"AAAAAHf/vzE=")</f>
        <v>#REF!</v>
      </c>
      <c r="AY10" t="e">
        <f>AND(#REF!,"AAAAAHf/vzI=")</f>
        <v>#REF!</v>
      </c>
      <c r="AZ10" t="e">
        <f>AND(#REF!,"AAAAAHf/vzM=")</f>
        <v>#REF!</v>
      </c>
      <c r="BA10" t="e">
        <f>AND(#REF!,"AAAAAHf/vzQ=")</f>
        <v>#REF!</v>
      </c>
      <c r="BB10" t="e">
        <f>AND(#REF!,"AAAAAHf/vzU=")</f>
        <v>#REF!</v>
      </c>
      <c r="BC10" t="e">
        <f>IF(#REF!,"AAAAAHf/vzY=",0)</f>
        <v>#REF!</v>
      </c>
      <c r="BD10" t="e">
        <f>AND(#REF!,"AAAAAHf/vzc=")</f>
        <v>#REF!</v>
      </c>
      <c r="BE10" t="e">
        <f>AND(#REF!,"AAAAAHf/vzg=")</f>
        <v>#REF!</v>
      </c>
      <c r="BF10" t="e">
        <f>AND(#REF!,"AAAAAHf/vzk=")</f>
        <v>#REF!</v>
      </c>
      <c r="BG10" t="e">
        <f>AND(#REF!,"AAAAAHf/vzo=")</f>
        <v>#REF!</v>
      </c>
      <c r="BH10" t="e">
        <f>AND(#REF!,"AAAAAHf/vzs=")</f>
        <v>#REF!</v>
      </c>
      <c r="BI10" t="e">
        <f>IF(#REF!,"AAAAAHf/vzw=",0)</f>
        <v>#REF!</v>
      </c>
      <c r="BJ10" t="e">
        <f>AND(#REF!,"AAAAAHf/vz0=")</f>
        <v>#REF!</v>
      </c>
      <c r="BK10" t="e">
        <f>AND(#REF!,"AAAAAHf/vz4=")</f>
        <v>#REF!</v>
      </c>
      <c r="BL10" t="e">
        <f>AND(#REF!,"AAAAAHf/vz8=")</f>
        <v>#REF!</v>
      </c>
      <c r="BM10" t="e">
        <f>AND(#REF!,"AAAAAHf/v0A=")</f>
        <v>#REF!</v>
      </c>
      <c r="BN10" t="e">
        <f>AND(#REF!,"AAAAAHf/v0E=")</f>
        <v>#REF!</v>
      </c>
      <c r="BO10" t="e">
        <f>IF(#REF!,"AAAAAHf/v0I=",0)</f>
        <v>#REF!</v>
      </c>
      <c r="BP10" t="e">
        <f>AND(#REF!,"AAAAAHf/v0M=")</f>
        <v>#REF!</v>
      </c>
      <c r="BQ10" t="e">
        <f>AND(#REF!,"AAAAAHf/v0Q=")</f>
        <v>#REF!</v>
      </c>
      <c r="BR10" t="e">
        <f>AND(#REF!,"AAAAAHf/v0U=")</f>
        <v>#REF!</v>
      </c>
      <c r="BS10" t="e">
        <f>AND(#REF!,"AAAAAHf/v0Y=")</f>
        <v>#REF!</v>
      </c>
      <c r="BT10" t="e">
        <f>AND(#REF!,"AAAAAHf/v0c=")</f>
        <v>#REF!</v>
      </c>
      <c r="BU10" t="e">
        <f>IF(#REF!,"AAAAAHf/v0g=",0)</f>
        <v>#REF!</v>
      </c>
      <c r="BV10" t="e">
        <f>AND(#REF!,"AAAAAHf/v0k=")</f>
        <v>#REF!</v>
      </c>
      <c r="BW10" t="e">
        <f>AND(#REF!,"AAAAAHf/v0o=")</f>
        <v>#REF!</v>
      </c>
      <c r="BX10" t="e">
        <f>AND(#REF!,"AAAAAHf/v0s=")</f>
        <v>#REF!</v>
      </c>
      <c r="BY10" t="e">
        <f>AND(#REF!,"AAAAAHf/v0w=")</f>
        <v>#REF!</v>
      </c>
      <c r="BZ10" t="e">
        <f>AND(#REF!,"AAAAAHf/v00=")</f>
        <v>#REF!</v>
      </c>
      <c r="CA10" t="e">
        <f>IF(#REF!,"AAAAAHf/v04=",0)</f>
        <v>#REF!</v>
      </c>
      <c r="CB10" t="e">
        <f>AND(#REF!,"AAAAAHf/v08=")</f>
        <v>#REF!</v>
      </c>
      <c r="CC10" t="e">
        <f>AND(#REF!,"AAAAAHf/v1A=")</f>
        <v>#REF!</v>
      </c>
      <c r="CD10" t="e">
        <f>AND(#REF!,"AAAAAHf/v1E=")</f>
        <v>#REF!</v>
      </c>
      <c r="CE10" t="e">
        <f>AND(#REF!,"AAAAAHf/v1I=")</f>
        <v>#REF!</v>
      </c>
      <c r="CF10" t="e">
        <f>AND(#REF!,"AAAAAHf/v1M=")</f>
        <v>#REF!</v>
      </c>
      <c r="CG10" t="e">
        <f>IF(#REF!,"AAAAAHf/v1Q=",0)</f>
        <v>#REF!</v>
      </c>
      <c r="CH10" t="e">
        <f>AND(#REF!,"AAAAAHf/v1U=")</f>
        <v>#REF!</v>
      </c>
      <c r="CI10" t="e">
        <f>AND(#REF!,"AAAAAHf/v1Y=")</f>
        <v>#REF!</v>
      </c>
      <c r="CJ10" t="e">
        <f>AND(#REF!,"AAAAAHf/v1c=")</f>
        <v>#REF!</v>
      </c>
      <c r="CK10" t="e">
        <f>AND(#REF!,"AAAAAHf/v1g=")</f>
        <v>#REF!</v>
      </c>
      <c r="CL10" t="e">
        <f>AND(#REF!,"AAAAAHf/v1k=")</f>
        <v>#REF!</v>
      </c>
      <c r="CM10" t="e">
        <f>IF(#REF!,"AAAAAHf/v1o=",0)</f>
        <v>#REF!</v>
      </c>
      <c r="CN10" t="e">
        <f>AND(#REF!,"AAAAAHf/v1s=")</f>
        <v>#REF!</v>
      </c>
      <c r="CO10" t="e">
        <f>AND(#REF!,"AAAAAHf/v1w=")</f>
        <v>#REF!</v>
      </c>
      <c r="CP10" t="e">
        <f>AND(#REF!,"AAAAAHf/v10=")</f>
        <v>#REF!</v>
      </c>
      <c r="CQ10" t="e">
        <f>AND(#REF!,"AAAAAHf/v14=")</f>
        <v>#REF!</v>
      </c>
      <c r="CR10" t="e">
        <f>AND(#REF!,"AAAAAHf/v18=")</f>
        <v>#REF!</v>
      </c>
      <c r="CS10" t="e">
        <f>IF(#REF!,"AAAAAHf/v2A=",0)</f>
        <v>#REF!</v>
      </c>
      <c r="CT10" t="e">
        <f>AND(#REF!,"AAAAAHf/v2E=")</f>
        <v>#REF!</v>
      </c>
      <c r="CU10" t="e">
        <f>AND(#REF!,"AAAAAHf/v2I=")</f>
        <v>#REF!</v>
      </c>
      <c r="CV10" t="e">
        <f>AND(#REF!,"AAAAAHf/v2M=")</f>
        <v>#REF!</v>
      </c>
      <c r="CW10" t="e">
        <f>AND(#REF!,"AAAAAHf/v2Q=")</f>
        <v>#REF!</v>
      </c>
      <c r="CX10" t="e">
        <f>AND(#REF!,"AAAAAHf/v2U=")</f>
        <v>#REF!</v>
      </c>
      <c r="CY10" t="e">
        <f>IF(#REF!,"AAAAAHf/v2Y=",0)</f>
        <v>#REF!</v>
      </c>
      <c r="CZ10" t="e">
        <f>AND(#REF!,"AAAAAHf/v2c=")</f>
        <v>#REF!</v>
      </c>
      <c r="DA10" t="e">
        <f>AND(#REF!,"AAAAAHf/v2g=")</f>
        <v>#REF!</v>
      </c>
      <c r="DB10" t="e">
        <f>AND(#REF!,"AAAAAHf/v2k=")</f>
        <v>#REF!</v>
      </c>
      <c r="DC10" t="e">
        <f>AND(#REF!,"AAAAAHf/v2o=")</f>
        <v>#REF!</v>
      </c>
      <c r="DD10" t="e">
        <f>AND(#REF!,"AAAAAHf/v2s=")</f>
        <v>#REF!</v>
      </c>
      <c r="DE10" t="e">
        <f>IF(#REF!,"AAAAAHf/v2w=",0)</f>
        <v>#REF!</v>
      </c>
      <c r="DF10" t="e">
        <f>AND(#REF!,"AAAAAHf/v20=")</f>
        <v>#REF!</v>
      </c>
      <c r="DG10" t="e">
        <f>AND(#REF!,"AAAAAHf/v24=")</f>
        <v>#REF!</v>
      </c>
      <c r="DH10" t="e">
        <f>AND(#REF!,"AAAAAHf/v28=")</f>
        <v>#REF!</v>
      </c>
      <c r="DI10" t="e">
        <f>AND(#REF!,"AAAAAHf/v3A=")</f>
        <v>#REF!</v>
      </c>
      <c r="DJ10" t="e">
        <f>AND(#REF!,"AAAAAHf/v3E=")</f>
        <v>#REF!</v>
      </c>
      <c r="DK10" t="e">
        <f>IF(#REF!,"AAAAAHf/v3I=",0)</f>
        <v>#REF!</v>
      </c>
      <c r="DL10" t="e">
        <f>AND(#REF!,"AAAAAHf/v3M=")</f>
        <v>#REF!</v>
      </c>
      <c r="DM10" t="e">
        <f>AND(#REF!,"AAAAAHf/v3Q=")</f>
        <v>#REF!</v>
      </c>
      <c r="DN10" t="e">
        <f>AND(#REF!,"AAAAAHf/v3U=")</f>
        <v>#REF!</v>
      </c>
      <c r="DO10" t="e">
        <f>AND(#REF!,"AAAAAHf/v3Y=")</f>
        <v>#REF!</v>
      </c>
      <c r="DP10" t="e">
        <f>AND(#REF!,"AAAAAHf/v3c=")</f>
        <v>#REF!</v>
      </c>
      <c r="DQ10" t="e">
        <f>IF(#REF!,"AAAAAHf/v3g=",0)</f>
        <v>#REF!</v>
      </c>
      <c r="DR10" t="e">
        <f>AND(#REF!,"AAAAAHf/v3k=")</f>
        <v>#REF!</v>
      </c>
      <c r="DS10" t="e">
        <f>AND(#REF!,"AAAAAHf/v3o=")</f>
        <v>#REF!</v>
      </c>
      <c r="DT10" t="e">
        <f>AND(#REF!,"AAAAAHf/v3s=")</f>
        <v>#REF!</v>
      </c>
      <c r="DU10" t="e">
        <f>AND(#REF!,"AAAAAHf/v3w=")</f>
        <v>#REF!</v>
      </c>
      <c r="DV10" t="e">
        <f>AND(#REF!,"AAAAAHf/v30=")</f>
        <v>#REF!</v>
      </c>
      <c r="DW10" t="e">
        <f>IF(#REF!,"AAAAAHf/v34=",0)</f>
        <v>#REF!</v>
      </c>
      <c r="DX10" t="e">
        <f>AND(#REF!,"AAAAAHf/v38=")</f>
        <v>#REF!</v>
      </c>
      <c r="DY10" t="e">
        <f>AND(#REF!,"AAAAAHf/v4A=")</f>
        <v>#REF!</v>
      </c>
      <c r="DZ10" t="e">
        <f>AND(#REF!,"AAAAAHf/v4E=")</f>
        <v>#REF!</v>
      </c>
      <c r="EA10" t="e">
        <f>AND(#REF!,"AAAAAHf/v4I=")</f>
        <v>#REF!</v>
      </c>
      <c r="EB10" t="e">
        <f>AND(#REF!,"AAAAAHf/v4M=")</f>
        <v>#REF!</v>
      </c>
      <c r="EC10" t="e">
        <f>IF(#REF!,"AAAAAHf/v4Q=",0)</f>
        <v>#REF!</v>
      </c>
      <c r="ED10" t="e">
        <f>AND(#REF!,"AAAAAHf/v4U=")</f>
        <v>#REF!</v>
      </c>
      <c r="EE10" t="e">
        <f>AND(#REF!,"AAAAAHf/v4Y=")</f>
        <v>#REF!</v>
      </c>
      <c r="EF10" t="e">
        <f>AND(#REF!,"AAAAAHf/v4c=")</f>
        <v>#REF!</v>
      </c>
      <c r="EG10" t="e">
        <f>AND(#REF!,"AAAAAHf/v4g=")</f>
        <v>#REF!</v>
      </c>
      <c r="EH10" t="e">
        <f>AND(#REF!,"AAAAAHf/v4k=")</f>
        <v>#REF!</v>
      </c>
      <c r="EI10" t="e">
        <f>IF(#REF!,"AAAAAHf/v4o=",0)</f>
        <v>#REF!</v>
      </c>
      <c r="EJ10" t="e">
        <f>AND(#REF!,"AAAAAHf/v4s=")</f>
        <v>#REF!</v>
      </c>
      <c r="EK10" t="e">
        <f>AND(#REF!,"AAAAAHf/v4w=")</f>
        <v>#REF!</v>
      </c>
      <c r="EL10" t="e">
        <f>AND(#REF!,"AAAAAHf/v40=")</f>
        <v>#REF!</v>
      </c>
      <c r="EM10" t="e">
        <f>AND(#REF!,"AAAAAHf/v44=")</f>
        <v>#REF!</v>
      </c>
      <c r="EN10" t="e">
        <f>AND(#REF!,"AAAAAHf/v48=")</f>
        <v>#REF!</v>
      </c>
      <c r="EO10" t="e">
        <f>IF(#REF!,"AAAAAHf/v5A=",0)</f>
        <v>#REF!</v>
      </c>
      <c r="EP10" t="e">
        <f>AND(#REF!,"AAAAAHf/v5E=")</f>
        <v>#REF!</v>
      </c>
      <c r="EQ10" t="e">
        <f>AND(#REF!,"AAAAAHf/v5I=")</f>
        <v>#REF!</v>
      </c>
      <c r="ER10" t="e">
        <f>AND(#REF!,"AAAAAHf/v5M=")</f>
        <v>#REF!</v>
      </c>
      <c r="ES10" t="e">
        <f>AND(#REF!,"AAAAAHf/v5Q=")</f>
        <v>#REF!</v>
      </c>
      <c r="ET10" t="e">
        <f>AND(#REF!,"AAAAAHf/v5U=")</f>
        <v>#REF!</v>
      </c>
      <c r="EU10" t="e">
        <f>IF(#REF!,"AAAAAHf/v5Y=",0)</f>
        <v>#REF!</v>
      </c>
      <c r="EV10" t="e">
        <f>AND(#REF!,"AAAAAHf/v5c=")</f>
        <v>#REF!</v>
      </c>
      <c r="EW10" t="e">
        <f>AND(#REF!,"AAAAAHf/v5g=")</f>
        <v>#REF!</v>
      </c>
      <c r="EX10" t="e">
        <f>AND(#REF!,"AAAAAHf/v5k=")</f>
        <v>#REF!</v>
      </c>
      <c r="EY10" t="e">
        <f>AND(#REF!,"AAAAAHf/v5o=")</f>
        <v>#REF!</v>
      </c>
      <c r="EZ10" t="e">
        <f>AND(#REF!,"AAAAAHf/v5s=")</f>
        <v>#REF!</v>
      </c>
      <c r="FA10" t="e">
        <f>IF(#REF!,"AAAAAHf/v5w=",0)</f>
        <v>#REF!</v>
      </c>
      <c r="FB10" t="e">
        <f>AND(#REF!,"AAAAAHf/v50=")</f>
        <v>#REF!</v>
      </c>
      <c r="FC10" t="e">
        <f>AND(#REF!,"AAAAAHf/v54=")</f>
        <v>#REF!</v>
      </c>
      <c r="FD10" t="e">
        <f>AND(#REF!,"AAAAAHf/v58=")</f>
        <v>#REF!</v>
      </c>
      <c r="FE10" t="e">
        <f>AND(#REF!,"AAAAAHf/v6A=")</f>
        <v>#REF!</v>
      </c>
      <c r="FF10" t="e">
        <f>AND(#REF!,"AAAAAHf/v6E=")</f>
        <v>#REF!</v>
      </c>
      <c r="FG10" t="e">
        <f>IF(#REF!,"AAAAAHf/v6I=",0)</f>
        <v>#REF!</v>
      </c>
      <c r="FH10" t="e">
        <f>AND(#REF!,"AAAAAHf/v6M=")</f>
        <v>#REF!</v>
      </c>
      <c r="FI10" t="e">
        <f>AND(#REF!,"AAAAAHf/v6Q=")</f>
        <v>#REF!</v>
      </c>
      <c r="FJ10" t="e">
        <f>AND(#REF!,"AAAAAHf/v6U=")</f>
        <v>#REF!</v>
      </c>
      <c r="FK10" t="e">
        <f>AND(#REF!,"AAAAAHf/v6Y=")</f>
        <v>#REF!</v>
      </c>
      <c r="FL10" t="e">
        <f>AND(#REF!,"AAAAAHf/v6c=")</f>
        <v>#REF!</v>
      </c>
      <c r="FM10" t="e">
        <f>IF(#REF!,"AAAAAHf/v6g=",0)</f>
        <v>#REF!</v>
      </c>
      <c r="FN10" t="e">
        <f>AND(#REF!,"AAAAAHf/v6k=")</f>
        <v>#REF!</v>
      </c>
      <c r="FO10" t="e">
        <f>AND(#REF!,"AAAAAHf/v6o=")</f>
        <v>#REF!</v>
      </c>
      <c r="FP10" t="e">
        <f>AND(#REF!,"AAAAAHf/v6s=")</f>
        <v>#REF!</v>
      </c>
      <c r="FQ10" t="e">
        <f>AND(#REF!,"AAAAAHf/v6w=")</f>
        <v>#REF!</v>
      </c>
      <c r="FR10" t="e">
        <f>AND(#REF!,"AAAAAHf/v60=")</f>
        <v>#REF!</v>
      </c>
      <c r="FS10" t="e">
        <f>IF(#REF!,"AAAAAHf/v64=",0)</f>
        <v>#REF!</v>
      </c>
      <c r="FT10" t="e">
        <f>AND(#REF!,"AAAAAHf/v68=")</f>
        <v>#REF!</v>
      </c>
      <c r="FU10" t="e">
        <f>AND(#REF!,"AAAAAHf/v7A=")</f>
        <v>#REF!</v>
      </c>
      <c r="FV10" t="e">
        <f>AND(#REF!,"AAAAAHf/v7E=")</f>
        <v>#REF!</v>
      </c>
      <c r="FW10" t="e">
        <f>AND(#REF!,"AAAAAHf/v7I=")</f>
        <v>#REF!</v>
      </c>
      <c r="FX10" t="e">
        <f>AND(#REF!,"AAAAAHf/v7M=")</f>
        <v>#REF!</v>
      </c>
      <c r="FY10" t="e">
        <f>IF(#REF!,"AAAAAHf/v7Q=",0)</f>
        <v>#REF!</v>
      </c>
      <c r="FZ10" t="e">
        <f>AND(#REF!,"AAAAAHf/v7U=")</f>
        <v>#REF!</v>
      </c>
      <c r="GA10" t="e">
        <f>AND(#REF!,"AAAAAHf/v7Y=")</f>
        <v>#REF!</v>
      </c>
      <c r="GB10" t="e">
        <f>AND(#REF!,"AAAAAHf/v7c=")</f>
        <v>#REF!</v>
      </c>
      <c r="GC10" t="e">
        <f>AND(#REF!,"AAAAAHf/v7g=")</f>
        <v>#REF!</v>
      </c>
      <c r="GD10" t="e">
        <f>AND(#REF!,"AAAAAHf/v7k=")</f>
        <v>#REF!</v>
      </c>
      <c r="GE10" t="e">
        <f>IF(#REF!,"AAAAAHf/v7o=",0)</f>
        <v>#REF!</v>
      </c>
      <c r="GF10" t="e">
        <f>AND(#REF!,"AAAAAHf/v7s=")</f>
        <v>#REF!</v>
      </c>
      <c r="GG10" t="e">
        <f>AND(#REF!,"AAAAAHf/v7w=")</f>
        <v>#REF!</v>
      </c>
      <c r="GH10" t="e">
        <f>AND(#REF!,"AAAAAHf/v70=")</f>
        <v>#REF!</v>
      </c>
      <c r="GI10" t="e">
        <f>AND(#REF!,"AAAAAHf/v74=")</f>
        <v>#REF!</v>
      </c>
      <c r="GJ10" t="e">
        <f>AND(#REF!,"AAAAAHf/v78=")</f>
        <v>#REF!</v>
      </c>
      <c r="GK10" t="e">
        <f>IF(#REF!,"AAAAAHf/v8A=",0)</f>
        <v>#REF!</v>
      </c>
      <c r="GL10" t="e">
        <f>AND(#REF!,"AAAAAHf/v8E=")</f>
        <v>#REF!</v>
      </c>
      <c r="GM10" t="e">
        <f>AND(#REF!,"AAAAAHf/v8I=")</f>
        <v>#REF!</v>
      </c>
      <c r="GN10" t="e">
        <f>AND(#REF!,"AAAAAHf/v8M=")</f>
        <v>#REF!</v>
      </c>
      <c r="GO10" t="e">
        <f>AND(#REF!,"AAAAAHf/v8Q=")</f>
        <v>#REF!</v>
      </c>
      <c r="GP10" t="e">
        <f>AND(#REF!,"AAAAAHf/v8U=")</f>
        <v>#REF!</v>
      </c>
      <c r="GQ10" t="e">
        <f>IF(#REF!,"AAAAAHf/v8Y=",0)</f>
        <v>#REF!</v>
      </c>
      <c r="GR10" t="e">
        <f>AND(#REF!,"AAAAAHf/v8c=")</f>
        <v>#REF!</v>
      </c>
      <c r="GS10" t="e">
        <f>AND(#REF!,"AAAAAHf/v8g=")</f>
        <v>#REF!</v>
      </c>
      <c r="GT10" t="e">
        <f>AND(#REF!,"AAAAAHf/v8k=")</f>
        <v>#REF!</v>
      </c>
      <c r="GU10" t="e">
        <f>AND(#REF!,"AAAAAHf/v8o=")</f>
        <v>#REF!</v>
      </c>
      <c r="GV10" t="e">
        <f>AND(#REF!,"AAAAAHf/v8s=")</f>
        <v>#REF!</v>
      </c>
      <c r="GW10" t="e">
        <f>IF(#REF!,"AAAAAHf/v8w=",0)</f>
        <v>#REF!</v>
      </c>
      <c r="GX10" t="e">
        <f>AND(#REF!,"AAAAAHf/v80=")</f>
        <v>#REF!</v>
      </c>
      <c r="GY10" t="e">
        <f>AND(#REF!,"AAAAAHf/v84=")</f>
        <v>#REF!</v>
      </c>
      <c r="GZ10" t="e">
        <f>AND(#REF!,"AAAAAHf/v88=")</f>
        <v>#REF!</v>
      </c>
      <c r="HA10" t="e">
        <f>AND(#REF!,"AAAAAHf/v9A=")</f>
        <v>#REF!</v>
      </c>
      <c r="HB10" t="e">
        <f>AND(#REF!,"AAAAAHf/v9E=")</f>
        <v>#REF!</v>
      </c>
      <c r="HC10" t="e">
        <f>IF(#REF!,"AAAAAHf/v9I=",0)</f>
        <v>#REF!</v>
      </c>
      <c r="HD10" t="e">
        <f>AND(#REF!,"AAAAAHf/v9M=")</f>
        <v>#REF!</v>
      </c>
      <c r="HE10" t="e">
        <f>AND(#REF!,"AAAAAHf/v9Q=")</f>
        <v>#REF!</v>
      </c>
      <c r="HF10" t="e">
        <f>AND(#REF!,"AAAAAHf/v9U=")</f>
        <v>#REF!</v>
      </c>
      <c r="HG10" t="e">
        <f>AND(#REF!,"AAAAAHf/v9Y=")</f>
        <v>#REF!</v>
      </c>
      <c r="HH10" t="e">
        <f>AND(#REF!,"AAAAAHf/v9c=")</f>
        <v>#REF!</v>
      </c>
      <c r="HI10" t="e">
        <f>IF(#REF!,"AAAAAHf/v9g=",0)</f>
        <v>#REF!</v>
      </c>
      <c r="HJ10" t="e">
        <f>AND(#REF!,"AAAAAHf/v9k=")</f>
        <v>#REF!</v>
      </c>
      <c r="HK10" t="e">
        <f>AND(#REF!,"AAAAAHf/v9o=")</f>
        <v>#REF!</v>
      </c>
      <c r="HL10" t="e">
        <f>AND(#REF!,"AAAAAHf/v9s=")</f>
        <v>#REF!</v>
      </c>
      <c r="HM10" t="e">
        <f>AND(#REF!,"AAAAAHf/v9w=")</f>
        <v>#REF!</v>
      </c>
      <c r="HN10" t="e">
        <f>AND(#REF!,"AAAAAHf/v90=")</f>
        <v>#REF!</v>
      </c>
      <c r="HO10" t="e">
        <f>IF(#REF!,"AAAAAHf/v94=",0)</f>
        <v>#REF!</v>
      </c>
      <c r="HP10" t="e">
        <f>AND(#REF!,"AAAAAHf/v98=")</f>
        <v>#REF!</v>
      </c>
      <c r="HQ10" t="e">
        <f>AND(#REF!,"AAAAAHf/v+A=")</f>
        <v>#REF!</v>
      </c>
      <c r="HR10" t="e">
        <f>AND(#REF!,"AAAAAHf/v+E=")</f>
        <v>#REF!</v>
      </c>
      <c r="HS10" t="e">
        <f>AND(#REF!,"AAAAAHf/v+I=")</f>
        <v>#REF!</v>
      </c>
      <c r="HT10" t="e">
        <f>AND(#REF!,"AAAAAHf/v+M=")</f>
        <v>#REF!</v>
      </c>
      <c r="HU10" t="e">
        <f>IF(#REF!,"AAAAAHf/v+Q=",0)</f>
        <v>#REF!</v>
      </c>
      <c r="HV10" t="e">
        <f>AND(#REF!,"AAAAAHf/v+U=")</f>
        <v>#REF!</v>
      </c>
      <c r="HW10" t="e">
        <f>AND(#REF!,"AAAAAHf/v+Y=")</f>
        <v>#REF!</v>
      </c>
      <c r="HX10" t="e">
        <f>AND(#REF!,"AAAAAHf/v+c=")</f>
        <v>#REF!</v>
      </c>
      <c r="HY10" t="e">
        <f>AND(#REF!,"AAAAAHf/v+g=")</f>
        <v>#REF!</v>
      </c>
      <c r="HZ10" t="e">
        <f>AND(#REF!,"AAAAAHf/v+k=")</f>
        <v>#REF!</v>
      </c>
      <c r="IA10" t="e">
        <f>IF(#REF!,"AAAAAHf/v+o=",0)</f>
        <v>#REF!</v>
      </c>
      <c r="IB10" t="e">
        <f>AND(#REF!,"AAAAAHf/v+s=")</f>
        <v>#REF!</v>
      </c>
      <c r="IC10" t="e">
        <f>AND(#REF!,"AAAAAHf/v+w=")</f>
        <v>#REF!</v>
      </c>
      <c r="ID10" t="e">
        <f>AND(#REF!,"AAAAAHf/v+0=")</f>
        <v>#REF!</v>
      </c>
      <c r="IE10" t="e">
        <f>AND(#REF!,"AAAAAHf/v+4=")</f>
        <v>#REF!</v>
      </c>
      <c r="IF10" t="e">
        <f>AND(#REF!,"AAAAAHf/v+8=")</f>
        <v>#REF!</v>
      </c>
      <c r="IG10" t="e">
        <f>IF(#REF!,"AAAAAHf/v/A=",0)</f>
        <v>#REF!</v>
      </c>
      <c r="IH10" t="e">
        <f>AND(#REF!,"AAAAAHf/v/E=")</f>
        <v>#REF!</v>
      </c>
      <c r="II10" t="e">
        <f>AND(#REF!,"AAAAAHf/v/I=")</f>
        <v>#REF!</v>
      </c>
      <c r="IJ10" t="e">
        <f>AND(#REF!,"AAAAAHf/v/M=")</f>
        <v>#REF!</v>
      </c>
      <c r="IK10" t="e">
        <f>AND(#REF!,"AAAAAHf/v/Q=")</f>
        <v>#REF!</v>
      </c>
      <c r="IL10" t="e">
        <f>AND(#REF!,"AAAAAHf/v/U=")</f>
        <v>#REF!</v>
      </c>
      <c r="IM10" t="e">
        <f>IF(#REF!,"AAAAAHf/v/Y=",0)</f>
        <v>#REF!</v>
      </c>
      <c r="IN10" t="e">
        <f>AND(#REF!,"AAAAAHf/v/c=")</f>
        <v>#REF!</v>
      </c>
      <c r="IO10" t="e">
        <f>AND(#REF!,"AAAAAHf/v/g=")</f>
        <v>#REF!</v>
      </c>
      <c r="IP10" t="e">
        <f>AND(#REF!,"AAAAAHf/v/k=")</f>
        <v>#REF!</v>
      </c>
      <c r="IQ10" t="e">
        <f>AND(#REF!,"AAAAAHf/v/o=")</f>
        <v>#REF!</v>
      </c>
      <c r="IR10" t="e">
        <f>AND(#REF!,"AAAAAHf/v/s=")</f>
        <v>#REF!</v>
      </c>
      <c r="IS10" t="e">
        <f>IF(#REF!,"AAAAAHf/v/w=",0)</f>
        <v>#REF!</v>
      </c>
      <c r="IT10" t="e">
        <f>AND(#REF!,"AAAAAHf/v/0=")</f>
        <v>#REF!</v>
      </c>
      <c r="IU10" t="e">
        <f>AND(#REF!,"AAAAAHf/v/4=")</f>
        <v>#REF!</v>
      </c>
      <c r="IV10" t="e">
        <f>AND(#REF!,"AAAAAHf/v/8=")</f>
        <v>#REF!</v>
      </c>
    </row>
    <row r="11" spans="1:256">
      <c r="A11" t="e">
        <f>AND(#REF!,"AAAAAH9y/wA=")</f>
        <v>#REF!</v>
      </c>
      <c r="B11" t="e">
        <f>AND(#REF!,"AAAAAH9y/wE=")</f>
        <v>#REF!</v>
      </c>
      <c r="C11" t="e">
        <f>IF(#REF!,"AAAAAH9y/wI=",0)</f>
        <v>#REF!</v>
      </c>
      <c r="D11" t="e">
        <f>AND(#REF!,"AAAAAH9y/wM=")</f>
        <v>#REF!</v>
      </c>
      <c r="E11" t="e">
        <f>AND(#REF!,"AAAAAH9y/wQ=")</f>
        <v>#REF!</v>
      </c>
      <c r="F11" t="e">
        <f>AND(#REF!,"AAAAAH9y/wU=")</f>
        <v>#REF!</v>
      </c>
      <c r="G11" t="e">
        <f>AND(#REF!,"AAAAAH9y/wY=")</f>
        <v>#REF!</v>
      </c>
      <c r="H11" t="e">
        <f>AND(#REF!,"AAAAAH9y/wc=")</f>
        <v>#REF!</v>
      </c>
      <c r="I11" t="e">
        <f>IF(#REF!,"AAAAAH9y/wg=",0)</f>
        <v>#REF!</v>
      </c>
      <c r="J11" t="e">
        <f>AND(#REF!,"AAAAAH9y/wk=")</f>
        <v>#REF!</v>
      </c>
      <c r="K11" t="e">
        <f>AND(#REF!,"AAAAAH9y/wo=")</f>
        <v>#REF!</v>
      </c>
      <c r="L11" t="e">
        <f>AND(#REF!,"AAAAAH9y/ws=")</f>
        <v>#REF!</v>
      </c>
      <c r="M11" t="e">
        <f>AND(#REF!,"AAAAAH9y/ww=")</f>
        <v>#REF!</v>
      </c>
      <c r="N11" t="e">
        <f>AND(#REF!,"AAAAAH9y/w0=")</f>
        <v>#REF!</v>
      </c>
      <c r="O11" t="e">
        <f>IF(#REF!,"AAAAAH9y/w4=",0)</f>
        <v>#REF!</v>
      </c>
      <c r="P11" t="e">
        <f>AND(#REF!,"AAAAAH9y/w8=")</f>
        <v>#REF!</v>
      </c>
      <c r="Q11" t="e">
        <f>AND(#REF!,"AAAAAH9y/xA=")</f>
        <v>#REF!</v>
      </c>
      <c r="R11" t="e">
        <f>AND(#REF!,"AAAAAH9y/xE=")</f>
        <v>#REF!</v>
      </c>
      <c r="S11" t="e">
        <f>AND(#REF!,"AAAAAH9y/xI=")</f>
        <v>#REF!</v>
      </c>
      <c r="T11" t="e">
        <f>AND(#REF!,"AAAAAH9y/xM=")</f>
        <v>#REF!</v>
      </c>
      <c r="U11" t="e">
        <f>IF(#REF!,"AAAAAH9y/xQ=",0)</f>
        <v>#REF!</v>
      </c>
      <c r="V11" t="e">
        <f>AND(#REF!,"AAAAAH9y/xU=")</f>
        <v>#REF!</v>
      </c>
      <c r="W11" t="e">
        <f>AND(#REF!,"AAAAAH9y/xY=")</f>
        <v>#REF!</v>
      </c>
      <c r="X11" t="e">
        <f>AND(#REF!,"AAAAAH9y/xc=")</f>
        <v>#REF!</v>
      </c>
      <c r="Y11" t="e">
        <f>AND(#REF!,"AAAAAH9y/xg=")</f>
        <v>#REF!</v>
      </c>
      <c r="Z11" t="e">
        <f>AND(#REF!,"AAAAAH9y/xk=")</f>
        <v>#REF!</v>
      </c>
      <c r="AA11" t="e">
        <f>IF(#REF!,"AAAAAH9y/xo=",0)</f>
        <v>#REF!</v>
      </c>
      <c r="AB11" t="e">
        <f>AND(#REF!,"AAAAAH9y/xs=")</f>
        <v>#REF!</v>
      </c>
      <c r="AC11" t="e">
        <f>AND(#REF!,"AAAAAH9y/xw=")</f>
        <v>#REF!</v>
      </c>
      <c r="AD11" t="e">
        <f>AND(#REF!,"AAAAAH9y/x0=")</f>
        <v>#REF!</v>
      </c>
      <c r="AE11" t="e">
        <f>AND(#REF!,"AAAAAH9y/x4=")</f>
        <v>#REF!</v>
      </c>
      <c r="AF11" t="e">
        <f>AND(#REF!,"AAAAAH9y/x8=")</f>
        <v>#REF!</v>
      </c>
      <c r="AG11" t="e">
        <f>IF(#REF!,"AAAAAH9y/yA=",0)</f>
        <v>#REF!</v>
      </c>
      <c r="AH11" t="e">
        <f>AND(#REF!,"AAAAAH9y/yE=")</f>
        <v>#REF!</v>
      </c>
      <c r="AI11" t="e">
        <f>AND(#REF!,"AAAAAH9y/yI=")</f>
        <v>#REF!</v>
      </c>
      <c r="AJ11" t="e">
        <f>AND(#REF!,"AAAAAH9y/yM=")</f>
        <v>#REF!</v>
      </c>
      <c r="AK11" t="e">
        <f>AND(#REF!,"AAAAAH9y/yQ=")</f>
        <v>#REF!</v>
      </c>
      <c r="AL11" t="e">
        <f>AND(#REF!,"AAAAAH9y/yU=")</f>
        <v>#REF!</v>
      </c>
      <c r="AM11" t="e">
        <f>IF(#REF!,"AAAAAH9y/yY=",0)</f>
        <v>#REF!</v>
      </c>
      <c r="AN11" t="e">
        <f>IF(#REF!,"AAAAAH9y/yc=",0)</f>
        <v>#REF!</v>
      </c>
      <c r="AO11" t="e">
        <f>IF(#REF!,"AAAAAH9y/yg=",0)</f>
        <v>#REF!</v>
      </c>
      <c r="AP11" t="e">
        <f>IF(#REF!,"AAAAAH9y/yk=",0)</f>
        <v>#REF!</v>
      </c>
      <c r="AQ11" t="e">
        <f>IF(#REF!,"AAAAAH9y/yo=",0)</f>
        <v>#REF!</v>
      </c>
      <c r="AR11" s="1" t="s">
        <v>35</v>
      </c>
      <c r="AS11" t="s">
        <v>36</v>
      </c>
      <c r="AT11" s="2" t="s">
        <v>37</v>
      </c>
      <c r="AU11" t="e">
        <f>IF("N",[0]!__PA3,"AAAAAH9y/y4=")</f>
        <v>#VALUE!</v>
      </c>
      <c r="AV11" t="e">
        <f>IF("N",__PA3,"AAAAAH9y/y8=")</f>
        <v>#VALUE!</v>
      </c>
      <c r="AW11" t="e">
        <f>IF("N",[0]!_a1,"AAAAAH9y/zA=")</f>
        <v>#VALUE!</v>
      </c>
      <c r="AX11" t="e">
        <f>IF("N",_a1,"AAAAAH9y/zE=")</f>
        <v>#VALUE!</v>
      </c>
      <c r="AY11" t="e">
        <f>IF("N",_Fill,"AAAAAH9y/zI=")</f>
        <v>#VALUE!</v>
      </c>
      <c r="AZ11" t="e">
        <f>IF("N",[0]!_xlnm._FilterDatabase,"AAAAAH9y/zM=")</f>
        <v>#VALUE!</v>
      </c>
      <c r="BA11" t="e">
        <f>IF("N",[0]!_xlnm._FilterDatabase,"AAAAAH9y/zQ=")</f>
        <v>#VALUE!</v>
      </c>
      <c r="BB11" t="e">
        <f>IF("N",_Key1,"AAAAAH9y/zU=")</f>
        <v>#VALUE!</v>
      </c>
      <c r="BC11" t="e">
        <f>IF("N",_Key2,"AAAAAH9y/zY=")</f>
        <v>#VALUE!</v>
      </c>
      <c r="BD11" t="e">
        <f>IF("N",_Order1,"AAAAAH9y/zc=")</f>
        <v>#VALUE!</v>
      </c>
      <c r="BE11" t="e">
        <f>IF("N",_Order2,"AAAAAH9y/zg=")</f>
        <v>#VALUE!</v>
      </c>
      <c r="BF11" t="e">
        <f>IF("N",[0]!_PA3,"AAAAAH9y/zk=")</f>
        <v>#VALUE!</v>
      </c>
      <c r="BG11" t="e">
        <f>IF("N",_PA3,"AAAAAH9y/zo=")</f>
        <v>#VALUE!</v>
      </c>
      <c r="BH11" t="e">
        <f>IF("N",_Sort,"AAAAAH9y/zs=")</f>
        <v>#VALUE!</v>
      </c>
      <c r="BI11" t="e">
        <f>IF("N",[0]!_SU15,"AAAAAH9y/zw=")</f>
        <v>#VALUE!</v>
      </c>
      <c r="BJ11" t="e">
        <f>IF("N",_SU15,"AAAAAH9y/z0=")</f>
        <v>#VALUE!</v>
      </c>
      <c r="BK11" t="e">
        <f>IF("N",[0]!CTCT1,"AAAAAH9y/z4=")</f>
        <v>#VALUE!</v>
      </c>
      <c r="BL11" t="e">
        <f>IF("N",CTCT1,"AAAAAH9y/z8=")</f>
        <v>#VALUE!</v>
      </c>
      <c r="BM11" t="e">
        <f>IF("N",[0]!h,"AAAAAH9y/0A=")</f>
        <v>#VALUE!</v>
      </c>
      <c r="BN11" t="e">
        <f>IF("N",h,"AAAAAH9y/0E=")</f>
        <v>#VALUE!</v>
      </c>
      <c r="BO11" t="e">
        <f>IF("N",HTML_CodePage,"AAAAAH9y/0I=")</f>
        <v>#VALUE!</v>
      </c>
      <c r="BP11" t="e">
        <f>IF("N",[0]!HTML_Control,"AAAAAH9y/0M=")</f>
        <v>#VALUE!</v>
      </c>
      <c r="BQ11" t="e">
        <f>IF("N",HTML_Control,"AAAAAH9y/0Q=")</f>
        <v>#VALUE!</v>
      </c>
      <c r="BR11" t="e">
        <f>IF("N",HTML_Description,"AAAAAH9y/0U=")</f>
        <v>#VALUE!</v>
      </c>
      <c r="BS11" t="e">
        <f>IF("N",HTML_Email,"AAAAAH9y/0Y=")</f>
        <v>#VALUE!</v>
      </c>
      <c r="BT11" t="e">
        <f>IF("N",HTML_Header,"AAAAAH9y/0c=")</f>
        <v>#VALUE!</v>
      </c>
      <c r="BU11" t="e">
        <f>IF("N",HTML_LastUpdate,"AAAAAH9y/0g=")</f>
        <v>#VALUE!</v>
      </c>
      <c r="BV11" t="e">
        <f>IF("N",HTML_LineAfter,"AAAAAH9y/0k=")</f>
        <v>#VALUE!</v>
      </c>
      <c r="BW11" t="e">
        <f>IF("N",HTML_LineBefore,"AAAAAH9y/0o=")</f>
        <v>#VALUE!</v>
      </c>
      <c r="BX11" t="e">
        <f>IF("N",HTML_Name,"AAAAAH9y/0s=")</f>
        <v>#VALUE!</v>
      </c>
      <c r="BY11" t="e">
        <f>IF("N",HTML_OBDlg2,"AAAAAH9y/0w=")</f>
        <v>#VALUE!</v>
      </c>
      <c r="BZ11" t="e">
        <f>IF("N",HTML_OBDlg4,"AAAAAH9y/00=")</f>
        <v>#VALUE!</v>
      </c>
      <c r="CA11" t="e">
        <f>IF("N",HTML_OS,"AAAAAH9y/04=")</f>
        <v>#VALUE!</v>
      </c>
      <c r="CB11" t="e">
        <f>IF("N",HTML_PathFile,"AAAAAH9y/08=")</f>
        <v>#VALUE!</v>
      </c>
      <c r="CC11" t="e">
        <f>IF("N",HTML_Title,"AAAAAH9y/1A=")</f>
        <v>#VALUE!</v>
      </c>
      <c r="CD11" t="e">
        <f>IF("N",[0]!huy,"AAAAAH9y/1E=")</f>
        <v>#VALUE!</v>
      </c>
      <c r="CE11" t="e">
        <f>IF("N",huy,"AAAAAH9y/1I=")</f>
        <v>#VALUE!</v>
      </c>
      <c r="CF11" t="e">
        <f>IF("N",[0]!_xlnm.Print_Area,"AAAAAH9y/1M=")</f>
        <v>#VALUE!</v>
      </c>
      <c r="CG11" t="e">
        <f>IF("N",[0]!wrn.chi._.tiÆt.,"AAAAAH9y/1Q=")</f>
        <v>#VALUE!</v>
      </c>
      <c r="CH11" t="e">
        <f>IF("N",wrn.chi._.tiÆt.,"AAAAAH9y/1U=")</f>
        <v>#VALUE!</v>
      </c>
    </row>
  </sheetData>
  <phoneticPr fontId="1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showGridLines="0" tabSelected="1" topLeftCell="B1" zoomScale="90" zoomScaleNormal="90" zoomScaleSheetLayoutView="90" workbookViewId="0">
      <pane ySplit="5" topLeftCell="A11" activePane="bottomLeft" state="frozen"/>
      <selection pane="bottomLeft" activeCell="C13" sqref="C13"/>
    </sheetView>
  </sheetViews>
  <sheetFormatPr defaultColWidth="9.140625" defaultRowHeight="15"/>
  <cols>
    <col min="1" max="1" width="7" style="5" hidden="1" customWidth="1"/>
    <col min="2" max="2" width="11.5703125" style="5" customWidth="1"/>
    <col min="3" max="3" width="18" style="5" customWidth="1"/>
    <col min="4" max="4" width="18.42578125" style="5" customWidth="1"/>
    <col min="5" max="5" width="41.5703125" style="5" customWidth="1"/>
    <col min="6" max="6" width="22.85546875" style="5" customWidth="1"/>
    <col min="7" max="7" width="23.5703125" style="5" customWidth="1"/>
    <col min="8" max="8" width="18" style="49" hidden="1" customWidth="1"/>
    <col min="9" max="16384" width="9.140625" style="5"/>
  </cols>
  <sheetData>
    <row r="2" spans="1:8">
      <c r="A2" s="14"/>
      <c r="B2" s="15" t="s">
        <v>172</v>
      </c>
      <c r="C2" s="14"/>
      <c r="D2" s="14"/>
      <c r="E2" s="14"/>
      <c r="F2" s="14"/>
      <c r="G2" s="14"/>
    </row>
    <row r="3" spans="1:8">
      <c r="A3" s="14"/>
      <c r="B3" s="14" t="s">
        <v>156</v>
      </c>
      <c r="C3" s="14"/>
      <c r="D3" s="14"/>
      <c r="E3" s="14"/>
      <c r="F3" s="14"/>
      <c r="G3" s="14"/>
    </row>
    <row r="4" spans="1:8">
      <c r="A4" s="14"/>
      <c r="B4" s="14"/>
      <c r="C4" s="14"/>
      <c r="D4" s="14"/>
      <c r="E4" s="14"/>
      <c r="F4" s="14"/>
      <c r="G4" s="14"/>
    </row>
    <row r="5" spans="1:8" s="6" customFormat="1" ht="72.75" customHeight="1">
      <c r="A5" s="67" t="s">
        <v>87</v>
      </c>
      <c r="B5" s="68" t="s">
        <v>88</v>
      </c>
      <c r="C5" s="68" t="s">
        <v>0</v>
      </c>
      <c r="D5" s="68" t="s">
        <v>89</v>
      </c>
      <c r="E5" s="68" t="s">
        <v>90</v>
      </c>
      <c r="F5" s="69" t="s">
        <v>91</v>
      </c>
      <c r="G5" s="70" t="s">
        <v>92</v>
      </c>
      <c r="H5" s="48" t="s">
        <v>71</v>
      </c>
    </row>
    <row r="6" spans="1:8" ht="96">
      <c r="A6" s="52" t="s">
        <v>2</v>
      </c>
      <c r="B6" s="52" t="s">
        <v>1</v>
      </c>
      <c r="C6" s="52" t="s">
        <v>40</v>
      </c>
      <c r="D6" s="53" t="s">
        <v>3</v>
      </c>
      <c r="E6" s="53" t="s">
        <v>41</v>
      </c>
      <c r="F6" s="52" t="s">
        <v>42</v>
      </c>
      <c r="G6" s="52" t="s">
        <v>93</v>
      </c>
      <c r="H6" s="49" t="s">
        <v>29</v>
      </c>
    </row>
    <row r="7" spans="1:8" ht="60">
      <c r="A7" s="52" t="s">
        <v>4</v>
      </c>
      <c r="B7" s="52" t="s">
        <v>1</v>
      </c>
      <c r="C7" s="52" t="s">
        <v>43</v>
      </c>
      <c r="D7" s="53" t="s">
        <v>5</v>
      </c>
      <c r="E7" s="54" t="s">
        <v>44</v>
      </c>
      <c r="F7" s="52" t="s">
        <v>6</v>
      </c>
      <c r="G7" s="52" t="s">
        <v>94</v>
      </c>
      <c r="H7" s="49" t="s">
        <v>29</v>
      </c>
    </row>
    <row r="8" spans="1:8" ht="96">
      <c r="A8" s="52" t="s">
        <v>7</v>
      </c>
      <c r="B8" s="52" t="s">
        <v>1</v>
      </c>
      <c r="C8" s="52" t="s">
        <v>8</v>
      </c>
      <c r="D8" s="53" t="s">
        <v>9</v>
      </c>
      <c r="E8" s="53" t="s">
        <v>45</v>
      </c>
      <c r="F8" s="52" t="s">
        <v>10</v>
      </c>
      <c r="G8" s="52" t="s">
        <v>93</v>
      </c>
      <c r="H8" s="49" t="s">
        <v>29</v>
      </c>
    </row>
    <row r="9" spans="1:8" ht="96">
      <c r="A9" s="52" t="s">
        <v>11</v>
      </c>
      <c r="B9" s="52" t="s">
        <v>1</v>
      </c>
      <c r="C9" s="52" t="s">
        <v>12</v>
      </c>
      <c r="D9" s="53" t="s">
        <v>13</v>
      </c>
      <c r="E9" s="53" t="s">
        <v>14</v>
      </c>
      <c r="F9" s="52" t="s">
        <v>10</v>
      </c>
      <c r="G9" s="52" t="s">
        <v>93</v>
      </c>
      <c r="H9" s="49" t="s">
        <v>29</v>
      </c>
    </row>
    <row r="10" spans="1:8" ht="96">
      <c r="A10" s="55" t="s">
        <v>15</v>
      </c>
      <c r="B10" s="55" t="s">
        <v>16</v>
      </c>
      <c r="C10" s="55" t="s">
        <v>46</v>
      </c>
      <c r="D10" s="56" t="s">
        <v>47</v>
      </c>
      <c r="E10" s="57" t="s">
        <v>48</v>
      </c>
      <c r="F10" s="55" t="s">
        <v>49</v>
      </c>
      <c r="G10" s="52" t="s">
        <v>93</v>
      </c>
      <c r="H10" s="49" t="s">
        <v>72</v>
      </c>
    </row>
    <row r="11" spans="1:8" ht="96">
      <c r="A11" s="55" t="s">
        <v>17</v>
      </c>
      <c r="B11" s="55" t="s">
        <v>16</v>
      </c>
      <c r="C11" s="55" t="s">
        <v>18</v>
      </c>
      <c r="D11" s="56" t="s">
        <v>50</v>
      </c>
      <c r="E11" s="55" t="s">
        <v>51</v>
      </c>
      <c r="F11" s="55" t="s">
        <v>19</v>
      </c>
      <c r="G11" s="52" t="s">
        <v>93</v>
      </c>
      <c r="H11" s="50" t="s">
        <v>78</v>
      </c>
    </row>
    <row r="12" spans="1:8" ht="98.25" customHeight="1">
      <c r="A12" s="52" t="s">
        <v>23</v>
      </c>
      <c r="B12" s="55" t="s">
        <v>22</v>
      </c>
      <c r="C12" s="55" t="s">
        <v>24</v>
      </c>
      <c r="D12" s="56" t="s">
        <v>173</v>
      </c>
      <c r="E12" s="52" t="s">
        <v>174</v>
      </c>
      <c r="F12" s="55" t="s">
        <v>25</v>
      </c>
      <c r="G12" s="58" t="s">
        <v>95</v>
      </c>
      <c r="H12" s="49" t="s">
        <v>79</v>
      </c>
    </row>
    <row r="13" spans="1:8" ht="60">
      <c r="A13" s="84" t="s">
        <v>26</v>
      </c>
      <c r="B13" s="84" t="s">
        <v>16</v>
      </c>
      <c r="C13" s="84" t="s">
        <v>20</v>
      </c>
      <c r="D13" s="85" t="s">
        <v>176</v>
      </c>
      <c r="E13" s="84" t="s">
        <v>52</v>
      </c>
      <c r="F13" s="84" t="s">
        <v>21</v>
      </c>
      <c r="G13" s="86" t="s">
        <v>177</v>
      </c>
      <c r="H13" s="49" t="s">
        <v>31</v>
      </c>
    </row>
    <row r="14" spans="1:8" ht="131.25" customHeight="1">
      <c r="A14" s="52" t="s">
        <v>133</v>
      </c>
      <c r="B14" s="73" t="s">
        <v>22</v>
      </c>
      <c r="C14" s="74" t="s">
        <v>178</v>
      </c>
      <c r="D14" s="75" t="s">
        <v>134</v>
      </c>
      <c r="E14" s="76" t="s">
        <v>155</v>
      </c>
      <c r="F14" s="75" t="s">
        <v>175</v>
      </c>
      <c r="G14" s="58" t="s">
        <v>95</v>
      </c>
      <c r="H14" s="50" t="s">
        <v>74</v>
      </c>
    </row>
    <row r="15" spans="1:8" ht="96">
      <c r="A15" s="52" t="s">
        <v>135</v>
      </c>
      <c r="B15" s="55" t="s">
        <v>27</v>
      </c>
      <c r="C15" s="77" t="s">
        <v>136</v>
      </c>
      <c r="D15" s="56" t="s">
        <v>137</v>
      </c>
      <c r="E15" s="76" t="s">
        <v>155</v>
      </c>
      <c r="F15" s="55" t="s">
        <v>54</v>
      </c>
      <c r="G15" s="59" t="s">
        <v>96</v>
      </c>
      <c r="H15" s="49" t="s">
        <v>80</v>
      </c>
    </row>
    <row r="16" spans="1:8" ht="132">
      <c r="A16" s="52" t="s">
        <v>138</v>
      </c>
      <c r="B16" s="55" t="s">
        <v>27</v>
      </c>
      <c r="C16" s="55" t="s">
        <v>139</v>
      </c>
      <c r="D16" s="56" t="s">
        <v>140</v>
      </c>
      <c r="E16" s="55" t="s">
        <v>157</v>
      </c>
      <c r="F16" s="55" t="s">
        <v>54</v>
      </c>
      <c r="G16" s="59" t="s">
        <v>96</v>
      </c>
      <c r="H16" s="50" t="s">
        <v>75</v>
      </c>
    </row>
    <row r="17" spans="1:8" ht="96">
      <c r="A17" s="52" t="s">
        <v>141</v>
      </c>
      <c r="B17" s="73" t="s">
        <v>27</v>
      </c>
      <c r="C17" s="74" t="s">
        <v>158</v>
      </c>
      <c r="D17" s="75" t="s">
        <v>142</v>
      </c>
      <c r="E17" s="78" t="s">
        <v>165</v>
      </c>
      <c r="F17" s="75" t="s">
        <v>143</v>
      </c>
      <c r="G17" s="75" t="s">
        <v>144</v>
      </c>
      <c r="H17" s="50" t="s">
        <v>76</v>
      </c>
    </row>
    <row r="18" spans="1:8" s="7" customFormat="1" ht="96">
      <c r="A18" s="59" t="s">
        <v>145</v>
      </c>
      <c r="B18" s="73" t="s">
        <v>27</v>
      </c>
      <c r="C18" s="74" t="s">
        <v>146</v>
      </c>
      <c r="D18" s="75" t="s">
        <v>147</v>
      </c>
      <c r="E18" s="76" t="s">
        <v>162</v>
      </c>
      <c r="F18" s="75" t="s">
        <v>148</v>
      </c>
      <c r="G18" s="75" t="s">
        <v>144</v>
      </c>
      <c r="H18" s="51" t="s">
        <v>77</v>
      </c>
    </row>
    <row r="19" spans="1:8" ht="96">
      <c r="A19" s="59" t="s">
        <v>149</v>
      </c>
      <c r="B19" s="61" t="s">
        <v>27</v>
      </c>
      <c r="C19" s="61" t="s">
        <v>28</v>
      </c>
      <c r="D19" s="60" t="s">
        <v>53</v>
      </c>
      <c r="E19" s="80" t="s">
        <v>163</v>
      </c>
      <c r="F19" s="55" t="s">
        <v>97</v>
      </c>
      <c r="G19" s="75" t="s">
        <v>144</v>
      </c>
      <c r="H19" s="50" t="s">
        <v>77</v>
      </c>
    </row>
    <row r="20" spans="1:8" ht="60">
      <c r="A20" s="59" t="s">
        <v>167</v>
      </c>
      <c r="B20" s="61" t="s">
        <v>27</v>
      </c>
      <c r="C20" s="79" t="s">
        <v>159</v>
      </c>
      <c r="D20" s="79" t="s">
        <v>159</v>
      </c>
      <c r="E20" s="80" t="s">
        <v>161</v>
      </c>
      <c r="F20" s="55" t="s">
        <v>160</v>
      </c>
      <c r="G20" s="76" t="s">
        <v>95</v>
      </c>
    </row>
    <row r="21" spans="1:8" ht="72">
      <c r="A21" s="52" t="s">
        <v>168</v>
      </c>
      <c r="B21" s="52" t="s">
        <v>1</v>
      </c>
      <c r="C21" s="52" t="s">
        <v>153</v>
      </c>
      <c r="D21" s="52" t="s">
        <v>169</v>
      </c>
      <c r="E21" s="53" t="s">
        <v>171</v>
      </c>
      <c r="F21" s="52" t="s">
        <v>10</v>
      </c>
      <c r="G21" s="52" t="s">
        <v>170</v>
      </c>
    </row>
  </sheetData>
  <autoFilter ref="A5:H2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zoomScaleNormal="100" workbookViewId="0">
      <pane ySplit="2" topLeftCell="A3" activePane="bottomLeft" state="frozen"/>
      <selection pane="bottomLeft" activeCell="G18" sqref="G18"/>
    </sheetView>
  </sheetViews>
  <sheetFormatPr defaultColWidth="9.140625" defaultRowHeight="15"/>
  <cols>
    <col min="1" max="1" width="18.28515625" style="16" customWidth="1"/>
    <col min="2" max="2" width="40.28515625" style="16" customWidth="1"/>
    <col min="3" max="3" width="5.5703125" style="16" customWidth="1"/>
    <col min="4" max="4" width="5.28515625" style="16" customWidth="1"/>
    <col min="5" max="5" width="68.28515625" style="16" customWidth="1"/>
    <col min="6" max="16384" width="9.140625" style="16"/>
  </cols>
  <sheetData>
    <row r="1" spans="1:5">
      <c r="A1" s="94" t="s">
        <v>30</v>
      </c>
      <c r="B1" s="94" t="s">
        <v>32</v>
      </c>
      <c r="C1" s="92" t="s">
        <v>101</v>
      </c>
      <c r="D1" s="93"/>
      <c r="E1" s="94" t="s">
        <v>33</v>
      </c>
    </row>
    <row r="2" spans="1:5">
      <c r="A2" s="95"/>
      <c r="B2" s="95" t="s">
        <v>32</v>
      </c>
      <c r="C2" s="71" t="s">
        <v>102</v>
      </c>
      <c r="D2" s="71" t="s">
        <v>103</v>
      </c>
      <c r="E2" s="95" t="s">
        <v>33</v>
      </c>
    </row>
    <row r="3" spans="1:5" ht="102">
      <c r="A3" s="13" t="s">
        <v>98</v>
      </c>
      <c r="B3" s="13" t="s">
        <v>110</v>
      </c>
      <c r="C3" s="13">
        <v>1.5</v>
      </c>
      <c r="D3" s="13">
        <v>1</v>
      </c>
      <c r="E3" s="13" t="s">
        <v>111</v>
      </c>
    </row>
    <row r="4" spans="1:5" customFormat="1">
      <c r="A4" s="12" t="s">
        <v>73</v>
      </c>
      <c r="B4" s="13" t="s">
        <v>104</v>
      </c>
      <c r="C4" s="13">
        <v>2</v>
      </c>
      <c r="D4" s="13"/>
      <c r="E4" s="12" t="s">
        <v>127</v>
      </c>
    </row>
    <row r="5" spans="1:5" customFormat="1">
      <c r="A5" s="12" t="s">
        <v>73</v>
      </c>
      <c r="B5" s="12" t="s">
        <v>106</v>
      </c>
      <c r="C5" s="12">
        <v>2</v>
      </c>
      <c r="D5" s="12"/>
      <c r="E5" s="12" t="s">
        <v>127</v>
      </c>
    </row>
    <row r="6" spans="1:5" customFormat="1">
      <c r="A6" s="12" t="s">
        <v>73</v>
      </c>
      <c r="B6" s="12" t="s">
        <v>105</v>
      </c>
      <c r="C6" s="12">
        <v>2</v>
      </c>
      <c r="D6" s="12"/>
      <c r="E6" s="12" t="s">
        <v>127</v>
      </c>
    </row>
    <row r="7" spans="1:5" customFormat="1">
      <c r="A7" s="12" t="s">
        <v>73</v>
      </c>
      <c r="B7" s="13" t="s">
        <v>108</v>
      </c>
      <c r="C7" s="13">
        <v>2.5</v>
      </c>
      <c r="D7" s="13">
        <v>1</v>
      </c>
      <c r="E7" s="12" t="s">
        <v>127</v>
      </c>
    </row>
    <row r="8" spans="1:5">
      <c r="A8" s="12" t="s">
        <v>73</v>
      </c>
      <c r="B8" s="13" t="s">
        <v>107</v>
      </c>
      <c r="C8" s="13">
        <v>2</v>
      </c>
      <c r="D8" s="13"/>
      <c r="E8" s="13" t="s">
        <v>127</v>
      </c>
    </row>
    <row r="9" spans="1:5" customFormat="1">
      <c r="A9" s="12" t="s">
        <v>73</v>
      </c>
      <c r="B9" s="72" t="s">
        <v>109</v>
      </c>
      <c r="C9" s="72">
        <v>2</v>
      </c>
      <c r="D9" s="63"/>
      <c r="E9" s="62"/>
    </row>
    <row r="10" spans="1:5" customFormat="1">
      <c r="A10" s="12" t="s">
        <v>84</v>
      </c>
      <c r="B10" s="12" t="s">
        <v>152</v>
      </c>
      <c r="C10" s="12"/>
      <c r="D10" s="12">
        <v>4</v>
      </c>
      <c r="E10" s="12" t="s">
        <v>126</v>
      </c>
    </row>
    <row r="11" spans="1:5" customFormat="1">
      <c r="A11" s="12" t="s">
        <v>85</v>
      </c>
      <c r="B11" s="12" t="s">
        <v>150</v>
      </c>
      <c r="C11" s="12"/>
      <c r="D11" s="12">
        <v>2</v>
      </c>
      <c r="E11" s="13"/>
    </row>
    <row r="12" spans="1:5" customFormat="1">
      <c r="A12" s="12" t="s">
        <v>85</v>
      </c>
      <c r="B12" s="12" t="s">
        <v>34</v>
      </c>
      <c r="C12" s="12">
        <v>4</v>
      </c>
      <c r="D12" s="12">
        <v>1</v>
      </c>
      <c r="E12" s="12"/>
    </row>
    <row r="13" spans="1:5" customFormat="1">
      <c r="A13" s="12" t="s">
        <v>85</v>
      </c>
      <c r="B13" s="12" t="s">
        <v>118</v>
      </c>
      <c r="C13" s="12">
        <v>2.5</v>
      </c>
      <c r="D13" s="12">
        <v>0</v>
      </c>
      <c r="E13" s="12"/>
    </row>
    <row r="14" spans="1:5" customFormat="1" ht="25.5">
      <c r="A14" s="12" t="s">
        <v>99</v>
      </c>
      <c r="B14" s="12" t="s">
        <v>112</v>
      </c>
      <c r="C14" s="12"/>
      <c r="D14" s="12">
        <v>12</v>
      </c>
      <c r="E14" s="13" t="s">
        <v>128</v>
      </c>
    </row>
    <row r="15" spans="1:5">
      <c r="A15" s="13" t="s">
        <v>86</v>
      </c>
      <c r="B15" s="13" t="s">
        <v>113</v>
      </c>
      <c r="C15" s="13">
        <v>3.5</v>
      </c>
      <c r="D15" s="13">
        <v>1</v>
      </c>
      <c r="E15" s="13"/>
    </row>
    <row r="16" spans="1:5">
      <c r="A16" s="13" t="s">
        <v>86</v>
      </c>
      <c r="B16" s="13" t="s">
        <v>114</v>
      </c>
      <c r="C16" s="13">
        <v>2</v>
      </c>
      <c r="D16" s="13">
        <v>0</v>
      </c>
      <c r="E16" s="13"/>
    </row>
    <row r="17" spans="1:5">
      <c r="A17" s="13" t="s">
        <v>86</v>
      </c>
      <c r="B17" s="13" t="s">
        <v>117</v>
      </c>
      <c r="C17" s="13">
        <v>1.5</v>
      </c>
      <c r="D17" s="13">
        <v>0</v>
      </c>
      <c r="E17" s="13"/>
    </row>
    <row r="18" spans="1:5">
      <c r="A18" s="13" t="s">
        <v>86</v>
      </c>
      <c r="B18" s="13" t="s">
        <v>115</v>
      </c>
      <c r="C18" s="13">
        <v>2.5</v>
      </c>
      <c r="D18" s="13">
        <v>1</v>
      </c>
      <c r="E18" s="13"/>
    </row>
    <row r="19" spans="1:5">
      <c r="A19" s="13" t="s">
        <v>86</v>
      </c>
      <c r="B19" s="13" t="s">
        <v>116</v>
      </c>
      <c r="C19" s="13">
        <v>3</v>
      </c>
      <c r="D19" s="13"/>
      <c r="E19" s="13"/>
    </row>
    <row r="20" spans="1:5" ht="76.5">
      <c r="A20" s="13" t="s">
        <v>100</v>
      </c>
      <c r="B20" s="13" t="s">
        <v>130</v>
      </c>
      <c r="C20" s="13"/>
      <c r="D20" s="13">
        <v>1</v>
      </c>
      <c r="E20" s="13" t="s">
        <v>129</v>
      </c>
    </row>
    <row r="21" spans="1:5" customFormat="1">
      <c r="A21" s="12" t="s">
        <v>99</v>
      </c>
      <c r="B21" s="13" t="s">
        <v>119</v>
      </c>
      <c r="C21" s="13"/>
      <c r="D21" s="13">
        <v>13</v>
      </c>
      <c r="E21" s="13" t="s">
        <v>151</v>
      </c>
    </row>
    <row r="22" spans="1:5">
      <c r="A22" s="13" t="s">
        <v>98</v>
      </c>
      <c r="B22" s="13" t="s">
        <v>38</v>
      </c>
      <c r="C22" s="13"/>
      <c r="D22" s="13">
        <v>1</v>
      </c>
      <c r="E22" s="13" t="s">
        <v>39</v>
      </c>
    </row>
    <row r="23" spans="1:5">
      <c r="D23" s="64">
        <f>SUM(D3:D22)</f>
        <v>38</v>
      </c>
    </row>
    <row r="24" spans="1:5">
      <c r="A24" s="65" t="s">
        <v>124</v>
      </c>
    </row>
    <row r="25" spans="1:5">
      <c r="A25" s="66" t="s">
        <v>120</v>
      </c>
    </row>
    <row r="26" spans="1:5">
      <c r="A26" s="66" t="s">
        <v>122</v>
      </c>
    </row>
    <row r="27" spans="1:5">
      <c r="A27" s="66" t="s">
        <v>121</v>
      </c>
    </row>
    <row r="28" spans="1:5">
      <c r="A28" s="66" t="s">
        <v>123</v>
      </c>
    </row>
    <row r="29" spans="1:5">
      <c r="A29" s="65"/>
    </row>
    <row r="30" spans="1:5">
      <c r="A30" s="65"/>
    </row>
  </sheetData>
  <autoFilter ref="A2:E28"/>
  <mergeCells count="4">
    <mergeCell ref="C1:D1"/>
    <mergeCell ref="A1:A2"/>
    <mergeCell ref="B1:B2"/>
    <mergeCell ref="E1:E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Master Sched</vt:lpstr>
      <vt:lpstr>Trn-Output Mapping</vt:lpstr>
      <vt:lpstr>Topics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phuocnt1</cp:lastModifiedBy>
  <cp:lastPrinted>2013-05-22T23:23:46Z</cp:lastPrinted>
  <dcterms:created xsi:type="dcterms:W3CDTF">2012-06-27T01:55:39Z</dcterms:created>
  <dcterms:modified xsi:type="dcterms:W3CDTF">2015-01-07T04:18:22Z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true</vt:lpwstr>
  </property>
  <property fmtid="{D5CDD505-2E9C-101B-9397-08002B2CF9AE}" pid="3" name="Google.Documents.DocumentId">
    <vt:lpwstr>1wkpoo1WfLEmCr-OsDANVX8pIKJG9sgkEVhT4N1QFbN8</vt:lpwstr>
  </property>
  <property fmtid="{D5CDD505-2E9C-101B-9397-08002B2CF9AE}" pid="4" name="Google.Documents.RevisionId">
    <vt:lpwstr>09994919432196301908</vt:lpwstr>
  </property>
  <property fmtid="{D5CDD505-2E9C-101B-9397-08002B2CF9AE}" pid="5" name="Google.Documents.PluginVersion">
    <vt:lpwstr>2.0.2662.553</vt:lpwstr>
  </property>
  <property fmtid="{D5CDD505-2E9C-101B-9397-08002B2CF9AE}" pid="6" name="Google.Documents.MergeIncapabilityFlags">
    <vt:i4>0</vt:i4>
  </property>
</Properties>
</file>