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 filterPrivacy="1"/>
  <mc:AlternateContent xmlns:mc="http://schemas.openxmlformats.org/markup-compatibility/2006">
    <mc:Choice Requires="x15">
      <x15ac:absPath xmlns:x15ac="http://schemas.microsoft.com/office/spreadsheetml/2010/11/ac" url="/Users/jack/Downloads/dist/"/>
    </mc:Choice>
  </mc:AlternateContent>
  <bookViews>
    <workbookView xWindow="0" yWindow="460" windowWidth="28800" windowHeight="16760" tabRatio="813" activeTab="1"/>
  </bookViews>
  <sheets>
    <sheet name="经营计划" sheetId="20" r:id="rId1"/>
    <sheet name="客户基本信息" sheetId="1" r:id="rId2"/>
    <sheet name="经营固定成本" sheetId="17" r:id="rId3"/>
    <sheet name="玉米生产卡" sheetId="13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9" i="1" l="1"/>
  <c r="C28" i="13"/>
  <c r="D27" i="17"/>
  <c r="D20" i="20"/>
  <c r="K90" i="13"/>
  <c r="K89" i="13"/>
  <c r="K88" i="13"/>
  <c r="I26" i="1"/>
  <c r="F3" i="20"/>
  <c r="E35" i="17"/>
  <c r="D32" i="17"/>
  <c r="C32" i="17"/>
  <c r="M21" i="17"/>
  <c r="I30" i="17"/>
  <c r="I29" i="17"/>
  <c r="I28" i="17"/>
  <c r="F27" i="17"/>
  <c r="C27" i="17"/>
  <c r="E27" i="17"/>
  <c r="G31" i="17"/>
  <c r="N26" i="17"/>
  <c r="J20" i="1"/>
  <c r="O21" i="17"/>
  <c r="H27" i="17"/>
  <c r="N21" i="17"/>
  <c r="D29" i="13"/>
  <c r="E29" i="13"/>
  <c r="D28" i="13"/>
  <c r="D27" i="13"/>
  <c r="D26" i="13"/>
  <c r="D25" i="13"/>
  <c r="E22" i="13"/>
  <c r="F8" i="20"/>
  <c r="F9" i="20"/>
  <c r="F10" i="20"/>
  <c r="F11" i="20"/>
  <c r="F12" i="20"/>
  <c r="F7" i="20"/>
  <c r="K63" i="1"/>
  <c r="J63" i="1"/>
  <c r="E63" i="1"/>
  <c r="D63" i="1"/>
  <c r="C63" i="1"/>
  <c r="B63" i="1"/>
  <c r="C52" i="1"/>
  <c r="C50" i="1"/>
  <c r="C51" i="1"/>
  <c r="E20" i="20"/>
  <c r="D50" i="1"/>
  <c r="D51" i="1"/>
  <c r="D52" i="1"/>
  <c r="J26" i="1"/>
  <c r="K20" i="1"/>
  <c r="K26" i="1"/>
  <c r="C29" i="1"/>
  <c r="E29" i="1"/>
  <c r="A55" i="1"/>
  <c r="J58" i="1"/>
  <c r="J59" i="1"/>
  <c r="J60" i="1"/>
  <c r="J65" i="1"/>
  <c r="J66" i="1"/>
  <c r="J67" i="1"/>
  <c r="J61" i="1"/>
  <c r="J68" i="1"/>
  <c r="E32" i="17"/>
  <c r="F32" i="17"/>
  <c r="G27" i="17"/>
  <c r="J27" i="17"/>
  <c r="I27" i="17"/>
  <c r="I31" i="17"/>
  <c r="I83" i="13"/>
  <c r="D68" i="1"/>
  <c r="H68" i="1"/>
  <c r="F61" i="1"/>
  <c r="E61" i="1"/>
  <c r="D61" i="1"/>
  <c r="A62" i="1"/>
  <c r="I123" i="13"/>
  <c r="I122" i="13"/>
  <c r="I118" i="13"/>
  <c r="I117" i="13"/>
  <c r="I108" i="13"/>
  <c r="I107" i="13"/>
  <c r="I106" i="13"/>
  <c r="I105" i="13"/>
  <c r="I104" i="13"/>
  <c r="I103" i="13"/>
  <c r="I100" i="13"/>
  <c r="I99" i="13"/>
  <c r="I98" i="13"/>
  <c r="I97" i="13"/>
  <c r="I96" i="13"/>
  <c r="I95" i="13"/>
  <c r="I94" i="13"/>
  <c r="I93" i="13"/>
  <c r="I92" i="13"/>
  <c r="I91" i="13"/>
  <c r="I90" i="13"/>
  <c r="I89" i="13"/>
  <c r="I88" i="13"/>
  <c r="A49" i="13"/>
  <c r="A87" i="13"/>
  <c r="A33" i="13"/>
  <c r="A40" i="13"/>
  <c r="B45" i="13"/>
  <c r="D45" i="13"/>
  <c r="B44" i="13"/>
  <c r="D44" i="13"/>
  <c r="B43" i="13"/>
  <c r="D43" i="13"/>
  <c r="B42" i="13"/>
  <c r="D42" i="13"/>
  <c r="D41" i="13"/>
  <c r="H30" i="13"/>
  <c r="C30" i="13"/>
  <c r="I28" i="13"/>
  <c r="E28" i="13"/>
  <c r="I27" i="13"/>
  <c r="E27" i="13"/>
  <c r="I26" i="13"/>
  <c r="E26" i="13"/>
  <c r="E25" i="13"/>
  <c r="A17" i="13"/>
  <c r="A24" i="13"/>
  <c r="B14" i="13"/>
  <c r="E13" i="13"/>
  <c r="D13" i="13"/>
  <c r="E12" i="13"/>
  <c r="D12" i="13"/>
  <c r="E11" i="13"/>
  <c r="D11" i="13"/>
  <c r="A5" i="13"/>
  <c r="A10" i="13"/>
  <c r="L89" i="13"/>
  <c r="L90" i="13"/>
  <c r="L88" i="13"/>
  <c r="G61" i="1"/>
  <c r="D49" i="1"/>
  <c r="G63" i="1"/>
  <c r="I119" i="13"/>
  <c r="H83" i="13"/>
  <c r="I121" i="13"/>
  <c r="I101" i="13"/>
  <c r="E30" i="13"/>
  <c r="D46" i="13"/>
  <c r="I115" i="13"/>
  <c r="E14" i="13"/>
  <c r="I19" i="13"/>
  <c r="I20" i="13"/>
  <c r="I21" i="13"/>
  <c r="H23" i="13"/>
  <c r="H121" i="13"/>
  <c r="G121" i="13"/>
  <c r="C49" i="1"/>
  <c r="G68" i="1"/>
  <c r="I124" i="13"/>
  <c r="D48" i="1"/>
  <c r="C48" i="1"/>
  <c r="D14" i="20"/>
  <c r="E14" i="20"/>
  <c r="E48" i="1"/>
  <c r="F47" i="1"/>
  <c r="C26" i="1"/>
  <c r="G23" i="17"/>
  <c r="G24" i="17"/>
  <c r="G25" i="17"/>
  <c r="G22" i="17"/>
  <c r="J23" i="17"/>
  <c r="M23" i="17"/>
  <c r="J24" i="17"/>
  <c r="J25" i="17"/>
  <c r="J22" i="17"/>
  <c r="F25" i="20"/>
  <c r="F24" i="20"/>
  <c r="D17" i="20"/>
  <c r="E17" i="20"/>
  <c r="O26" i="17"/>
  <c r="M25" i="17"/>
  <c r="M22" i="17"/>
  <c r="M26" i="17"/>
  <c r="K25" i="17"/>
  <c r="K24" i="17"/>
  <c r="K23" i="17"/>
  <c r="K22" i="17"/>
  <c r="J26" i="17"/>
  <c r="L22" i="17"/>
  <c r="L24" i="17"/>
  <c r="L23" i="17"/>
  <c r="L25" i="17"/>
  <c r="K26" i="17"/>
  <c r="K51" i="13"/>
  <c r="K50" i="13"/>
  <c r="K52" i="13"/>
  <c r="G22" i="1"/>
  <c r="G23" i="1"/>
  <c r="G21" i="1"/>
  <c r="H26" i="1"/>
  <c r="E28" i="17"/>
  <c r="E29" i="17"/>
  <c r="E30" i="17"/>
  <c r="E31" i="17"/>
  <c r="E26" i="17"/>
  <c r="C35" i="17"/>
  <c r="G8" i="17"/>
  <c r="G5" i="17"/>
  <c r="G6" i="17"/>
  <c r="G7" i="17"/>
  <c r="G9" i="17"/>
  <c r="G10" i="17"/>
  <c r="G11" i="17"/>
  <c r="G12" i="17"/>
  <c r="G4" i="17"/>
  <c r="E7" i="13"/>
  <c r="E6" i="13"/>
  <c r="E8" i="13"/>
  <c r="D18" i="13"/>
  <c r="D20" i="13"/>
  <c r="D19" i="13"/>
  <c r="I85" i="13"/>
  <c r="I84" i="13"/>
  <c r="I80" i="13"/>
  <c r="I79" i="13"/>
  <c r="I65" i="13"/>
  <c r="I70" i="13"/>
  <c r="I69" i="13"/>
  <c r="I68" i="13"/>
  <c r="I67" i="13"/>
  <c r="I66" i="13"/>
  <c r="I52" i="13"/>
  <c r="I53" i="13"/>
  <c r="I54" i="13"/>
  <c r="I55" i="13"/>
  <c r="I56" i="13"/>
  <c r="I57" i="13"/>
  <c r="I58" i="13"/>
  <c r="I59" i="13"/>
  <c r="I60" i="13"/>
  <c r="I61" i="13"/>
  <c r="I62" i="13"/>
  <c r="I51" i="13"/>
  <c r="I50" i="13"/>
  <c r="B38" i="13"/>
  <c r="D38" i="13"/>
  <c r="B37" i="13"/>
  <c r="D37" i="13"/>
  <c r="B36" i="13"/>
  <c r="D36" i="13"/>
  <c r="B35" i="13"/>
  <c r="D35" i="13"/>
  <c r="D34" i="13"/>
  <c r="L52" i="13"/>
  <c r="L50" i="13"/>
  <c r="L51" i="13"/>
  <c r="G20" i="17"/>
  <c r="I86" i="13"/>
  <c r="I81" i="13"/>
  <c r="G83" i="13"/>
  <c r="I63" i="13"/>
  <c r="D39" i="13"/>
  <c r="I77" i="13"/>
  <c r="B9" i="13"/>
  <c r="D7" i="13"/>
  <c r="D8" i="13"/>
  <c r="D6" i="13"/>
  <c r="E19" i="13"/>
  <c r="K92" i="13"/>
  <c r="K56" i="13"/>
  <c r="K91" i="13"/>
  <c r="K98" i="13"/>
  <c r="K97" i="13"/>
  <c r="K96" i="13"/>
  <c r="K62" i="13"/>
  <c r="K60" i="13"/>
  <c r="K93" i="13"/>
  <c r="K55" i="13"/>
  <c r="K53" i="13"/>
  <c r="K54" i="13"/>
  <c r="K99" i="13"/>
  <c r="K58" i="13"/>
  <c r="K61" i="13"/>
  <c r="K57" i="13"/>
  <c r="K95" i="13"/>
  <c r="K100" i="13"/>
  <c r="K94" i="13"/>
  <c r="K59" i="13"/>
  <c r="E9" i="13"/>
  <c r="E20" i="13"/>
  <c r="L92" i="13"/>
  <c r="L91" i="13"/>
  <c r="L55" i="13"/>
  <c r="L58" i="13"/>
  <c r="L96" i="13"/>
  <c r="L97" i="13"/>
  <c r="L60" i="13"/>
  <c r="L98" i="13"/>
  <c r="L62" i="13"/>
  <c r="L56" i="13"/>
  <c r="L99" i="13"/>
  <c r="L54" i="13"/>
  <c r="L94" i="13"/>
  <c r="L93" i="13"/>
  <c r="L61" i="13"/>
  <c r="L100" i="13"/>
  <c r="L95" i="13"/>
  <c r="L53" i="13"/>
  <c r="L59" i="13"/>
  <c r="L57" i="13"/>
  <c r="C21" i="13"/>
  <c r="C23" i="13"/>
  <c r="E21" i="13"/>
  <c r="E18" i="13"/>
  <c r="E23" i="13"/>
  <c r="L26" i="17"/>
  <c r="G50" i="1"/>
  <c r="G52" i="1"/>
  <c r="G51" i="1"/>
  <c r="G49" i="1"/>
</calcChain>
</file>

<file path=xl/sharedStrings.xml><?xml version="1.0" encoding="utf-8"?>
<sst xmlns="http://schemas.openxmlformats.org/spreadsheetml/2006/main" count="877" uniqueCount="422">
  <si>
    <t>年龄</t>
    <phoneticPr fontId="2" type="noConversion"/>
  </si>
  <si>
    <t>婚姻状况</t>
    <phoneticPr fontId="2" type="noConversion"/>
  </si>
  <si>
    <t>家庭人口</t>
    <phoneticPr fontId="2" type="noConversion"/>
  </si>
  <si>
    <t>单价</t>
    <phoneticPr fontId="2" type="noConversion"/>
  </si>
  <si>
    <t>金额</t>
    <phoneticPr fontId="2" type="noConversion"/>
  </si>
  <si>
    <t>收入</t>
    <phoneticPr fontId="2" type="noConversion"/>
  </si>
  <si>
    <t>投资计划</t>
    <phoneticPr fontId="2" type="noConversion"/>
  </si>
  <si>
    <t>客户姓名</t>
    <phoneticPr fontId="2" type="noConversion"/>
  </si>
  <si>
    <t>性别</t>
    <phoneticPr fontId="2" type="noConversion"/>
  </si>
  <si>
    <t>自有土地</t>
    <phoneticPr fontId="2" type="noConversion"/>
  </si>
  <si>
    <t>务工收入</t>
    <phoneticPr fontId="2" type="noConversion"/>
  </si>
  <si>
    <t>租金收入</t>
    <phoneticPr fontId="2" type="noConversion"/>
  </si>
  <si>
    <t>投资收入</t>
    <phoneticPr fontId="2" type="noConversion"/>
  </si>
  <si>
    <t>信用记录</t>
    <phoneticPr fontId="2" type="noConversion"/>
  </si>
  <si>
    <t>还款方式</t>
    <phoneticPr fontId="2" type="noConversion"/>
  </si>
  <si>
    <t>玉米</t>
  </si>
  <si>
    <t>地块数</t>
    <phoneticPr fontId="2" type="noConversion"/>
  </si>
  <si>
    <t>种类</t>
    <phoneticPr fontId="2" type="noConversion"/>
  </si>
  <si>
    <t>购买时间</t>
    <phoneticPr fontId="2" type="noConversion"/>
  </si>
  <si>
    <t>种子</t>
    <phoneticPr fontId="2" type="noConversion"/>
  </si>
  <si>
    <t>总价</t>
    <phoneticPr fontId="2" type="noConversion"/>
  </si>
  <si>
    <t>农药</t>
    <phoneticPr fontId="2" type="noConversion"/>
  </si>
  <si>
    <t>杀虫剂</t>
  </si>
  <si>
    <t>除草剂</t>
  </si>
  <si>
    <t>化肥</t>
    <phoneticPr fontId="2" type="noConversion"/>
  </si>
  <si>
    <t>油料</t>
    <phoneticPr fontId="2" type="noConversion"/>
  </si>
  <si>
    <t>灌溉费</t>
    <phoneticPr fontId="2" type="noConversion"/>
  </si>
  <si>
    <t>联系方式</t>
    <phoneticPr fontId="2" type="noConversion"/>
  </si>
  <si>
    <t>底肥</t>
  </si>
  <si>
    <t>追肥</t>
  </si>
  <si>
    <t>购买数量</t>
    <phoneticPr fontId="2" type="noConversion"/>
  </si>
  <si>
    <t>其他直接材料</t>
    <phoneticPr fontId="2" type="noConversion"/>
  </si>
  <si>
    <t>地膜</t>
    <phoneticPr fontId="2" type="noConversion"/>
  </si>
  <si>
    <t>单位</t>
    <phoneticPr fontId="2" type="noConversion"/>
  </si>
  <si>
    <t>运输费</t>
    <phoneticPr fontId="2" type="noConversion"/>
  </si>
  <si>
    <t>烘干费</t>
    <phoneticPr fontId="2" type="noConversion"/>
  </si>
  <si>
    <t>棚膜</t>
    <phoneticPr fontId="2" type="noConversion"/>
  </si>
  <si>
    <t>雇佣短工工资</t>
  </si>
  <si>
    <t>VC3 人工费</t>
    <phoneticPr fontId="2" type="noConversion"/>
  </si>
  <si>
    <t>土地租金</t>
    <phoneticPr fontId="2" type="noConversion"/>
  </si>
  <si>
    <t>科目</t>
    <phoneticPr fontId="2" type="noConversion"/>
  </si>
  <si>
    <t>其他机械作业费</t>
    <phoneticPr fontId="2" type="noConversion"/>
  </si>
  <si>
    <t>农机</t>
    <phoneticPr fontId="2" type="noConversion"/>
  </si>
  <si>
    <t>农具</t>
    <phoneticPr fontId="2" type="noConversion"/>
  </si>
  <si>
    <t>烘干塔</t>
    <phoneticPr fontId="2" type="noConversion"/>
  </si>
  <si>
    <t>其他设施</t>
    <phoneticPr fontId="2" type="noConversion"/>
  </si>
  <si>
    <t>残值</t>
    <phoneticPr fontId="2" type="noConversion"/>
  </si>
  <si>
    <t>放款时间</t>
    <phoneticPr fontId="2" type="noConversion"/>
  </si>
  <si>
    <t>到期日</t>
    <phoneticPr fontId="2" type="noConversion"/>
  </si>
  <si>
    <t>担保方式</t>
    <phoneticPr fontId="2" type="noConversion"/>
  </si>
  <si>
    <t>管理人员工资</t>
    <phoneticPr fontId="2" type="noConversion"/>
  </si>
  <si>
    <t>工资</t>
    <phoneticPr fontId="2" type="noConversion"/>
  </si>
  <si>
    <t>水电日杂</t>
    <phoneticPr fontId="2" type="noConversion"/>
  </si>
  <si>
    <t>德美亚2号</t>
    <phoneticPr fontId="2" type="noConversion"/>
  </si>
  <si>
    <t>尿素</t>
    <phoneticPr fontId="2" type="noConversion"/>
  </si>
  <si>
    <t>复合肥</t>
    <phoneticPr fontId="2" type="noConversion"/>
  </si>
  <si>
    <t>作业名称</t>
    <phoneticPr fontId="2" type="noConversion"/>
  </si>
  <si>
    <t>整地</t>
    <phoneticPr fontId="2" type="noConversion"/>
  </si>
  <si>
    <t>收割</t>
  </si>
  <si>
    <t>吨</t>
    <phoneticPr fontId="2" type="noConversion"/>
  </si>
  <si>
    <t>柴油</t>
    <phoneticPr fontId="2" type="noConversion"/>
  </si>
  <si>
    <t>飞防</t>
  </si>
  <si>
    <t>播种</t>
  </si>
  <si>
    <t>玉米品种一</t>
  </si>
  <si>
    <t>玉米品种二</t>
  </si>
  <si>
    <t>玉米品种三</t>
  </si>
  <si>
    <t>省原217</t>
    <phoneticPr fontId="2" type="noConversion"/>
  </si>
  <si>
    <t>流转地块数</t>
    <phoneticPr fontId="2" type="noConversion"/>
  </si>
  <si>
    <t>流转土地一</t>
    <phoneticPr fontId="2" type="noConversion"/>
  </si>
  <si>
    <t>流转土地二</t>
    <phoneticPr fontId="2" type="noConversion"/>
  </si>
  <si>
    <t>流转土地三</t>
    <phoneticPr fontId="2" type="noConversion"/>
  </si>
  <si>
    <t>仓储费</t>
    <phoneticPr fontId="2" type="noConversion"/>
  </si>
  <si>
    <t>土地租金/亩</t>
    <phoneticPr fontId="2" type="noConversion"/>
  </si>
  <si>
    <t>玉米潮粮</t>
    <phoneticPr fontId="2" type="noConversion"/>
  </si>
  <si>
    <t>玉米干粮</t>
    <phoneticPr fontId="2" type="noConversion"/>
  </si>
  <si>
    <t>销售时间</t>
    <phoneticPr fontId="2" type="noConversion"/>
  </si>
  <si>
    <t>租金交付时间</t>
    <phoneticPr fontId="2" type="noConversion"/>
  </si>
  <si>
    <t>地膜、棚膜</t>
    <phoneticPr fontId="2" type="noConversion"/>
  </si>
  <si>
    <t>固定成本FC</t>
    <phoneticPr fontId="2" type="noConversion"/>
  </si>
  <si>
    <t>用途</t>
    <phoneticPr fontId="2" type="noConversion"/>
  </si>
  <si>
    <t>多用途</t>
  </si>
  <si>
    <t>水稻</t>
  </si>
  <si>
    <t>名称</t>
    <phoneticPr fontId="2" type="noConversion"/>
  </si>
  <si>
    <t>年折旧</t>
    <phoneticPr fontId="2" type="noConversion"/>
  </si>
  <si>
    <t>经营固定成本信息采集</t>
    <phoneticPr fontId="2" type="noConversion"/>
  </si>
  <si>
    <t>房贷</t>
  </si>
  <si>
    <t>合计</t>
    <phoneticPr fontId="2" type="noConversion"/>
  </si>
  <si>
    <t>场地租金</t>
    <phoneticPr fontId="2" type="noConversion"/>
  </si>
  <si>
    <t>厂房/仓储/办公室</t>
    <phoneticPr fontId="2" type="noConversion"/>
  </si>
  <si>
    <t>营销费用</t>
    <phoneticPr fontId="2" type="noConversion"/>
  </si>
  <si>
    <t>营销费</t>
    <phoneticPr fontId="2" type="noConversion"/>
  </si>
  <si>
    <t>其他经营费用</t>
    <phoneticPr fontId="2" type="noConversion"/>
  </si>
  <si>
    <t>玉米生产投入品信息</t>
    <phoneticPr fontId="2" type="noConversion"/>
  </si>
  <si>
    <t>育秧棚室</t>
    <phoneticPr fontId="2" type="noConversion"/>
  </si>
  <si>
    <t>其他</t>
  </si>
  <si>
    <t>流动资金</t>
  </si>
  <si>
    <t>民间借贷</t>
  </si>
  <si>
    <t>价值链合作信息</t>
    <phoneticPr fontId="2" type="noConversion"/>
  </si>
  <si>
    <t>合作年限</t>
    <phoneticPr fontId="2" type="noConversion"/>
  </si>
  <si>
    <t>是否赊销</t>
    <phoneticPr fontId="2" type="noConversion"/>
  </si>
  <si>
    <t>价格折扣</t>
    <phoneticPr fontId="2" type="noConversion"/>
  </si>
  <si>
    <t>农资供应商</t>
    <phoneticPr fontId="2" type="noConversion"/>
  </si>
  <si>
    <t>粮食收购商</t>
    <phoneticPr fontId="2" type="noConversion"/>
  </si>
  <si>
    <t>合作内容</t>
    <phoneticPr fontId="2" type="noConversion"/>
  </si>
  <si>
    <t>供应商名称</t>
    <phoneticPr fontId="2" type="noConversion"/>
  </si>
  <si>
    <t>全部投入品</t>
  </si>
  <si>
    <t>是否点价结算</t>
    <phoneticPr fontId="2" type="noConversion"/>
  </si>
  <si>
    <t>是否赊购</t>
    <phoneticPr fontId="2" type="noConversion"/>
  </si>
  <si>
    <t>是否上门收购</t>
    <phoneticPr fontId="2" type="noConversion"/>
  </si>
  <si>
    <t>玉米生产补贴信息</t>
    <phoneticPr fontId="2" type="noConversion"/>
  </si>
  <si>
    <t>种植者补贴</t>
    <phoneticPr fontId="2" type="noConversion"/>
  </si>
  <si>
    <t>轮作补贴</t>
    <phoneticPr fontId="2" type="noConversion"/>
  </si>
  <si>
    <t>休耕补贴</t>
    <phoneticPr fontId="2" type="noConversion"/>
  </si>
  <si>
    <t>深松整地补贴</t>
    <phoneticPr fontId="2" type="noConversion"/>
  </si>
  <si>
    <t>深翻作业补贴</t>
    <phoneticPr fontId="2" type="noConversion"/>
  </si>
  <si>
    <t>公顷</t>
    <phoneticPr fontId="2" type="noConversion"/>
  </si>
  <si>
    <t>补贴总额</t>
    <phoneticPr fontId="2" type="noConversion"/>
  </si>
  <si>
    <t>收购商名称</t>
    <phoneticPr fontId="2" type="noConversion"/>
  </si>
  <si>
    <t>收购干粮</t>
  </si>
  <si>
    <t>生产保费（巨灾）</t>
    <phoneticPr fontId="2" type="noConversion"/>
  </si>
  <si>
    <t>生产保费（收入）</t>
    <phoneticPr fontId="2" type="noConversion"/>
  </si>
  <si>
    <t>机耕费</t>
    <phoneticPr fontId="2" type="noConversion"/>
  </si>
  <si>
    <t>粮食用途</t>
    <phoneticPr fontId="2" type="noConversion"/>
  </si>
  <si>
    <t>储备粮</t>
  </si>
  <si>
    <t>是否反馈质量</t>
    <phoneticPr fontId="2" type="noConversion"/>
  </si>
  <si>
    <t>位置</t>
    <phoneticPr fontId="2" type="noConversion"/>
  </si>
  <si>
    <t>位置</t>
    <phoneticPr fontId="2" type="noConversion"/>
  </si>
  <si>
    <t>基本情况</t>
    <phoneticPr fontId="2" type="noConversion"/>
  </si>
  <si>
    <t>家庭住址</t>
    <phoneticPr fontId="2" type="noConversion"/>
  </si>
  <si>
    <t>合计</t>
    <phoneticPr fontId="2" type="noConversion"/>
  </si>
  <si>
    <t>商品房产</t>
    <phoneticPr fontId="2" type="noConversion"/>
  </si>
  <si>
    <t>家庭资产情况</t>
    <phoneticPr fontId="2" type="noConversion"/>
  </si>
  <si>
    <t>客户号</t>
    <phoneticPr fontId="2" type="noConversion"/>
  </si>
  <si>
    <t>购买时间</t>
    <phoneticPr fontId="2" type="noConversion"/>
  </si>
  <si>
    <t>宅基地房产</t>
    <phoneticPr fontId="2" type="noConversion"/>
  </si>
  <si>
    <t>购买/建造价格</t>
    <phoneticPr fontId="2" type="noConversion"/>
  </si>
  <si>
    <t>自有车辆</t>
    <phoneticPr fontId="2" type="noConversion"/>
  </si>
  <si>
    <t>存货价值</t>
    <phoneticPr fontId="2" type="noConversion"/>
  </si>
  <si>
    <t>自有土地</t>
    <phoneticPr fontId="2" type="noConversion"/>
  </si>
  <si>
    <t>类别</t>
    <phoneticPr fontId="2" type="noConversion"/>
  </si>
  <si>
    <t>实物资产</t>
    <phoneticPr fontId="2" type="noConversion"/>
  </si>
  <si>
    <t>家庭负债情况</t>
    <phoneticPr fontId="2" type="noConversion"/>
  </si>
  <si>
    <t>是否已抵/质押</t>
    <phoneticPr fontId="2" type="noConversion"/>
  </si>
  <si>
    <t>抵质押权人</t>
    <phoneticPr fontId="2" type="noConversion"/>
  </si>
  <si>
    <t>教育程度</t>
    <phoneticPr fontId="2" type="noConversion"/>
  </si>
  <si>
    <t>生产性支出</t>
    <phoneticPr fontId="2" type="noConversion"/>
  </si>
  <si>
    <t>支出</t>
    <phoneticPr fontId="2" type="noConversion"/>
  </si>
  <si>
    <t>合计</t>
    <phoneticPr fontId="2" type="noConversion"/>
  </si>
  <si>
    <t>合计</t>
    <phoneticPr fontId="2" type="noConversion"/>
  </si>
  <si>
    <t>农场/设备状态</t>
    <phoneticPr fontId="2" type="noConversion"/>
  </si>
  <si>
    <t>技术水平</t>
    <phoneticPr fontId="2" type="noConversion"/>
  </si>
  <si>
    <t>管理水平</t>
    <phoneticPr fontId="2" type="noConversion"/>
  </si>
  <si>
    <t>配合程度</t>
    <phoneticPr fontId="2" type="noConversion"/>
  </si>
  <si>
    <t>准确程度</t>
    <phoneticPr fontId="2" type="noConversion"/>
  </si>
  <si>
    <t>是否整洁、整齐？</t>
    <phoneticPr fontId="2" type="noConversion"/>
  </si>
  <si>
    <t>是否有超过30天的不良记录？</t>
    <phoneticPr fontId="2" type="noConversion"/>
  </si>
  <si>
    <t>是否懂得必要的生产技术？</t>
    <phoneticPr fontId="2" type="noConversion"/>
  </si>
  <si>
    <t>是否具备良好的财务和人事管理？</t>
    <phoneticPr fontId="2" type="noConversion"/>
  </si>
  <si>
    <t>是否配合信贷调查？</t>
    <phoneticPr fontId="2" type="noConversion"/>
  </si>
  <si>
    <t>提供信息是否准确真实？</t>
    <phoneticPr fontId="2" type="noConversion"/>
  </si>
  <si>
    <t>否</t>
  </si>
  <si>
    <t>是</t>
  </si>
  <si>
    <t>流动资金需求</t>
    <phoneticPr fontId="2" type="noConversion"/>
  </si>
  <si>
    <t>拟购买数量</t>
    <phoneticPr fontId="2" type="noConversion"/>
  </si>
  <si>
    <t>担保方式</t>
    <phoneticPr fontId="2" type="noConversion"/>
  </si>
  <si>
    <t>资产抵押</t>
    <phoneticPr fontId="2" type="noConversion"/>
  </si>
  <si>
    <t>动产质押</t>
    <phoneticPr fontId="2" type="noConversion"/>
  </si>
  <si>
    <t>是否登记</t>
    <phoneticPr fontId="2" type="noConversion"/>
  </si>
  <si>
    <t>质押物</t>
    <phoneticPr fontId="2" type="noConversion"/>
  </si>
  <si>
    <t>保证</t>
    <phoneticPr fontId="2" type="noConversion"/>
  </si>
  <si>
    <t>抵押物一</t>
    <phoneticPr fontId="2" type="noConversion"/>
  </si>
  <si>
    <t>抵押物二</t>
    <phoneticPr fontId="2" type="noConversion"/>
  </si>
  <si>
    <t>保证人姓名</t>
    <phoneticPr fontId="2" type="noConversion"/>
  </si>
  <si>
    <t>种植种类</t>
    <phoneticPr fontId="2" type="noConversion"/>
  </si>
  <si>
    <t>原值</t>
    <phoneticPr fontId="2" type="noConversion"/>
  </si>
  <si>
    <t>当前价值</t>
    <phoneticPr fontId="2" type="noConversion"/>
  </si>
  <si>
    <t>职业</t>
    <phoneticPr fontId="2" type="noConversion"/>
  </si>
  <si>
    <t>面积合计（亩）</t>
  </si>
  <si>
    <t>面积合计（亩）</t>
    <phoneticPr fontId="2" type="noConversion"/>
  </si>
  <si>
    <t>亩产量（斤）</t>
    <phoneticPr fontId="2" type="noConversion"/>
  </si>
  <si>
    <t>永安乡胜利村一组</t>
    <phoneticPr fontId="2" type="noConversion"/>
  </si>
  <si>
    <t>三等</t>
  </si>
  <si>
    <t>经营权证号</t>
    <phoneticPr fontId="2" type="noConversion"/>
  </si>
  <si>
    <t>等级</t>
    <phoneticPr fontId="2" type="noConversion"/>
  </si>
  <si>
    <t>一等</t>
    <phoneticPr fontId="2" type="noConversion"/>
  </si>
  <si>
    <t>二等</t>
    <phoneticPr fontId="2" type="noConversion"/>
  </si>
  <si>
    <t>三等</t>
    <phoneticPr fontId="2" type="noConversion"/>
  </si>
  <si>
    <t>十二月</t>
  </si>
  <si>
    <t>业务申请时间</t>
    <phoneticPr fontId="2" type="noConversion"/>
  </si>
  <si>
    <t>业务编号</t>
    <phoneticPr fontId="2" type="noConversion"/>
  </si>
  <si>
    <t>玉米产量信息</t>
    <phoneticPr fontId="2" type="noConversion"/>
  </si>
  <si>
    <t>公顷产量（吨)</t>
    <phoneticPr fontId="2" type="noConversion"/>
  </si>
  <si>
    <t>玉米销售信息</t>
    <phoneticPr fontId="2" type="noConversion"/>
  </si>
  <si>
    <t>总产量（吨)</t>
    <phoneticPr fontId="2" type="noConversion"/>
  </si>
  <si>
    <t>品质</t>
    <phoneticPr fontId="2" type="noConversion"/>
  </si>
  <si>
    <t>等级</t>
    <phoneticPr fontId="2" type="noConversion"/>
  </si>
  <si>
    <t>半角质</t>
  </si>
  <si>
    <t>玉米品种一</t>
    <phoneticPr fontId="2" type="noConversion"/>
  </si>
  <si>
    <t>玉米品种二</t>
    <phoneticPr fontId="2" type="noConversion"/>
  </si>
  <si>
    <t>玉米品种三</t>
    <phoneticPr fontId="2" type="noConversion"/>
  </si>
  <si>
    <t>种植面积（亩）</t>
    <phoneticPr fontId="2" type="noConversion"/>
  </si>
  <si>
    <t>销售数量（吨）</t>
    <phoneticPr fontId="2" type="noConversion"/>
  </si>
  <si>
    <t>身份证号</t>
    <phoneticPr fontId="2" type="noConversion"/>
  </si>
  <si>
    <t>核准面积(亩）</t>
    <phoneticPr fontId="2" type="noConversion"/>
  </si>
  <si>
    <t>补贴标准（亩）</t>
    <phoneticPr fontId="2" type="noConversion"/>
  </si>
  <si>
    <t>七月</t>
  </si>
  <si>
    <t>土地价值（年/亩）</t>
    <phoneticPr fontId="2" type="noConversion"/>
  </si>
  <si>
    <t>袋</t>
    <phoneticPr fontId="2" type="noConversion"/>
  </si>
  <si>
    <t>二月</t>
  </si>
  <si>
    <t>德美亚1号</t>
    <phoneticPr fontId="2" type="noConversion"/>
  </si>
  <si>
    <t>袋</t>
    <phoneticPr fontId="2" type="noConversion"/>
  </si>
  <si>
    <t>规格</t>
    <phoneticPr fontId="2" type="noConversion"/>
  </si>
  <si>
    <t>20公斤/袋</t>
    <phoneticPr fontId="2" type="noConversion"/>
  </si>
  <si>
    <t>50000粒/袋</t>
    <phoneticPr fontId="2" type="noConversion"/>
  </si>
  <si>
    <t>500克/袋</t>
    <phoneticPr fontId="2" type="noConversion"/>
  </si>
  <si>
    <t>氯氟氰菊酯</t>
    <phoneticPr fontId="2" type="noConversion"/>
  </si>
  <si>
    <t>瓶</t>
    <phoneticPr fontId="2" type="noConversion"/>
  </si>
  <si>
    <t>100毫升/瓶</t>
    <phoneticPr fontId="2" type="noConversion"/>
  </si>
  <si>
    <t>100克/瓶</t>
    <phoneticPr fontId="2" type="noConversion"/>
  </si>
  <si>
    <t>瓶</t>
    <phoneticPr fontId="2" type="noConversion"/>
  </si>
  <si>
    <t>瓶</t>
    <phoneticPr fontId="2" type="noConversion"/>
  </si>
  <si>
    <t>1000克/瓶</t>
    <phoneticPr fontId="2" type="noConversion"/>
  </si>
  <si>
    <t>50公斤/袋</t>
    <phoneticPr fontId="2" type="noConversion"/>
  </si>
  <si>
    <t>袋</t>
    <phoneticPr fontId="2" type="noConversion"/>
  </si>
  <si>
    <t>掺混肥</t>
    <phoneticPr fontId="2" type="noConversion"/>
  </si>
  <si>
    <t>支付时间</t>
    <phoneticPr fontId="2" type="noConversion"/>
  </si>
  <si>
    <t>支付时间</t>
    <phoneticPr fontId="2" type="noConversion"/>
  </si>
  <si>
    <t>作业方式</t>
    <phoneticPr fontId="2" type="noConversion"/>
  </si>
  <si>
    <t>自耕</t>
  </si>
  <si>
    <t>外包</t>
  </si>
  <si>
    <t>十月</t>
  </si>
  <si>
    <t>单价</t>
    <phoneticPr fontId="2" type="noConversion"/>
  </si>
  <si>
    <t>公顷</t>
    <phoneticPr fontId="2" type="noConversion"/>
  </si>
  <si>
    <t>维修费</t>
    <phoneticPr fontId="2" type="noConversion"/>
  </si>
  <si>
    <t>年</t>
    <phoneticPr fontId="2" type="noConversion"/>
  </si>
  <si>
    <t>水电</t>
    <phoneticPr fontId="2" type="noConversion"/>
  </si>
  <si>
    <t>年</t>
    <phoneticPr fontId="2" type="noConversion"/>
  </si>
  <si>
    <t>播种期</t>
    <phoneticPr fontId="2" type="noConversion"/>
  </si>
  <si>
    <t>收购期</t>
    <phoneticPr fontId="2" type="noConversion"/>
  </si>
  <si>
    <t>产品名称</t>
    <phoneticPr fontId="2" type="noConversion"/>
  </si>
  <si>
    <t>雇佣数量</t>
    <phoneticPr fontId="2" type="noConversion"/>
  </si>
  <si>
    <t>五月</t>
  </si>
  <si>
    <t>合计</t>
    <phoneticPr fontId="2" type="noConversion"/>
  </si>
  <si>
    <t>合计</t>
    <phoneticPr fontId="2" type="noConversion"/>
  </si>
  <si>
    <t>合计</t>
    <phoneticPr fontId="2" type="noConversion"/>
  </si>
  <si>
    <t>合计</t>
    <phoneticPr fontId="2" type="noConversion"/>
  </si>
  <si>
    <t>人日</t>
    <phoneticPr fontId="2" type="noConversion"/>
  </si>
  <si>
    <t>销售单价（元/吨）</t>
    <phoneticPr fontId="2" type="noConversion"/>
  </si>
  <si>
    <t>是否送货到田</t>
    <phoneticPr fontId="2" type="noConversion"/>
  </si>
  <si>
    <t>是否提供服务</t>
    <phoneticPr fontId="2" type="noConversion"/>
  </si>
  <si>
    <t>是否回购产品</t>
    <phoneticPr fontId="2" type="noConversion"/>
  </si>
  <si>
    <t>㧟勺式播种机</t>
  </si>
  <si>
    <t>折旧年限</t>
    <phoneticPr fontId="2" type="noConversion"/>
  </si>
  <si>
    <t>凯斯190收获机</t>
    <phoneticPr fontId="2" type="noConversion"/>
  </si>
  <si>
    <t>迪尔1204拖拉机</t>
    <phoneticPr fontId="2" type="noConversion"/>
  </si>
  <si>
    <t>电动播种机</t>
    <phoneticPr fontId="2" type="noConversion"/>
  </si>
  <si>
    <t>久保田插秧机</t>
    <phoneticPr fontId="2" type="noConversion"/>
  </si>
  <si>
    <t>小型无人机</t>
    <phoneticPr fontId="2" type="noConversion"/>
  </si>
  <si>
    <t>雷肯五铧犁</t>
    <phoneticPr fontId="2" type="noConversion"/>
  </si>
  <si>
    <t>牧神动力耙</t>
    <phoneticPr fontId="2" type="noConversion"/>
  </si>
  <si>
    <t>补贴后单价</t>
    <phoneticPr fontId="2" type="noConversion"/>
  </si>
  <si>
    <t>期限(月）</t>
    <phoneticPr fontId="2" type="noConversion"/>
  </si>
  <si>
    <t>是否已质押</t>
    <phoneticPr fontId="2" type="noConversion"/>
  </si>
  <si>
    <t>抵押</t>
  </si>
  <si>
    <t>信用</t>
  </si>
  <si>
    <t>到期还款额</t>
    <phoneticPr fontId="2" type="noConversion"/>
  </si>
  <si>
    <t>年利率</t>
    <phoneticPr fontId="2" type="noConversion"/>
  </si>
  <si>
    <t>**农商行</t>
    <phoneticPr fontId="2" type="noConversion"/>
  </si>
  <si>
    <t>张三等</t>
    <phoneticPr fontId="2" type="noConversion"/>
  </si>
  <si>
    <t>建设银行</t>
    <phoneticPr fontId="2" type="noConversion"/>
  </si>
  <si>
    <t>贷款机构</t>
    <phoneticPr fontId="2" type="noConversion"/>
  </si>
  <si>
    <t>建设银行</t>
    <phoneticPr fontId="2" type="noConversion"/>
  </si>
  <si>
    <t>家庭消费贷款</t>
    <phoneticPr fontId="2" type="noConversion"/>
  </si>
  <si>
    <t>玉米生产成本信息采集</t>
    <phoneticPr fontId="2" type="noConversion"/>
  </si>
  <si>
    <t>客户家庭基本信息采集</t>
    <phoneticPr fontId="2" type="noConversion"/>
  </si>
  <si>
    <t>大豆</t>
  </si>
  <si>
    <t>农业生产品类</t>
    <phoneticPr fontId="2" type="noConversion"/>
  </si>
  <si>
    <t>种植品种</t>
    <phoneticPr fontId="2" type="noConversion"/>
  </si>
  <si>
    <t>种植业收入</t>
    <phoneticPr fontId="2" type="noConversion"/>
  </si>
  <si>
    <t>养殖业收入</t>
    <phoneticPr fontId="2" type="noConversion"/>
  </si>
  <si>
    <t>服务业收入</t>
    <phoneticPr fontId="2" type="noConversion"/>
  </si>
  <si>
    <t>经营年限</t>
    <phoneticPr fontId="2" type="noConversion"/>
  </si>
  <si>
    <t>银行贷款</t>
    <phoneticPr fontId="2" type="noConversion"/>
  </si>
  <si>
    <t>其他借款</t>
    <phoneticPr fontId="2" type="noConversion"/>
  </si>
  <si>
    <t>利息总额</t>
    <phoneticPr fontId="2" type="noConversion"/>
  </si>
  <si>
    <t>总收入(元）</t>
    <phoneticPr fontId="2" type="noConversion"/>
  </si>
  <si>
    <t>支出时间</t>
    <phoneticPr fontId="2" type="noConversion"/>
  </si>
  <si>
    <t>家庭净收入（年）</t>
    <phoneticPr fontId="2" type="noConversion"/>
  </si>
  <si>
    <t>一月</t>
  </si>
  <si>
    <t>每月</t>
  </si>
  <si>
    <t>数量（处/台/亩）</t>
    <phoneticPr fontId="2" type="noConversion"/>
  </si>
  <si>
    <t>杂粮</t>
  </si>
  <si>
    <t>近三年种植面积（亩）</t>
    <phoneticPr fontId="2" type="noConversion"/>
  </si>
  <si>
    <t>额度</t>
    <phoneticPr fontId="2" type="noConversion"/>
  </si>
  <si>
    <t>额度</t>
    <phoneticPr fontId="2" type="noConversion"/>
  </si>
  <si>
    <t>小贷</t>
  </si>
  <si>
    <t>农商行</t>
    <phoneticPr fontId="2" type="noConversion"/>
  </si>
  <si>
    <t>家庭借款本息支出（年）</t>
    <phoneticPr fontId="2" type="noConversion"/>
  </si>
  <si>
    <t>是否加入合作社</t>
    <phoneticPr fontId="2" type="noConversion"/>
  </si>
  <si>
    <t>上年经营利润</t>
    <phoneticPr fontId="2" type="noConversion"/>
  </si>
  <si>
    <t>家庭总收支情况</t>
    <phoneticPr fontId="2" type="noConversion"/>
  </si>
  <si>
    <t>合作社投资比例</t>
    <phoneticPr fontId="2" type="noConversion"/>
  </si>
  <si>
    <t>收益分配比例</t>
    <phoneticPr fontId="2" type="noConversion"/>
  </si>
  <si>
    <t>固定资产建设</t>
  </si>
  <si>
    <t>放款时间</t>
    <phoneticPr fontId="2" type="noConversion"/>
  </si>
  <si>
    <t>车贷</t>
  </si>
  <si>
    <t>贷款年利率</t>
    <phoneticPr fontId="2" type="noConversion"/>
  </si>
  <si>
    <t>期限（月）</t>
    <phoneticPr fontId="2" type="noConversion"/>
  </si>
  <si>
    <t>按期</t>
  </si>
  <si>
    <t>家庭日常支出(年)</t>
    <phoneticPr fontId="2" type="noConversion"/>
  </si>
  <si>
    <t>抵押物三</t>
    <phoneticPr fontId="2" type="noConversion"/>
  </si>
  <si>
    <t>房产</t>
  </si>
  <si>
    <t>品种</t>
    <phoneticPr fontId="2" type="noConversion"/>
  </si>
  <si>
    <t>有价证券</t>
    <phoneticPr fontId="2" type="noConversion"/>
  </si>
  <si>
    <t>李四</t>
    <phoneticPr fontId="2" type="noConversion"/>
  </si>
  <si>
    <t>公务员</t>
    <phoneticPr fontId="2" type="noConversion"/>
  </si>
  <si>
    <t>大额存单</t>
    <phoneticPr fontId="2" type="noConversion"/>
  </si>
  <si>
    <t>与被保证人关系</t>
    <phoneticPr fontId="2" type="noConversion"/>
  </si>
  <si>
    <t>直系亲属</t>
  </si>
  <si>
    <t>所在村委会成员</t>
  </si>
  <si>
    <t>每公顷使用量</t>
    <phoneticPr fontId="2" type="noConversion"/>
  </si>
  <si>
    <t>金额合计</t>
    <phoneticPr fontId="2" type="noConversion"/>
  </si>
  <si>
    <t>每吨玉米使用量</t>
    <phoneticPr fontId="2" type="noConversion"/>
  </si>
  <si>
    <t>VC4 土地租金及保费</t>
    <phoneticPr fontId="2" type="noConversion"/>
  </si>
  <si>
    <t>高粱</t>
  </si>
  <si>
    <t>VC1农资成本</t>
    <phoneticPr fontId="2" type="noConversion"/>
  </si>
  <si>
    <t>VC2机械作业费</t>
  </si>
  <si>
    <t>资金使用量</t>
    <phoneticPr fontId="2" type="noConversion"/>
  </si>
  <si>
    <t>承包面积（亩）</t>
    <phoneticPr fontId="2" type="noConversion"/>
  </si>
  <si>
    <t>农户品质评价</t>
    <phoneticPr fontId="2" type="noConversion"/>
  </si>
  <si>
    <t>联合整地机</t>
    <phoneticPr fontId="2" type="noConversion"/>
  </si>
  <si>
    <t>作物用途</t>
    <phoneticPr fontId="2" type="noConversion"/>
  </si>
  <si>
    <t>支付土地租金</t>
    <phoneticPr fontId="2" type="noConversion"/>
  </si>
  <si>
    <t>支付种植费用</t>
    <phoneticPr fontId="2" type="noConversion"/>
  </si>
  <si>
    <t>机械作业费</t>
    <phoneticPr fontId="2" type="noConversion"/>
  </si>
  <si>
    <t>人工费</t>
    <phoneticPr fontId="2" type="noConversion"/>
  </si>
  <si>
    <t>机械作业费</t>
    <phoneticPr fontId="2" type="noConversion"/>
  </si>
  <si>
    <t>种药肥等农资</t>
    <phoneticPr fontId="2" type="noConversion"/>
  </si>
  <si>
    <t>购买农机具</t>
    <phoneticPr fontId="2" type="noConversion"/>
  </si>
  <si>
    <t>农机</t>
    <phoneticPr fontId="2" type="noConversion"/>
  </si>
  <si>
    <t>农具</t>
    <phoneticPr fontId="2" type="noConversion"/>
  </si>
  <si>
    <t>购买单价</t>
    <phoneticPr fontId="2" type="noConversion"/>
  </si>
  <si>
    <t>较上年变动</t>
    <phoneticPr fontId="2" type="noConversion"/>
  </si>
  <si>
    <t>下年种植面积（亩）</t>
    <phoneticPr fontId="2" type="noConversion"/>
  </si>
  <si>
    <t>借贷款人/机构</t>
    <phoneticPr fontId="2" type="noConversion"/>
  </si>
  <si>
    <t>收入占比</t>
    <phoneticPr fontId="2" type="noConversion"/>
  </si>
  <si>
    <t>合作社名称</t>
    <phoneticPr fontId="2" type="noConversion"/>
  </si>
  <si>
    <t>合作社成立时间</t>
    <phoneticPr fontId="2" type="noConversion"/>
  </si>
  <si>
    <t>合作社社员数</t>
    <phoneticPr fontId="2" type="noConversion"/>
  </si>
  <si>
    <t>业务尽调时间</t>
    <phoneticPr fontId="2" type="noConversion"/>
  </si>
  <si>
    <t>业务数据采集时间</t>
    <phoneticPr fontId="2" type="noConversion"/>
  </si>
  <si>
    <t>至</t>
    <phoneticPr fontId="2" type="noConversion"/>
  </si>
  <si>
    <t>家庭对外担保</t>
    <phoneticPr fontId="2" type="noConversion"/>
  </si>
  <si>
    <t>连带责任保证</t>
  </si>
  <si>
    <t>月/季还息款额</t>
    <phoneticPr fontId="2" type="noConversion"/>
  </si>
  <si>
    <t>近2年贷款情况</t>
    <phoneticPr fontId="2" type="noConversion"/>
  </si>
  <si>
    <t>贷款状态</t>
    <phoneticPr fontId="2" type="noConversion"/>
  </si>
  <si>
    <t>正常</t>
  </si>
  <si>
    <t>已逾期</t>
  </si>
  <si>
    <t>配偶姓名</t>
    <phoneticPr fontId="2" type="noConversion"/>
  </si>
  <si>
    <t>身份证号</t>
    <phoneticPr fontId="2" type="noConversion"/>
  </si>
  <si>
    <t>联系方式</t>
    <phoneticPr fontId="2" type="noConversion"/>
  </si>
  <si>
    <t>总资金使用量</t>
    <phoneticPr fontId="2" type="noConversion"/>
  </si>
  <si>
    <t>申请额度</t>
    <phoneticPr fontId="2" type="noConversion"/>
  </si>
  <si>
    <t>贷款利率</t>
    <phoneticPr fontId="2" type="noConversion"/>
  </si>
  <si>
    <t>贷款期限</t>
    <phoneticPr fontId="2" type="noConversion"/>
  </si>
  <si>
    <t>自有资金</t>
    <phoneticPr fontId="2" type="noConversion"/>
  </si>
  <si>
    <t>担保本息余额</t>
    <phoneticPr fontId="2" type="noConversion"/>
  </si>
  <si>
    <t>按月付息</t>
  </si>
  <si>
    <t>当年12月</t>
  </si>
  <si>
    <t>次年1月</t>
  </si>
  <si>
    <t>2018年</t>
  </si>
  <si>
    <t>农户地块信息</t>
    <phoneticPr fontId="2" type="noConversion"/>
  </si>
  <si>
    <t>土地类型</t>
    <phoneticPr fontId="2" type="noConversion"/>
  </si>
  <si>
    <t>旱田</t>
  </si>
  <si>
    <t>水田</t>
  </si>
  <si>
    <t>是否连片</t>
    <phoneticPr fontId="2" type="noConversion"/>
  </si>
  <si>
    <t>1月</t>
  </si>
  <si>
    <t>2017年</t>
  </si>
  <si>
    <t>11月</t>
  </si>
  <si>
    <t>存粮(吨）</t>
    <phoneticPr fontId="2" type="noConversion"/>
  </si>
  <si>
    <t>资金用途</t>
    <phoneticPr fontId="4" type="noConversion"/>
  </si>
  <si>
    <t>种植品种</t>
    <phoneticPr fontId="2" type="noConversion"/>
  </si>
  <si>
    <t>租金总额</t>
    <phoneticPr fontId="2" type="noConversion"/>
  </si>
  <si>
    <t>承包期限截至</t>
    <phoneticPr fontId="2" type="noConversion"/>
  </si>
  <si>
    <t>数量（亩）</t>
    <phoneticPr fontId="2" type="noConversion"/>
  </si>
  <si>
    <t>亩</t>
    <phoneticPr fontId="2" type="noConversion"/>
  </si>
  <si>
    <t>数量（亩）</t>
    <phoneticPr fontId="2" type="noConversion"/>
  </si>
  <si>
    <t>补贴到账时间</t>
    <phoneticPr fontId="2" type="noConversion"/>
  </si>
  <si>
    <t>6月</t>
  </si>
  <si>
    <t>7月</t>
  </si>
  <si>
    <t>种植种类</t>
    <phoneticPr fontId="2" type="noConversion"/>
  </si>
  <si>
    <t>租金（亩）</t>
    <phoneticPr fontId="2" type="noConversion"/>
  </si>
  <si>
    <t>发生时间</t>
    <phoneticPr fontId="2" type="noConversion"/>
  </si>
  <si>
    <t>预计亩产量（斤）</t>
    <phoneticPr fontId="2" type="noConversion"/>
  </si>
  <si>
    <t>利随本清</t>
  </si>
  <si>
    <t>三等以下</t>
    <phoneticPr fontId="2" type="noConversion"/>
  </si>
  <si>
    <t>预计公顷产量（吨)</t>
    <phoneticPr fontId="2" type="noConversion"/>
  </si>
  <si>
    <t>预计总产量（吨)</t>
    <phoneticPr fontId="2" type="noConversion"/>
  </si>
  <si>
    <t>预计销售数量（吨）</t>
    <phoneticPr fontId="2" type="noConversion"/>
  </si>
  <si>
    <t>预计销售单价（元/吨）</t>
    <phoneticPr fontId="2" type="noConversion"/>
  </si>
  <si>
    <t>预计总收入(元）</t>
    <phoneticPr fontId="2" type="noConversion"/>
  </si>
  <si>
    <t>资金计划使用时间</t>
    <phoneticPr fontId="2" type="noConversion"/>
  </si>
  <si>
    <t>12月</t>
  </si>
  <si>
    <t>担保方式</t>
    <phoneticPr fontId="2" type="noConversion"/>
  </si>
  <si>
    <t>还款方式</t>
    <phoneticPr fontId="2" type="noConversion"/>
  </si>
  <si>
    <t>预计销售时间</t>
    <phoneticPr fontId="2" type="noConversion"/>
  </si>
  <si>
    <t>计划存粮(吨）</t>
    <phoneticPr fontId="2" type="noConversion"/>
  </si>
  <si>
    <t>预计存货价值</t>
    <phoneticPr fontId="2" type="noConversion"/>
  </si>
  <si>
    <t>补贴总额</t>
    <phoneticPr fontId="2" type="noConversion"/>
  </si>
  <si>
    <t>到期还款额（整还）</t>
    <phoneticPr fontId="2" type="noConversion"/>
  </si>
  <si>
    <t>月还款额（按揭）</t>
    <phoneticPr fontId="2" type="noConversion"/>
  </si>
  <si>
    <t>2月</t>
  </si>
  <si>
    <t>2019年</t>
  </si>
  <si>
    <t>计划新承包土地租金及保费</t>
    <phoneticPr fontId="2" type="noConversion"/>
  </si>
  <si>
    <t>原承包土地租金及保费</t>
    <phoneticPr fontId="2" type="noConversion"/>
  </si>
  <si>
    <t>9月</t>
  </si>
  <si>
    <t>其他药剂</t>
  </si>
  <si>
    <t>封闭</t>
    <phoneticPr fontId="2" type="noConversion"/>
  </si>
  <si>
    <t>元/公顷</t>
    <phoneticPr fontId="2" type="noConversion"/>
  </si>
  <si>
    <t>封闭</t>
    <phoneticPr fontId="2" type="noConversion"/>
  </si>
  <si>
    <t>经营计划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</si>
</sst>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76" formatCode="_ * #,##0.00_ ;_ * \-#,##0.00_ ;_ * &quot;-&quot;??_ ;_ @_ "/>
    <numFmt numFmtId="177" formatCode="_-* #,##0_-;\-* #,##0_-;_-* &quot;-&quot;??_-;_-@_-"/>
    <numFmt numFmtId="178" formatCode="0.0%"/>
    <numFmt numFmtId="179" formatCode="_-* #,##0.000_-;\-* #,##0.000_-;_-* &quot;-&quot;??_-;_-@_-"/>
    <numFmt numFmtId="180" formatCode="yyyy&quot;年&quot;m&quot;月&quot;;@"/>
    <numFmt numFmtId="181" formatCode="0.00_ "/>
    <numFmt numFmtId="182" formatCode="#,##0.00_ "/>
    <numFmt numFmtId="183" formatCode="#,##0.0000000000_ "/>
    <numFmt numFmtId="184" formatCode="0_);[Red]\(0\)"/>
    <numFmt numFmtId="185" formatCode="0;[Red]0"/>
    <numFmt numFmtId="186" formatCode="0_ "/>
    <numFmt numFmtId="187" formatCode="[$-F800]dddd\,\ mmmm\ dd\,\ yyyy"/>
    <numFmt numFmtId="188" formatCode="#,##0_ "/>
  </numFmts>
  <fonts count="27" x14ac:knownFonts="1">
    <font>
      <sz val="11"/>
      <color theme="1"/>
      <name val="DengXian"/>
      <family val="2"/>
      <scheme val="minor"/>
    </font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b/>
      <sz val="11"/>
      <color theme="1"/>
      <name val="DengXian"/>
      <family val="3"/>
      <charset val="134"/>
      <scheme val="minor"/>
    </font>
    <font>
      <sz val="9"/>
      <name val="宋体"/>
      <family val="3"/>
      <charset val="134"/>
    </font>
    <font>
      <sz val="10"/>
      <name val="Helv"/>
      <family val="2"/>
    </font>
    <font>
      <b/>
      <sz val="11"/>
      <name val="DengXian"/>
      <family val="3"/>
      <charset val="134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name val="DengXian"/>
      <family val="3"/>
      <charset val="134"/>
      <scheme val="minor"/>
    </font>
    <font>
      <sz val="10"/>
      <name val="DengXian"/>
      <family val="3"/>
      <charset val="134"/>
      <scheme val="minor"/>
    </font>
    <font>
      <sz val="10"/>
      <color indexed="12"/>
      <name val="DengXian"/>
      <family val="3"/>
      <charset val="134"/>
      <scheme val="minor"/>
    </font>
    <font>
      <i/>
      <sz val="10"/>
      <name val="DengXian"/>
      <family val="3"/>
      <charset val="134"/>
      <scheme val="minor"/>
    </font>
    <font>
      <sz val="10"/>
      <color indexed="14"/>
      <name val="DengXian"/>
      <family val="3"/>
      <charset val="134"/>
      <scheme val="minor"/>
    </font>
    <font>
      <b/>
      <sz val="10"/>
      <name val="宋体"/>
      <family val="3"/>
      <charset val="134"/>
    </font>
    <font>
      <sz val="10"/>
      <name val="DengXian Light"/>
      <family val="3"/>
      <charset val="134"/>
      <scheme val="major"/>
    </font>
    <font>
      <b/>
      <sz val="10"/>
      <name val="DengXian Light"/>
      <family val="3"/>
      <charset val="134"/>
      <scheme val="major"/>
    </font>
    <font>
      <sz val="10"/>
      <color theme="1"/>
      <name val="DengXian Light"/>
      <family val="3"/>
      <charset val="134"/>
      <scheme val="major"/>
    </font>
    <font>
      <b/>
      <sz val="10"/>
      <color theme="1"/>
      <name val="DengXian Light"/>
      <family val="3"/>
      <charset val="134"/>
      <scheme val="major"/>
    </font>
    <font>
      <sz val="10"/>
      <color theme="1"/>
      <name val="DengXian"/>
      <family val="2"/>
      <scheme val="minor"/>
    </font>
    <font>
      <sz val="10"/>
      <color theme="1"/>
      <name val="DengXian"/>
      <family val="3"/>
      <charset val="134"/>
      <scheme val="minor"/>
    </font>
    <font>
      <b/>
      <sz val="10"/>
      <color theme="1"/>
      <name val="DengXian"/>
      <family val="3"/>
      <charset val="134"/>
      <scheme val="minor"/>
    </font>
    <font>
      <sz val="10"/>
      <color theme="1"/>
      <name val="Times New Roman"/>
      <family val="1"/>
    </font>
    <font>
      <b/>
      <sz val="10"/>
      <color rgb="FFFF0000"/>
      <name val="DengXian"/>
      <family val="3"/>
      <charset val="134"/>
      <scheme val="minor"/>
    </font>
    <font>
      <sz val="10"/>
      <color rgb="FFFF0000"/>
      <name val="DengXian"/>
      <family val="3"/>
      <charset val="134"/>
      <scheme val="minor"/>
    </font>
    <font>
      <b/>
      <sz val="10"/>
      <color theme="1"/>
      <name val="宋体"/>
      <family val="3"/>
      <charset val="134"/>
    </font>
    <font>
      <sz val="12"/>
      <color rgb="FF333333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4">
    <xf numFmtId="0" fontId="0" fillId="0" borderId="0"/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/>
  </cellStyleXfs>
  <cellXfs count="339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6" fillId="5" borderId="0" xfId="0" applyFont="1" applyFill="1" applyBorder="1" applyAlignment="1">
      <alignment horizontal="center" vertical="center"/>
    </xf>
    <xf numFmtId="177" fontId="11" fillId="0" borderId="0" xfId="1" applyNumberFormat="1" applyFont="1" applyFill="1" applyBorder="1" applyAlignment="1"/>
    <xf numFmtId="0" fontId="9" fillId="0" borderId="0" xfId="0" applyFont="1" applyFill="1" applyBorder="1" applyAlignment="1">
      <alignment horizontal="center"/>
    </xf>
    <xf numFmtId="0" fontId="10" fillId="0" borderId="0" xfId="0" applyFont="1" applyFill="1" applyBorder="1"/>
    <xf numFmtId="0" fontId="9" fillId="0" borderId="0" xfId="0" applyFont="1" applyFill="1" applyBorder="1"/>
    <xf numFmtId="177" fontId="9" fillId="0" borderId="0" xfId="0" applyNumberFormat="1" applyFont="1" applyFill="1" applyBorder="1"/>
    <xf numFmtId="177" fontId="9" fillId="0" borderId="0" xfId="1" applyNumberFormat="1" applyFont="1" applyFill="1" applyBorder="1" applyAlignment="1"/>
    <xf numFmtId="178" fontId="11" fillId="0" borderId="0" xfId="0" applyNumberFormat="1" applyFont="1" applyFill="1" applyBorder="1"/>
    <xf numFmtId="9" fontId="12" fillId="0" borderId="0" xfId="2" applyNumberFormat="1" applyFont="1" applyFill="1" applyBorder="1" applyAlignment="1">
      <alignment horizontal="left"/>
    </xf>
    <xf numFmtId="9" fontId="11" fillId="0" borderId="0" xfId="0" applyNumberFormat="1" applyFont="1" applyFill="1" applyBorder="1"/>
    <xf numFmtId="178" fontId="13" fillId="0" borderId="0" xfId="0" applyNumberFormat="1" applyFont="1" applyFill="1" applyBorder="1"/>
    <xf numFmtId="179" fontId="10" fillId="0" borderId="0" xfId="1" applyNumberFormat="1" applyFont="1" applyFill="1" applyBorder="1" applyAlignment="1"/>
    <xf numFmtId="0" fontId="11" fillId="0" borderId="0" xfId="0" applyFont="1" applyFill="1" applyBorder="1"/>
    <xf numFmtId="0" fontId="7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15" fillId="2" borderId="2" xfId="3" applyFont="1" applyFill="1" applyBorder="1" applyAlignment="1" applyProtection="1">
      <alignment horizontal="center" vertical="center" wrapText="1"/>
      <protection hidden="1"/>
    </xf>
    <xf numFmtId="0" fontId="15" fillId="2" borderId="2" xfId="0" applyFont="1" applyFill="1" applyBorder="1" applyAlignment="1" applyProtection="1">
      <alignment horizontal="center" vertical="center" wrapText="1"/>
      <protection locked="0" hidden="1"/>
    </xf>
    <xf numFmtId="0" fontId="15" fillId="3" borderId="2" xfId="3" applyFont="1" applyFill="1" applyBorder="1" applyAlignment="1" applyProtection="1">
      <alignment horizontal="center" vertical="center" wrapText="1"/>
      <protection hidden="1"/>
    </xf>
    <xf numFmtId="0" fontId="15" fillId="0" borderId="2" xfId="0" applyFont="1" applyFill="1" applyBorder="1" applyAlignment="1" applyProtection="1">
      <alignment horizontal="center" vertical="center" wrapText="1"/>
      <protection locked="0" hidden="1"/>
    </xf>
    <xf numFmtId="0" fontId="16" fillId="2" borderId="2" xfId="0" applyFont="1" applyFill="1" applyBorder="1" applyAlignment="1">
      <alignment horizontal="center" vertical="center"/>
    </xf>
    <xf numFmtId="14" fontId="17" fillId="0" borderId="2" xfId="0" applyNumberFormat="1" applyFont="1" applyBorder="1" applyAlignment="1">
      <alignment horizontal="center" vertical="center"/>
    </xf>
    <xf numFmtId="0" fontId="18" fillId="2" borderId="2" xfId="0" applyFont="1" applyFill="1" applyBorder="1" applyAlignment="1">
      <alignment horizontal="center" vertical="center"/>
    </xf>
    <xf numFmtId="4" fontId="17" fillId="0" borderId="2" xfId="0" applyNumberFormat="1" applyFont="1" applyBorder="1" applyAlignment="1">
      <alignment vertical="center"/>
    </xf>
    <xf numFmtId="4" fontId="17" fillId="4" borderId="2" xfId="0" applyNumberFormat="1" applyFont="1" applyFill="1" applyBorder="1" applyAlignment="1">
      <alignment vertical="center"/>
    </xf>
    <xf numFmtId="0" fontId="20" fillId="0" borderId="2" xfId="0" applyFont="1" applyBorder="1" applyAlignment="1">
      <alignment horizontal="center" vertical="center"/>
    </xf>
    <xf numFmtId="0" fontId="20" fillId="0" borderId="2" xfId="0" applyFont="1" applyBorder="1" applyAlignment="1">
      <alignment vertical="center"/>
    </xf>
    <xf numFmtId="4" fontId="20" fillId="0" borderId="2" xfId="0" applyNumberFormat="1" applyFont="1" applyBorder="1" applyAlignment="1">
      <alignment horizontal="center" vertical="center"/>
    </xf>
    <xf numFmtId="4" fontId="20" fillId="0" borderId="2" xfId="0" applyNumberFormat="1" applyFont="1" applyBorder="1" applyAlignment="1">
      <alignment horizontal="right" vertical="center"/>
    </xf>
    <xf numFmtId="0" fontId="20" fillId="9" borderId="2" xfId="0" applyFont="1" applyFill="1" applyBorder="1" applyAlignment="1">
      <alignment horizontal="center" vertical="center"/>
    </xf>
    <xf numFmtId="0" fontId="21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9" fillId="5" borderId="0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left" vertical="center"/>
    </xf>
    <xf numFmtId="0" fontId="21" fillId="2" borderId="2" xfId="0" applyFont="1" applyFill="1" applyBorder="1" applyAlignment="1">
      <alignment vertical="center"/>
    </xf>
    <xf numFmtId="0" fontId="19" fillId="0" borderId="2" xfId="0" applyFont="1" applyBorder="1" applyAlignment="1">
      <alignment vertical="center"/>
    </xf>
    <xf numFmtId="0" fontId="19" fillId="0" borderId="2" xfId="0" applyFont="1" applyBorder="1" applyAlignment="1">
      <alignment horizontal="center" vertical="center"/>
    </xf>
    <xf numFmtId="185" fontId="19" fillId="0" borderId="4" xfId="0" applyNumberFormat="1" applyFont="1" applyBorder="1" applyAlignment="1">
      <alignment horizontal="center" vertical="center"/>
    </xf>
    <xf numFmtId="0" fontId="19" fillId="0" borderId="11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21" fillId="2" borderId="6" xfId="0" applyFont="1" applyFill="1" applyBorder="1" applyAlignment="1">
      <alignment vertical="center"/>
    </xf>
    <xf numFmtId="0" fontId="19" fillId="0" borderId="6" xfId="0" applyFont="1" applyBorder="1" applyAlignment="1">
      <alignment vertical="center"/>
    </xf>
    <xf numFmtId="0" fontId="19" fillId="0" borderId="6" xfId="0" applyFont="1" applyBorder="1" applyAlignment="1">
      <alignment horizontal="center" vertical="center"/>
    </xf>
    <xf numFmtId="0" fontId="21" fillId="2" borderId="4" xfId="0" applyFont="1" applyFill="1" applyBorder="1" applyAlignment="1">
      <alignment vertical="center"/>
    </xf>
    <xf numFmtId="10" fontId="19" fillId="0" borderId="2" xfId="0" applyNumberFormat="1" applyFont="1" applyBorder="1" applyAlignment="1">
      <alignment vertical="center"/>
    </xf>
    <xf numFmtId="0" fontId="21" fillId="2" borderId="2" xfId="0" applyFont="1" applyFill="1" applyBorder="1" applyAlignment="1">
      <alignment horizontal="center" vertical="center"/>
    </xf>
    <xf numFmtId="180" fontId="19" fillId="0" borderId="2" xfId="0" applyNumberFormat="1" applyFont="1" applyBorder="1" applyAlignment="1">
      <alignment horizontal="center" vertical="center"/>
    </xf>
    <xf numFmtId="4" fontId="19" fillId="0" borderId="2" xfId="0" applyNumberFormat="1" applyFont="1" applyBorder="1" applyAlignment="1">
      <alignment vertical="center"/>
    </xf>
    <xf numFmtId="180" fontId="19" fillId="0" borderId="2" xfId="0" applyNumberFormat="1" applyFont="1" applyBorder="1" applyAlignment="1">
      <alignment vertical="center"/>
    </xf>
    <xf numFmtId="0" fontId="19" fillId="2" borderId="2" xfId="0" applyFont="1" applyFill="1" applyBorder="1" applyAlignment="1">
      <alignment vertical="center"/>
    </xf>
    <xf numFmtId="0" fontId="21" fillId="2" borderId="2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vertical="center"/>
    </xf>
    <xf numFmtId="4" fontId="19" fillId="4" borderId="2" xfId="0" applyNumberFormat="1" applyFont="1" applyFill="1" applyBorder="1" applyAlignment="1">
      <alignment vertical="center"/>
    </xf>
    <xf numFmtId="0" fontId="21" fillId="0" borderId="0" xfId="0" applyFont="1" applyBorder="1" applyAlignment="1">
      <alignment horizontal="center" vertical="center" wrapText="1"/>
    </xf>
    <xf numFmtId="0" fontId="21" fillId="2" borderId="2" xfId="0" applyFont="1" applyFill="1" applyBorder="1" applyAlignment="1">
      <alignment horizontal="center" vertical="center" wrapText="1"/>
    </xf>
    <xf numFmtId="0" fontId="21" fillId="2" borderId="4" xfId="0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/>
    </xf>
    <xf numFmtId="0" fontId="19" fillId="6" borderId="2" xfId="0" applyFont="1" applyFill="1" applyBorder="1" applyAlignment="1">
      <alignment vertical="center"/>
    </xf>
    <xf numFmtId="10" fontId="19" fillId="0" borderId="2" xfId="0" applyNumberFormat="1" applyFont="1" applyBorder="1" applyAlignment="1">
      <alignment horizontal="center" vertical="center"/>
    </xf>
    <xf numFmtId="184" fontId="19" fillId="0" borderId="2" xfId="0" applyNumberFormat="1" applyFont="1" applyBorder="1" applyAlignment="1">
      <alignment horizontal="center" vertical="center"/>
    </xf>
    <xf numFmtId="180" fontId="19" fillId="4" borderId="2" xfId="0" applyNumberFormat="1" applyFont="1" applyFill="1" applyBorder="1" applyAlignment="1">
      <alignment horizontal="center" vertical="center"/>
    </xf>
    <xf numFmtId="4" fontId="19" fillId="0" borderId="4" xfId="0" applyNumberFormat="1" applyFont="1" applyBorder="1" applyAlignment="1">
      <alignment vertical="center"/>
    </xf>
    <xf numFmtId="0" fontId="19" fillId="0" borderId="2" xfId="0" applyFont="1" applyFill="1" applyBorder="1" applyAlignment="1">
      <alignment vertical="center"/>
    </xf>
    <xf numFmtId="180" fontId="20" fillId="7" borderId="2" xfId="0" applyNumberFormat="1" applyFont="1" applyFill="1" applyBorder="1" applyAlignment="1">
      <alignment horizontal="center" vertical="center"/>
    </xf>
    <xf numFmtId="0" fontId="19" fillId="0" borderId="0" xfId="0" applyFont="1" applyFill="1" applyAlignment="1">
      <alignment vertical="center"/>
    </xf>
    <xf numFmtId="0" fontId="19" fillId="8" borderId="2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19" fillId="6" borderId="2" xfId="0" applyFont="1" applyFill="1" applyBorder="1" applyAlignment="1">
      <alignment horizontal="center"/>
    </xf>
    <xf numFmtId="0" fontId="20" fillId="0" borderId="2" xfId="0" applyFont="1" applyFill="1" applyBorder="1" applyAlignment="1">
      <alignment vertical="center"/>
    </xf>
    <xf numFmtId="181" fontId="20" fillId="0" borderId="2" xfId="0" applyNumberFormat="1" applyFont="1" applyFill="1" applyBorder="1" applyAlignment="1">
      <alignment horizontal="right" vertical="center"/>
    </xf>
    <xf numFmtId="40" fontId="20" fillId="0" borderId="2" xfId="0" applyNumberFormat="1" applyFont="1" applyFill="1" applyBorder="1" applyAlignment="1">
      <alignment horizontal="center" vertical="center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21" fillId="2" borderId="2" xfId="0" applyFont="1" applyFill="1" applyBorder="1" applyAlignment="1">
      <alignment vertical="center"/>
    </xf>
    <xf numFmtId="4" fontId="19" fillId="0" borderId="2" xfId="0" applyNumberFormat="1" applyFont="1" applyBorder="1" applyAlignment="1">
      <alignment horizontal="right" vertical="center"/>
    </xf>
    <xf numFmtId="14" fontId="19" fillId="0" borderId="2" xfId="0" applyNumberFormat="1" applyFont="1" applyBorder="1" applyAlignment="1">
      <alignment vertical="center"/>
    </xf>
    <xf numFmtId="40" fontId="19" fillId="4" borderId="4" xfId="0" applyNumberFormat="1" applyFont="1" applyFill="1" applyBorder="1" applyAlignment="1">
      <alignment vertical="center"/>
    </xf>
    <xf numFmtId="4" fontId="19" fillId="4" borderId="4" xfId="0" applyNumberFormat="1" applyFont="1" applyFill="1" applyBorder="1" applyAlignment="1">
      <alignment vertical="center"/>
    </xf>
    <xf numFmtId="0" fontId="19" fillId="0" borderId="4" xfId="0" applyFont="1" applyBorder="1" applyAlignment="1">
      <alignment vertical="center"/>
    </xf>
    <xf numFmtId="4" fontId="19" fillId="0" borderId="0" xfId="0" applyNumberFormat="1" applyFont="1" applyAlignment="1">
      <alignment vertical="center"/>
    </xf>
    <xf numFmtId="0" fontId="21" fillId="2" borderId="8" xfId="0" applyFont="1" applyFill="1" applyBorder="1" applyAlignment="1">
      <alignment horizontal="center" vertical="center" wrapText="1"/>
    </xf>
    <xf numFmtId="14" fontId="19" fillId="0" borderId="0" xfId="0" applyNumberFormat="1" applyFont="1" applyAlignment="1">
      <alignment vertical="center"/>
    </xf>
    <xf numFmtId="183" fontId="19" fillId="0" borderId="0" xfId="0" applyNumberFormat="1" applyFont="1" applyAlignment="1">
      <alignment vertical="center"/>
    </xf>
    <xf numFmtId="40" fontId="19" fillId="4" borderId="2" xfId="0" applyNumberFormat="1" applyFont="1" applyFill="1" applyBorder="1" applyAlignment="1">
      <alignment vertical="center"/>
    </xf>
    <xf numFmtId="187" fontId="19" fillId="0" borderId="2" xfId="0" applyNumberFormat="1" applyFont="1" applyBorder="1" applyAlignment="1">
      <alignment vertical="center"/>
    </xf>
    <xf numFmtId="187" fontId="19" fillId="4" borderId="4" xfId="0" applyNumberFormat="1" applyFont="1" applyFill="1" applyBorder="1" applyAlignment="1">
      <alignment vertical="center"/>
    </xf>
    <xf numFmtId="0" fontId="19" fillId="9" borderId="2" xfId="0" applyFont="1" applyFill="1" applyBorder="1" applyAlignment="1">
      <alignment horizontal="center" vertical="center"/>
    </xf>
    <xf numFmtId="0" fontId="19" fillId="9" borderId="4" xfId="0" applyFont="1" applyFill="1" applyBorder="1" applyAlignment="1">
      <alignment vertical="center"/>
    </xf>
    <xf numFmtId="4" fontId="19" fillId="0" borderId="6" xfId="0" applyNumberFormat="1" applyFont="1" applyBorder="1" applyAlignment="1">
      <alignment vertical="center"/>
    </xf>
    <xf numFmtId="10" fontId="19" fillId="0" borderId="6" xfId="0" applyNumberFormat="1" applyFont="1" applyBorder="1" applyAlignment="1">
      <alignment horizontal="center" vertical="center"/>
    </xf>
    <xf numFmtId="0" fontId="19" fillId="9" borderId="6" xfId="0" applyFont="1" applyFill="1" applyBorder="1" applyAlignment="1">
      <alignment horizontal="center" vertical="center"/>
    </xf>
    <xf numFmtId="0" fontId="19" fillId="9" borderId="14" xfId="0" applyFont="1" applyFill="1" applyBorder="1" applyAlignment="1">
      <alignment vertical="center"/>
    </xf>
    <xf numFmtId="0" fontId="21" fillId="2" borderId="2" xfId="0" applyFont="1" applyFill="1" applyBorder="1" applyAlignment="1">
      <alignment vertical="center" wrapText="1"/>
    </xf>
    <xf numFmtId="0" fontId="19" fillId="2" borderId="4" xfId="0" applyFont="1" applyFill="1" applyBorder="1" applyAlignment="1">
      <alignment horizontal="center" vertical="center"/>
    </xf>
    <xf numFmtId="4" fontId="19" fillId="0" borderId="2" xfId="0" applyNumberFormat="1" applyFont="1" applyBorder="1" applyAlignment="1">
      <alignment horizontal="center" vertical="center"/>
    </xf>
    <xf numFmtId="182" fontId="19" fillId="0" borderId="0" xfId="0" applyNumberFormat="1" applyFont="1" applyAlignment="1">
      <alignment vertical="center"/>
    </xf>
    <xf numFmtId="0" fontId="19" fillId="0" borderId="0" xfId="0" applyFont="1" applyFill="1" applyBorder="1" applyAlignment="1">
      <alignment vertical="center" wrapText="1"/>
    </xf>
    <xf numFmtId="0" fontId="20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vertical="center"/>
    </xf>
    <xf numFmtId="0" fontId="20" fillId="0" borderId="0" xfId="0" applyFont="1" applyFill="1" applyBorder="1" applyAlignment="1">
      <alignment vertical="center"/>
    </xf>
    <xf numFmtId="0" fontId="21" fillId="0" borderId="0" xfId="0" applyFont="1" applyFill="1" applyBorder="1" applyAlignment="1">
      <alignment vertical="center"/>
    </xf>
    <xf numFmtId="0" fontId="20" fillId="0" borderId="0" xfId="0" applyFont="1" applyFill="1" applyBorder="1"/>
    <xf numFmtId="0" fontId="20" fillId="0" borderId="2" xfId="0" applyFont="1" applyBorder="1" applyAlignment="1">
      <alignment horizontal="right" vertical="center"/>
    </xf>
    <xf numFmtId="177" fontId="20" fillId="0" borderId="0" xfId="1" applyNumberFormat="1" applyFont="1" applyFill="1" applyBorder="1" applyAlignment="1"/>
    <xf numFmtId="182" fontId="20" fillId="0" borderId="2" xfId="0" applyNumberFormat="1" applyFont="1" applyBorder="1" applyAlignment="1">
      <alignment horizontal="right" vertical="center"/>
    </xf>
    <xf numFmtId="177" fontId="20" fillId="0" borderId="0" xfId="0" applyNumberFormat="1" applyFont="1" applyFill="1" applyBorder="1"/>
    <xf numFmtId="9" fontId="20" fillId="0" borderId="0" xfId="2" applyFont="1" applyFill="1" applyBorder="1" applyAlignment="1"/>
    <xf numFmtId="182" fontId="20" fillId="4" borderId="2" xfId="0" applyNumberFormat="1" applyFont="1" applyFill="1" applyBorder="1" applyAlignment="1">
      <alignment horizontal="right" vertical="center"/>
    </xf>
    <xf numFmtId="4" fontId="20" fillId="4" borderId="2" xfId="0" applyNumberFormat="1" applyFont="1" applyFill="1" applyBorder="1" applyAlignment="1">
      <alignment horizontal="right" vertical="center"/>
    </xf>
    <xf numFmtId="0" fontId="21" fillId="3" borderId="3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right" vertical="center"/>
    </xf>
    <xf numFmtId="181" fontId="20" fillId="0" borderId="0" xfId="0" applyNumberFormat="1" applyFont="1" applyFill="1" applyBorder="1" applyAlignment="1">
      <alignment horizontal="right" vertical="center"/>
    </xf>
    <xf numFmtId="0" fontId="20" fillId="3" borderId="2" xfId="0" applyFont="1" applyFill="1" applyBorder="1" applyAlignment="1">
      <alignment horizontal="right" vertical="center"/>
    </xf>
    <xf numFmtId="181" fontId="20" fillId="4" borderId="2" xfId="0" applyNumberFormat="1" applyFont="1" applyFill="1" applyBorder="1" applyAlignment="1">
      <alignment vertical="center"/>
    </xf>
    <xf numFmtId="182" fontId="20" fillId="4" borderId="2" xfId="0" applyNumberFormat="1" applyFont="1" applyFill="1" applyBorder="1" applyAlignment="1">
      <alignment vertical="center"/>
    </xf>
    <xf numFmtId="0" fontId="20" fillId="0" borderId="2" xfId="0" applyFont="1" applyFill="1" applyBorder="1" applyAlignment="1">
      <alignment horizontal="center" vertical="center"/>
    </xf>
    <xf numFmtId="0" fontId="20" fillId="0" borderId="0" xfId="0" applyFont="1" applyAlignment="1">
      <alignment vertical="center"/>
    </xf>
    <xf numFmtId="0" fontId="20" fillId="0" borderId="0" xfId="0" applyFont="1" applyFill="1" applyAlignment="1">
      <alignment horizontal="center" vertical="center"/>
    </xf>
    <xf numFmtId="0" fontId="20" fillId="0" borderId="0" xfId="0" applyFont="1" applyFill="1" applyAlignment="1">
      <alignment vertical="center"/>
    </xf>
    <xf numFmtId="0" fontId="9" fillId="5" borderId="14" xfId="0" applyFont="1" applyFill="1" applyBorder="1" applyAlignment="1">
      <alignment horizontal="center" vertical="center"/>
    </xf>
    <xf numFmtId="0" fontId="20" fillId="0" borderId="2" xfId="0" applyFont="1" applyFill="1" applyBorder="1" applyAlignment="1">
      <alignment horizontal="right" vertical="center"/>
    </xf>
    <xf numFmtId="181" fontId="20" fillId="4" borderId="2" xfId="0" applyNumberFormat="1" applyFont="1" applyFill="1" applyBorder="1" applyAlignment="1">
      <alignment horizontal="right" vertical="center"/>
    </xf>
    <xf numFmtId="0" fontId="20" fillId="0" borderId="0" xfId="0" applyFont="1" applyFill="1" applyBorder="1" applyAlignment="1">
      <alignment horizontal="center" vertical="center" wrapText="1"/>
    </xf>
    <xf numFmtId="0" fontId="23" fillId="3" borderId="14" xfId="0" applyFont="1" applyFill="1" applyBorder="1" applyAlignment="1">
      <alignment horizontal="center" vertical="center"/>
    </xf>
    <xf numFmtId="181" fontId="20" fillId="0" borderId="0" xfId="0" applyNumberFormat="1" applyFont="1" applyBorder="1" applyAlignment="1">
      <alignment horizontal="center" vertical="center"/>
    </xf>
    <xf numFmtId="4" fontId="24" fillId="0" borderId="2" xfId="0" applyNumberFormat="1" applyFont="1" applyBorder="1" applyAlignment="1">
      <alignment horizontal="right" vertical="center"/>
    </xf>
    <xf numFmtId="181" fontId="20" fillId="0" borderId="2" xfId="0" applyNumberFormat="1" applyFont="1" applyBorder="1" applyAlignment="1">
      <alignment horizontal="right" vertical="center"/>
    </xf>
    <xf numFmtId="182" fontId="20" fillId="0" borderId="0" xfId="0" applyNumberFormat="1" applyFont="1" applyFill="1" applyBorder="1" applyAlignment="1">
      <alignment horizontal="center" vertical="center"/>
    </xf>
    <xf numFmtId="183" fontId="20" fillId="0" borderId="0" xfId="0" applyNumberFormat="1" applyFont="1" applyFill="1" applyBorder="1" applyAlignment="1">
      <alignment horizontal="center" vertical="center"/>
    </xf>
    <xf numFmtId="0" fontId="19" fillId="3" borderId="0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21" fillId="5" borderId="2" xfId="0" applyFont="1" applyFill="1" applyBorder="1" applyAlignment="1">
      <alignment horizontal="center" vertical="center"/>
    </xf>
    <xf numFmtId="0" fontId="21" fillId="0" borderId="2" xfId="0" applyFont="1" applyFill="1" applyBorder="1" applyAlignment="1">
      <alignment horizontal="center" vertical="center"/>
    </xf>
    <xf numFmtId="182" fontId="19" fillId="0" borderId="2" xfId="0" applyNumberFormat="1" applyFont="1" applyBorder="1" applyAlignment="1">
      <alignment horizontal="right" vertical="center"/>
    </xf>
    <xf numFmtId="178" fontId="20" fillId="0" borderId="0" xfId="2" applyNumberFormat="1" applyFont="1" applyFill="1" applyBorder="1" applyAlignment="1"/>
    <xf numFmtId="0" fontId="21" fillId="0" borderId="2" xfId="0" applyFont="1" applyBorder="1" applyAlignment="1">
      <alignment horizontal="center" vertical="center"/>
    </xf>
    <xf numFmtId="0" fontId="19" fillId="6" borderId="2" xfId="0" applyFont="1" applyFill="1" applyBorder="1" applyAlignment="1">
      <alignment horizontal="center" vertical="center"/>
    </xf>
    <xf numFmtId="4" fontId="19" fillId="9" borderId="2" xfId="0" applyNumberFormat="1" applyFont="1" applyFill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/>
    </xf>
    <xf numFmtId="4" fontId="19" fillId="3" borderId="2" xfId="0" applyNumberFormat="1" applyFont="1" applyFill="1" applyBorder="1" applyAlignment="1">
      <alignment vertical="center"/>
    </xf>
    <xf numFmtId="181" fontId="19" fillId="4" borderId="2" xfId="0" applyNumberFormat="1" applyFont="1" applyFill="1" applyBorder="1" applyAlignment="1">
      <alignment horizontal="right" vertical="center"/>
    </xf>
    <xf numFmtId="4" fontId="19" fillId="4" borderId="2" xfId="0" applyNumberFormat="1" applyFont="1" applyFill="1" applyBorder="1" applyAlignment="1">
      <alignment horizontal="right" vertical="center"/>
    </xf>
    <xf numFmtId="0" fontId="19" fillId="0" borderId="0" xfId="0" applyFont="1" applyBorder="1" applyAlignment="1">
      <alignment horizontal="center" vertical="center"/>
    </xf>
    <xf numFmtId="0" fontId="19" fillId="0" borderId="2" xfId="0" applyFont="1" applyBorder="1" applyAlignment="1">
      <alignment horizontal="right" vertical="center"/>
    </xf>
    <xf numFmtId="0" fontId="20" fillId="3" borderId="2" xfId="0" applyFont="1" applyFill="1" applyBorder="1" applyAlignment="1">
      <alignment horizontal="center" vertical="center"/>
    </xf>
    <xf numFmtId="0" fontId="21" fillId="3" borderId="2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6" fillId="0" borderId="0" xfId="0" applyFont="1"/>
    <xf numFmtId="180" fontId="20" fillId="7" borderId="4" xfId="0" applyNumberFormat="1" applyFont="1" applyFill="1" applyBorder="1" applyAlignment="1">
      <alignment horizontal="center" vertical="center"/>
    </xf>
    <xf numFmtId="180" fontId="20" fillId="9" borderId="4" xfId="0" applyNumberFormat="1" applyFont="1" applyFill="1" applyBorder="1" applyAlignment="1">
      <alignment horizontal="center" vertical="center"/>
    </xf>
    <xf numFmtId="0" fontId="21" fillId="0" borderId="11" xfId="0" applyFont="1" applyFill="1" applyBorder="1" applyAlignment="1">
      <alignment horizontal="center" vertical="center"/>
    </xf>
    <xf numFmtId="0" fontId="19" fillId="0" borderId="11" xfId="0" applyFont="1" applyFill="1" applyBorder="1" applyAlignment="1">
      <alignment horizontal="center" vertical="center"/>
    </xf>
    <xf numFmtId="0" fontId="19" fillId="0" borderId="11" xfId="0" applyFont="1" applyFill="1" applyBorder="1" applyAlignment="1">
      <alignment vertical="center"/>
    </xf>
    <xf numFmtId="0" fontId="17" fillId="6" borderId="2" xfId="0" applyFont="1" applyFill="1" applyBorder="1" applyAlignment="1">
      <alignment horizontal="center" vertical="center"/>
    </xf>
    <xf numFmtId="181" fontId="20" fillId="0" borderId="0" xfId="0" applyNumberFormat="1" applyFont="1" applyFill="1" applyBorder="1" applyAlignment="1">
      <alignment vertical="center"/>
    </xf>
    <xf numFmtId="0" fontId="15" fillId="2" borderId="6" xfId="3" applyFont="1" applyFill="1" applyBorder="1" applyAlignment="1" applyProtection="1">
      <alignment vertical="center" wrapText="1"/>
      <protection hidden="1"/>
    </xf>
    <xf numFmtId="0" fontId="15" fillId="2" borderId="7" xfId="3" applyFont="1" applyFill="1" applyBorder="1" applyAlignment="1" applyProtection="1">
      <alignment vertical="center" wrapText="1"/>
      <protection hidden="1"/>
    </xf>
    <xf numFmtId="0" fontId="21" fillId="2" borderId="2" xfId="0" applyFont="1" applyFill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4" fontId="15" fillId="0" borderId="2" xfId="0" applyNumberFormat="1" applyFont="1" applyFill="1" applyBorder="1" applyAlignment="1" applyProtection="1">
      <alignment horizontal="right" vertical="center" wrapText="1"/>
      <protection locked="0" hidden="1"/>
    </xf>
    <xf numFmtId="0" fontId="21" fillId="2" borderId="2" xfId="0" applyFont="1" applyFill="1" applyBorder="1" applyAlignment="1">
      <alignment horizontal="center" vertical="center"/>
    </xf>
    <xf numFmtId="0" fontId="21" fillId="2" borderId="4" xfId="0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/>
    </xf>
    <xf numFmtId="10" fontId="10" fillId="4" borderId="2" xfId="0" applyNumberFormat="1" applyFont="1" applyFill="1" applyBorder="1" applyAlignment="1">
      <alignment vertical="center"/>
    </xf>
    <xf numFmtId="0" fontId="19" fillId="4" borderId="2" xfId="0" applyFont="1" applyFill="1" applyBorder="1" applyAlignment="1">
      <alignment horizontal="center" vertical="center"/>
    </xf>
    <xf numFmtId="0" fontId="15" fillId="2" borderId="5" xfId="0" applyFont="1" applyFill="1" applyBorder="1" applyAlignment="1" applyProtection="1">
      <alignment horizontal="center" vertical="center" wrapText="1"/>
      <protection locked="0" hidden="1"/>
    </xf>
    <xf numFmtId="0" fontId="0" fillId="0" borderId="0" xfId="0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21" fillId="2" borderId="2" xfId="0" applyFont="1" applyFill="1" applyBorder="1" applyAlignment="1">
      <alignment horizontal="center" vertical="center"/>
    </xf>
    <xf numFmtId="0" fontId="21" fillId="2" borderId="2" xfId="0" applyFont="1" applyFill="1" applyBorder="1" applyAlignment="1">
      <alignment vertical="center"/>
    </xf>
    <xf numFmtId="10" fontId="17" fillId="0" borderId="2" xfId="0" applyNumberFormat="1" applyFont="1" applyBorder="1" applyAlignment="1">
      <alignment vertical="center"/>
    </xf>
    <xf numFmtId="38" fontId="20" fillId="0" borderId="2" xfId="0" applyNumberFormat="1" applyFont="1" applyFill="1" applyBorder="1" applyAlignment="1">
      <alignment vertical="center"/>
    </xf>
    <xf numFmtId="38" fontId="10" fillId="0" borderId="2" xfId="0" applyNumberFormat="1" applyFont="1" applyFill="1" applyBorder="1" applyAlignment="1">
      <alignment vertical="center"/>
    </xf>
    <xf numFmtId="4" fontId="19" fillId="0" borderId="0" xfId="0" applyNumberFormat="1" applyFont="1" applyFill="1" applyBorder="1" applyAlignment="1">
      <alignment vertical="center"/>
    </xf>
    <xf numFmtId="14" fontId="19" fillId="0" borderId="0" xfId="0" applyNumberFormat="1" applyFont="1" applyFill="1" applyBorder="1" applyAlignment="1">
      <alignment vertical="center"/>
    </xf>
    <xf numFmtId="0" fontId="21" fillId="2" borderId="2" xfId="0" applyFont="1" applyFill="1" applyBorder="1" applyAlignment="1">
      <alignment horizontal="center" vertical="center"/>
    </xf>
    <xf numFmtId="4" fontId="20" fillId="0" borderId="0" xfId="0" applyNumberFormat="1" applyFont="1" applyFill="1" applyBorder="1" applyAlignment="1">
      <alignment vertical="center"/>
    </xf>
    <xf numFmtId="4" fontId="19" fillId="6" borderId="2" xfId="0" applyNumberFormat="1" applyFont="1" applyFill="1" applyBorder="1" applyAlignment="1">
      <alignment vertical="center"/>
    </xf>
    <xf numFmtId="4" fontId="21" fillId="2" borderId="2" xfId="0" applyNumberFormat="1" applyFont="1" applyFill="1" applyBorder="1" applyAlignment="1">
      <alignment horizontal="center" vertical="center"/>
    </xf>
    <xf numFmtId="0" fontId="21" fillId="2" borderId="2" xfId="0" applyFont="1" applyFill="1" applyBorder="1" applyAlignment="1">
      <alignment horizontal="center" vertical="center"/>
    </xf>
    <xf numFmtId="0" fontId="21" fillId="2" borderId="2" xfId="0" applyFont="1" applyFill="1" applyBorder="1" applyAlignment="1">
      <alignment vertical="center"/>
    </xf>
    <xf numFmtId="0" fontId="21" fillId="2" borderId="6" xfId="0" applyFont="1" applyFill="1" applyBorder="1" applyAlignment="1">
      <alignment vertical="center"/>
    </xf>
    <xf numFmtId="0" fontId="19" fillId="2" borderId="4" xfId="0" applyFont="1" applyFill="1" applyBorder="1" applyAlignment="1">
      <alignment vertical="center"/>
    </xf>
    <xf numFmtId="182" fontId="19" fillId="0" borderId="0" xfId="0" applyNumberFormat="1" applyFont="1" applyFill="1" applyBorder="1" applyAlignment="1">
      <alignment vertical="center"/>
    </xf>
    <xf numFmtId="0" fontId="19" fillId="0" borderId="0" xfId="0" applyFont="1" applyFill="1" applyBorder="1" applyAlignment="1">
      <alignment horizontal="right" vertical="center"/>
    </xf>
    <xf numFmtId="176" fontId="22" fillId="0" borderId="0" xfId="0" applyNumberFormat="1" applyFont="1" applyFill="1" applyBorder="1"/>
    <xf numFmtId="0" fontId="19" fillId="0" borderId="14" xfId="0" applyFont="1" applyBorder="1" applyAlignment="1">
      <alignment vertical="center"/>
    </xf>
    <xf numFmtId="0" fontId="21" fillId="2" borderId="1" xfId="0" applyFont="1" applyFill="1" applyBorder="1" applyAlignment="1">
      <alignment vertical="center"/>
    </xf>
    <xf numFmtId="0" fontId="21" fillId="0" borderId="0" xfId="0" applyFont="1" applyFill="1" applyBorder="1" applyAlignment="1">
      <alignment horizontal="center" vertical="center"/>
    </xf>
    <xf numFmtId="0" fontId="21" fillId="0" borderId="3" xfId="0" applyFont="1" applyFill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5" fillId="2" borderId="2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6" fillId="0" borderId="0" xfId="0" applyFont="1" applyFill="1" applyBorder="1" applyAlignment="1">
      <alignment horizontal="center" vertical="center"/>
    </xf>
    <xf numFmtId="14" fontId="17" fillId="0" borderId="0" xfId="0" applyNumberFormat="1" applyFont="1" applyFill="1" applyBorder="1" applyAlignment="1">
      <alignment horizontal="center" vertical="center"/>
    </xf>
    <xf numFmtId="188" fontId="19" fillId="0" borderId="0" xfId="0" applyNumberFormat="1" applyFont="1" applyFill="1" applyBorder="1" applyAlignment="1">
      <alignment vertical="center"/>
    </xf>
    <xf numFmtId="0" fontId="19" fillId="0" borderId="4" xfId="0" applyFont="1" applyBorder="1" applyAlignment="1">
      <alignment horizontal="center" vertical="center"/>
    </xf>
    <xf numFmtId="0" fontId="21" fillId="2" borderId="8" xfId="0" applyFont="1" applyFill="1" applyBorder="1" applyAlignment="1">
      <alignment horizontal="center" vertical="center"/>
    </xf>
    <xf numFmtId="0" fontId="21" fillId="2" borderId="2" xfId="0" applyFont="1" applyFill="1" applyBorder="1" applyAlignment="1">
      <alignment horizontal="center" vertical="center"/>
    </xf>
    <xf numFmtId="0" fontId="21" fillId="2" borderId="4" xfId="0" applyFont="1" applyFill="1" applyBorder="1" applyAlignment="1">
      <alignment horizontal="center" vertical="center"/>
    </xf>
    <xf numFmtId="0" fontId="21" fillId="2" borderId="2" xfId="0" applyFont="1" applyFill="1" applyBorder="1" applyAlignment="1">
      <alignment vertical="center"/>
    </xf>
    <xf numFmtId="0" fontId="20" fillId="0" borderId="0" xfId="0" applyFont="1" applyFill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/>
    </xf>
    <xf numFmtId="0" fontId="21" fillId="0" borderId="11" xfId="0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1" fillId="2" borderId="8" xfId="0" applyFont="1" applyFill="1" applyBorder="1" applyAlignment="1">
      <alignment horizontal="center" vertical="center"/>
    </xf>
    <xf numFmtId="0" fontId="21" fillId="2" borderId="4" xfId="0" applyFont="1" applyFill="1" applyBorder="1" applyAlignment="1">
      <alignment horizontal="center" vertical="center"/>
    </xf>
    <xf numFmtId="0" fontId="20" fillId="0" borderId="4" xfId="0" applyNumberFormat="1" applyFont="1" applyBorder="1" applyAlignment="1">
      <alignment horizontal="center" vertical="center"/>
    </xf>
    <xf numFmtId="180" fontId="20" fillId="6" borderId="4" xfId="0" applyNumberFormat="1" applyFont="1" applyFill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1" fillId="2" borderId="15" xfId="0" applyFont="1" applyFill="1" applyBorder="1" applyAlignment="1">
      <alignment horizontal="center" vertical="center"/>
    </xf>
    <xf numFmtId="4" fontId="20" fillId="0" borderId="0" xfId="0" applyNumberFormat="1" applyFont="1" applyFill="1" applyBorder="1" applyAlignment="1">
      <alignment horizontal="right" vertical="center"/>
    </xf>
    <xf numFmtId="0" fontId="20" fillId="0" borderId="0" xfId="0" applyNumberFormat="1" applyFont="1" applyFill="1" applyBorder="1" applyAlignment="1">
      <alignment horizontal="center" vertical="center"/>
    </xf>
    <xf numFmtId="0" fontId="21" fillId="10" borderId="8" xfId="0" applyFont="1" applyFill="1" applyBorder="1" applyAlignment="1">
      <alignment horizontal="center" vertical="center"/>
    </xf>
    <xf numFmtId="0" fontId="21" fillId="10" borderId="2" xfId="0" applyFont="1" applyFill="1" applyBorder="1" applyAlignment="1">
      <alignment horizontal="center" vertical="center"/>
    </xf>
    <xf numFmtId="188" fontId="20" fillId="0" borderId="2" xfId="0" applyNumberFormat="1" applyFont="1" applyBorder="1" applyAlignment="1">
      <alignment horizontal="right" vertical="center"/>
    </xf>
    <xf numFmtId="188" fontId="20" fillId="4" borderId="2" xfId="0" applyNumberFormat="1" applyFont="1" applyFill="1" applyBorder="1" applyAlignment="1">
      <alignment horizontal="right" vertical="center"/>
    </xf>
    <xf numFmtId="182" fontId="20" fillId="4" borderId="2" xfId="0" applyNumberFormat="1" applyFont="1" applyFill="1" applyBorder="1" applyAlignment="1">
      <alignment horizontal="center" vertical="center"/>
    </xf>
    <xf numFmtId="182" fontId="20" fillId="6" borderId="2" xfId="0" applyNumberFormat="1" applyFont="1" applyFill="1" applyBorder="1" applyAlignment="1">
      <alignment horizontal="center" vertical="center"/>
    </xf>
    <xf numFmtId="182" fontId="20" fillId="7" borderId="2" xfId="0" applyNumberFormat="1" applyFont="1" applyFill="1" applyBorder="1" applyAlignment="1">
      <alignment horizontal="center" vertical="center"/>
    </xf>
    <xf numFmtId="0" fontId="20" fillId="7" borderId="2" xfId="0" applyFont="1" applyFill="1" applyBorder="1" applyAlignment="1">
      <alignment horizontal="center" vertical="center"/>
    </xf>
    <xf numFmtId="0" fontId="20" fillId="6" borderId="2" xfId="0" applyFont="1" applyFill="1" applyBorder="1" applyAlignment="1">
      <alignment horizontal="center" vertical="center"/>
    </xf>
    <xf numFmtId="0" fontId="20" fillId="6" borderId="4" xfId="0" applyFont="1" applyFill="1" applyBorder="1" applyAlignment="1">
      <alignment horizontal="center" vertical="center"/>
    </xf>
    <xf numFmtId="0" fontId="20" fillId="0" borderId="4" xfId="0" applyFont="1" applyFill="1" applyBorder="1" applyAlignment="1">
      <alignment horizontal="center" vertical="center"/>
    </xf>
    <xf numFmtId="0" fontId="21" fillId="0" borderId="14" xfId="0" applyFont="1" applyFill="1" applyBorder="1" applyAlignment="1">
      <alignment vertical="center"/>
    </xf>
    <xf numFmtId="0" fontId="21" fillId="0" borderId="9" xfId="0" applyFont="1" applyFill="1" applyBorder="1" applyAlignment="1">
      <alignment vertical="center"/>
    </xf>
    <xf numFmtId="0" fontId="21" fillId="0" borderId="12" xfId="0" applyFont="1" applyFill="1" applyBorder="1" applyAlignment="1">
      <alignment vertical="center"/>
    </xf>
    <xf numFmtId="0" fontId="21" fillId="0" borderId="11" xfId="0" applyFont="1" applyFill="1" applyBorder="1" applyAlignment="1">
      <alignment vertical="center"/>
    </xf>
    <xf numFmtId="0" fontId="21" fillId="0" borderId="13" xfId="0" applyFont="1" applyFill="1" applyBorder="1" applyAlignment="1">
      <alignment vertical="center"/>
    </xf>
    <xf numFmtId="0" fontId="21" fillId="0" borderId="15" xfId="0" applyFont="1" applyFill="1" applyBorder="1" applyAlignment="1">
      <alignment vertical="center"/>
    </xf>
    <xf numFmtId="0" fontId="21" fillId="0" borderId="3" xfId="0" applyFont="1" applyFill="1" applyBorder="1" applyAlignment="1">
      <alignment vertical="center"/>
    </xf>
    <xf numFmtId="0" fontId="21" fillId="0" borderId="10" xfId="0" applyFont="1" applyFill="1" applyBorder="1" applyAlignment="1">
      <alignment vertical="center"/>
    </xf>
    <xf numFmtId="0" fontId="19" fillId="0" borderId="12" xfId="0" applyFont="1" applyBorder="1" applyAlignment="1">
      <alignment vertical="center"/>
    </xf>
    <xf numFmtId="0" fontId="19" fillId="0" borderId="13" xfId="0" applyFont="1" applyBorder="1" applyAlignment="1">
      <alignment vertical="center"/>
    </xf>
    <xf numFmtId="0" fontId="19" fillId="0" borderId="15" xfId="0" applyFont="1" applyBorder="1" applyAlignment="1">
      <alignment vertical="center"/>
    </xf>
    <xf numFmtId="0" fontId="19" fillId="0" borderId="10" xfId="0" applyFont="1" applyBorder="1" applyAlignment="1">
      <alignment vertical="center"/>
    </xf>
    <xf numFmtId="188" fontId="20" fillId="0" borderId="0" xfId="0" applyNumberFormat="1" applyFont="1" applyFill="1" applyBorder="1" applyAlignment="1">
      <alignment horizontal="right" vertical="center"/>
    </xf>
    <xf numFmtId="182" fontId="20" fillId="0" borderId="0" xfId="0" applyNumberFormat="1" applyFont="1" applyFill="1" applyBorder="1" applyAlignment="1">
      <alignment horizontal="right" vertical="center"/>
    </xf>
    <xf numFmtId="4" fontId="20" fillId="0" borderId="4" xfId="0" applyNumberFormat="1" applyFont="1" applyBorder="1" applyAlignment="1">
      <alignment horizontal="right" vertical="center"/>
    </xf>
    <xf numFmtId="4" fontId="20" fillId="4" borderId="4" xfId="0" applyNumberFormat="1" applyFont="1" applyFill="1" applyBorder="1" applyAlignment="1">
      <alignment horizontal="right" vertical="center"/>
    </xf>
    <xf numFmtId="14" fontId="20" fillId="0" borderId="4" xfId="0" applyNumberFormat="1" applyFont="1" applyBorder="1" applyAlignment="1">
      <alignment horizontal="right" vertical="center"/>
    </xf>
    <xf numFmtId="0" fontId="19" fillId="0" borderId="0" xfId="0" applyFont="1" applyFill="1" applyAlignment="1">
      <alignment horizontal="center" vertical="center"/>
    </xf>
    <xf numFmtId="40" fontId="20" fillId="4" borderId="2" xfId="0" applyNumberFormat="1" applyFont="1" applyFill="1" applyBorder="1" applyAlignment="1">
      <alignment horizontal="center" vertical="center"/>
    </xf>
    <xf numFmtId="40" fontId="19" fillId="4" borderId="2" xfId="0" applyNumberFormat="1" applyFont="1" applyFill="1" applyBorder="1" applyAlignment="1">
      <alignment horizontal="right" vertical="center"/>
    </xf>
    <xf numFmtId="0" fontId="21" fillId="2" borderId="2" xfId="0" applyFont="1" applyFill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/>
    </xf>
    <xf numFmtId="14" fontId="15" fillId="0" borderId="2" xfId="0" applyNumberFormat="1" applyFont="1" applyFill="1" applyBorder="1" applyAlignment="1" applyProtection="1">
      <alignment horizontal="center" vertical="center" wrapText="1"/>
      <protection locked="0" hidden="1"/>
    </xf>
    <xf numFmtId="14" fontId="19" fillId="0" borderId="4" xfId="0" applyNumberFormat="1" applyFont="1" applyFill="1" applyBorder="1" applyAlignment="1">
      <alignment horizontal="center" vertical="center"/>
    </xf>
    <xf numFmtId="40" fontId="19" fillId="0" borderId="2" xfId="0" applyNumberFormat="1" applyFont="1" applyFill="1" applyBorder="1" applyAlignment="1">
      <alignment vertical="center"/>
    </xf>
    <xf numFmtId="14" fontId="19" fillId="0" borderId="0" xfId="0" applyNumberFormat="1" applyFont="1" applyFill="1" applyBorder="1" applyAlignment="1">
      <alignment horizontal="center" vertical="center"/>
    </xf>
    <xf numFmtId="38" fontId="20" fillId="4" borderId="2" xfId="0" applyNumberFormat="1" applyFont="1" applyFill="1" applyBorder="1" applyAlignment="1">
      <alignment horizontal="right" vertical="center"/>
    </xf>
    <xf numFmtId="14" fontId="20" fillId="4" borderId="4" xfId="0" applyNumberFormat="1" applyFont="1" applyFill="1" applyBorder="1" applyAlignment="1">
      <alignment horizontal="right" vertical="center"/>
    </xf>
    <xf numFmtId="0" fontId="20" fillId="4" borderId="4" xfId="0" applyNumberFormat="1" applyFont="1" applyFill="1" applyBorder="1" applyAlignment="1">
      <alignment horizontal="center" vertical="center"/>
    </xf>
    <xf numFmtId="0" fontId="20" fillId="4" borderId="2" xfId="0" applyFont="1" applyFill="1" applyBorder="1" applyAlignment="1">
      <alignment horizontal="center" vertical="center"/>
    </xf>
    <xf numFmtId="0" fontId="20" fillId="4" borderId="2" xfId="0" applyFont="1" applyFill="1" applyBorder="1" applyAlignment="1">
      <alignment horizontal="right" vertical="center"/>
    </xf>
    <xf numFmtId="4" fontId="19" fillId="0" borderId="0" xfId="0" applyNumberFormat="1" applyFont="1" applyAlignment="1">
      <alignment horizontal="center" vertical="center"/>
    </xf>
    <xf numFmtId="0" fontId="19" fillId="7" borderId="4" xfId="0" applyFont="1" applyFill="1" applyBorder="1" applyAlignment="1">
      <alignment horizontal="center" vertical="center"/>
    </xf>
    <xf numFmtId="0" fontId="19" fillId="4" borderId="6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1" fillId="2" borderId="2" xfId="0" applyFont="1" applyFill="1" applyBorder="1" applyAlignment="1">
      <alignment horizontal="center" vertical="center"/>
    </xf>
    <xf numFmtId="0" fontId="21" fillId="2" borderId="4" xfId="0" applyFont="1" applyFill="1" applyBorder="1" applyAlignment="1">
      <alignment horizontal="center" vertical="center"/>
    </xf>
    <xf numFmtId="0" fontId="21" fillId="2" borderId="15" xfId="0" applyFont="1" applyFill="1" applyBorder="1" applyAlignment="1">
      <alignment horizontal="center" vertical="center"/>
    </xf>
    <xf numFmtId="49" fontId="17" fillId="0" borderId="2" xfId="0" applyNumberFormat="1" applyFont="1" applyBorder="1" applyAlignment="1">
      <alignment vertical="center"/>
    </xf>
    <xf numFmtId="0" fontId="15" fillId="2" borderId="8" xfId="3" applyFont="1" applyFill="1" applyBorder="1" applyAlignment="1" applyProtection="1">
      <alignment horizontal="center" vertical="center" wrapText="1"/>
      <protection hidden="1"/>
    </xf>
    <xf numFmtId="0" fontId="15" fillId="2" borderId="8" xfId="0" applyFont="1" applyFill="1" applyBorder="1" applyAlignment="1" applyProtection="1">
      <alignment horizontal="center" vertical="center" wrapText="1"/>
      <protection locked="0" hidden="1"/>
    </xf>
    <xf numFmtId="182" fontId="17" fillId="0" borderId="2" xfId="0" applyNumberFormat="1" applyFont="1" applyBorder="1" applyAlignment="1">
      <alignment horizontal="center" vertical="center"/>
    </xf>
    <xf numFmtId="0" fontId="18" fillId="2" borderId="2" xfId="0" applyNumberFormat="1" applyFont="1" applyFill="1" applyBorder="1" applyAlignment="1">
      <alignment horizontal="center" vertical="center"/>
    </xf>
    <xf numFmtId="0" fontId="19" fillId="9" borderId="4" xfId="0" applyFont="1" applyFill="1" applyBorder="1" applyAlignment="1">
      <alignment horizontal="center" vertical="center"/>
    </xf>
    <xf numFmtId="180" fontId="0" fillId="0" borderId="0" xfId="0" applyNumberFormat="1" applyAlignment="1">
      <alignment vertical="center"/>
    </xf>
    <xf numFmtId="0" fontId="21" fillId="2" borderId="2" xfId="0" applyFont="1" applyFill="1" applyBorder="1" applyAlignment="1">
      <alignment horizontal="center" vertical="center" wrapText="1"/>
    </xf>
    <xf numFmtId="182" fontId="19" fillId="3" borderId="2" xfId="0" applyNumberFormat="1" applyFont="1" applyFill="1" applyBorder="1" applyAlignment="1">
      <alignment vertical="center"/>
    </xf>
    <xf numFmtId="0" fontId="21" fillId="3" borderId="0" xfId="0" applyFont="1" applyFill="1" applyBorder="1" applyAlignment="1">
      <alignment horizontal="center" vertical="center"/>
    </xf>
    <xf numFmtId="0" fontId="19" fillId="3" borderId="0" xfId="0" applyFont="1" applyFill="1" applyBorder="1" applyAlignment="1">
      <alignment vertical="center"/>
    </xf>
    <xf numFmtId="4" fontId="19" fillId="3" borderId="0" xfId="0" applyNumberFormat="1" applyFont="1" applyFill="1" applyBorder="1" applyAlignment="1">
      <alignment vertical="center"/>
    </xf>
    <xf numFmtId="0" fontId="20" fillId="2" borderId="2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horizontal="center" vertical="center"/>
    </xf>
    <xf numFmtId="0" fontId="20" fillId="2" borderId="7" xfId="0" applyFont="1" applyFill="1" applyBorder="1" applyAlignment="1">
      <alignment horizontal="center" vertical="center"/>
    </xf>
    <xf numFmtId="0" fontId="20" fillId="2" borderId="8" xfId="0" applyFont="1" applyFill="1" applyBorder="1" applyAlignment="1">
      <alignment horizontal="center" vertical="center"/>
    </xf>
    <xf numFmtId="0" fontId="15" fillId="2" borderId="11" xfId="0" applyFont="1" applyFill="1" applyBorder="1" applyAlignment="1" applyProtection="1">
      <alignment horizontal="center" vertical="center" wrapText="1"/>
      <protection locked="0" hidden="1"/>
    </xf>
    <xf numFmtId="0" fontId="15" fillId="2" borderId="0" xfId="0" applyFont="1" applyFill="1" applyBorder="1" applyAlignment="1" applyProtection="1">
      <alignment horizontal="center" vertical="center" wrapText="1"/>
      <protection locked="0" hidden="1"/>
    </xf>
    <xf numFmtId="0" fontId="17" fillId="6" borderId="6" xfId="0" applyFont="1" applyFill="1" applyBorder="1" applyAlignment="1">
      <alignment horizontal="center" vertical="center"/>
    </xf>
    <xf numFmtId="0" fontId="17" fillId="6" borderId="7" xfId="0" applyFont="1" applyFill="1" applyBorder="1" applyAlignment="1">
      <alignment horizontal="center" vertical="center"/>
    </xf>
    <xf numFmtId="0" fontId="17" fillId="6" borderId="8" xfId="0" applyFont="1" applyFill="1" applyBorder="1" applyAlignment="1">
      <alignment horizontal="center" vertical="center"/>
    </xf>
    <xf numFmtId="0" fontId="15" fillId="4" borderId="2" xfId="0" applyFont="1" applyFill="1" applyBorder="1" applyAlignment="1" applyProtection="1">
      <alignment horizontal="center" vertical="center" wrapText="1"/>
      <protection locked="0" hidden="1"/>
    </xf>
    <xf numFmtId="0" fontId="15" fillId="4" borderId="6" xfId="0" applyFont="1" applyFill="1" applyBorder="1" applyAlignment="1" applyProtection="1">
      <alignment horizontal="center" vertical="center" wrapText="1"/>
      <protection locked="0" hidden="1"/>
    </xf>
    <xf numFmtId="0" fontId="15" fillId="4" borderId="7" xfId="0" applyFont="1" applyFill="1" applyBorder="1" applyAlignment="1" applyProtection="1">
      <alignment horizontal="center" vertical="center" wrapText="1"/>
      <protection locked="0" hidden="1"/>
    </xf>
    <xf numFmtId="0" fontId="15" fillId="4" borderId="8" xfId="0" applyFont="1" applyFill="1" applyBorder="1" applyAlignment="1" applyProtection="1">
      <alignment horizontal="center" vertical="center" wrapText="1"/>
      <protection locked="0" hidden="1"/>
    </xf>
    <xf numFmtId="0" fontId="15" fillId="3" borderId="6" xfId="3" applyFont="1" applyFill="1" applyBorder="1" applyAlignment="1" applyProtection="1">
      <alignment horizontal="center" vertical="center" wrapText="1"/>
      <protection hidden="1"/>
    </xf>
    <xf numFmtId="0" fontId="15" fillId="3" borderId="7" xfId="3" applyFont="1" applyFill="1" applyBorder="1" applyAlignment="1" applyProtection="1">
      <alignment horizontal="center" vertical="center" wrapText="1"/>
      <protection hidden="1"/>
    </xf>
    <xf numFmtId="0" fontId="15" fillId="3" borderId="8" xfId="3" applyFont="1" applyFill="1" applyBorder="1" applyAlignment="1" applyProtection="1">
      <alignment horizontal="center" vertical="center" wrapText="1"/>
      <protection hidden="1"/>
    </xf>
    <xf numFmtId="0" fontId="19" fillId="2" borderId="2" xfId="0" applyFont="1" applyFill="1" applyBorder="1" applyAlignment="1">
      <alignment horizontal="left" vertical="center"/>
    </xf>
    <xf numFmtId="186" fontId="19" fillId="0" borderId="4" xfId="0" applyNumberFormat="1" applyFont="1" applyBorder="1" applyAlignment="1">
      <alignment horizontal="left" vertical="center"/>
    </xf>
    <xf numFmtId="186" fontId="19" fillId="0" borderId="1" xfId="0" applyNumberFormat="1" applyFont="1" applyBorder="1" applyAlignment="1">
      <alignment horizontal="left" vertical="center"/>
    </xf>
    <xf numFmtId="186" fontId="19" fillId="0" borderId="5" xfId="0" applyNumberFormat="1" applyFont="1" applyBorder="1" applyAlignment="1">
      <alignment horizontal="left" vertical="center"/>
    </xf>
    <xf numFmtId="0" fontId="21" fillId="2" borderId="6" xfId="0" applyFont="1" applyFill="1" applyBorder="1" applyAlignment="1">
      <alignment horizontal="center" vertical="center"/>
    </xf>
    <xf numFmtId="0" fontId="21" fillId="2" borderId="7" xfId="0" applyFont="1" applyFill="1" applyBorder="1" applyAlignment="1">
      <alignment horizontal="center" vertical="center"/>
    </xf>
    <xf numFmtId="0" fontId="21" fillId="2" borderId="8" xfId="0" applyFont="1" applyFill="1" applyBorder="1" applyAlignment="1">
      <alignment horizontal="center" vertical="center"/>
    </xf>
    <xf numFmtId="0" fontId="21" fillId="2" borderId="6" xfId="0" applyFont="1" applyFill="1" applyBorder="1" applyAlignment="1">
      <alignment horizontal="center" vertical="center" wrapText="1"/>
    </xf>
    <xf numFmtId="0" fontId="21" fillId="2" borderId="8" xfId="0" applyFont="1" applyFill="1" applyBorder="1" applyAlignment="1">
      <alignment horizontal="center" vertical="center" wrapText="1"/>
    </xf>
    <xf numFmtId="0" fontId="25" fillId="0" borderId="0" xfId="0" applyFont="1" applyFill="1" applyBorder="1" applyAlignment="1">
      <alignment horizontal="center" vertical="center"/>
    </xf>
    <xf numFmtId="0" fontId="21" fillId="2" borderId="2" xfId="0" applyFont="1" applyFill="1" applyBorder="1" applyAlignment="1">
      <alignment horizontal="center" vertical="center"/>
    </xf>
    <xf numFmtId="184" fontId="19" fillId="0" borderId="2" xfId="0" applyNumberFormat="1" applyFont="1" applyBorder="1" applyAlignment="1">
      <alignment horizontal="left" vertical="center"/>
    </xf>
    <xf numFmtId="0" fontId="19" fillId="0" borderId="4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21" fillId="2" borderId="7" xfId="0" applyFont="1" applyFill="1" applyBorder="1" applyAlignment="1">
      <alignment horizontal="center" vertical="center" wrapText="1"/>
    </xf>
    <xf numFmtId="0" fontId="21" fillId="2" borderId="4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0" fontId="21" fillId="2" borderId="5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0" fontId="21" fillId="2" borderId="2" xfId="0" applyFont="1" applyFill="1" applyBorder="1" applyAlignment="1">
      <alignment horizontal="center" vertical="center" wrapText="1"/>
    </xf>
    <xf numFmtId="40" fontId="19" fillId="0" borderId="14" xfId="0" applyNumberFormat="1" applyFont="1" applyFill="1" applyBorder="1" applyAlignment="1">
      <alignment horizontal="center" vertical="center"/>
    </xf>
    <xf numFmtId="40" fontId="19" fillId="0" borderId="12" xfId="0" applyNumberFormat="1" applyFont="1" applyFill="1" applyBorder="1" applyAlignment="1">
      <alignment horizontal="center" vertical="center"/>
    </xf>
    <xf numFmtId="180" fontId="20" fillId="7" borderId="6" xfId="0" applyNumberFormat="1" applyFont="1" applyFill="1" applyBorder="1" applyAlignment="1">
      <alignment horizontal="center" vertical="center"/>
    </xf>
    <xf numFmtId="180" fontId="20" fillId="7" borderId="7" xfId="0" applyNumberFormat="1" applyFont="1" applyFill="1" applyBorder="1" applyAlignment="1">
      <alignment horizontal="center" vertical="center"/>
    </xf>
    <xf numFmtId="180" fontId="20" fillId="7" borderId="8" xfId="0" applyNumberFormat="1" applyFont="1" applyFill="1" applyBorder="1" applyAlignment="1">
      <alignment horizontal="center" vertical="center"/>
    </xf>
    <xf numFmtId="0" fontId="21" fillId="2" borderId="13" xfId="0" applyFont="1" applyFill="1" applyBorder="1" applyAlignment="1">
      <alignment horizontal="center" vertical="center"/>
    </xf>
    <xf numFmtId="0" fontId="21" fillId="2" borderId="10" xfId="0" applyFont="1" applyFill="1" applyBorder="1" applyAlignment="1">
      <alignment horizontal="center" vertical="center"/>
    </xf>
    <xf numFmtId="0" fontId="19" fillId="0" borderId="2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21" fillId="2" borderId="12" xfId="0" applyFont="1" applyFill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 wrapText="1"/>
    </xf>
    <xf numFmtId="0" fontId="21" fillId="2" borderId="15" xfId="0" applyFont="1" applyFill="1" applyBorder="1" applyAlignment="1">
      <alignment horizontal="center" vertical="center"/>
    </xf>
    <xf numFmtId="0" fontId="19" fillId="0" borderId="14" xfId="0" applyFont="1" applyFill="1" applyBorder="1" applyAlignment="1">
      <alignment horizontal="center" vertical="center"/>
    </xf>
    <xf numFmtId="0" fontId="19" fillId="0" borderId="12" xfId="0" applyFont="1" applyFill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</cellXfs>
  <cellStyles count="4">
    <cellStyle name="百分比" xfId="2" builtinId="5"/>
    <cellStyle name="常规" xfId="0" builtinId="0"/>
    <cellStyle name="千位分隔" xfId="1" builtinId="3"/>
    <cellStyle name="样式 1" xfId="3"/>
  </cellStyles>
  <dxfs count="0"/>
  <tableStyles count="0" defaultTableStyle="TableStyleMedium2" defaultPivotStyle="PivotStyleMedium9"/>
  <colors>
    <mruColors>
      <color rgb="FF95B3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G33" sqref="G33"/>
    </sheetView>
  </sheetViews>
  <sheetFormatPr baseColWidth="10" defaultColWidth="8.83203125" defaultRowHeight="15" x14ac:dyDescent="0.2"/>
  <cols>
    <col min="1" max="1" width="15" style="1" bestFit="1" customWidth="1"/>
    <col min="2" max="2" width="18.6640625" style="1" bestFit="1" customWidth="1"/>
    <col min="3" max="3" width="18.33203125" style="1" customWidth="1"/>
    <col min="4" max="4" width="15.6640625" style="1" customWidth="1"/>
    <col min="5" max="5" width="11.6640625" style="1" customWidth="1"/>
    <col min="6" max="6" width="19.33203125" style="1" customWidth="1"/>
    <col min="7" max="7" width="12" style="1" customWidth="1"/>
    <col min="8" max="8" width="12.6640625" style="1" customWidth="1"/>
    <col min="9" max="9" width="17.1640625" style="1" bestFit="1" customWidth="1"/>
    <col min="10" max="10" width="10.1640625" style="1" bestFit="1" customWidth="1"/>
    <col min="11" max="16384" width="8.83203125" style="1"/>
  </cols>
  <sheetData>
    <row r="1" spans="1:13" ht="30" customHeight="1" x14ac:dyDescent="0.2">
      <c r="A1" s="2" t="s">
        <v>421</v>
      </c>
      <c r="I1" s="198"/>
      <c r="J1" s="198"/>
      <c r="K1" s="198"/>
      <c r="L1" s="198"/>
      <c r="M1" s="198"/>
    </row>
    <row r="2" spans="1:13" x14ac:dyDescent="0.2">
      <c r="A2" s="3" t="s">
        <v>6</v>
      </c>
      <c r="I2" s="198"/>
      <c r="J2" s="199"/>
      <c r="K2" s="200"/>
      <c r="L2" s="198"/>
      <c r="M2" s="198"/>
    </row>
    <row r="3" spans="1:13" x14ac:dyDescent="0.2">
      <c r="A3" s="22" t="s">
        <v>188</v>
      </c>
      <c r="B3" s="23">
        <v>43370</v>
      </c>
      <c r="C3" s="24" t="s">
        <v>350</v>
      </c>
      <c r="D3" s="256">
        <v>42736</v>
      </c>
      <c r="E3" s="275" t="s">
        <v>351</v>
      </c>
      <c r="F3" s="255">
        <f>H3</f>
        <v>43381</v>
      </c>
      <c r="G3" s="22" t="s">
        <v>349</v>
      </c>
      <c r="H3" s="23">
        <v>43381</v>
      </c>
      <c r="I3" s="198"/>
      <c r="J3" s="198"/>
      <c r="K3" s="198"/>
      <c r="L3" s="198"/>
      <c r="M3" s="198"/>
    </row>
    <row r="4" spans="1:13" x14ac:dyDescent="0.2">
      <c r="A4" s="24" t="s">
        <v>189</v>
      </c>
      <c r="B4" s="271"/>
      <c r="C4" s="22" t="s">
        <v>362</v>
      </c>
      <c r="D4" s="26"/>
      <c r="E4" s="24" t="s">
        <v>366</v>
      </c>
      <c r="F4" s="25"/>
      <c r="G4" s="22" t="s">
        <v>363</v>
      </c>
      <c r="H4" s="274"/>
      <c r="I4" s="198"/>
      <c r="J4" s="198"/>
      <c r="K4" s="198"/>
      <c r="L4" s="198"/>
      <c r="M4" s="198"/>
    </row>
    <row r="5" spans="1:13" x14ac:dyDescent="0.2">
      <c r="A5" s="22" t="s">
        <v>364</v>
      </c>
      <c r="B5" s="176">
        <v>0.08</v>
      </c>
      <c r="C5" s="22" t="s">
        <v>365</v>
      </c>
      <c r="D5" s="25"/>
      <c r="E5" s="22" t="s">
        <v>404</v>
      </c>
      <c r="F5" s="254"/>
      <c r="G5" s="24" t="s">
        <v>405</v>
      </c>
      <c r="H5" s="276" t="s">
        <v>395</v>
      </c>
    </row>
    <row r="6" spans="1:13" ht="16.5" customHeight="1" x14ac:dyDescent="0.2">
      <c r="A6" s="272" t="s">
        <v>381</v>
      </c>
      <c r="B6" s="272" t="s">
        <v>332</v>
      </c>
      <c r="C6" s="273" t="s">
        <v>391</v>
      </c>
      <c r="D6" s="273" t="s">
        <v>328</v>
      </c>
      <c r="E6" s="273" t="s">
        <v>392</v>
      </c>
      <c r="F6" s="273" t="s">
        <v>327</v>
      </c>
      <c r="G6" s="287" t="s">
        <v>402</v>
      </c>
      <c r="H6" s="288"/>
    </row>
    <row r="7" spans="1:13" ht="16.5" customHeight="1" x14ac:dyDescent="0.2">
      <c r="A7" s="161" t="s">
        <v>162</v>
      </c>
      <c r="B7" s="296" t="s">
        <v>414</v>
      </c>
      <c r="C7" s="159" t="s">
        <v>15</v>
      </c>
      <c r="D7" s="21">
        <v>750</v>
      </c>
      <c r="E7" s="21">
        <v>400</v>
      </c>
      <c r="F7" s="165">
        <f>D7*E7</f>
        <v>300000</v>
      </c>
      <c r="G7" s="65" t="s">
        <v>371</v>
      </c>
      <c r="H7" s="65" t="s">
        <v>403</v>
      </c>
    </row>
    <row r="8" spans="1:13" ht="16.5" customHeight="1" x14ac:dyDescent="0.2">
      <c r="A8" s="162"/>
      <c r="B8" s="297"/>
      <c r="C8" s="159" t="s">
        <v>81</v>
      </c>
      <c r="D8" s="21">
        <v>750</v>
      </c>
      <c r="E8" s="21">
        <v>800</v>
      </c>
      <c r="F8" s="165">
        <f t="shared" ref="F8:F12" si="0">D8*E8</f>
        <v>600000</v>
      </c>
      <c r="G8" s="65" t="s">
        <v>371</v>
      </c>
      <c r="H8" s="65" t="s">
        <v>403</v>
      </c>
    </row>
    <row r="9" spans="1:13" ht="16.5" customHeight="1" x14ac:dyDescent="0.2">
      <c r="A9" s="162"/>
      <c r="B9" s="298"/>
      <c r="C9" s="159" t="s">
        <v>275</v>
      </c>
      <c r="D9" s="21"/>
      <c r="E9" s="21"/>
      <c r="F9" s="165">
        <f t="shared" si="0"/>
        <v>0</v>
      </c>
      <c r="G9" s="65" t="s">
        <v>371</v>
      </c>
      <c r="H9" s="65" t="s">
        <v>403</v>
      </c>
    </row>
    <row r="10" spans="1:13" ht="16.5" customHeight="1" x14ac:dyDescent="0.2">
      <c r="A10" s="162"/>
      <c r="B10" s="296" t="s">
        <v>415</v>
      </c>
      <c r="C10" s="159" t="s">
        <v>15</v>
      </c>
      <c r="D10" s="21">
        <v>1500</v>
      </c>
      <c r="E10" s="21">
        <v>400</v>
      </c>
      <c r="F10" s="165">
        <f t="shared" si="0"/>
        <v>600000</v>
      </c>
      <c r="G10" s="65" t="s">
        <v>371</v>
      </c>
      <c r="H10" s="65" t="s">
        <v>403</v>
      </c>
    </row>
    <row r="11" spans="1:13" ht="16.5" customHeight="1" x14ac:dyDescent="0.2">
      <c r="A11" s="162"/>
      <c r="B11" s="297"/>
      <c r="C11" s="159" t="s">
        <v>275</v>
      </c>
      <c r="D11" s="21"/>
      <c r="E11" s="21"/>
      <c r="F11" s="165">
        <f t="shared" si="0"/>
        <v>0</v>
      </c>
      <c r="G11" s="65" t="s">
        <v>371</v>
      </c>
      <c r="H11" s="65" t="s">
        <v>403</v>
      </c>
    </row>
    <row r="12" spans="1:13" ht="16.5" customHeight="1" x14ac:dyDescent="0.2">
      <c r="A12" s="162"/>
      <c r="B12" s="298"/>
      <c r="C12" s="159" t="s">
        <v>324</v>
      </c>
      <c r="D12" s="21"/>
      <c r="E12" s="21"/>
      <c r="F12" s="165">
        <f t="shared" si="0"/>
        <v>0</v>
      </c>
      <c r="G12" s="65" t="s">
        <v>371</v>
      </c>
      <c r="H12" s="65" t="s">
        <v>403</v>
      </c>
    </row>
    <row r="13" spans="1:13" ht="16.5" customHeight="1" x14ac:dyDescent="0.2">
      <c r="A13" s="162"/>
      <c r="B13" s="18" t="s">
        <v>333</v>
      </c>
      <c r="C13" s="19" t="s">
        <v>173</v>
      </c>
      <c r="D13" s="19" t="s">
        <v>343</v>
      </c>
      <c r="E13" s="171" t="s">
        <v>342</v>
      </c>
      <c r="F13" s="19" t="s">
        <v>327</v>
      </c>
      <c r="G13" s="287" t="s">
        <v>402</v>
      </c>
      <c r="H13" s="288"/>
      <c r="J13" s="277"/>
    </row>
    <row r="14" spans="1:13" ht="16.5" customHeight="1" x14ac:dyDescent="0.2">
      <c r="A14" s="162"/>
      <c r="B14" s="20" t="s">
        <v>337</v>
      </c>
      <c r="C14" s="289" t="s">
        <v>15</v>
      </c>
      <c r="D14" s="292">
        <f>SUMIF($C$7:$C$12,"玉米",$D$7:$D$12)</f>
        <v>2250</v>
      </c>
      <c r="E14" s="293">
        <f>D14-SUMIFS(客户基本信息!$C$49:$C$52,客户基本信息!$A$49:$A$52,"玉米")</f>
        <v>2133</v>
      </c>
      <c r="F14" s="165">
        <v>400000</v>
      </c>
      <c r="G14" s="65" t="s">
        <v>371</v>
      </c>
      <c r="H14" s="65" t="s">
        <v>379</v>
      </c>
    </row>
    <row r="15" spans="1:13" ht="16.5" customHeight="1" x14ac:dyDescent="0.2">
      <c r="A15" s="162"/>
      <c r="B15" s="20" t="s">
        <v>334</v>
      </c>
      <c r="C15" s="290"/>
      <c r="D15" s="292"/>
      <c r="E15" s="294"/>
      <c r="F15" s="165">
        <v>100000</v>
      </c>
      <c r="G15" s="65" t="s">
        <v>413</v>
      </c>
      <c r="H15" s="65" t="s">
        <v>412</v>
      </c>
    </row>
    <row r="16" spans="1:13" ht="16.5" customHeight="1" x14ac:dyDescent="0.2">
      <c r="A16" s="162"/>
      <c r="B16" s="20" t="s">
        <v>335</v>
      </c>
      <c r="C16" s="291"/>
      <c r="D16" s="292"/>
      <c r="E16" s="295"/>
      <c r="F16" s="165">
        <v>5000</v>
      </c>
      <c r="G16" s="65" t="s">
        <v>413</v>
      </c>
      <c r="H16" s="65" t="s">
        <v>412</v>
      </c>
    </row>
    <row r="17" spans="1:9" ht="16.5" customHeight="1" x14ac:dyDescent="0.2">
      <c r="A17" s="162"/>
      <c r="B17" s="20" t="s">
        <v>337</v>
      </c>
      <c r="C17" s="289" t="s">
        <v>81</v>
      </c>
      <c r="D17" s="292">
        <f>SUMIF($C$7:$C$12,"水稻",$D$7:$D$12)</f>
        <v>750</v>
      </c>
      <c r="E17" s="293">
        <f>D17-SUMIFS(客户基本信息!$C$49:$C$52,客户基本信息!$A$49:$A$52,"水稻")</f>
        <v>750</v>
      </c>
      <c r="F17" s="165">
        <v>200000</v>
      </c>
      <c r="G17" s="65" t="s">
        <v>413</v>
      </c>
      <c r="H17" s="65" t="s">
        <v>412</v>
      </c>
    </row>
    <row r="18" spans="1:9" ht="16.5" customHeight="1" x14ac:dyDescent="0.2">
      <c r="A18" s="162"/>
      <c r="B18" s="20" t="s">
        <v>336</v>
      </c>
      <c r="C18" s="290"/>
      <c r="D18" s="292"/>
      <c r="E18" s="294"/>
      <c r="F18" s="165"/>
      <c r="G18" s="65" t="s">
        <v>413</v>
      </c>
      <c r="H18" s="65" t="s">
        <v>412</v>
      </c>
    </row>
    <row r="19" spans="1:9" ht="16.5" customHeight="1" x14ac:dyDescent="0.2">
      <c r="A19" s="162"/>
      <c r="B19" s="20" t="s">
        <v>335</v>
      </c>
      <c r="C19" s="291"/>
      <c r="D19" s="292"/>
      <c r="E19" s="295"/>
      <c r="F19" s="165"/>
      <c r="G19" s="65" t="s">
        <v>413</v>
      </c>
      <c r="H19" s="65" t="s">
        <v>412</v>
      </c>
    </row>
    <row r="20" spans="1:9" ht="16.5" customHeight="1" x14ac:dyDescent="0.2">
      <c r="A20" s="162"/>
      <c r="B20" s="20" t="s">
        <v>337</v>
      </c>
      <c r="C20" s="289" t="s">
        <v>275</v>
      </c>
      <c r="D20" s="292">
        <f>SUMIF($C$7:$C$12,"大豆",$D$7:$D$12)</f>
        <v>0</v>
      </c>
      <c r="E20" s="293">
        <f>D20-SUMIFS(客户基本信息!$C$49:$C$52,客户基本信息!$A$49:$A$52,"大豆")</f>
        <v>0</v>
      </c>
      <c r="F20" s="165"/>
      <c r="G20" s="65" t="s">
        <v>413</v>
      </c>
      <c r="H20" s="65" t="s">
        <v>412</v>
      </c>
    </row>
    <row r="21" spans="1:9" ht="16.5" customHeight="1" x14ac:dyDescent="0.2">
      <c r="A21" s="162"/>
      <c r="B21" s="20" t="s">
        <v>334</v>
      </c>
      <c r="C21" s="290"/>
      <c r="D21" s="292"/>
      <c r="E21" s="294"/>
      <c r="F21" s="165"/>
      <c r="G21" s="65" t="s">
        <v>413</v>
      </c>
      <c r="H21" s="65" t="s">
        <v>412</v>
      </c>
    </row>
    <row r="22" spans="1:9" ht="16.5" customHeight="1" x14ac:dyDescent="0.2">
      <c r="A22" s="162"/>
      <c r="B22" s="20" t="s">
        <v>335</v>
      </c>
      <c r="C22" s="291"/>
      <c r="D22" s="292"/>
      <c r="E22" s="295"/>
      <c r="F22" s="165"/>
      <c r="G22" s="65" t="s">
        <v>413</v>
      </c>
      <c r="H22" s="65" t="s">
        <v>412</v>
      </c>
    </row>
    <row r="23" spans="1:9" ht="16.5" customHeight="1" x14ac:dyDescent="0.2">
      <c r="A23" s="162"/>
      <c r="B23" s="18" t="s">
        <v>338</v>
      </c>
      <c r="C23" s="173" t="s">
        <v>331</v>
      </c>
      <c r="D23" s="19" t="s">
        <v>163</v>
      </c>
      <c r="E23" s="19" t="s">
        <v>341</v>
      </c>
      <c r="F23" s="19" t="s">
        <v>327</v>
      </c>
      <c r="G23" s="287" t="s">
        <v>402</v>
      </c>
      <c r="H23" s="288"/>
      <c r="I23" s="172"/>
    </row>
    <row r="24" spans="1:9" ht="16.5" customHeight="1" x14ac:dyDescent="0.2">
      <c r="A24" s="162"/>
      <c r="B24" s="20" t="s">
        <v>339</v>
      </c>
      <c r="C24" s="141" t="s">
        <v>15</v>
      </c>
      <c r="D24" s="21">
        <v>1</v>
      </c>
      <c r="E24" s="165">
        <v>300000</v>
      </c>
      <c r="F24" s="165">
        <f>E24*D24</f>
        <v>300000</v>
      </c>
      <c r="G24" s="65" t="s">
        <v>378</v>
      </c>
      <c r="H24" s="65" t="s">
        <v>379</v>
      </c>
    </row>
    <row r="25" spans="1:9" ht="16.5" customHeight="1" x14ac:dyDescent="0.2">
      <c r="A25" s="162"/>
      <c r="B25" s="20" t="s">
        <v>340</v>
      </c>
      <c r="C25" s="141" t="s">
        <v>80</v>
      </c>
      <c r="D25" s="21">
        <v>1</v>
      </c>
      <c r="E25" s="165">
        <v>200000</v>
      </c>
      <c r="F25" s="165">
        <f>E25*D25</f>
        <v>200000</v>
      </c>
      <c r="G25" s="65" t="s">
        <v>378</v>
      </c>
      <c r="H25" s="65" t="s">
        <v>379</v>
      </c>
    </row>
    <row r="27" spans="1:9" x14ac:dyDescent="0.2">
      <c r="A27" s="3" t="s">
        <v>164</v>
      </c>
    </row>
    <row r="28" spans="1:9" x14ac:dyDescent="0.2">
      <c r="A28" s="284" t="s">
        <v>165</v>
      </c>
      <c r="B28" s="151" t="s">
        <v>170</v>
      </c>
      <c r="C28" s="151" t="s">
        <v>174</v>
      </c>
      <c r="D28" s="151" t="s">
        <v>175</v>
      </c>
      <c r="E28" s="267" t="s">
        <v>167</v>
      </c>
    </row>
    <row r="29" spans="1:9" x14ac:dyDescent="0.2">
      <c r="A29" s="285"/>
      <c r="B29" s="159" t="s">
        <v>311</v>
      </c>
      <c r="C29" s="30">
        <v>300000</v>
      </c>
      <c r="D29" s="30"/>
      <c r="E29" s="31" t="s">
        <v>161</v>
      </c>
    </row>
    <row r="30" spans="1:9" x14ac:dyDescent="0.2">
      <c r="A30" s="285"/>
      <c r="B30" s="151" t="s">
        <v>171</v>
      </c>
      <c r="C30" s="151" t="s">
        <v>174</v>
      </c>
      <c r="D30" s="151" t="s">
        <v>175</v>
      </c>
      <c r="E30" s="267" t="s">
        <v>167</v>
      </c>
    </row>
    <row r="31" spans="1:9" x14ac:dyDescent="0.2">
      <c r="A31" s="285"/>
      <c r="B31" s="159" t="s">
        <v>311</v>
      </c>
      <c r="C31" s="30">
        <v>300000</v>
      </c>
      <c r="D31" s="30"/>
      <c r="E31" s="31" t="s">
        <v>161</v>
      </c>
    </row>
    <row r="32" spans="1:9" x14ac:dyDescent="0.2">
      <c r="A32" s="285"/>
      <c r="B32" s="151" t="s">
        <v>310</v>
      </c>
      <c r="C32" s="151" t="s">
        <v>174</v>
      </c>
      <c r="D32" s="151" t="s">
        <v>175</v>
      </c>
      <c r="E32" s="267" t="s">
        <v>167</v>
      </c>
    </row>
    <row r="33" spans="1:5" x14ac:dyDescent="0.2">
      <c r="A33" s="286"/>
      <c r="B33" s="159" t="s">
        <v>311</v>
      </c>
      <c r="C33" s="30">
        <v>300000</v>
      </c>
      <c r="D33" s="30"/>
      <c r="E33" s="31" t="s">
        <v>161</v>
      </c>
    </row>
    <row r="34" spans="1:5" x14ac:dyDescent="0.2">
      <c r="A34" s="283" t="s">
        <v>166</v>
      </c>
      <c r="B34" s="151" t="s">
        <v>168</v>
      </c>
      <c r="C34" s="151" t="s">
        <v>312</v>
      </c>
      <c r="D34" s="151" t="s">
        <v>175</v>
      </c>
      <c r="E34" s="267" t="s">
        <v>167</v>
      </c>
    </row>
    <row r="35" spans="1:5" x14ac:dyDescent="0.2">
      <c r="A35" s="283"/>
      <c r="B35" s="152" t="s">
        <v>313</v>
      </c>
      <c r="C35" s="29" t="s">
        <v>316</v>
      </c>
      <c r="D35" s="30">
        <v>300000</v>
      </c>
      <c r="E35" s="31" t="s">
        <v>160</v>
      </c>
    </row>
    <row r="36" spans="1:5" x14ac:dyDescent="0.2">
      <c r="A36" s="283" t="s">
        <v>169</v>
      </c>
      <c r="B36" s="151" t="s">
        <v>172</v>
      </c>
      <c r="C36" s="151" t="s">
        <v>176</v>
      </c>
      <c r="D36" s="151" t="s">
        <v>27</v>
      </c>
      <c r="E36" s="267" t="s">
        <v>317</v>
      </c>
    </row>
    <row r="37" spans="1:5" x14ac:dyDescent="0.2">
      <c r="A37" s="283"/>
      <c r="B37" s="152" t="s">
        <v>314</v>
      </c>
      <c r="C37" s="152" t="s">
        <v>315</v>
      </c>
      <c r="D37" s="28">
        <v>15004581100</v>
      </c>
      <c r="E37" s="31" t="s">
        <v>318</v>
      </c>
    </row>
    <row r="38" spans="1:5" x14ac:dyDescent="0.2">
      <c r="A38" s="283"/>
      <c r="B38" s="152" t="s">
        <v>314</v>
      </c>
      <c r="C38" s="152" t="s">
        <v>315</v>
      </c>
      <c r="D38" s="28">
        <v>15004581100</v>
      </c>
      <c r="E38" s="31" t="s">
        <v>319</v>
      </c>
    </row>
  </sheetData>
  <mergeCells count="17">
    <mergeCell ref="D17:D19"/>
    <mergeCell ref="A36:A38"/>
    <mergeCell ref="A34:A35"/>
    <mergeCell ref="A28:A33"/>
    <mergeCell ref="G6:H6"/>
    <mergeCell ref="G13:H13"/>
    <mergeCell ref="G23:H23"/>
    <mergeCell ref="C20:C22"/>
    <mergeCell ref="D20:D22"/>
    <mergeCell ref="E20:E22"/>
    <mergeCell ref="E14:E16"/>
    <mergeCell ref="E17:E19"/>
    <mergeCell ref="B10:B12"/>
    <mergeCell ref="B7:B9"/>
    <mergeCell ref="D14:D16"/>
    <mergeCell ref="C14:C16"/>
    <mergeCell ref="C17:C19"/>
  </mergeCells>
  <phoneticPr fontId="2" type="noConversion"/>
  <dataValidations count="9">
    <dataValidation type="list" allowBlank="1" showInputMessage="1" showErrorMessage="1" sqref="C7:C12 C17 C14 C20">
      <formula1>"玉米,水稻,大豆,高粱,杂粮"</formula1>
    </dataValidation>
    <dataValidation type="list" allowBlank="1" showInputMessage="1" showErrorMessage="1" sqref="B29 B31 B33">
      <formula1>"房产,土地"</formula1>
    </dataValidation>
    <dataValidation type="list" allowBlank="1" showInputMessage="1" showErrorMessage="1" sqref="E31 E29 E35 E33">
      <formula1>"是,否"</formula1>
    </dataValidation>
    <dataValidation type="list" allowBlank="1" showInputMessage="1" showErrorMessage="1" sqref="C37:C38">
      <formula1>"公务员,教师,企业职工,农户,其他"</formula1>
    </dataValidation>
    <dataValidation type="list" allowBlank="1" showInputMessage="1" showErrorMessage="1" sqref="E37:E38">
      <formula1>"直系亲属,产业上下游,合作社成员,所在村委会成员,其他"</formula1>
    </dataValidation>
    <dataValidation type="list" allowBlank="1" showInputMessage="1" showErrorMessage="1" sqref="C24:C25">
      <formula1>"多用途,玉米,水稻,大豆,高粱,杂粮"</formula1>
    </dataValidation>
    <dataValidation type="list" allowBlank="1" showInputMessage="1" showErrorMessage="1" sqref="G14:G22 G24:G25 G7:G12">
      <formula1>"2016年,2017年,2018年,2019年"</formula1>
    </dataValidation>
    <dataValidation type="list" allowBlank="1" showInputMessage="1" showErrorMessage="1" sqref="H14:H22 H24:H25 H7:H12">
      <formula1>"1月,2月,3月,4月,5月,6月,7月,8月,9月,10月,11月,12月"</formula1>
    </dataValidation>
    <dataValidation type="list" allowBlank="1" showInputMessage="1" showErrorMessage="1" sqref="H5">
      <formula1>"利随本清,按季付息,按月付息"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6"/>
  <sheetViews>
    <sheetView tabSelected="1" topLeftCell="A27" workbookViewId="0">
      <selection activeCell="F77" sqref="F77"/>
    </sheetView>
  </sheetViews>
  <sheetFormatPr baseColWidth="10" defaultColWidth="8.83203125" defaultRowHeight="13" x14ac:dyDescent="0.2"/>
  <cols>
    <col min="1" max="1" width="23" style="33" bestFit="1" customWidth="1"/>
    <col min="2" max="2" width="20.1640625" style="33" customWidth="1"/>
    <col min="3" max="3" width="18.83203125" style="33" bestFit="1" customWidth="1"/>
    <col min="4" max="4" width="17.1640625" style="33" customWidth="1"/>
    <col min="5" max="5" width="17.1640625" style="33" bestFit="1" customWidth="1"/>
    <col min="6" max="6" width="16" style="74" customWidth="1"/>
    <col min="7" max="7" width="17.33203125" style="33" customWidth="1"/>
    <col min="8" max="9" width="16.1640625" style="33" customWidth="1"/>
    <col min="10" max="10" width="16.6640625" style="33" bestFit="1" customWidth="1"/>
    <col min="11" max="11" width="16" style="33" customWidth="1"/>
    <col min="12" max="12" width="12.1640625" style="33" customWidth="1"/>
    <col min="13" max="13" width="20.1640625" style="33" customWidth="1"/>
    <col min="14" max="14" width="12.6640625" style="33" customWidth="1"/>
    <col min="15" max="16384" width="8.83203125" style="33"/>
  </cols>
  <sheetData>
    <row r="1" spans="1:10" ht="30" customHeight="1" x14ac:dyDescent="0.2">
      <c r="A1" s="32" t="s">
        <v>274</v>
      </c>
    </row>
    <row r="2" spans="1:10" x14ac:dyDescent="0.2">
      <c r="A2" s="34" t="s">
        <v>127</v>
      </c>
    </row>
    <row r="3" spans="1:10" x14ac:dyDescent="0.2">
      <c r="A3" s="35" t="s">
        <v>132</v>
      </c>
      <c r="B3" s="300"/>
      <c r="C3" s="301"/>
      <c r="D3" s="301"/>
      <c r="E3" s="301"/>
      <c r="F3" s="302"/>
    </row>
    <row r="4" spans="1:10" ht="14.25" customHeight="1" x14ac:dyDescent="0.2">
      <c r="A4" s="36" t="s">
        <v>7</v>
      </c>
      <c r="B4" s="37"/>
      <c r="C4" s="36" t="s">
        <v>8</v>
      </c>
      <c r="D4" s="38"/>
      <c r="E4" s="36" t="s">
        <v>0</v>
      </c>
      <c r="F4" s="39"/>
      <c r="G4" s="40"/>
      <c r="H4" s="41"/>
      <c r="I4" s="41"/>
      <c r="J4" s="41"/>
    </row>
    <row r="5" spans="1:10" x14ac:dyDescent="0.2">
      <c r="A5" s="36" t="s">
        <v>202</v>
      </c>
      <c r="B5" s="310"/>
      <c r="C5" s="310"/>
      <c r="D5" s="310"/>
      <c r="E5" s="42" t="s">
        <v>27</v>
      </c>
      <c r="F5" s="202"/>
      <c r="G5" s="40"/>
      <c r="H5" s="41"/>
      <c r="I5" s="41"/>
      <c r="J5" s="41"/>
    </row>
    <row r="6" spans="1:10" x14ac:dyDescent="0.2">
      <c r="A6" s="42" t="s">
        <v>2</v>
      </c>
      <c r="B6" s="43"/>
      <c r="C6" s="42" t="s">
        <v>144</v>
      </c>
      <c r="D6" s="44"/>
      <c r="E6" s="36" t="s">
        <v>1</v>
      </c>
      <c r="F6" s="265"/>
      <c r="G6" s="40"/>
      <c r="H6" s="41"/>
      <c r="I6" s="41"/>
      <c r="J6" s="41"/>
    </row>
    <row r="7" spans="1:10" x14ac:dyDescent="0.2">
      <c r="A7" s="187" t="s">
        <v>359</v>
      </c>
      <c r="B7" s="192"/>
      <c r="C7" s="186" t="s">
        <v>360</v>
      </c>
      <c r="D7" s="40"/>
      <c r="E7" s="193" t="s">
        <v>361</v>
      </c>
      <c r="F7" s="40"/>
      <c r="G7" s="40"/>
      <c r="H7" s="41"/>
      <c r="I7" s="41"/>
      <c r="J7" s="41"/>
    </row>
    <row r="8" spans="1:10" x14ac:dyDescent="0.2">
      <c r="A8" s="36" t="s">
        <v>128</v>
      </c>
      <c r="B8" s="311"/>
      <c r="C8" s="312"/>
      <c r="D8" s="312"/>
      <c r="E8" s="312"/>
      <c r="F8" s="313"/>
      <c r="G8" s="40"/>
      <c r="H8" s="41"/>
      <c r="I8" s="41"/>
      <c r="J8" s="41"/>
    </row>
    <row r="9" spans="1:10" x14ac:dyDescent="0.2">
      <c r="A9" s="36" t="s">
        <v>298</v>
      </c>
      <c r="B9" s="31" t="s">
        <v>161</v>
      </c>
      <c r="C9" s="45" t="s">
        <v>301</v>
      </c>
      <c r="D9" s="46">
        <v>1</v>
      </c>
      <c r="E9" s="36" t="s">
        <v>302</v>
      </c>
      <c r="F9" s="60">
        <v>1</v>
      </c>
      <c r="G9" s="41"/>
      <c r="H9" s="41"/>
      <c r="I9" s="41"/>
      <c r="J9" s="41"/>
    </row>
    <row r="10" spans="1:10" x14ac:dyDescent="0.2">
      <c r="A10" s="175" t="s">
        <v>346</v>
      </c>
      <c r="B10" s="46"/>
      <c r="C10" s="45" t="s">
        <v>347</v>
      </c>
      <c r="D10" s="46"/>
      <c r="E10" s="175" t="s">
        <v>348</v>
      </c>
      <c r="F10" s="60"/>
      <c r="G10" s="41"/>
      <c r="H10" s="41"/>
      <c r="I10" s="41"/>
      <c r="J10" s="41"/>
    </row>
    <row r="11" spans="1:10" x14ac:dyDescent="0.2">
      <c r="A11" s="41"/>
      <c r="B11" s="41"/>
      <c r="C11" s="41"/>
      <c r="D11" s="41"/>
      <c r="E11" s="41"/>
      <c r="F11" s="147"/>
      <c r="G11" s="41"/>
      <c r="H11" s="41"/>
      <c r="I11" s="41"/>
      <c r="J11" s="41"/>
    </row>
    <row r="12" spans="1:10" x14ac:dyDescent="0.2">
      <c r="A12" s="34" t="s">
        <v>131</v>
      </c>
      <c r="F12" s="147"/>
      <c r="G12" s="41"/>
      <c r="H12" s="41"/>
      <c r="I12" s="41"/>
      <c r="J12" s="41"/>
    </row>
    <row r="13" spans="1:10" x14ac:dyDescent="0.2">
      <c r="A13" s="47" t="s">
        <v>40</v>
      </c>
      <c r="B13" s="47" t="s">
        <v>139</v>
      </c>
      <c r="C13" s="47" t="s">
        <v>290</v>
      </c>
      <c r="D13" s="47" t="s">
        <v>133</v>
      </c>
      <c r="E13" s="47" t="s">
        <v>135</v>
      </c>
      <c r="F13" s="204" t="s">
        <v>142</v>
      </c>
      <c r="G13" s="47" t="s">
        <v>143</v>
      </c>
    </row>
    <row r="14" spans="1:10" x14ac:dyDescent="0.2">
      <c r="A14" s="303" t="s">
        <v>140</v>
      </c>
      <c r="B14" s="36" t="s">
        <v>130</v>
      </c>
      <c r="C14" s="38"/>
      <c r="D14" s="48"/>
      <c r="E14" s="49"/>
      <c r="F14" s="31" t="s">
        <v>161</v>
      </c>
      <c r="G14" s="38" t="s">
        <v>269</v>
      </c>
    </row>
    <row r="15" spans="1:10" x14ac:dyDescent="0.2">
      <c r="A15" s="304"/>
      <c r="B15" s="36" t="s">
        <v>136</v>
      </c>
      <c r="C15" s="38"/>
      <c r="D15" s="48"/>
      <c r="E15" s="49"/>
      <c r="F15" s="31" t="s">
        <v>160</v>
      </c>
      <c r="G15" s="38"/>
    </row>
    <row r="16" spans="1:10" x14ac:dyDescent="0.2">
      <c r="A16" s="304"/>
      <c r="B16" s="36" t="s">
        <v>134</v>
      </c>
      <c r="C16" s="38"/>
      <c r="D16" s="50"/>
      <c r="E16" s="49"/>
      <c r="F16" s="31" t="s">
        <v>160</v>
      </c>
      <c r="G16" s="38"/>
    </row>
    <row r="17" spans="1:16" x14ac:dyDescent="0.2">
      <c r="A17" s="304"/>
      <c r="B17" s="36" t="s">
        <v>138</v>
      </c>
      <c r="C17" s="38"/>
      <c r="D17" s="50"/>
      <c r="E17" s="49"/>
      <c r="F17" s="31" t="s">
        <v>160</v>
      </c>
      <c r="G17" s="38"/>
    </row>
    <row r="18" spans="1:16" x14ac:dyDescent="0.2">
      <c r="A18" s="55"/>
      <c r="M18" s="53"/>
      <c r="N18" s="53"/>
      <c r="O18" s="53"/>
      <c r="P18" s="53"/>
    </row>
    <row r="19" spans="1:16" x14ac:dyDescent="0.2">
      <c r="A19" s="34" t="s">
        <v>141</v>
      </c>
      <c r="M19" s="53"/>
      <c r="N19" s="53"/>
      <c r="O19" s="53"/>
      <c r="P19" s="53"/>
    </row>
    <row r="20" spans="1:16" ht="17.25" customHeight="1" x14ac:dyDescent="0.2">
      <c r="A20" s="163" t="s">
        <v>40</v>
      </c>
      <c r="B20" s="163" t="s">
        <v>139</v>
      </c>
      <c r="C20" s="47" t="s">
        <v>4</v>
      </c>
      <c r="D20" s="47" t="s">
        <v>306</v>
      </c>
      <c r="E20" s="47" t="s">
        <v>307</v>
      </c>
      <c r="F20" s="204" t="s">
        <v>304</v>
      </c>
      <c r="G20" s="47" t="s">
        <v>48</v>
      </c>
      <c r="H20" s="57" t="s">
        <v>411</v>
      </c>
      <c r="I20" s="269" t="s">
        <v>410</v>
      </c>
      <c r="J20" s="205" t="str">
        <f>YEAR(经营计划!$D$3)&amp;"年还款额"</f>
        <v>2017年还款额</v>
      </c>
      <c r="K20" s="47" t="str">
        <f>YEAR(经营计划!$D$3)+1&amp;"年还款额"</f>
        <v>2018年还款额</v>
      </c>
      <c r="L20" s="213" t="s">
        <v>270</v>
      </c>
      <c r="M20" s="210"/>
      <c r="N20" s="210"/>
      <c r="O20" s="210"/>
      <c r="P20" s="53"/>
    </row>
    <row r="21" spans="1:16" ht="13.5" customHeight="1" x14ac:dyDescent="0.2">
      <c r="A21" s="306" t="s">
        <v>272</v>
      </c>
      <c r="B21" s="59" t="s">
        <v>85</v>
      </c>
      <c r="C21" s="49"/>
      <c r="D21" s="60">
        <v>0.06</v>
      </c>
      <c r="E21" s="61">
        <v>60</v>
      </c>
      <c r="F21" s="48">
        <v>42180</v>
      </c>
      <c r="G21" s="62">
        <f>EDATE(F21,E21)</f>
        <v>44007</v>
      </c>
      <c r="H21" s="63"/>
      <c r="I21" s="63"/>
      <c r="J21" s="63"/>
      <c r="K21" s="257"/>
      <c r="L21" s="256" t="s">
        <v>271</v>
      </c>
      <c r="M21" s="179"/>
      <c r="N21" s="258"/>
      <c r="O21" s="53"/>
      <c r="P21" s="53"/>
    </row>
    <row r="22" spans="1:16" ht="13.5" customHeight="1" x14ac:dyDescent="0.2">
      <c r="A22" s="314"/>
      <c r="B22" s="59" t="s">
        <v>96</v>
      </c>
      <c r="C22" s="49"/>
      <c r="D22" s="60">
        <v>0.12</v>
      </c>
      <c r="E22" s="61">
        <v>12</v>
      </c>
      <c r="F22" s="48">
        <v>43101</v>
      </c>
      <c r="G22" s="62">
        <f>EDATE(F22,E22)</f>
        <v>43466</v>
      </c>
      <c r="H22" s="63"/>
      <c r="I22" s="63"/>
      <c r="J22" s="63"/>
      <c r="K22" s="257"/>
      <c r="L22" s="256"/>
      <c r="M22" s="179"/>
      <c r="N22" s="258"/>
      <c r="O22" s="53"/>
      <c r="P22" s="53"/>
    </row>
    <row r="23" spans="1:16" ht="15" customHeight="1" x14ac:dyDescent="0.2">
      <c r="A23" s="307"/>
      <c r="B23" s="59" t="s">
        <v>305</v>
      </c>
      <c r="C23" s="49"/>
      <c r="D23" s="60">
        <v>0.08</v>
      </c>
      <c r="E23" s="61">
        <v>36</v>
      </c>
      <c r="F23" s="48">
        <v>42887</v>
      </c>
      <c r="G23" s="62">
        <f t="shared" ref="G23" si="0">EDATE(F23,E23)</f>
        <v>43983</v>
      </c>
      <c r="H23" s="63"/>
      <c r="I23" s="63"/>
      <c r="J23" s="63"/>
      <c r="K23" s="257"/>
      <c r="L23" s="256" t="s">
        <v>296</v>
      </c>
      <c r="M23" s="179"/>
      <c r="N23" s="258"/>
      <c r="O23" s="53"/>
      <c r="P23" s="53"/>
    </row>
    <row r="24" spans="1:16" ht="15" customHeight="1" x14ac:dyDescent="0.2">
      <c r="A24" s="306" t="s">
        <v>352</v>
      </c>
      <c r="B24" s="181" t="s">
        <v>139</v>
      </c>
      <c r="C24" s="184" t="s">
        <v>367</v>
      </c>
      <c r="D24" s="60"/>
      <c r="E24" s="61"/>
      <c r="F24" s="48"/>
      <c r="G24" s="62"/>
      <c r="H24" s="63"/>
      <c r="I24" s="63"/>
      <c r="J24" s="63"/>
      <c r="K24" s="257"/>
      <c r="L24" s="256"/>
      <c r="M24" s="179"/>
      <c r="N24" s="258"/>
      <c r="O24" s="53"/>
      <c r="P24" s="53"/>
    </row>
    <row r="25" spans="1:16" ht="14.25" customHeight="1" x14ac:dyDescent="0.2">
      <c r="A25" s="307"/>
      <c r="B25" s="183" t="s">
        <v>353</v>
      </c>
      <c r="C25" s="49"/>
      <c r="D25" s="98"/>
      <c r="E25" s="61"/>
      <c r="F25" s="48"/>
      <c r="G25" s="62"/>
      <c r="H25" s="63"/>
      <c r="I25" s="63"/>
      <c r="J25" s="63"/>
      <c r="K25" s="257"/>
      <c r="L25" s="256"/>
      <c r="M25" s="179"/>
      <c r="N25" s="258"/>
      <c r="O25" s="53"/>
      <c r="P25" s="53"/>
    </row>
    <row r="26" spans="1:16" x14ac:dyDescent="0.2">
      <c r="A26" s="56" t="s">
        <v>86</v>
      </c>
      <c r="B26" s="64"/>
      <c r="C26" s="49">
        <f>SUM(C21:C23)</f>
        <v>0</v>
      </c>
      <c r="D26" s="37"/>
      <c r="E26" s="37"/>
      <c r="F26" s="208"/>
      <c r="G26" s="37"/>
      <c r="H26" s="81">
        <f>SUM(H21:H23)</f>
        <v>0</v>
      </c>
      <c r="I26" s="81">
        <f>SUM(I21:I23)</f>
        <v>0</v>
      </c>
      <c r="J26" s="81">
        <f>SUM(J21:J23)</f>
        <v>0</v>
      </c>
      <c r="K26" s="81">
        <f>SUM(K21:K23)</f>
        <v>0</v>
      </c>
      <c r="L26" s="82"/>
      <c r="M26" s="179"/>
      <c r="N26" s="53"/>
      <c r="O26" s="53"/>
      <c r="P26" s="53"/>
    </row>
    <row r="27" spans="1:16" x14ac:dyDescent="0.2">
      <c r="F27" s="147"/>
      <c r="G27" s="41"/>
      <c r="H27" s="41"/>
      <c r="I27" s="41"/>
      <c r="J27" s="41"/>
      <c r="K27" s="41"/>
      <c r="M27" s="53"/>
      <c r="N27" s="53"/>
      <c r="O27" s="53"/>
      <c r="P27" s="53"/>
    </row>
    <row r="28" spans="1:16" x14ac:dyDescent="0.2">
      <c r="A28" s="34" t="s">
        <v>300</v>
      </c>
      <c r="E28" s="41"/>
      <c r="F28" s="147"/>
      <c r="M28" s="53"/>
      <c r="N28" s="53"/>
      <c r="O28" s="53"/>
      <c r="P28" s="53"/>
    </row>
    <row r="29" spans="1:16" ht="13.5" customHeight="1" x14ac:dyDescent="0.2">
      <c r="A29" s="309" t="s">
        <v>40</v>
      </c>
      <c r="B29" s="309" t="s">
        <v>139</v>
      </c>
      <c r="C29" s="309">
        <f>YEAR(经营计划!$D$3)</f>
        <v>2017</v>
      </c>
      <c r="D29" s="309"/>
      <c r="E29" s="309">
        <f>C29+1</f>
        <v>2018</v>
      </c>
      <c r="F29" s="309"/>
      <c r="M29" s="53"/>
      <c r="N29" s="53"/>
      <c r="O29" s="53"/>
      <c r="P29" s="53"/>
    </row>
    <row r="30" spans="1:16" x14ac:dyDescent="0.2">
      <c r="A30" s="309"/>
      <c r="B30" s="309"/>
      <c r="C30" s="204" t="s">
        <v>293</v>
      </c>
      <c r="D30" s="204" t="s">
        <v>393</v>
      </c>
      <c r="E30" s="204" t="s">
        <v>293</v>
      </c>
      <c r="F30" s="251" t="s">
        <v>393</v>
      </c>
      <c r="M30" s="53"/>
      <c r="N30" s="53"/>
      <c r="O30" s="53"/>
      <c r="P30" s="53"/>
    </row>
    <row r="31" spans="1:16" x14ac:dyDescent="0.2">
      <c r="A31" s="303" t="s">
        <v>5</v>
      </c>
      <c r="B31" s="36" t="s">
        <v>278</v>
      </c>
      <c r="C31" s="144"/>
      <c r="D31" s="65" t="s">
        <v>308</v>
      </c>
      <c r="E31" s="144"/>
      <c r="F31" s="65" t="s">
        <v>308</v>
      </c>
      <c r="M31" s="53"/>
      <c r="N31" s="53"/>
      <c r="O31" s="53"/>
      <c r="P31" s="53"/>
    </row>
    <row r="32" spans="1:16" x14ac:dyDescent="0.2">
      <c r="A32" s="304"/>
      <c r="B32" s="36" t="s">
        <v>279</v>
      </c>
      <c r="C32" s="144"/>
      <c r="D32" s="65" t="s">
        <v>288</v>
      </c>
      <c r="E32" s="144"/>
      <c r="F32" s="65" t="s">
        <v>288</v>
      </c>
      <c r="M32" s="53"/>
      <c r="N32" s="53"/>
      <c r="O32" s="53"/>
      <c r="P32" s="53"/>
    </row>
    <row r="33" spans="1:24" x14ac:dyDescent="0.2">
      <c r="A33" s="304"/>
      <c r="B33" s="36" t="s">
        <v>280</v>
      </c>
      <c r="C33" s="144"/>
      <c r="D33" s="65" t="s">
        <v>289</v>
      </c>
      <c r="E33" s="144"/>
      <c r="F33" s="65" t="s">
        <v>289</v>
      </c>
      <c r="M33" s="53"/>
      <c r="N33" s="53"/>
      <c r="O33" s="53"/>
      <c r="P33" s="53"/>
    </row>
    <row r="34" spans="1:24" x14ac:dyDescent="0.2">
      <c r="A34" s="304"/>
      <c r="B34" s="36" t="s">
        <v>10</v>
      </c>
      <c r="C34" s="144"/>
      <c r="D34" s="65" t="s">
        <v>289</v>
      </c>
      <c r="E34" s="144"/>
      <c r="F34" s="65" t="s">
        <v>289</v>
      </c>
      <c r="M34" s="53"/>
      <c r="N34" s="53"/>
      <c r="O34" s="53"/>
      <c r="P34" s="53"/>
    </row>
    <row r="35" spans="1:24" x14ac:dyDescent="0.2">
      <c r="A35" s="304"/>
      <c r="B35" s="36" t="s">
        <v>11</v>
      </c>
      <c r="C35" s="144"/>
      <c r="D35" s="65" t="s">
        <v>289</v>
      </c>
      <c r="E35" s="144"/>
      <c r="F35" s="65" t="s">
        <v>289</v>
      </c>
      <c r="M35" s="53"/>
      <c r="N35" s="53"/>
      <c r="O35" s="53"/>
      <c r="P35" s="53"/>
    </row>
    <row r="36" spans="1:24" x14ac:dyDescent="0.2">
      <c r="A36" s="304"/>
      <c r="B36" s="36" t="s">
        <v>12</v>
      </c>
      <c r="C36" s="144"/>
      <c r="D36" s="65" t="s">
        <v>289</v>
      </c>
      <c r="E36" s="144"/>
      <c r="F36" s="65" t="s">
        <v>289</v>
      </c>
      <c r="G36" s="66"/>
      <c r="H36" s="66"/>
      <c r="I36" s="66"/>
      <c r="J36" s="66"/>
      <c r="K36" s="66"/>
      <c r="L36" s="66"/>
      <c r="M36" s="66"/>
    </row>
    <row r="37" spans="1:24" x14ac:dyDescent="0.2">
      <c r="A37" s="305"/>
      <c r="B37" s="47" t="s">
        <v>147</v>
      </c>
      <c r="C37" s="144"/>
      <c r="D37" s="37"/>
      <c r="E37" s="144"/>
      <c r="F37" s="37"/>
    </row>
    <row r="38" spans="1:24" x14ac:dyDescent="0.2">
      <c r="A38" s="303" t="s">
        <v>146</v>
      </c>
      <c r="B38" s="47" t="s">
        <v>139</v>
      </c>
      <c r="C38" s="47" t="s">
        <v>294</v>
      </c>
      <c r="D38" s="47" t="s">
        <v>286</v>
      </c>
      <c r="E38" s="204" t="s">
        <v>294</v>
      </c>
      <c r="F38" s="204" t="s">
        <v>286</v>
      </c>
    </row>
    <row r="39" spans="1:24" x14ac:dyDescent="0.2">
      <c r="A39" s="304"/>
      <c r="B39" s="36" t="s">
        <v>145</v>
      </c>
      <c r="C39" s="144"/>
      <c r="D39" s="65" t="s">
        <v>308</v>
      </c>
      <c r="E39" s="144"/>
      <c r="F39" s="65" t="s">
        <v>308</v>
      </c>
    </row>
    <row r="40" spans="1:24" x14ac:dyDescent="0.2">
      <c r="A40" s="304"/>
      <c r="B40" s="36" t="s">
        <v>309</v>
      </c>
      <c r="C40" s="144"/>
      <c r="D40" s="65" t="s">
        <v>289</v>
      </c>
      <c r="E40" s="144"/>
      <c r="F40" s="65" t="s">
        <v>289</v>
      </c>
    </row>
    <row r="41" spans="1:24" x14ac:dyDescent="0.2">
      <c r="A41" s="304"/>
      <c r="B41" s="36" t="s">
        <v>297</v>
      </c>
      <c r="C41" s="144"/>
      <c r="D41" s="65" t="s">
        <v>308</v>
      </c>
      <c r="E41" s="144"/>
      <c r="F41" s="65" t="s">
        <v>308</v>
      </c>
    </row>
    <row r="42" spans="1:24" x14ac:dyDescent="0.2">
      <c r="A42" s="305"/>
      <c r="B42" s="47" t="s">
        <v>148</v>
      </c>
      <c r="C42" s="144"/>
      <c r="D42" s="37"/>
      <c r="E42" s="144"/>
      <c r="F42" s="37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</row>
    <row r="43" spans="1:24" x14ac:dyDescent="0.2">
      <c r="A43" s="47" t="s">
        <v>287</v>
      </c>
      <c r="B43" s="36"/>
      <c r="C43" s="144"/>
      <c r="D43" s="37"/>
      <c r="E43" s="279"/>
      <c r="F43" s="143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</row>
    <row r="44" spans="1:24" x14ac:dyDescent="0.2">
      <c r="F44" s="248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</row>
    <row r="45" spans="1:24" x14ac:dyDescent="0.2">
      <c r="E45" s="53"/>
      <c r="F45" s="68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41"/>
    </row>
    <row r="46" spans="1:24" x14ac:dyDescent="0.2">
      <c r="A46" s="34" t="s">
        <v>276</v>
      </c>
      <c r="E46" s="16"/>
      <c r="F46" s="68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41"/>
    </row>
    <row r="47" spans="1:24" x14ac:dyDescent="0.2">
      <c r="A47" s="303" t="s">
        <v>277</v>
      </c>
      <c r="B47" s="303" t="s">
        <v>281</v>
      </c>
      <c r="C47" s="315" t="s">
        <v>292</v>
      </c>
      <c r="D47" s="316"/>
      <c r="E47" s="317"/>
      <c r="F47" s="303" t="str">
        <f>D48&amp;"收入"</f>
        <v>2017收入</v>
      </c>
      <c r="G47" s="318" t="s">
        <v>345</v>
      </c>
      <c r="H47" s="309" t="s">
        <v>299</v>
      </c>
      <c r="I47" s="280"/>
      <c r="J47" s="280"/>
      <c r="K47" s="281"/>
      <c r="L47" s="281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41"/>
    </row>
    <row r="48" spans="1:24" ht="14" x14ac:dyDescent="0.2">
      <c r="A48" s="305"/>
      <c r="B48" s="305"/>
      <c r="C48" s="76">
        <f>D48+1</f>
        <v>2018</v>
      </c>
      <c r="D48" s="197">
        <f>YEAR(经营计划!D3)</f>
        <v>2017</v>
      </c>
      <c r="E48" s="197">
        <f>D48-1</f>
        <v>2016</v>
      </c>
      <c r="F48" s="305"/>
      <c r="G48" s="319"/>
      <c r="H48" s="309"/>
      <c r="I48" s="280"/>
      <c r="J48" s="280"/>
      <c r="K48" s="281"/>
      <c r="L48" s="281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41"/>
    </row>
    <row r="49" spans="1:24" x14ac:dyDescent="0.15">
      <c r="A49" s="69" t="s">
        <v>15</v>
      </c>
      <c r="B49" s="120">
        <v>10</v>
      </c>
      <c r="C49" s="259">
        <f>SUMIFS($G$63:$G$67,$F$63:$F$67,A49)</f>
        <v>117</v>
      </c>
      <c r="D49" s="259">
        <f>SUMIFS($G$56:$G$60,$F$56:$F$60,A49)</f>
        <v>107</v>
      </c>
      <c r="E49" s="178"/>
      <c r="F49" s="249">
        <f>玉米生产卡!E23</f>
        <v>95040</v>
      </c>
      <c r="G49" s="169">
        <f>$F49/SUM($F$49:$F$52)</f>
        <v>1</v>
      </c>
      <c r="H49" s="54"/>
      <c r="I49" s="282"/>
      <c r="J49" s="282"/>
      <c r="K49" s="281"/>
      <c r="L49" s="281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41"/>
    </row>
    <row r="50" spans="1:24" x14ac:dyDescent="0.15">
      <c r="A50" s="69" t="s">
        <v>81</v>
      </c>
      <c r="B50" s="120">
        <v>5</v>
      </c>
      <c r="C50" s="259">
        <f t="shared" ref="C50:C51" si="1">SUMIFS($G$63:$G$67,$F$63:$F$67,A50)</f>
        <v>0</v>
      </c>
      <c r="D50" s="259">
        <f t="shared" ref="D50:D52" si="2">SUMIFS($G$56:$G$60,$F$56:$F$60,A50)</f>
        <v>0</v>
      </c>
      <c r="E50" s="178"/>
      <c r="F50" s="72">
        <v>0</v>
      </c>
      <c r="G50" s="169">
        <f t="shared" ref="G50:G52" si="3">$F50/SUM($F$49:$F$52)</f>
        <v>0</v>
      </c>
      <c r="H50" s="54"/>
      <c r="I50" s="282"/>
      <c r="J50" s="282"/>
      <c r="K50" s="281"/>
      <c r="L50" s="281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41"/>
    </row>
    <row r="51" spans="1:24" x14ac:dyDescent="0.15">
      <c r="A51" s="69" t="s">
        <v>275</v>
      </c>
      <c r="B51" s="120">
        <v>10</v>
      </c>
      <c r="C51" s="259">
        <f t="shared" si="1"/>
        <v>0</v>
      </c>
      <c r="D51" s="259">
        <f t="shared" si="2"/>
        <v>0</v>
      </c>
      <c r="E51" s="178"/>
      <c r="F51" s="72">
        <v>0</v>
      </c>
      <c r="G51" s="169">
        <f t="shared" si="3"/>
        <v>0</v>
      </c>
      <c r="H51" s="54"/>
      <c r="I51" s="282"/>
      <c r="J51" s="282"/>
      <c r="K51" s="281"/>
      <c r="L51" s="281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41"/>
    </row>
    <row r="52" spans="1:24" x14ac:dyDescent="0.15">
      <c r="A52" s="69" t="s">
        <v>291</v>
      </c>
      <c r="B52" s="70"/>
      <c r="C52" s="259">
        <f>SUMIFS($G$63:$G$67,$F$63:$F$67,A52)</f>
        <v>0</v>
      </c>
      <c r="D52" s="259">
        <f t="shared" si="2"/>
        <v>0</v>
      </c>
      <c r="E52" s="177"/>
      <c r="F52" s="72"/>
      <c r="G52" s="169">
        <f t="shared" si="3"/>
        <v>0</v>
      </c>
      <c r="H52" s="54"/>
      <c r="I52" s="282"/>
      <c r="J52" s="282"/>
      <c r="K52" s="281"/>
      <c r="L52" s="281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41"/>
    </row>
    <row r="53" spans="1:24" x14ac:dyDescent="0.2">
      <c r="D53" s="53"/>
      <c r="E53" s="17"/>
      <c r="F53" s="68"/>
      <c r="G53" s="53"/>
      <c r="H53" s="53"/>
      <c r="I53" s="281"/>
      <c r="J53" s="281"/>
      <c r="K53" s="281"/>
      <c r="L53" s="281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41"/>
    </row>
    <row r="54" spans="1:24" ht="16.5" customHeight="1" x14ac:dyDescent="0.2">
      <c r="A54" s="75" t="s">
        <v>372</v>
      </c>
      <c r="B54" s="308"/>
      <c r="C54" s="308"/>
      <c r="D54" s="308"/>
      <c r="E54" s="308"/>
      <c r="F54" s="308"/>
      <c r="G54" s="210"/>
      <c r="H54" s="103"/>
      <c r="I54" s="103"/>
      <c r="J54" s="103"/>
      <c r="K54" s="103"/>
      <c r="L54" s="103"/>
      <c r="M54" s="103"/>
      <c r="N54" s="103"/>
      <c r="O54" s="53"/>
      <c r="P54" s="53"/>
      <c r="Q54" s="53"/>
      <c r="R54" s="53"/>
    </row>
    <row r="55" spans="1:24" ht="15.75" customHeight="1" x14ac:dyDescent="0.15">
      <c r="A55" s="220">
        <f>YEAR(经营计划!$D$3)</f>
        <v>2017</v>
      </c>
      <c r="B55" s="203" t="s">
        <v>373</v>
      </c>
      <c r="C55" s="203" t="s">
        <v>125</v>
      </c>
      <c r="D55" s="203" t="s">
        <v>16</v>
      </c>
      <c r="E55" s="203" t="s">
        <v>376</v>
      </c>
      <c r="F55" s="203" t="s">
        <v>382</v>
      </c>
      <c r="G55" s="203" t="s">
        <v>178</v>
      </c>
      <c r="H55" s="203" t="s">
        <v>206</v>
      </c>
      <c r="I55" s="270"/>
      <c r="J55" s="217" t="s">
        <v>384</v>
      </c>
      <c r="K55" s="217" t="s">
        <v>182</v>
      </c>
      <c r="L55" s="103"/>
      <c r="M55" s="103"/>
      <c r="N55" s="103"/>
      <c r="O55" s="105"/>
      <c r="P55" s="5"/>
      <c r="Q55" s="105"/>
      <c r="R55" s="53"/>
    </row>
    <row r="56" spans="1:24" ht="18.75" customHeight="1" x14ac:dyDescent="0.15">
      <c r="A56" s="204" t="s">
        <v>9</v>
      </c>
      <c r="B56" s="227" t="s">
        <v>374</v>
      </c>
      <c r="C56" s="211" t="s">
        <v>180</v>
      </c>
      <c r="D56" s="106">
        <v>3</v>
      </c>
      <c r="E56" s="225" t="s">
        <v>160</v>
      </c>
      <c r="F56" s="141" t="s">
        <v>15</v>
      </c>
      <c r="G56" s="111">
        <v>67</v>
      </c>
      <c r="H56" s="30">
        <v>500</v>
      </c>
      <c r="I56" s="245"/>
      <c r="J56" s="247">
        <v>46752</v>
      </c>
      <c r="K56" s="214">
        <v>123345123</v>
      </c>
      <c r="L56" s="103"/>
      <c r="M56" s="103"/>
      <c r="N56" s="103"/>
      <c r="O56" s="5"/>
      <c r="P56" s="5"/>
      <c r="Q56" s="5"/>
      <c r="R56" s="53"/>
    </row>
    <row r="57" spans="1:24" ht="15.75" customHeight="1" x14ac:dyDescent="0.15">
      <c r="A57" s="204"/>
      <c r="B57" s="203" t="s">
        <v>373</v>
      </c>
      <c r="C57" s="204" t="s">
        <v>126</v>
      </c>
      <c r="D57" s="204" t="s">
        <v>67</v>
      </c>
      <c r="E57" s="212" t="s">
        <v>376</v>
      </c>
      <c r="F57" s="203" t="s">
        <v>382</v>
      </c>
      <c r="G57" s="204" t="s">
        <v>177</v>
      </c>
      <c r="H57" s="204" t="s">
        <v>72</v>
      </c>
      <c r="I57" s="269"/>
      <c r="J57" s="205" t="s">
        <v>383</v>
      </c>
      <c r="K57" s="205" t="s">
        <v>76</v>
      </c>
      <c r="L57" s="103"/>
      <c r="M57" s="103"/>
      <c r="N57" s="103"/>
      <c r="O57" s="6"/>
      <c r="P57" s="107"/>
      <c r="Q57" s="105"/>
      <c r="R57" s="53"/>
    </row>
    <row r="58" spans="1:24" ht="15.75" customHeight="1" x14ac:dyDescent="0.15">
      <c r="A58" s="204" t="s">
        <v>68</v>
      </c>
      <c r="B58" s="227" t="s">
        <v>374</v>
      </c>
      <c r="C58" s="211" t="s">
        <v>180</v>
      </c>
      <c r="D58" s="222">
        <v>3</v>
      </c>
      <c r="E58" s="226" t="s">
        <v>161</v>
      </c>
      <c r="F58" s="141" t="s">
        <v>15</v>
      </c>
      <c r="G58" s="108">
        <v>40</v>
      </c>
      <c r="H58" s="30">
        <v>500</v>
      </c>
      <c r="I58" s="245"/>
      <c r="J58" s="245">
        <f>G58*H58</f>
        <v>20000</v>
      </c>
      <c r="K58" s="215" t="s">
        <v>369</v>
      </c>
      <c r="L58" s="103"/>
      <c r="M58" s="103"/>
      <c r="N58" s="103"/>
      <c r="O58" s="6"/>
      <c r="P58" s="109"/>
      <c r="Q58" s="105"/>
      <c r="R58" s="53"/>
    </row>
    <row r="59" spans="1:24" x14ac:dyDescent="0.15">
      <c r="A59" s="204" t="s">
        <v>69</v>
      </c>
      <c r="B59" s="227" t="s">
        <v>374</v>
      </c>
      <c r="C59" s="211" t="s">
        <v>180</v>
      </c>
      <c r="D59" s="222"/>
      <c r="E59" s="226" t="s">
        <v>161</v>
      </c>
      <c r="F59" s="141" t="s">
        <v>15</v>
      </c>
      <c r="G59" s="108"/>
      <c r="H59" s="30"/>
      <c r="I59" s="245"/>
      <c r="J59" s="245">
        <f t="shared" ref="J59:J60" si="4">G59*H59</f>
        <v>0</v>
      </c>
      <c r="K59" s="215" t="s">
        <v>369</v>
      </c>
      <c r="L59" s="103"/>
      <c r="M59" s="103"/>
      <c r="N59" s="103"/>
      <c r="O59" s="7"/>
      <c r="P59" s="8"/>
      <c r="Q59" s="105"/>
      <c r="R59" s="53"/>
    </row>
    <row r="60" spans="1:24" x14ac:dyDescent="0.15">
      <c r="A60" s="204" t="s">
        <v>70</v>
      </c>
      <c r="B60" s="227" t="s">
        <v>375</v>
      </c>
      <c r="C60" s="211" t="s">
        <v>180</v>
      </c>
      <c r="D60" s="222"/>
      <c r="E60" s="226" t="s">
        <v>161</v>
      </c>
      <c r="F60" s="141" t="s">
        <v>81</v>
      </c>
      <c r="G60" s="108"/>
      <c r="H60" s="30"/>
      <c r="I60" s="245"/>
      <c r="J60" s="245">
        <f t="shared" si="4"/>
        <v>0</v>
      </c>
      <c r="K60" s="215" t="s">
        <v>370</v>
      </c>
      <c r="L60" s="103"/>
      <c r="M60" s="103"/>
      <c r="N60" s="103"/>
      <c r="O60" s="105"/>
      <c r="P60" s="110"/>
      <c r="Q60" s="105"/>
      <c r="R60" s="53"/>
    </row>
    <row r="61" spans="1:24" x14ac:dyDescent="0.15">
      <c r="A61" s="204" t="s">
        <v>86</v>
      </c>
      <c r="B61" s="211"/>
      <c r="C61" s="211"/>
      <c r="D61" s="223">
        <f>SUM(D56:D60)</f>
        <v>6</v>
      </c>
      <c r="E61" s="111">
        <f>SUM(E56:E60)</f>
        <v>0</v>
      </c>
      <c r="F61" s="224">
        <f>SUM(F56:F60)</f>
        <v>0</v>
      </c>
      <c r="G61" s="111">
        <f>SUM(G56:G60)</f>
        <v>107</v>
      </c>
      <c r="H61" s="112"/>
      <c r="I61" s="246"/>
      <c r="J61" s="246">
        <f>SUM(J58:J60)</f>
        <v>20000</v>
      </c>
      <c r="K61" s="216"/>
      <c r="L61" s="103"/>
      <c r="M61" s="103"/>
      <c r="N61" s="103"/>
      <c r="O61" s="105"/>
      <c r="P61" s="105"/>
      <c r="Q61" s="105"/>
      <c r="R61" s="53"/>
    </row>
    <row r="62" spans="1:24" ht="15.75" customHeight="1" x14ac:dyDescent="0.15">
      <c r="A62" s="221">
        <f>$A$55+1</f>
        <v>2018</v>
      </c>
      <c r="B62" s="203" t="s">
        <v>373</v>
      </c>
      <c r="C62" s="203" t="s">
        <v>125</v>
      </c>
      <c r="D62" s="203" t="s">
        <v>16</v>
      </c>
      <c r="E62" s="203" t="s">
        <v>376</v>
      </c>
      <c r="F62" s="203" t="s">
        <v>382</v>
      </c>
      <c r="G62" s="203" t="s">
        <v>178</v>
      </c>
      <c r="H62" s="203" t="s">
        <v>206</v>
      </c>
      <c r="I62" s="270"/>
      <c r="J62" s="217" t="s">
        <v>384</v>
      </c>
      <c r="K62" s="217" t="s">
        <v>182</v>
      </c>
      <c r="L62" s="103"/>
      <c r="M62" s="103"/>
      <c r="N62" s="103"/>
      <c r="O62" s="105"/>
      <c r="P62" s="5"/>
      <c r="Q62" s="105"/>
      <c r="R62" s="53"/>
    </row>
    <row r="63" spans="1:24" ht="18.75" customHeight="1" x14ac:dyDescent="0.15">
      <c r="A63" s="204" t="s">
        <v>9</v>
      </c>
      <c r="B63" s="262" t="str">
        <f>B56</f>
        <v>旱田</v>
      </c>
      <c r="C63" s="262" t="str">
        <f>C56</f>
        <v>永安乡胜利村一组</v>
      </c>
      <c r="D63" s="263">
        <f>D56</f>
        <v>3</v>
      </c>
      <c r="E63" s="224" t="str">
        <f>E56</f>
        <v>否</v>
      </c>
      <c r="F63" s="141" t="s">
        <v>15</v>
      </c>
      <c r="G63" s="111">
        <f>G56</f>
        <v>67</v>
      </c>
      <c r="H63" s="30">
        <v>500</v>
      </c>
      <c r="I63" s="245"/>
      <c r="J63" s="260">
        <f>J56</f>
        <v>46752</v>
      </c>
      <c r="K63" s="261">
        <f>K56</f>
        <v>123345123</v>
      </c>
      <c r="L63" s="103"/>
      <c r="M63" s="103"/>
      <c r="N63" s="103"/>
      <c r="O63" s="5"/>
      <c r="P63" s="5"/>
      <c r="Q63" s="5"/>
      <c r="R63" s="53"/>
    </row>
    <row r="64" spans="1:24" ht="12.75" customHeight="1" x14ac:dyDescent="0.15">
      <c r="A64" s="204"/>
      <c r="B64" s="203" t="s">
        <v>373</v>
      </c>
      <c r="C64" s="204" t="s">
        <v>126</v>
      </c>
      <c r="D64" s="204" t="s">
        <v>67</v>
      </c>
      <c r="E64" s="212" t="s">
        <v>376</v>
      </c>
      <c r="F64" s="203" t="s">
        <v>382</v>
      </c>
      <c r="G64" s="204" t="s">
        <v>177</v>
      </c>
      <c r="H64" s="204" t="s">
        <v>72</v>
      </c>
      <c r="I64" s="269"/>
      <c r="J64" s="205" t="s">
        <v>383</v>
      </c>
      <c r="K64" s="205" t="s">
        <v>76</v>
      </c>
      <c r="L64" s="103"/>
      <c r="M64" s="103"/>
      <c r="N64" s="103"/>
      <c r="O64" s="6"/>
      <c r="P64" s="107"/>
      <c r="Q64" s="105"/>
      <c r="R64" s="53"/>
    </row>
    <row r="65" spans="1:24" ht="15.75" customHeight="1" x14ac:dyDescent="0.15">
      <c r="A65" s="204" t="s">
        <v>68</v>
      </c>
      <c r="B65" s="227" t="s">
        <v>374</v>
      </c>
      <c r="C65" s="211" t="s">
        <v>180</v>
      </c>
      <c r="D65" s="222">
        <v>3</v>
      </c>
      <c r="E65" s="226" t="s">
        <v>161</v>
      </c>
      <c r="F65" s="141" t="s">
        <v>15</v>
      </c>
      <c r="G65" s="108">
        <v>50</v>
      </c>
      <c r="H65" s="30">
        <v>500</v>
      </c>
      <c r="I65" s="245"/>
      <c r="J65" s="245">
        <f>G65*H65</f>
        <v>25000</v>
      </c>
      <c r="K65" s="215" t="s">
        <v>369</v>
      </c>
      <c r="L65" s="103"/>
      <c r="M65" s="103"/>
      <c r="N65" s="103"/>
      <c r="O65" s="6"/>
      <c r="P65" s="109"/>
      <c r="Q65" s="105"/>
      <c r="R65" s="53"/>
    </row>
    <row r="66" spans="1:24" x14ac:dyDescent="0.15">
      <c r="A66" s="204" t="s">
        <v>69</v>
      </c>
      <c r="B66" s="227" t="s">
        <v>374</v>
      </c>
      <c r="C66" s="211" t="s">
        <v>180</v>
      </c>
      <c r="D66" s="222"/>
      <c r="E66" s="226" t="s">
        <v>161</v>
      </c>
      <c r="F66" s="141" t="s">
        <v>15</v>
      </c>
      <c r="G66" s="108"/>
      <c r="H66" s="30"/>
      <c r="I66" s="245"/>
      <c r="J66" s="245">
        <f t="shared" ref="J66:J67" si="5">G66*H66</f>
        <v>0</v>
      </c>
      <c r="K66" s="215" t="s">
        <v>369</v>
      </c>
      <c r="L66" s="103"/>
      <c r="M66" s="103"/>
      <c r="N66" s="103"/>
      <c r="O66" s="7"/>
      <c r="P66" s="8"/>
      <c r="Q66" s="105"/>
      <c r="R66" s="53"/>
    </row>
    <row r="67" spans="1:24" x14ac:dyDescent="0.15">
      <c r="A67" s="204" t="s">
        <v>70</v>
      </c>
      <c r="B67" s="227" t="s">
        <v>375</v>
      </c>
      <c r="C67" s="211" t="s">
        <v>180</v>
      </c>
      <c r="D67" s="222"/>
      <c r="E67" s="226" t="s">
        <v>161</v>
      </c>
      <c r="F67" s="141" t="s">
        <v>81</v>
      </c>
      <c r="G67" s="108"/>
      <c r="H67" s="30"/>
      <c r="I67" s="245"/>
      <c r="J67" s="245">
        <f t="shared" si="5"/>
        <v>0</v>
      </c>
      <c r="K67" s="215" t="s">
        <v>370</v>
      </c>
      <c r="L67" s="103"/>
      <c r="M67" s="103"/>
      <c r="N67" s="103"/>
      <c r="O67" s="105"/>
      <c r="P67" s="110"/>
      <c r="Q67" s="105"/>
      <c r="R67" s="53"/>
    </row>
    <row r="68" spans="1:24" x14ac:dyDescent="0.15">
      <c r="A68" s="204" t="s">
        <v>86</v>
      </c>
      <c r="B68" s="211"/>
      <c r="C68" s="211"/>
      <c r="D68" s="223">
        <f>SUM(D63:D67)</f>
        <v>6</v>
      </c>
      <c r="E68" s="111"/>
      <c r="F68" s="224"/>
      <c r="G68" s="111">
        <f>SUM(G63:G67)</f>
        <v>117</v>
      </c>
      <c r="H68" s="112">
        <f>SUMPRODUCT(H65:H67,G65:G67)</f>
        <v>25000</v>
      </c>
      <c r="I68" s="246"/>
      <c r="J68" s="246">
        <f>SUM(J65:J67)</f>
        <v>25000</v>
      </c>
      <c r="K68" s="216"/>
      <c r="L68" s="103"/>
      <c r="M68" s="103"/>
      <c r="N68" s="103"/>
      <c r="O68" s="105"/>
      <c r="P68" s="105"/>
      <c r="Q68" s="105"/>
      <c r="R68" s="53"/>
    </row>
    <row r="69" spans="1:24" x14ac:dyDescent="0.15">
      <c r="A69" s="210"/>
      <c r="B69" s="101"/>
      <c r="C69" s="101"/>
      <c r="D69" s="243"/>
      <c r="E69" s="244"/>
      <c r="F69" s="132"/>
      <c r="G69" s="218"/>
      <c r="H69" s="101"/>
      <c r="I69" s="101"/>
      <c r="J69" s="101"/>
      <c r="K69" s="103"/>
      <c r="L69" s="103"/>
      <c r="M69" s="103"/>
      <c r="N69" s="103"/>
      <c r="O69" s="105"/>
      <c r="P69" s="105"/>
      <c r="Q69" s="105"/>
      <c r="R69" s="53"/>
    </row>
    <row r="70" spans="1:24" x14ac:dyDescent="0.2">
      <c r="A70" s="34" t="s">
        <v>329</v>
      </c>
      <c r="D70" s="66"/>
      <c r="E70" s="53"/>
      <c r="F70" s="68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41"/>
    </row>
    <row r="71" spans="1:24" x14ac:dyDescent="0.2">
      <c r="A71" s="51" t="s">
        <v>149</v>
      </c>
      <c r="B71" s="299" t="s">
        <v>154</v>
      </c>
      <c r="C71" s="299"/>
      <c r="D71" s="67" t="s">
        <v>161</v>
      </c>
      <c r="E71" s="41"/>
      <c r="F71" s="68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41"/>
    </row>
    <row r="72" spans="1:24" x14ac:dyDescent="0.2">
      <c r="A72" s="51" t="s">
        <v>13</v>
      </c>
      <c r="B72" s="299" t="s">
        <v>155</v>
      </c>
      <c r="C72" s="299"/>
      <c r="D72" s="67" t="s">
        <v>160</v>
      </c>
      <c r="E72" s="41"/>
      <c r="F72" s="68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41"/>
    </row>
    <row r="73" spans="1:24" x14ac:dyDescent="0.2">
      <c r="A73" s="51" t="s">
        <v>150</v>
      </c>
      <c r="B73" s="299" t="s">
        <v>156</v>
      </c>
      <c r="C73" s="299"/>
      <c r="D73" s="67" t="s">
        <v>161</v>
      </c>
      <c r="E73" s="41"/>
      <c r="F73" s="68"/>
      <c r="G73" s="58"/>
      <c r="H73" s="58"/>
      <c r="I73" s="210"/>
      <c r="J73" s="210"/>
      <c r="K73" s="58"/>
      <c r="L73" s="58"/>
      <c r="M73" s="194"/>
      <c r="N73" s="58"/>
      <c r="O73" s="58"/>
      <c r="P73" s="58"/>
      <c r="Q73" s="53"/>
      <c r="R73" s="53"/>
      <c r="S73" s="53"/>
      <c r="T73" s="53"/>
      <c r="U73" s="53"/>
      <c r="V73" s="53"/>
      <c r="W73" s="53"/>
      <c r="X73" s="41"/>
    </row>
    <row r="74" spans="1:24" x14ac:dyDescent="0.2">
      <c r="A74" s="51" t="s">
        <v>151</v>
      </c>
      <c r="B74" s="299" t="s">
        <v>157</v>
      </c>
      <c r="C74" s="299"/>
      <c r="D74" s="67" t="s">
        <v>161</v>
      </c>
      <c r="E74" s="41"/>
      <c r="F74" s="68"/>
      <c r="G74" s="53"/>
      <c r="H74" s="53"/>
      <c r="I74" s="53"/>
      <c r="J74" s="53"/>
      <c r="K74" s="68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41"/>
    </row>
    <row r="75" spans="1:24" x14ac:dyDescent="0.2">
      <c r="A75" s="51" t="s">
        <v>152</v>
      </c>
      <c r="B75" s="299" t="s">
        <v>158</v>
      </c>
      <c r="C75" s="299"/>
      <c r="D75" s="67" t="s">
        <v>161</v>
      </c>
      <c r="E75" s="41"/>
      <c r="F75" s="68"/>
      <c r="G75" s="53"/>
      <c r="H75" s="53"/>
      <c r="I75" s="53"/>
      <c r="J75" s="53"/>
      <c r="K75" s="68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41"/>
    </row>
    <row r="76" spans="1:24" x14ac:dyDescent="0.2">
      <c r="A76" s="51" t="s">
        <v>153</v>
      </c>
      <c r="B76" s="299" t="s">
        <v>159</v>
      </c>
      <c r="C76" s="299"/>
      <c r="D76" s="67" t="s">
        <v>161</v>
      </c>
      <c r="E76" s="41"/>
      <c r="F76" s="68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41"/>
    </row>
  </sheetData>
  <dataConsolidate/>
  <mergeCells count="25">
    <mergeCell ref="H47:H48"/>
    <mergeCell ref="A47:A48"/>
    <mergeCell ref="B47:B48"/>
    <mergeCell ref="C47:E47"/>
    <mergeCell ref="G47:G48"/>
    <mergeCell ref="F47:F48"/>
    <mergeCell ref="B3:F3"/>
    <mergeCell ref="A31:A37"/>
    <mergeCell ref="A14:A17"/>
    <mergeCell ref="B71:C71"/>
    <mergeCell ref="A38:A42"/>
    <mergeCell ref="A24:A25"/>
    <mergeCell ref="B54:F54"/>
    <mergeCell ref="B29:B30"/>
    <mergeCell ref="A29:A30"/>
    <mergeCell ref="C29:D29"/>
    <mergeCell ref="E29:F29"/>
    <mergeCell ref="B5:D5"/>
    <mergeCell ref="B8:F8"/>
    <mergeCell ref="A21:A23"/>
    <mergeCell ref="B76:C76"/>
    <mergeCell ref="B72:C72"/>
    <mergeCell ref="B73:C73"/>
    <mergeCell ref="B74:C74"/>
    <mergeCell ref="B75:C75"/>
  </mergeCells>
  <phoneticPr fontId="2" type="noConversion"/>
  <dataValidations count="14">
    <dataValidation type="list" allowBlank="1" showInputMessage="1" showErrorMessage="1" sqref="D18:D19">
      <formula1>"养殖场,农机库棚,大棚温室,其他"</formula1>
    </dataValidation>
    <dataValidation type="list" allowBlank="1" showInputMessage="1" showErrorMessage="1" sqref="F14:F17 D71:D76 B9 E56 E58:E60 E65:E67 E63">
      <formula1>"是,否"</formula1>
    </dataValidation>
    <dataValidation type="list" allowBlank="1" showInputMessage="1" showErrorMessage="1" sqref="F6">
      <formula1>"已婚,未婚,离异"</formula1>
    </dataValidation>
    <dataValidation type="list" allowBlank="1" showInputMessage="1" showErrorMessage="1" sqref="D6">
      <formula1>"初中,高中,大学本科,研究生及以上"</formula1>
    </dataValidation>
    <dataValidation type="list" allowBlank="1" showInputMessage="1" showErrorMessage="1" sqref="D4">
      <formula1>"男,女"</formula1>
    </dataValidation>
    <dataValidation type="list" allowBlank="1" showInputMessage="1" showErrorMessage="1" sqref="B21:B23">
      <formula1>"房贷,车贷,消费贷款,信用卡,民间借贷,网贷,其他"</formula1>
    </dataValidation>
    <dataValidation type="list" allowBlank="1" showInputMessage="1" showErrorMessage="1" sqref="A49:A52">
      <formula1>"玉米,水稻,大豆,高粱,杂粮"</formula1>
    </dataValidation>
    <dataValidation type="list" allowBlank="1" showInputMessage="1" showErrorMessage="1" sqref="D32 F32">
      <formula1>"一月,二月,三月,四月,五月,六月,七月,八月,九月,十月,十一月,十二月"</formula1>
    </dataValidation>
    <dataValidation type="list" allowBlank="1" showInputMessage="1" showErrorMessage="1" sqref="D33:D36 F33:F36">
      <formula1>"一月,二月,三月,四月,五月,六月,七月,八月,九月,十月,十一月,十二月,每月"</formula1>
    </dataValidation>
    <dataValidation type="list" allowBlank="1" showInputMessage="1" showErrorMessage="1" sqref="D39:D41 D31 F39:F41 F31">
      <formula1>"每月,按期"</formula1>
    </dataValidation>
    <dataValidation type="list" allowBlank="1" showInputMessage="1" showErrorMessage="1" sqref="B25">
      <formula1>"一般保证,连带责任保证"</formula1>
    </dataValidation>
    <dataValidation type="list" allowBlank="1" showInputMessage="1" showErrorMessage="1" sqref="K58:K60 K65:K67">
      <formula1>"当年10月,当年11月,当年12月,次年1月,次年2月,次年3月,次年4月,其他时间"</formula1>
    </dataValidation>
    <dataValidation type="list" allowBlank="1" showInputMessage="1" showErrorMessage="1" sqref="B56 B58:B60 B65:B67">
      <formula1>"水田,旱田"</formula1>
    </dataValidation>
    <dataValidation type="list" allowBlank="1" showInputMessage="1" showErrorMessage="1" sqref="F56 F58:F60 F65:F67 F63">
      <formula1>"多用途,玉米,水稻,大豆,高粱,杂粮"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"/>
  <sheetViews>
    <sheetView workbookViewId="0">
      <selection activeCell="I10" sqref="I10"/>
    </sheetView>
  </sheetViews>
  <sheetFormatPr baseColWidth="10" defaultColWidth="8.83203125" defaultRowHeight="13" x14ac:dyDescent="0.2"/>
  <cols>
    <col min="1" max="1" width="12.1640625" style="73" customWidth="1"/>
    <col min="2" max="2" width="14.6640625" style="33" customWidth="1"/>
    <col min="3" max="3" width="13.6640625" style="33" customWidth="1"/>
    <col min="4" max="4" width="13.83203125" style="74" bestFit="1" customWidth="1"/>
    <col min="5" max="5" width="13.1640625" style="33" customWidth="1"/>
    <col min="6" max="6" width="14.1640625" style="33" customWidth="1"/>
    <col min="7" max="8" width="13.6640625" style="33" customWidth="1"/>
    <col min="9" max="9" width="14.6640625" style="33" customWidth="1"/>
    <col min="10" max="10" width="16.1640625" style="33" bestFit="1" customWidth="1"/>
    <col min="11" max="13" width="14" style="33" customWidth="1"/>
    <col min="14" max="14" width="14.33203125" style="33" customWidth="1"/>
    <col min="15" max="15" width="14.1640625" style="33" customWidth="1"/>
    <col min="16" max="16" width="11.1640625" style="33" customWidth="1"/>
    <col min="17" max="17" width="13.83203125" style="33" bestFit="1" customWidth="1"/>
    <col min="18" max="18" width="13.33203125" style="33" customWidth="1"/>
    <col min="19" max="19" width="13" style="33" customWidth="1"/>
    <col min="20" max="21" width="9.5" style="33" bestFit="1" customWidth="1"/>
    <col min="22" max="16384" width="8.83203125" style="33"/>
  </cols>
  <sheetData>
    <row r="1" spans="1:19" ht="30.75" customHeight="1" x14ac:dyDescent="0.2">
      <c r="A1" s="32" t="s">
        <v>84</v>
      </c>
    </row>
    <row r="2" spans="1:19" x14ac:dyDescent="0.2">
      <c r="A2" s="75" t="s">
        <v>78</v>
      </c>
    </row>
    <row r="3" spans="1:19" x14ac:dyDescent="0.2">
      <c r="A3" s="56" t="s">
        <v>40</v>
      </c>
      <c r="B3" s="47" t="s">
        <v>82</v>
      </c>
      <c r="C3" s="47" t="s">
        <v>79</v>
      </c>
      <c r="D3" s="47" t="s">
        <v>260</v>
      </c>
      <c r="E3" s="47" t="s">
        <v>30</v>
      </c>
      <c r="F3" s="47" t="s">
        <v>18</v>
      </c>
      <c r="G3" s="47" t="s">
        <v>20</v>
      </c>
      <c r="H3" s="47" t="s">
        <v>252</v>
      </c>
      <c r="I3" s="57" t="s">
        <v>83</v>
      </c>
      <c r="J3" s="57" t="s">
        <v>46</v>
      </c>
      <c r="K3" s="47" t="s">
        <v>262</v>
      </c>
    </row>
    <row r="4" spans="1:19" x14ac:dyDescent="0.15">
      <c r="A4" s="320" t="s">
        <v>42</v>
      </c>
      <c r="B4" s="38" t="s">
        <v>254</v>
      </c>
      <c r="C4" s="69" t="s">
        <v>15</v>
      </c>
      <c r="D4" s="78"/>
      <c r="E4" s="37"/>
      <c r="F4" s="79"/>
      <c r="G4" s="54">
        <f>E4*D4</f>
        <v>0</v>
      </c>
      <c r="H4" s="266"/>
      <c r="I4" s="80"/>
      <c r="J4" s="81"/>
      <c r="K4" s="31" t="s">
        <v>161</v>
      </c>
    </row>
    <row r="5" spans="1:19" x14ac:dyDescent="0.15">
      <c r="A5" s="320"/>
      <c r="B5" s="38" t="s">
        <v>251</v>
      </c>
      <c r="C5" s="69" t="s">
        <v>15</v>
      </c>
      <c r="D5" s="78">
        <v>300000</v>
      </c>
      <c r="E5" s="37">
        <v>1</v>
      </c>
      <c r="F5" s="79">
        <v>41699</v>
      </c>
      <c r="G5" s="54">
        <f t="shared" ref="G5:G12" si="0">E5*D5</f>
        <v>300000</v>
      </c>
      <c r="H5" s="266"/>
      <c r="I5" s="80"/>
      <c r="J5" s="81"/>
      <c r="K5" s="31" t="s">
        <v>160</v>
      </c>
    </row>
    <row r="6" spans="1:19" x14ac:dyDescent="0.15">
      <c r="A6" s="320"/>
      <c r="B6" s="38" t="s">
        <v>253</v>
      </c>
      <c r="C6" s="69" t="s">
        <v>15</v>
      </c>
      <c r="D6" s="78"/>
      <c r="E6" s="37"/>
      <c r="F6" s="79"/>
      <c r="G6" s="54">
        <f t="shared" si="0"/>
        <v>0</v>
      </c>
      <c r="H6" s="266"/>
      <c r="I6" s="80"/>
      <c r="J6" s="81"/>
      <c r="K6" s="31" t="s">
        <v>160</v>
      </c>
    </row>
    <row r="7" spans="1:19" x14ac:dyDescent="0.15">
      <c r="A7" s="320"/>
      <c r="B7" s="38" t="s">
        <v>255</v>
      </c>
      <c r="C7" s="69" t="s">
        <v>81</v>
      </c>
      <c r="D7" s="78"/>
      <c r="E7" s="37"/>
      <c r="F7" s="79"/>
      <c r="G7" s="54">
        <f t="shared" si="0"/>
        <v>0</v>
      </c>
      <c r="H7" s="266"/>
      <c r="I7" s="80"/>
      <c r="J7" s="81"/>
      <c r="K7" s="31" t="s">
        <v>160</v>
      </c>
    </row>
    <row r="8" spans="1:19" x14ac:dyDescent="0.15">
      <c r="A8" s="320"/>
      <c r="B8" s="38" t="s">
        <v>256</v>
      </c>
      <c r="C8" s="69" t="s">
        <v>81</v>
      </c>
      <c r="D8" s="78"/>
      <c r="E8" s="37"/>
      <c r="F8" s="79"/>
      <c r="G8" s="54">
        <f t="shared" ref="G8" si="1">E8*D8</f>
        <v>0</v>
      </c>
      <c r="H8" s="266"/>
      <c r="I8" s="80"/>
      <c r="J8" s="81"/>
      <c r="K8" s="31" t="s">
        <v>160</v>
      </c>
    </row>
    <row r="9" spans="1:19" x14ac:dyDescent="0.15">
      <c r="A9" s="320"/>
      <c r="B9" s="38" t="s">
        <v>330</v>
      </c>
      <c r="C9" s="69" t="s">
        <v>80</v>
      </c>
      <c r="D9" s="78"/>
      <c r="E9" s="37"/>
      <c r="F9" s="79"/>
      <c r="G9" s="54">
        <f t="shared" si="0"/>
        <v>0</v>
      </c>
      <c r="H9" s="266"/>
      <c r="I9" s="80"/>
      <c r="J9" s="81"/>
      <c r="K9" s="31" t="s">
        <v>160</v>
      </c>
    </row>
    <row r="10" spans="1:19" x14ac:dyDescent="0.15">
      <c r="A10" s="320" t="s">
        <v>43</v>
      </c>
      <c r="B10" s="164" t="s">
        <v>257</v>
      </c>
      <c r="C10" s="69" t="s">
        <v>80</v>
      </c>
      <c r="D10" s="78"/>
      <c r="E10" s="37"/>
      <c r="F10" s="79"/>
      <c r="G10" s="54">
        <f t="shared" si="0"/>
        <v>0</v>
      </c>
      <c r="H10" s="266"/>
      <c r="I10" s="80"/>
      <c r="J10" s="81"/>
      <c r="K10" s="31" t="s">
        <v>160</v>
      </c>
    </row>
    <row r="11" spans="1:19" x14ac:dyDescent="0.15">
      <c r="A11" s="320"/>
      <c r="B11" s="38" t="s">
        <v>258</v>
      </c>
      <c r="C11" s="69" t="s">
        <v>15</v>
      </c>
      <c r="D11" s="78"/>
      <c r="E11" s="37"/>
      <c r="F11" s="79"/>
      <c r="G11" s="54">
        <f t="shared" si="0"/>
        <v>0</v>
      </c>
      <c r="H11" s="266"/>
      <c r="I11" s="80"/>
      <c r="J11" s="81"/>
      <c r="K11" s="31" t="s">
        <v>160</v>
      </c>
    </row>
    <row r="12" spans="1:19" x14ac:dyDescent="0.15">
      <c r="A12" s="320"/>
      <c r="B12" s="38" t="s">
        <v>259</v>
      </c>
      <c r="C12" s="69" t="s">
        <v>15</v>
      </c>
      <c r="D12" s="78"/>
      <c r="E12" s="37"/>
      <c r="F12" s="79"/>
      <c r="G12" s="54">
        <f t="shared" si="0"/>
        <v>0</v>
      </c>
      <c r="H12" s="266"/>
      <c r="I12" s="80"/>
      <c r="J12" s="81"/>
      <c r="K12" s="31" t="s">
        <v>160</v>
      </c>
    </row>
    <row r="13" spans="1:19" x14ac:dyDescent="0.15">
      <c r="A13" s="306" t="s">
        <v>88</v>
      </c>
      <c r="B13" s="38"/>
      <c r="C13" s="69" t="s">
        <v>80</v>
      </c>
      <c r="D13" s="78"/>
      <c r="E13" s="37"/>
      <c r="F13" s="79"/>
      <c r="G13" s="49"/>
      <c r="H13" s="266"/>
      <c r="I13" s="80"/>
      <c r="J13" s="81"/>
      <c r="K13" s="31" t="s">
        <v>160</v>
      </c>
      <c r="S13" s="85"/>
    </row>
    <row r="14" spans="1:19" x14ac:dyDescent="0.15">
      <c r="A14" s="314"/>
      <c r="B14" s="37"/>
      <c r="C14" s="69" t="s">
        <v>80</v>
      </c>
      <c r="D14" s="78"/>
      <c r="E14" s="37"/>
      <c r="F14" s="79"/>
      <c r="G14" s="49"/>
      <c r="H14" s="266"/>
      <c r="I14" s="80"/>
      <c r="J14" s="81"/>
      <c r="K14" s="31" t="s">
        <v>160</v>
      </c>
    </row>
    <row r="15" spans="1:19" x14ac:dyDescent="0.15">
      <c r="A15" s="314"/>
      <c r="B15" s="37"/>
      <c r="C15" s="69" t="s">
        <v>80</v>
      </c>
      <c r="D15" s="78"/>
      <c r="E15" s="37"/>
      <c r="F15" s="79"/>
      <c r="G15" s="49"/>
      <c r="H15" s="266"/>
      <c r="I15" s="80"/>
      <c r="J15" s="81"/>
      <c r="K15" s="31" t="s">
        <v>160</v>
      </c>
      <c r="M15" s="83"/>
      <c r="N15" s="83"/>
      <c r="O15" s="83"/>
      <c r="P15" s="83"/>
      <c r="Q15" s="85"/>
    </row>
    <row r="16" spans="1:19" x14ac:dyDescent="0.15">
      <c r="A16" s="307"/>
      <c r="B16" s="37"/>
      <c r="C16" s="69" t="s">
        <v>80</v>
      </c>
      <c r="D16" s="78"/>
      <c r="E16" s="37"/>
      <c r="F16" s="79"/>
      <c r="G16" s="49"/>
      <c r="H16" s="266"/>
      <c r="I16" s="80"/>
      <c r="J16" s="81"/>
      <c r="K16" s="31" t="s">
        <v>160</v>
      </c>
    </row>
    <row r="17" spans="1:20" x14ac:dyDescent="0.15">
      <c r="A17" s="84" t="s">
        <v>93</v>
      </c>
      <c r="B17" s="37"/>
      <c r="C17" s="69" t="s">
        <v>81</v>
      </c>
      <c r="D17" s="78"/>
      <c r="E17" s="37"/>
      <c r="F17" s="79"/>
      <c r="G17" s="49"/>
      <c r="H17" s="170"/>
      <c r="I17" s="80"/>
      <c r="J17" s="81"/>
      <c r="K17" s="31" t="s">
        <v>160</v>
      </c>
    </row>
    <row r="18" spans="1:20" x14ac:dyDescent="0.15">
      <c r="A18" s="56" t="s">
        <v>44</v>
      </c>
      <c r="B18" s="37"/>
      <c r="C18" s="69" t="s">
        <v>80</v>
      </c>
      <c r="D18" s="78"/>
      <c r="E18" s="37"/>
      <c r="F18" s="79"/>
      <c r="G18" s="49"/>
      <c r="H18" s="170"/>
      <c r="I18" s="80"/>
      <c r="J18" s="81"/>
      <c r="K18" s="31" t="s">
        <v>160</v>
      </c>
      <c r="Q18" s="53"/>
      <c r="R18" s="180"/>
      <c r="S18" s="182"/>
    </row>
    <row r="19" spans="1:20" x14ac:dyDescent="0.15">
      <c r="A19" s="56" t="s">
        <v>45</v>
      </c>
      <c r="B19" s="37"/>
      <c r="C19" s="69" t="s">
        <v>80</v>
      </c>
      <c r="D19" s="78"/>
      <c r="E19" s="37"/>
      <c r="F19" s="79"/>
      <c r="G19" s="49"/>
      <c r="H19" s="170"/>
      <c r="I19" s="80"/>
      <c r="J19" s="81"/>
      <c r="K19" s="31" t="s">
        <v>160</v>
      </c>
      <c r="L19" s="85"/>
      <c r="M19" s="86"/>
      <c r="N19" s="86"/>
      <c r="O19" s="86"/>
      <c r="P19" s="86"/>
      <c r="Q19" s="53"/>
      <c r="R19" s="53"/>
    </row>
    <row r="20" spans="1:20" x14ac:dyDescent="0.2">
      <c r="A20" s="56" t="s">
        <v>129</v>
      </c>
      <c r="B20" s="37"/>
      <c r="C20" s="37"/>
      <c r="D20" s="78"/>
      <c r="E20" s="79"/>
      <c r="F20" s="79"/>
      <c r="G20" s="87">
        <f>SUM(G4:G19)</f>
        <v>300000</v>
      </c>
      <c r="H20" s="37"/>
      <c r="I20" s="87"/>
      <c r="J20" s="87"/>
      <c r="K20" s="31" t="s">
        <v>160</v>
      </c>
      <c r="Q20" s="53"/>
      <c r="R20" s="53"/>
    </row>
    <row r="21" spans="1:20" x14ac:dyDescent="0.2">
      <c r="A21" s="56"/>
      <c r="B21" s="47" t="s">
        <v>355</v>
      </c>
      <c r="C21" s="166" t="s">
        <v>4</v>
      </c>
      <c r="D21" s="166" t="s">
        <v>266</v>
      </c>
      <c r="E21" s="166" t="s">
        <v>261</v>
      </c>
      <c r="F21" s="166" t="s">
        <v>47</v>
      </c>
      <c r="G21" s="166" t="s">
        <v>48</v>
      </c>
      <c r="H21" s="166" t="s">
        <v>49</v>
      </c>
      <c r="I21" s="167" t="s">
        <v>14</v>
      </c>
      <c r="J21" s="166" t="s">
        <v>284</v>
      </c>
      <c r="K21" s="166" t="s">
        <v>354</v>
      </c>
      <c r="L21" s="167" t="s">
        <v>265</v>
      </c>
      <c r="M21" s="166" t="str">
        <f>YEAR(经营计划!$D$3)&amp;"年利息负担"</f>
        <v>2017年利息负担</v>
      </c>
      <c r="N21" s="268" t="str">
        <f>YEAR(经营计划!$F$3)&amp;"年利息负担"</f>
        <v>2018年利息负担</v>
      </c>
      <c r="O21" s="268" t="str">
        <f>YEAR(经营计划!$F$3)+1&amp;"年利息负担"</f>
        <v>2019年利息负担</v>
      </c>
      <c r="P21" s="185" t="s">
        <v>356</v>
      </c>
      <c r="Q21" s="174" t="s">
        <v>344</v>
      </c>
      <c r="R21" s="168"/>
    </row>
    <row r="22" spans="1:20" x14ac:dyDescent="0.2">
      <c r="A22" s="320" t="s">
        <v>282</v>
      </c>
      <c r="B22" s="37" t="s">
        <v>95</v>
      </c>
      <c r="C22" s="49"/>
      <c r="D22" s="60">
        <v>0.08</v>
      </c>
      <c r="E22" s="37">
        <v>12</v>
      </c>
      <c r="F22" s="88">
        <v>42521</v>
      </c>
      <c r="G22" s="89">
        <f>EDATE(F22,E22)</f>
        <v>42886</v>
      </c>
      <c r="H22" s="90" t="s">
        <v>263</v>
      </c>
      <c r="I22" s="91" t="s">
        <v>368</v>
      </c>
      <c r="J22" s="54">
        <f>C22*D22/12*E22</f>
        <v>0</v>
      </c>
      <c r="K22" s="54">
        <f>IF(I22="利随本清","0",IF(I22="按月付息",J22/E22,IF(I22="按季付息",J22/E22*3)))*1</f>
        <v>0</v>
      </c>
      <c r="L22" s="54">
        <f>IF(I22="利随本清",C22+J22,K22+C22)*1</f>
        <v>0</v>
      </c>
      <c r="M22" s="83">
        <f>J22/E22*5</f>
        <v>0</v>
      </c>
      <c r="N22" s="83"/>
      <c r="O22" s="83"/>
      <c r="P22" s="264" t="s">
        <v>357</v>
      </c>
      <c r="Q22" s="37" t="s">
        <v>267</v>
      </c>
      <c r="R22" s="179"/>
      <c r="S22" s="32"/>
    </row>
    <row r="23" spans="1:20" ht="15" customHeight="1" x14ac:dyDescent="0.2">
      <c r="A23" s="320"/>
      <c r="B23" s="37" t="s">
        <v>303</v>
      </c>
      <c r="C23" s="49"/>
      <c r="D23" s="60">
        <v>0.08</v>
      </c>
      <c r="E23" s="37">
        <v>12</v>
      </c>
      <c r="F23" s="88">
        <v>42457</v>
      </c>
      <c r="G23" s="89">
        <f t="shared" ref="G23:G25" si="2">EDATE(F23,E23)</f>
        <v>42822</v>
      </c>
      <c r="H23" s="90" t="s">
        <v>263</v>
      </c>
      <c r="I23" s="91" t="s">
        <v>368</v>
      </c>
      <c r="J23" s="54">
        <f t="shared" ref="J23:J25" si="3">C23*D23/12*E23</f>
        <v>0</v>
      </c>
      <c r="K23" s="54">
        <f t="shared" ref="K23:K25" si="4">IF(I23="利随本清","0",IF(I23="按月付息",J23/E23,IF(I23="按季付息",J23/E23*3)))*1</f>
        <v>0</v>
      </c>
      <c r="L23" s="54">
        <f t="shared" ref="L23:L25" si="5">IF(I23="利随本清",C23+J23,K23+C23)*1</f>
        <v>0</v>
      </c>
      <c r="M23" s="83">
        <f>J23/E23*3</f>
        <v>0</v>
      </c>
      <c r="N23" s="83"/>
      <c r="O23" s="83"/>
      <c r="P23" s="264" t="s">
        <v>357</v>
      </c>
      <c r="Q23" s="37"/>
      <c r="R23" s="179"/>
      <c r="S23" s="182"/>
    </row>
    <row r="24" spans="1:20" ht="13.5" customHeight="1" x14ac:dyDescent="0.2">
      <c r="A24" s="306" t="s">
        <v>283</v>
      </c>
      <c r="B24" s="37" t="s">
        <v>295</v>
      </c>
      <c r="C24" s="49"/>
      <c r="D24" s="60">
        <v>0.08</v>
      </c>
      <c r="E24" s="37">
        <v>12</v>
      </c>
      <c r="F24" s="88">
        <v>43219</v>
      </c>
      <c r="G24" s="89">
        <f t="shared" si="2"/>
        <v>43584</v>
      </c>
      <c r="H24" s="90" t="s">
        <v>264</v>
      </c>
      <c r="I24" s="91" t="s">
        <v>395</v>
      </c>
      <c r="J24" s="54">
        <f t="shared" si="3"/>
        <v>0</v>
      </c>
      <c r="K24" s="54">
        <f t="shared" si="4"/>
        <v>0</v>
      </c>
      <c r="L24" s="54">
        <f t="shared" si="5"/>
        <v>0</v>
      </c>
      <c r="M24" s="83">
        <v>0</v>
      </c>
      <c r="N24" s="83"/>
      <c r="O24" s="83"/>
      <c r="P24" s="264" t="s">
        <v>357</v>
      </c>
      <c r="Q24" s="37"/>
      <c r="R24" s="179"/>
    </row>
    <row r="25" spans="1:20" x14ac:dyDescent="0.2">
      <c r="A25" s="314"/>
      <c r="B25" s="43" t="s">
        <v>96</v>
      </c>
      <c r="C25" s="92"/>
      <c r="D25" s="93">
        <v>0.12</v>
      </c>
      <c r="E25" s="43">
        <v>12</v>
      </c>
      <c r="F25" s="88">
        <v>43252</v>
      </c>
      <c r="G25" s="89">
        <f t="shared" si="2"/>
        <v>43617</v>
      </c>
      <c r="H25" s="94" t="s">
        <v>264</v>
      </c>
      <c r="I25" s="95" t="s">
        <v>368</v>
      </c>
      <c r="J25" s="54">
        <f t="shared" si="3"/>
        <v>0</v>
      </c>
      <c r="K25" s="54">
        <f t="shared" si="4"/>
        <v>0</v>
      </c>
      <c r="L25" s="54">
        <f t="shared" si="5"/>
        <v>0</v>
      </c>
      <c r="M25" s="83">
        <f>J25/E25*12</f>
        <v>0</v>
      </c>
      <c r="N25" s="83"/>
      <c r="O25" s="83"/>
      <c r="P25" s="264" t="s">
        <v>358</v>
      </c>
      <c r="Q25" s="37" t="s">
        <v>268</v>
      </c>
      <c r="R25" s="179"/>
    </row>
    <row r="26" spans="1:20" x14ac:dyDescent="0.2">
      <c r="A26" s="56" t="s">
        <v>86</v>
      </c>
      <c r="B26" s="37"/>
      <c r="C26" s="49"/>
      <c r="D26" s="49"/>
      <c r="E26" s="54">
        <f>SUM(E22:E25)</f>
        <v>48</v>
      </c>
      <c r="F26" s="38"/>
      <c r="G26" s="37"/>
      <c r="H26" s="37"/>
      <c r="I26" s="37"/>
      <c r="J26" s="54">
        <f t="shared" ref="J26:O26" si="6">SUM(J22:J25)</f>
        <v>0</v>
      </c>
      <c r="K26" s="54">
        <f t="shared" si="6"/>
        <v>0</v>
      </c>
      <c r="L26" s="54">
        <f t="shared" si="6"/>
        <v>0</v>
      </c>
      <c r="M26" s="54">
        <f t="shared" si="6"/>
        <v>0</v>
      </c>
      <c r="N26" s="54">
        <f t="shared" si="6"/>
        <v>0</v>
      </c>
      <c r="O26" s="54">
        <f t="shared" si="6"/>
        <v>0</v>
      </c>
      <c r="P26" s="54"/>
      <c r="Q26" s="54"/>
      <c r="R26" s="53"/>
    </row>
    <row r="27" spans="1:20" x14ac:dyDescent="0.2">
      <c r="A27" s="96"/>
      <c r="B27" s="47"/>
      <c r="C27" s="268" t="str">
        <f>YEAR(经营计划!$D$3)&amp;"年数量"</f>
        <v>2017年数量</v>
      </c>
      <c r="D27" s="268" t="str">
        <f>YEAR(经营计划!$D$3)&amp;"年月总额"</f>
        <v>2017年月总额</v>
      </c>
      <c r="E27" s="268" t="str">
        <f>YEAR(经营计划!$D$3)&amp;"年度总额"</f>
        <v>2017年度总额</v>
      </c>
      <c r="F27" s="268" t="str">
        <f>YEAR(经营计划!$D$3)&amp;"年支付时间"</f>
        <v>2017年支付时间</v>
      </c>
      <c r="G27" s="268" t="str">
        <f>YEAR(经营计划!$F$3)&amp;"年数量"</f>
        <v>2018年数量</v>
      </c>
      <c r="H27" s="268" t="str">
        <f>YEAR(经营计划!$F$3)&amp;"年月总额"</f>
        <v>2018年月总额</v>
      </c>
      <c r="I27" s="268" t="str">
        <f>YEAR(经营计划!$F$3)&amp;"年度总额"</f>
        <v>2018年度总额</v>
      </c>
      <c r="J27" s="268" t="str">
        <f>YEAR(经营计划!$F$3)&amp;"年支付时间"</f>
        <v>2018年支付时间</v>
      </c>
      <c r="K27" s="51"/>
      <c r="Q27" s="53"/>
      <c r="R27" s="53"/>
    </row>
    <row r="28" spans="1:20" x14ac:dyDescent="0.2">
      <c r="A28" s="278" t="s">
        <v>51</v>
      </c>
      <c r="B28" s="37" t="s">
        <v>50</v>
      </c>
      <c r="C28" s="37"/>
      <c r="D28" s="98"/>
      <c r="E28" s="54">
        <f>D28*12</f>
        <v>0</v>
      </c>
      <c r="F28" s="65" t="s">
        <v>289</v>
      </c>
      <c r="G28" s="37"/>
      <c r="H28" s="98"/>
      <c r="I28" s="54">
        <f>H28*12</f>
        <v>0</v>
      </c>
      <c r="J28" s="65" t="s">
        <v>289</v>
      </c>
      <c r="K28" s="82"/>
      <c r="L28" s="53"/>
      <c r="M28" s="53"/>
      <c r="N28" s="53"/>
      <c r="O28" s="53"/>
      <c r="P28" s="53"/>
      <c r="Q28" s="53"/>
      <c r="R28" s="53"/>
    </row>
    <row r="29" spans="1:20" x14ac:dyDescent="0.2">
      <c r="A29" s="278" t="s">
        <v>87</v>
      </c>
      <c r="B29" s="37"/>
      <c r="C29" s="37"/>
      <c r="D29" s="98"/>
      <c r="E29" s="54">
        <f t="shared" ref="E29:E30" si="7">D29*C29*12</f>
        <v>0</v>
      </c>
      <c r="F29" s="65" t="s">
        <v>289</v>
      </c>
      <c r="G29" s="37"/>
      <c r="H29" s="98"/>
      <c r="I29" s="54">
        <f t="shared" ref="I29:I30" si="8">H29*G29*12</f>
        <v>0</v>
      </c>
      <c r="J29" s="65" t="s">
        <v>289</v>
      </c>
      <c r="K29" s="82"/>
      <c r="L29" s="189"/>
      <c r="M29" s="201"/>
      <c r="N29" s="201"/>
      <c r="O29" s="201"/>
      <c r="P29" s="189"/>
      <c r="Q29" s="53"/>
      <c r="R29" s="190"/>
      <c r="T29" s="85"/>
    </row>
    <row r="30" spans="1:20" x14ac:dyDescent="0.2">
      <c r="A30" s="56" t="s">
        <v>52</v>
      </c>
      <c r="B30" s="37"/>
      <c r="C30" s="37"/>
      <c r="D30" s="98"/>
      <c r="E30" s="54">
        <f t="shared" si="7"/>
        <v>0</v>
      </c>
      <c r="F30" s="65" t="s">
        <v>416</v>
      </c>
      <c r="G30" s="37"/>
      <c r="H30" s="98"/>
      <c r="I30" s="54">
        <f t="shared" si="8"/>
        <v>0</v>
      </c>
      <c r="J30" s="65" t="s">
        <v>403</v>
      </c>
      <c r="K30" s="82"/>
      <c r="L30" s="53"/>
      <c r="M30" s="53"/>
      <c r="N30" s="53"/>
      <c r="O30" s="53"/>
      <c r="P30" s="53"/>
      <c r="Q30" s="53"/>
      <c r="R30" s="53"/>
      <c r="T30" s="85"/>
    </row>
    <row r="31" spans="1:20" x14ac:dyDescent="0.15">
      <c r="A31" s="56" t="s">
        <v>86</v>
      </c>
      <c r="B31" s="37"/>
      <c r="C31" s="37"/>
      <c r="D31" s="98"/>
      <c r="E31" s="54">
        <f>SUMIFS(D28:D30,F28:F30,"每月")*12+SUMIF(F28:F30,"&lt;&gt;每月",E28:E30)</f>
        <v>0</v>
      </c>
      <c r="F31" s="37"/>
      <c r="G31" s="54">
        <f>SUM(G28:G30)</f>
        <v>0</v>
      </c>
      <c r="H31" s="37"/>
      <c r="I31" s="54">
        <f>SUMIFS(H28:H30,J28:J30,"每月")*12+SUMIF(J28:J30,"&lt;&gt;每月",I25:I30)</f>
        <v>0</v>
      </c>
      <c r="J31" s="37"/>
      <c r="K31" s="82"/>
      <c r="L31" s="191"/>
      <c r="M31" s="180"/>
      <c r="N31" s="180"/>
      <c r="O31" s="180"/>
      <c r="P31" s="53"/>
      <c r="Q31" s="180"/>
      <c r="R31" s="53"/>
      <c r="T31" s="85"/>
    </row>
    <row r="32" spans="1:20" x14ac:dyDescent="0.2">
      <c r="A32" s="320" t="s">
        <v>89</v>
      </c>
      <c r="B32" s="47"/>
      <c r="C32" s="268" t="str">
        <f>YEAR(经营计划!$D$3)&amp;"年度总额"</f>
        <v>2017年度总额</v>
      </c>
      <c r="D32" s="268" t="str">
        <f>YEAR(经营计划!$D$3)&amp;"年支付时间"</f>
        <v>2017年支付时间</v>
      </c>
      <c r="E32" s="268" t="str">
        <f>YEAR(经营计划!$F$3)&amp;"年度总额"</f>
        <v>2018年度总额</v>
      </c>
      <c r="F32" s="268" t="str">
        <f>YEAR(经营计划!$F$3)&amp;"年支付时间"</f>
        <v>2018年支付时间</v>
      </c>
      <c r="G32" s="47"/>
      <c r="H32" s="47"/>
      <c r="I32" s="97"/>
      <c r="J32" s="97"/>
      <c r="K32" s="188"/>
      <c r="L32" s="53"/>
      <c r="M32" s="190"/>
      <c r="N32" s="190"/>
      <c r="O32" s="190"/>
      <c r="P32" s="190"/>
      <c r="Q32" s="53"/>
      <c r="R32" s="53"/>
      <c r="T32" s="85"/>
    </row>
    <row r="33" spans="1:20" x14ac:dyDescent="0.2">
      <c r="A33" s="320"/>
      <c r="B33" s="37" t="s">
        <v>90</v>
      </c>
      <c r="C33" s="49"/>
      <c r="D33" s="65" t="s">
        <v>289</v>
      </c>
      <c r="E33" s="49"/>
      <c r="F33" s="65" t="s">
        <v>289</v>
      </c>
      <c r="G33" s="37"/>
      <c r="H33" s="37"/>
      <c r="I33" s="82"/>
      <c r="J33" s="82"/>
      <c r="K33" s="37"/>
      <c r="T33" s="85"/>
    </row>
    <row r="34" spans="1:20" x14ac:dyDescent="0.2">
      <c r="A34" s="320"/>
      <c r="B34" s="37" t="s">
        <v>91</v>
      </c>
      <c r="C34" s="49"/>
      <c r="D34" s="65" t="s">
        <v>187</v>
      </c>
      <c r="E34" s="49"/>
      <c r="F34" s="65" t="s">
        <v>187</v>
      </c>
      <c r="G34" s="37"/>
      <c r="H34" s="37"/>
      <c r="I34" s="82"/>
      <c r="J34" s="82"/>
      <c r="K34" s="37"/>
      <c r="T34" s="85"/>
    </row>
    <row r="35" spans="1:20" x14ac:dyDescent="0.2">
      <c r="A35" s="56" t="s">
        <v>86</v>
      </c>
      <c r="B35" s="37"/>
      <c r="C35" s="54">
        <f>SUM(C33:C34)</f>
        <v>0</v>
      </c>
      <c r="D35" s="38"/>
      <c r="E35" s="54">
        <f>SUM(E33:E34)</f>
        <v>0</v>
      </c>
      <c r="F35" s="37"/>
      <c r="G35" s="37"/>
      <c r="H35" s="37"/>
      <c r="I35" s="37"/>
      <c r="J35" s="37"/>
      <c r="K35" s="37"/>
      <c r="T35" s="85"/>
    </row>
    <row r="36" spans="1:20" x14ac:dyDescent="0.2">
      <c r="A36" s="100"/>
      <c r="B36" s="53"/>
      <c r="C36" s="53"/>
      <c r="D36" s="68"/>
      <c r="E36" s="53"/>
      <c r="T36" s="85"/>
    </row>
    <row r="37" spans="1:20" x14ac:dyDescent="0.2">
      <c r="A37" s="53"/>
      <c r="B37" s="53"/>
      <c r="C37" s="53"/>
      <c r="D37" s="68"/>
      <c r="E37" s="53"/>
      <c r="T37" s="85"/>
    </row>
    <row r="38" spans="1:20" x14ac:dyDescent="0.2">
      <c r="A38" s="58"/>
      <c r="B38" s="58"/>
      <c r="C38" s="58"/>
      <c r="D38" s="58"/>
      <c r="E38" s="53"/>
    </row>
    <row r="39" spans="1:20" x14ac:dyDescent="0.2">
      <c r="A39" s="53"/>
      <c r="B39" s="53"/>
      <c r="C39" s="53"/>
      <c r="D39" s="68"/>
      <c r="E39" s="53"/>
    </row>
    <row r="40" spans="1:20" x14ac:dyDescent="0.2">
      <c r="A40" s="53"/>
      <c r="B40" s="53"/>
      <c r="C40" s="53"/>
      <c r="D40" s="68"/>
      <c r="E40" s="53"/>
    </row>
    <row r="41" spans="1:20" x14ac:dyDescent="0.2">
      <c r="A41" s="53"/>
      <c r="B41" s="53"/>
      <c r="C41" s="53"/>
      <c r="D41" s="68"/>
      <c r="E41" s="53"/>
    </row>
    <row r="42" spans="1:20" x14ac:dyDescent="0.2">
      <c r="A42" s="53"/>
      <c r="B42" s="53"/>
      <c r="C42" s="53"/>
      <c r="D42" s="68"/>
      <c r="E42" s="53"/>
    </row>
    <row r="43" spans="1:20" x14ac:dyDescent="0.2">
      <c r="A43" s="100"/>
      <c r="B43" s="53"/>
      <c r="C43" s="53"/>
      <c r="D43" s="68"/>
      <c r="E43" s="53"/>
    </row>
  </sheetData>
  <dataConsolidate/>
  <mergeCells count="6">
    <mergeCell ref="A4:A9"/>
    <mergeCell ref="A10:A12"/>
    <mergeCell ref="A13:A16"/>
    <mergeCell ref="A24:A25"/>
    <mergeCell ref="A32:A34"/>
    <mergeCell ref="A22:A23"/>
  </mergeCells>
  <phoneticPr fontId="2" type="noConversion"/>
  <dataValidations count="9">
    <dataValidation type="list" allowBlank="1" showInputMessage="1" showErrorMessage="1" sqref="C4:C19">
      <formula1>"多用途,玉米,水稻,大豆,高粱,杂粮"</formula1>
    </dataValidation>
    <dataValidation type="list" allowBlank="1" showInputMessage="1" showErrorMessage="1" sqref="K4:K20">
      <formula1>"是,否"</formula1>
    </dataValidation>
    <dataValidation type="list" allowBlank="1" showInputMessage="1" showErrorMessage="1" sqref="B24:B25">
      <formula1>"网贷,小贷,民间借贷,其他"</formula1>
    </dataValidation>
    <dataValidation type="list" allowBlank="1" showInputMessage="1" showErrorMessage="1" sqref="H22:H25">
      <formula1>"抵押,质押,保证,信用"</formula1>
    </dataValidation>
    <dataValidation type="list" allowBlank="1" showInputMessage="1" showErrorMessage="1" sqref="I22:I25">
      <formula1>"利随本清,按季付息,按月付息"</formula1>
    </dataValidation>
    <dataValidation type="list" allowBlank="1" showInputMessage="1" showErrorMessage="1" sqref="B22:B23">
      <formula1>"流动资金,固定资产建设,项目贷款,农机贷款,其他"</formula1>
    </dataValidation>
    <dataValidation type="list" allowBlank="1" showInputMessage="1" showErrorMessage="1" sqref="D33:D34 F33:F34">
      <formula1>"一月,二月,三月,四月,五月,六月,七月,八月,九月,十月,十一月,十二月,每月"</formula1>
    </dataValidation>
    <dataValidation type="list" allowBlank="1" showInputMessage="1" showErrorMessage="1" sqref="P22:P25">
      <formula1>"正常,已结清,已逾期"</formula1>
    </dataValidation>
    <dataValidation type="list" allowBlank="1" showInputMessage="1" showErrorMessage="1" sqref="F28:F30 J28:J30">
      <formula1>"每月,1月,2月,3月,4月,5月,6月,7月,8月,9月,10月,11月,12月"</formula1>
    </dataValidation>
  </dataValidations>
  <pageMargins left="0.7" right="0.7" top="0.75" bottom="0.75" header="0.3" footer="0.3"/>
  <ignoredErrors>
    <ignoredError sqref="M23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3"/>
  <sheetViews>
    <sheetView workbookViewId="0">
      <selection activeCell="D135" sqref="D135"/>
    </sheetView>
  </sheetViews>
  <sheetFormatPr baseColWidth="10" defaultColWidth="8.83203125" defaultRowHeight="13" x14ac:dyDescent="0.2"/>
  <cols>
    <col min="1" max="1" width="18.5" style="33" customWidth="1"/>
    <col min="2" max="2" width="17.1640625" style="74" bestFit="1" customWidth="1"/>
    <col min="3" max="3" width="17.1640625" style="33" customWidth="1"/>
    <col min="4" max="4" width="19.6640625" style="33" bestFit="1" customWidth="1"/>
    <col min="5" max="5" width="16.83203125" style="74" customWidth="1"/>
    <col min="6" max="6" width="17.6640625" style="33" bestFit="1" customWidth="1"/>
    <col min="7" max="7" width="16" style="33" customWidth="1"/>
    <col min="8" max="8" width="18.33203125" style="33" bestFit="1" customWidth="1"/>
    <col min="9" max="10" width="14.1640625" style="33" bestFit="1" customWidth="1"/>
    <col min="11" max="11" width="12.1640625" style="33" bestFit="1" customWidth="1"/>
    <col min="12" max="12" width="13.1640625" style="33" customWidth="1"/>
    <col min="13" max="13" width="9" style="33" customWidth="1"/>
    <col min="14" max="14" width="10.5" style="33" bestFit="1" customWidth="1"/>
    <col min="15" max="16384" width="8.83203125" style="33"/>
  </cols>
  <sheetData>
    <row r="1" spans="1:16" ht="30.75" customHeight="1" x14ac:dyDescent="0.2">
      <c r="A1" s="32" t="s">
        <v>273</v>
      </c>
      <c r="M1" s="66"/>
      <c r="N1" s="66"/>
      <c r="O1" s="66"/>
      <c r="P1" s="66"/>
    </row>
    <row r="2" spans="1:16" ht="20.25" customHeight="1" x14ac:dyDescent="0.2">
      <c r="A2" s="32"/>
      <c r="G2" s="53"/>
      <c r="H2" s="53"/>
      <c r="M2" s="66"/>
      <c r="N2" s="66"/>
      <c r="O2" s="66"/>
      <c r="P2" s="66"/>
    </row>
    <row r="3" spans="1:16" x14ac:dyDescent="0.15">
      <c r="A3" s="113"/>
      <c r="B3" s="114"/>
      <c r="C3" s="115"/>
      <c r="D3" s="116"/>
      <c r="E3" s="115"/>
      <c r="F3" s="115"/>
      <c r="G3" s="114"/>
      <c r="H3" s="103"/>
      <c r="I3" s="103"/>
      <c r="J3" s="103"/>
      <c r="K3" s="103"/>
      <c r="L3" s="103"/>
      <c r="M3" s="105"/>
      <c r="N3" s="105"/>
      <c r="O3" s="105"/>
      <c r="P3" s="53"/>
    </row>
    <row r="4" spans="1:16" ht="16.5" customHeight="1" x14ac:dyDescent="0.2">
      <c r="A4" s="34" t="s">
        <v>190</v>
      </c>
      <c r="B4" s="114"/>
      <c r="C4" s="103"/>
      <c r="D4" s="195"/>
      <c r="E4" s="114"/>
      <c r="F4" s="103"/>
      <c r="G4" s="103"/>
      <c r="H4" s="103"/>
      <c r="I4" s="102"/>
      <c r="J4" s="102"/>
      <c r="K4" s="102"/>
      <c r="M4" s="53"/>
      <c r="N4" s="53"/>
      <c r="O4" s="53"/>
      <c r="P4" s="53"/>
    </row>
    <row r="5" spans="1:16" ht="15.75" customHeight="1" x14ac:dyDescent="0.15">
      <c r="A5" s="220">
        <f>YEAR(经营计划!$D$3)</f>
        <v>2017</v>
      </c>
      <c r="B5" s="47" t="s">
        <v>200</v>
      </c>
      <c r="C5" s="47" t="s">
        <v>179</v>
      </c>
      <c r="D5" s="47" t="s">
        <v>191</v>
      </c>
      <c r="E5" s="47" t="s">
        <v>193</v>
      </c>
      <c r="F5" s="47" t="s">
        <v>194</v>
      </c>
      <c r="G5" s="205" t="s">
        <v>195</v>
      </c>
      <c r="H5" s="210"/>
      <c r="I5" s="210"/>
      <c r="J5" s="210"/>
      <c r="K5" s="210"/>
      <c r="L5" s="210"/>
      <c r="M5" s="105"/>
      <c r="N5" s="5"/>
      <c r="O5" s="105"/>
      <c r="P5" s="53"/>
    </row>
    <row r="6" spans="1:16" ht="17.25" customHeight="1" x14ac:dyDescent="0.15">
      <c r="A6" s="47" t="s">
        <v>197</v>
      </c>
      <c r="B6" s="117">
        <v>110</v>
      </c>
      <c r="C6" s="117">
        <v>1600</v>
      </c>
      <c r="D6" s="118">
        <f>C6*15/2000</f>
        <v>12</v>
      </c>
      <c r="E6" s="118">
        <f>C6*B6/2000</f>
        <v>88</v>
      </c>
      <c r="F6" s="228" t="s">
        <v>196</v>
      </c>
      <c r="G6" s="229" t="s">
        <v>181</v>
      </c>
      <c r="H6" s="218"/>
      <c r="I6" s="219"/>
      <c r="J6" s="114"/>
      <c r="K6" s="207"/>
      <c r="L6" s="53"/>
      <c r="M6" s="5"/>
      <c r="N6" s="5"/>
      <c r="O6" s="5"/>
      <c r="P6" s="53"/>
    </row>
    <row r="7" spans="1:16" ht="17.25" customHeight="1" x14ac:dyDescent="0.15">
      <c r="A7" s="47" t="s">
        <v>198</v>
      </c>
      <c r="B7" s="117"/>
      <c r="C7" s="117"/>
      <c r="D7" s="118">
        <f t="shared" ref="D7:D8" si="0">C7*15/2000</f>
        <v>0</v>
      </c>
      <c r="E7" s="118">
        <f>C7*B7/2000</f>
        <v>0</v>
      </c>
      <c r="F7" s="228" t="s">
        <v>196</v>
      </c>
      <c r="G7" s="229" t="s">
        <v>181</v>
      </c>
      <c r="H7" s="218"/>
      <c r="I7" s="219"/>
      <c r="J7" s="114"/>
      <c r="K7" s="207"/>
      <c r="L7" s="53"/>
      <c r="M7" s="5"/>
      <c r="N7" s="5"/>
      <c r="O7" s="5"/>
      <c r="P7" s="53"/>
    </row>
    <row r="8" spans="1:16" ht="17.25" customHeight="1" x14ac:dyDescent="0.15">
      <c r="A8" s="47" t="s">
        <v>199</v>
      </c>
      <c r="B8" s="117"/>
      <c r="C8" s="117"/>
      <c r="D8" s="118">
        <f t="shared" si="0"/>
        <v>0</v>
      </c>
      <c r="E8" s="118">
        <f>C8*B8/2000</f>
        <v>0</v>
      </c>
      <c r="F8" s="228" t="s">
        <v>196</v>
      </c>
      <c r="G8" s="229" t="s">
        <v>181</v>
      </c>
      <c r="H8" s="218"/>
      <c r="I8" s="219"/>
      <c r="J8" s="114"/>
      <c r="K8" s="207"/>
      <c r="L8" s="53"/>
      <c r="M8" s="5"/>
      <c r="N8" s="5"/>
      <c r="O8" s="5"/>
      <c r="P8" s="53"/>
    </row>
    <row r="9" spans="1:16" ht="17.25" customHeight="1" x14ac:dyDescent="0.15">
      <c r="A9" s="47" t="s">
        <v>242</v>
      </c>
      <c r="B9" s="119">
        <f>SUM(B6:B8)</f>
        <v>110</v>
      </c>
      <c r="C9" s="117"/>
      <c r="D9" s="117"/>
      <c r="E9" s="118">
        <f>SUM(E6:E8)</f>
        <v>88</v>
      </c>
      <c r="F9" s="120"/>
      <c r="G9" s="230"/>
      <c r="H9" s="218"/>
      <c r="I9" s="219"/>
      <c r="J9" s="114"/>
      <c r="K9" s="207"/>
      <c r="L9" s="53"/>
      <c r="M9" s="5"/>
      <c r="N9" s="5"/>
      <c r="O9" s="5"/>
      <c r="P9" s="53"/>
    </row>
    <row r="10" spans="1:16" ht="15.75" customHeight="1" x14ac:dyDescent="0.15">
      <c r="A10" s="220">
        <f>A5+1</f>
        <v>2018</v>
      </c>
      <c r="B10" s="204" t="s">
        <v>200</v>
      </c>
      <c r="C10" s="204" t="s">
        <v>394</v>
      </c>
      <c r="D10" s="204" t="s">
        <v>397</v>
      </c>
      <c r="E10" s="204" t="s">
        <v>398</v>
      </c>
      <c r="F10" s="204" t="s">
        <v>194</v>
      </c>
      <c r="G10" s="205" t="s">
        <v>195</v>
      </c>
      <c r="H10" s="210"/>
      <c r="I10" s="210"/>
      <c r="J10" s="210"/>
      <c r="K10" s="210"/>
      <c r="L10" s="210"/>
      <c r="M10" s="105"/>
      <c r="N10" s="5"/>
      <c r="O10" s="105"/>
      <c r="P10" s="53"/>
    </row>
    <row r="11" spans="1:16" ht="17.25" customHeight="1" x14ac:dyDescent="0.15">
      <c r="A11" s="204" t="s">
        <v>197</v>
      </c>
      <c r="B11" s="117">
        <v>120</v>
      </c>
      <c r="C11" s="117">
        <v>1200</v>
      </c>
      <c r="D11" s="118">
        <f>C11*15/2000</f>
        <v>9</v>
      </c>
      <c r="E11" s="118">
        <f>C11*B11/2000</f>
        <v>72</v>
      </c>
      <c r="F11" s="228" t="s">
        <v>196</v>
      </c>
      <c r="G11" s="229" t="s">
        <v>181</v>
      </c>
      <c r="H11" s="218"/>
      <c r="I11" s="219"/>
      <c r="J11" s="114"/>
      <c r="K11" s="207"/>
      <c r="L11" s="53"/>
      <c r="M11" s="5"/>
      <c r="N11" s="5"/>
      <c r="O11" s="5"/>
      <c r="P11" s="53"/>
    </row>
    <row r="12" spans="1:16" ht="17.25" customHeight="1" x14ac:dyDescent="0.15">
      <c r="A12" s="204" t="s">
        <v>198</v>
      </c>
      <c r="B12" s="117"/>
      <c r="C12" s="117"/>
      <c r="D12" s="118">
        <f t="shared" ref="D12:D13" si="1">C12*15/2000</f>
        <v>0</v>
      </c>
      <c r="E12" s="118">
        <f>C12*B12/2000</f>
        <v>0</v>
      </c>
      <c r="F12" s="228" t="s">
        <v>196</v>
      </c>
      <c r="G12" s="229" t="s">
        <v>181</v>
      </c>
      <c r="H12" s="218"/>
      <c r="I12" s="219"/>
      <c r="J12" s="114"/>
      <c r="K12" s="207"/>
      <c r="L12" s="53"/>
      <c r="M12" s="5"/>
      <c r="N12" s="5"/>
      <c r="O12" s="5"/>
      <c r="P12" s="53"/>
    </row>
    <row r="13" spans="1:16" ht="17.25" customHeight="1" x14ac:dyDescent="0.15">
      <c r="A13" s="204" t="s">
        <v>199</v>
      </c>
      <c r="B13" s="117"/>
      <c r="C13" s="117"/>
      <c r="D13" s="118">
        <f t="shared" si="1"/>
        <v>0</v>
      </c>
      <c r="E13" s="118">
        <f>C13*B13/2000</f>
        <v>0</v>
      </c>
      <c r="F13" s="228" t="s">
        <v>196</v>
      </c>
      <c r="G13" s="229" t="s">
        <v>181</v>
      </c>
      <c r="H13" s="218"/>
      <c r="I13" s="219"/>
      <c r="J13" s="114"/>
      <c r="K13" s="207"/>
      <c r="L13" s="53"/>
      <c r="M13" s="5"/>
      <c r="N13" s="5"/>
      <c r="O13" s="5"/>
      <c r="P13" s="53"/>
    </row>
    <row r="14" spans="1:16" ht="17.25" customHeight="1" x14ac:dyDescent="0.15">
      <c r="A14" s="204" t="s">
        <v>242</v>
      </c>
      <c r="B14" s="119">
        <f>SUM(B11:B13)</f>
        <v>120</v>
      </c>
      <c r="C14" s="117"/>
      <c r="D14" s="117"/>
      <c r="E14" s="118">
        <f>SUM(E11:E13)</f>
        <v>72</v>
      </c>
      <c r="F14" s="120"/>
      <c r="G14" s="230"/>
      <c r="H14" s="218"/>
      <c r="I14" s="219"/>
      <c r="J14" s="114"/>
      <c r="K14" s="207"/>
      <c r="L14" s="53"/>
      <c r="M14" s="5"/>
      <c r="N14" s="5"/>
      <c r="O14" s="5"/>
      <c r="P14" s="53"/>
    </row>
    <row r="15" spans="1:16" x14ac:dyDescent="0.15">
      <c r="A15" s="121"/>
      <c r="B15" s="122"/>
      <c r="C15" s="123"/>
      <c r="D15" s="123"/>
      <c r="E15" s="122"/>
      <c r="F15" s="123"/>
      <c r="G15" s="123"/>
      <c r="H15" s="123"/>
      <c r="I15" s="123"/>
      <c r="J15" s="121"/>
      <c r="K15" s="121"/>
      <c r="M15" s="6"/>
      <c r="N15" s="4"/>
      <c r="O15" s="105"/>
      <c r="P15" s="53"/>
    </row>
    <row r="16" spans="1:16" ht="18.75" customHeight="1" x14ac:dyDescent="0.15">
      <c r="A16" s="124" t="s">
        <v>192</v>
      </c>
      <c r="B16" s="104"/>
      <c r="C16" s="104"/>
      <c r="D16" s="104"/>
      <c r="E16" s="104"/>
      <c r="F16" s="104"/>
      <c r="G16" s="104"/>
      <c r="H16" s="104"/>
      <c r="I16" s="104"/>
      <c r="J16" s="103"/>
      <c r="K16" s="103"/>
      <c r="L16" s="53"/>
      <c r="M16" s="105"/>
      <c r="N16" s="10"/>
      <c r="O16" s="105"/>
      <c r="P16" s="53"/>
    </row>
    <row r="17" spans="1:16" ht="18" customHeight="1" x14ac:dyDescent="0.15">
      <c r="A17" s="220">
        <f>YEAR(经营计划!$D$3)</f>
        <v>2017</v>
      </c>
      <c r="B17" s="203" t="s">
        <v>183</v>
      </c>
      <c r="C17" s="203" t="s">
        <v>201</v>
      </c>
      <c r="D17" s="203" t="s">
        <v>247</v>
      </c>
      <c r="E17" s="203" t="s">
        <v>285</v>
      </c>
      <c r="F17" s="335" t="s">
        <v>75</v>
      </c>
      <c r="G17" s="327"/>
      <c r="H17" s="203" t="s">
        <v>380</v>
      </c>
      <c r="I17" s="203" t="s">
        <v>137</v>
      </c>
      <c r="J17" s="114"/>
      <c r="K17" s="58"/>
      <c r="L17" s="53"/>
      <c r="M17" s="7"/>
      <c r="N17" s="8"/>
      <c r="O17" s="11"/>
      <c r="P17" s="53"/>
    </row>
    <row r="18" spans="1:16" ht="18.75" customHeight="1" x14ac:dyDescent="0.15">
      <c r="A18" s="47" t="s">
        <v>73</v>
      </c>
      <c r="B18" s="27"/>
      <c r="C18" s="71">
        <v>0</v>
      </c>
      <c r="D18" s="30">
        <f>0.5*2000</f>
        <v>1000</v>
      </c>
      <c r="E18" s="112">
        <f>D18*C18</f>
        <v>0</v>
      </c>
      <c r="F18" s="65" t="s">
        <v>378</v>
      </c>
      <c r="G18" s="65" t="s">
        <v>403</v>
      </c>
      <c r="H18" s="125"/>
      <c r="I18" s="29"/>
      <c r="J18" s="114"/>
      <c r="K18" s="334"/>
      <c r="L18" s="53"/>
      <c r="M18" s="105"/>
      <c r="N18" s="105"/>
      <c r="O18" s="11"/>
      <c r="P18" s="53"/>
    </row>
    <row r="19" spans="1:16" ht="17.25" customHeight="1" x14ac:dyDescent="0.15">
      <c r="A19" s="47" t="s">
        <v>74</v>
      </c>
      <c r="B19" s="27" t="s">
        <v>184</v>
      </c>
      <c r="C19" s="71">
        <v>0</v>
      </c>
      <c r="D19" s="30">
        <f>0.58*2000</f>
        <v>1160</v>
      </c>
      <c r="E19" s="112">
        <f t="shared" ref="E19:E22" si="2">D19*C19</f>
        <v>0</v>
      </c>
      <c r="F19" s="65"/>
      <c r="G19" s="65"/>
      <c r="H19" s="71">
        <v>0</v>
      </c>
      <c r="I19" s="112" t="e">
        <f>H19*#REF!</f>
        <v>#REF!</v>
      </c>
      <c r="J19" s="114"/>
      <c r="K19" s="334"/>
      <c r="L19" s="53"/>
      <c r="M19" s="105"/>
      <c r="N19" s="4"/>
      <c r="O19" s="11"/>
      <c r="P19" s="53"/>
    </row>
    <row r="20" spans="1:16" ht="17.25" customHeight="1" x14ac:dyDescent="0.15">
      <c r="A20" s="47"/>
      <c r="B20" s="27" t="s">
        <v>185</v>
      </c>
      <c r="C20" s="71">
        <v>0</v>
      </c>
      <c r="D20" s="30">
        <f>0.55*2000</f>
        <v>1100</v>
      </c>
      <c r="E20" s="112">
        <f t="shared" si="2"/>
        <v>0</v>
      </c>
      <c r="F20" s="65"/>
      <c r="G20" s="65"/>
      <c r="H20" s="71">
        <v>0</v>
      </c>
      <c r="I20" s="112" t="e">
        <f>H20*#REF!</f>
        <v>#REF!</v>
      </c>
      <c r="J20" s="114"/>
      <c r="K20" s="334"/>
      <c r="L20" s="53"/>
      <c r="M20" s="105"/>
      <c r="N20" s="4"/>
      <c r="O20" s="11"/>
      <c r="P20" s="53"/>
    </row>
    <row r="21" spans="1:16" ht="17.25" customHeight="1" x14ac:dyDescent="0.15">
      <c r="A21" s="47"/>
      <c r="B21" s="27" t="s">
        <v>186</v>
      </c>
      <c r="C21" s="71">
        <f>E9</f>
        <v>88</v>
      </c>
      <c r="D21" s="30">
        <v>1080</v>
      </c>
      <c r="E21" s="112">
        <f t="shared" si="2"/>
        <v>95040</v>
      </c>
      <c r="F21" s="65" t="s">
        <v>378</v>
      </c>
      <c r="G21" s="65" t="s">
        <v>379</v>
      </c>
      <c r="H21" s="71">
        <v>0</v>
      </c>
      <c r="I21" s="112" t="e">
        <f>H21*#REF!</f>
        <v>#REF!</v>
      </c>
      <c r="J21" s="114"/>
      <c r="K21" s="334"/>
      <c r="L21" s="53"/>
      <c r="M21" s="6"/>
      <c r="N21" s="12"/>
      <c r="O21" s="105"/>
      <c r="P21" s="53"/>
    </row>
    <row r="22" spans="1:16" ht="17.25" customHeight="1" x14ac:dyDescent="0.15">
      <c r="A22" s="251"/>
      <c r="B22" s="252" t="s">
        <v>396</v>
      </c>
      <c r="C22" s="71">
        <v>0</v>
      </c>
      <c r="D22" s="30">
        <v>1000</v>
      </c>
      <c r="E22" s="112">
        <f t="shared" si="2"/>
        <v>0</v>
      </c>
      <c r="F22" s="65"/>
      <c r="G22" s="65"/>
      <c r="H22" s="71"/>
      <c r="I22" s="112"/>
      <c r="J22" s="114"/>
      <c r="K22" s="253"/>
      <c r="L22" s="53"/>
      <c r="M22" s="6"/>
      <c r="N22" s="12"/>
      <c r="O22" s="105"/>
      <c r="P22" s="53"/>
    </row>
    <row r="23" spans="1:16" ht="14.25" customHeight="1" x14ac:dyDescent="0.15">
      <c r="A23" s="47" t="s">
        <v>242</v>
      </c>
      <c r="B23" s="27"/>
      <c r="C23" s="126">
        <f>SUM(C18:C22)</f>
        <v>88</v>
      </c>
      <c r="D23" s="106"/>
      <c r="E23" s="112">
        <f>SUM(E18:E21)</f>
        <v>95040</v>
      </c>
      <c r="F23" s="27"/>
      <c r="G23" s="196"/>
      <c r="H23" s="112">
        <f>SUM(H18:H21)</f>
        <v>0</v>
      </c>
      <c r="I23" s="112"/>
      <c r="J23" s="114"/>
      <c r="K23" s="127"/>
      <c r="L23" s="53"/>
      <c r="M23" s="7"/>
      <c r="N23" s="8"/>
      <c r="O23" s="11"/>
      <c r="P23" s="53"/>
    </row>
    <row r="24" spans="1:16" ht="18" customHeight="1" x14ac:dyDescent="0.15">
      <c r="A24" s="220">
        <f>A17+1</f>
        <v>2018</v>
      </c>
      <c r="B24" s="203" t="s">
        <v>183</v>
      </c>
      <c r="C24" s="203" t="s">
        <v>399</v>
      </c>
      <c r="D24" s="203" t="s">
        <v>400</v>
      </c>
      <c r="E24" s="203" t="s">
        <v>401</v>
      </c>
      <c r="F24" s="335" t="s">
        <v>406</v>
      </c>
      <c r="G24" s="327"/>
      <c r="H24" s="203" t="s">
        <v>407</v>
      </c>
      <c r="I24" s="203" t="s">
        <v>408</v>
      </c>
      <c r="J24" s="114"/>
      <c r="K24" s="210"/>
      <c r="L24" s="53"/>
      <c r="M24" s="7"/>
      <c r="N24" s="8"/>
      <c r="O24" s="11"/>
      <c r="P24" s="53"/>
    </row>
    <row r="25" spans="1:16" ht="18.75" customHeight="1" x14ac:dyDescent="0.15">
      <c r="A25" s="204" t="s">
        <v>73</v>
      </c>
      <c r="B25" s="211"/>
      <c r="C25" s="71">
        <v>0</v>
      </c>
      <c r="D25" s="112" t="e">
        <f>#REF!</f>
        <v>#REF!</v>
      </c>
      <c r="E25" s="112" t="e">
        <f>D25*C25</f>
        <v>#REF!</v>
      </c>
      <c r="F25" s="65"/>
      <c r="G25" s="65"/>
      <c r="H25" s="125"/>
      <c r="I25" s="29"/>
      <c r="J25" s="114"/>
      <c r="K25" s="334"/>
      <c r="L25" s="53"/>
      <c r="M25" s="105"/>
      <c r="N25" s="105"/>
      <c r="O25" s="11"/>
      <c r="P25" s="53"/>
    </row>
    <row r="26" spans="1:16" ht="17.25" customHeight="1" x14ac:dyDescent="0.15">
      <c r="A26" s="204" t="s">
        <v>74</v>
      </c>
      <c r="B26" s="211" t="s">
        <v>184</v>
      </c>
      <c r="C26" s="71">
        <v>0</v>
      </c>
      <c r="D26" s="112" t="e">
        <f>#REF!</f>
        <v>#REF!</v>
      </c>
      <c r="E26" s="112" t="e">
        <f t="shared" ref="E26:E29" si="3">D26*C26</f>
        <v>#REF!</v>
      </c>
      <c r="F26" s="65"/>
      <c r="G26" s="65"/>
      <c r="H26" s="71">
        <v>0</v>
      </c>
      <c r="I26" s="112" t="e">
        <f>H26*#REF!</f>
        <v>#REF!</v>
      </c>
      <c r="J26" s="114"/>
      <c r="K26" s="334"/>
      <c r="L26" s="53"/>
      <c r="M26" s="105"/>
      <c r="N26" s="4"/>
      <c r="O26" s="11"/>
      <c r="P26" s="53"/>
    </row>
    <row r="27" spans="1:16" ht="17.25" customHeight="1" x14ac:dyDescent="0.15">
      <c r="A27" s="204"/>
      <c r="B27" s="211" t="s">
        <v>185</v>
      </c>
      <c r="C27" s="71">
        <v>0</v>
      </c>
      <c r="D27" s="112" t="e">
        <f>#REF!</f>
        <v>#REF!</v>
      </c>
      <c r="E27" s="112" t="e">
        <f t="shared" si="3"/>
        <v>#REF!</v>
      </c>
      <c r="F27" s="65"/>
      <c r="G27" s="65"/>
      <c r="H27" s="71">
        <v>0</v>
      </c>
      <c r="I27" s="112" t="e">
        <f>H27*#REF!</f>
        <v>#REF!</v>
      </c>
      <c r="J27" s="114"/>
      <c r="K27" s="334"/>
      <c r="L27" s="53"/>
      <c r="M27" s="105"/>
      <c r="N27" s="4"/>
      <c r="O27" s="11"/>
      <c r="P27" s="53"/>
    </row>
    <row r="28" spans="1:16" ht="17.25" customHeight="1" x14ac:dyDescent="0.15">
      <c r="A28" s="204"/>
      <c r="B28" s="211" t="s">
        <v>186</v>
      </c>
      <c r="C28" s="71">
        <f>E11</f>
        <v>72</v>
      </c>
      <c r="D28" s="112" t="e">
        <f>#REF!</f>
        <v>#REF!</v>
      </c>
      <c r="E28" s="112" t="e">
        <f t="shared" si="3"/>
        <v>#REF!</v>
      </c>
      <c r="F28" s="65" t="s">
        <v>371</v>
      </c>
      <c r="G28" s="65" t="s">
        <v>403</v>
      </c>
      <c r="H28" s="71">
        <v>0</v>
      </c>
      <c r="I28" s="112" t="e">
        <f>H28*#REF!</f>
        <v>#REF!</v>
      </c>
      <c r="J28" s="114"/>
      <c r="K28" s="334"/>
      <c r="L28" s="53"/>
      <c r="M28" s="6"/>
      <c r="N28" s="12"/>
      <c r="O28" s="105"/>
      <c r="P28" s="53"/>
    </row>
    <row r="29" spans="1:16" ht="17.25" customHeight="1" x14ac:dyDescent="0.15">
      <c r="A29" s="251"/>
      <c r="B29" s="252" t="s">
        <v>396</v>
      </c>
      <c r="C29" s="71">
        <v>0</v>
      </c>
      <c r="D29" s="112" t="e">
        <f>#REF!</f>
        <v>#REF!</v>
      </c>
      <c r="E29" s="112" t="e">
        <f t="shared" si="3"/>
        <v>#REF!</v>
      </c>
      <c r="F29" s="65"/>
      <c r="G29" s="65"/>
      <c r="H29" s="71"/>
      <c r="I29" s="112"/>
      <c r="J29" s="114"/>
      <c r="K29" s="253"/>
      <c r="L29" s="53"/>
      <c r="M29" s="6"/>
      <c r="N29" s="12"/>
      <c r="O29" s="105"/>
      <c r="P29" s="53"/>
    </row>
    <row r="30" spans="1:16" x14ac:dyDescent="0.15">
      <c r="A30" s="204" t="s">
        <v>242</v>
      </c>
      <c r="B30" s="211"/>
      <c r="C30" s="126">
        <f>SUM(C25:C28)</f>
        <v>72</v>
      </c>
      <c r="D30" s="106"/>
      <c r="E30" s="112" t="e">
        <f>SUM(E25:E28)</f>
        <v>#REF!</v>
      </c>
      <c r="F30" s="211"/>
      <c r="G30" s="211"/>
      <c r="H30" s="112">
        <f>SUM(H25:H28)</f>
        <v>0</v>
      </c>
      <c r="I30" s="112"/>
      <c r="J30" s="114"/>
      <c r="K30" s="207"/>
      <c r="L30" s="53"/>
      <c r="M30" s="7"/>
      <c r="N30" s="8"/>
      <c r="O30" s="11"/>
      <c r="P30" s="53"/>
    </row>
    <row r="31" spans="1:16" x14ac:dyDescent="0.15">
      <c r="A31" s="128"/>
      <c r="B31" s="101"/>
      <c r="C31" s="101"/>
      <c r="D31" s="101"/>
      <c r="E31" s="101"/>
      <c r="F31" s="101"/>
      <c r="G31" s="129"/>
      <c r="H31" s="101"/>
      <c r="I31" s="114"/>
      <c r="J31" s="114"/>
      <c r="K31" s="127"/>
      <c r="L31" s="53"/>
      <c r="M31" s="105"/>
      <c r="N31" s="105"/>
      <c r="O31" s="105"/>
      <c r="P31" s="53"/>
    </row>
    <row r="32" spans="1:16" ht="18.75" customHeight="1" x14ac:dyDescent="0.15">
      <c r="A32" s="124" t="s">
        <v>109</v>
      </c>
      <c r="B32" s="101"/>
      <c r="C32" s="102"/>
      <c r="D32" s="102"/>
      <c r="E32" s="101"/>
      <c r="F32" s="160"/>
      <c r="G32" s="103"/>
      <c r="H32" s="103"/>
      <c r="I32" s="103"/>
      <c r="J32" s="103"/>
      <c r="K32" s="103"/>
      <c r="L32" s="53"/>
      <c r="M32" s="6"/>
      <c r="N32" s="4"/>
      <c r="O32" s="11"/>
      <c r="P32" s="53"/>
    </row>
    <row r="33" spans="1:16" ht="18" customHeight="1" x14ac:dyDescent="0.15">
      <c r="A33" s="220">
        <f>YEAR(经营计划!$D$3)</f>
        <v>2017</v>
      </c>
      <c r="B33" s="47" t="s">
        <v>204</v>
      </c>
      <c r="C33" s="47" t="s">
        <v>203</v>
      </c>
      <c r="D33" s="47" t="s">
        <v>116</v>
      </c>
      <c r="E33" s="309" t="s">
        <v>388</v>
      </c>
      <c r="F33" s="309"/>
      <c r="G33" s="58"/>
      <c r="H33" s="114"/>
      <c r="I33" s="114"/>
      <c r="J33" s="114"/>
      <c r="K33" s="58"/>
      <c r="L33" s="53"/>
      <c r="M33" s="6"/>
      <c r="N33" s="4"/>
      <c r="O33" s="11"/>
      <c r="P33" s="53"/>
    </row>
    <row r="34" spans="1:16" ht="18.75" customHeight="1" x14ac:dyDescent="0.15">
      <c r="A34" s="47" t="s">
        <v>110</v>
      </c>
      <c r="B34" s="130">
        <v>133</v>
      </c>
      <c r="C34" s="131">
        <v>40</v>
      </c>
      <c r="D34" s="112">
        <f>C34*B34</f>
        <v>5320</v>
      </c>
      <c r="E34" s="65" t="s">
        <v>378</v>
      </c>
      <c r="F34" s="65" t="s">
        <v>416</v>
      </c>
      <c r="G34" s="114"/>
      <c r="H34" s="114"/>
      <c r="I34" s="114"/>
      <c r="J34" s="114"/>
      <c r="K34" s="334"/>
      <c r="L34" s="53"/>
      <c r="M34" s="6"/>
      <c r="N34" s="4"/>
      <c r="O34" s="11"/>
      <c r="P34" s="53"/>
    </row>
    <row r="35" spans="1:16" ht="17.25" customHeight="1" x14ac:dyDescent="0.15">
      <c r="A35" s="47" t="s">
        <v>111</v>
      </c>
      <c r="B35" s="130">
        <f>2250/15</f>
        <v>150</v>
      </c>
      <c r="C35" s="131"/>
      <c r="D35" s="112">
        <f t="shared" ref="D35:D38" si="4">C35*B35</f>
        <v>0</v>
      </c>
      <c r="E35" s="65" t="s">
        <v>378</v>
      </c>
      <c r="F35" s="65" t="s">
        <v>389</v>
      </c>
      <c r="G35" s="114"/>
      <c r="H35" s="114"/>
      <c r="I35" s="114"/>
      <c r="J35" s="114"/>
      <c r="K35" s="334"/>
      <c r="L35" s="53"/>
      <c r="M35" s="7"/>
      <c r="N35" s="9"/>
      <c r="O35" s="11"/>
      <c r="P35" s="53"/>
    </row>
    <row r="36" spans="1:16" ht="17.25" customHeight="1" x14ac:dyDescent="0.15">
      <c r="A36" s="47" t="s">
        <v>112</v>
      </c>
      <c r="B36" s="130">
        <f>7500/15</f>
        <v>500</v>
      </c>
      <c r="C36" s="131"/>
      <c r="D36" s="112">
        <f t="shared" si="4"/>
        <v>0</v>
      </c>
      <c r="E36" s="65" t="s">
        <v>378</v>
      </c>
      <c r="F36" s="65" t="s">
        <v>390</v>
      </c>
      <c r="G36" s="132"/>
      <c r="H36" s="114"/>
      <c r="I36" s="114"/>
      <c r="J36" s="114"/>
      <c r="K36" s="127"/>
      <c r="L36" s="53"/>
      <c r="M36" s="105"/>
      <c r="N36" s="105"/>
      <c r="O36" s="105"/>
      <c r="P36" s="53"/>
    </row>
    <row r="37" spans="1:16" ht="17.25" customHeight="1" x14ac:dyDescent="0.15">
      <c r="A37" s="47" t="s">
        <v>113</v>
      </c>
      <c r="B37" s="130">
        <f>300/15</f>
        <v>20</v>
      </c>
      <c r="C37" s="131"/>
      <c r="D37" s="112">
        <f t="shared" si="4"/>
        <v>0</v>
      </c>
      <c r="E37" s="65" t="s">
        <v>378</v>
      </c>
      <c r="F37" s="65" t="s">
        <v>379</v>
      </c>
      <c r="G37" s="114"/>
      <c r="H37" s="114"/>
      <c r="I37" s="114"/>
      <c r="J37" s="147"/>
      <c r="K37" s="127"/>
      <c r="L37" s="53"/>
      <c r="M37" s="7"/>
      <c r="N37" s="9"/>
      <c r="O37" s="11"/>
      <c r="P37" s="53"/>
    </row>
    <row r="38" spans="1:16" ht="17.25" customHeight="1" x14ac:dyDescent="0.15">
      <c r="A38" s="47" t="s">
        <v>114</v>
      </c>
      <c r="B38" s="130">
        <f>600/15</f>
        <v>40</v>
      </c>
      <c r="C38" s="131"/>
      <c r="D38" s="112">
        <f t="shared" si="4"/>
        <v>0</v>
      </c>
      <c r="E38" s="65" t="s">
        <v>378</v>
      </c>
      <c r="F38" s="65" t="s">
        <v>379</v>
      </c>
      <c r="G38" s="114"/>
      <c r="H38" s="133"/>
      <c r="I38" s="114"/>
      <c r="J38" s="114"/>
      <c r="K38" s="127"/>
      <c r="L38" s="53"/>
      <c r="M38" s="6"/>
      <c r="N38" s="13"/>
      <c r="O38" s="105"/>
      <c r="P38" s="53"/>
    </row>
    <row r="39" spans="1:16" x14ac:dyDescent="0.15">
      <c r="A39" s="47" t="s">
        <v>86</v>
      </c>
      <c r="B39" s="27"/>
      <c r="C39" s="27"/>
      <c r="D39" s="112">
        <f>SUM(D34:D38)</f>
        <v>5320</v>
      </c>
      <c r="E39" s="338"/>
      <c r="F39" s="338"/>
      <c r="G39" s="114"/>
      <c r="H39" s="114"/>
      <c r="I39" s="114"/>
      <c r="J39" s="114"/>
      <c r="K39" s="127"/>
      <c r="L39" s="53"/>
      <c r="M39" s="105"/>
      <c r="N39" s="13"/>
      <c r="O39" s="105"/>
      <c r="P39" s="53"/>
    </row>
    <row r="40" spans="1:16" ht="18" customHeight="1" x14ac:dyDescent="0.15">
      <c r="A40" s="221">
        <f>A33+1</f>
        <v>2018</v>
      </c>
      <c r="B40" s="204" t="s">
        <v>204</v>
      </c>
      <c r="C40" s="204" t="s">
        <v>203</v>
      </c>
      <c r="D40" s="204" t="s">
        <v>409</v>
      </c>
      <c r="E40" s="309" t="s">
        <v>388</v>
      </c>
      <c r="F40" s="309"/>
      <c r="G40" s="210"/>
      <c r="H40" s="114"/>
      <c r="I40" s="114"/>
      <c r="J40" s="114"/>
      <c r="K40" s="210"/>
      <c r="L40" s="53"/>
      <c r="M40" s="6"/>
      <c r="N40" s="4"/>
      <c r="O40" s="11"/>
      <c r="P40" s="53"/>
    </row>
    <row r="41" spans="1:16" ht="18.75" customHeight="1" x14ac:dyDescent="0.15">
      <c r="A41" s="204" t="s">
        <v>110</v>
      </c>
      <c r="B41" s="130">
        <v>133</v>
      </c>
      <c r="C41" s="131">
        <v>40</v>
      </c>
      <c r="D41" s="112">
        <f>C41*B41</f>
        <v>5320</v>
      </c>
      <c r="E41" s="65" t="s">
        <v>371</v>
      </c>
      <c r="F41" s="65" t="s">
        <v>377</v>
      </c>
      <c r="G41" s="114"/>
      <c r="H41" s="114"/>
      <c r="I41" s="114"/>
      <c r="J41" s="114"/>
      <c r="K41" s="334"/>
      <c r="L41" s="53"/>
      <c r="M41" s="6"/>
      <c r="N41" s="4"/>
      <c r="O41" s="11"/>
      <c r="P41" s="53"/>
    </row>
    <row r="42" spans="1:16" ht="17.25" customHeight="1" x14ac:dyDescent="0.15">
      <c r="A42" s="204" t="s">
        <v>111</v>
      </c>
      <c r="B42" s="130">
        <f>2250/15</f>
        <v>150</v>
      </c>
      <c r="C42" s="131"/>
      <c r="D42" s="112">
        <f t="shared" ref="D42:D45" si="5">C42*B42</f>
        <v>0</v>
      </c>
      <c r="E42" s="65"/>
      <c r="F42" s="65"/>
      <c r="G42" s="114"/>
      <c r="H42" s="114"/>
      <c r="I42" s="114"/>
      <c r="J42" s="114"/>
      <c r="K42" s="334"/>
      <c r="L42" s="53"/>
      <c r="M42" s="7"/>
      <c r="N42" s="9"/>
      <c r="O42" s="11"/>
      <c r="P42" s="53"/>
    </row>
    <row r="43" spans="1:16" ht="17.25" customHeight="1" x14ac:dyDescent="0.15">
      <c r="A43" s="204" t="s">
        <v>112</v>
      </c>
      <c r="B43" s="130">
        <f>7500/15</f>
        <v>500</v>
      </c>
      <c r="C43" s="131"/>
      <c r="D43" s="112">
        <f t="shared" si="5"/>
        <v>0</v>
      </c>
      <c r="E43" s="65"/>
      <c r="F43" s="65"/>
      <c r="G43" s="132"/>
      <c r="H43" s="114"/>
      <c r="I43" s="114"/>
      <c r="J43" s="114"/>
      <c r="K43" s="207"/>
      <c r="L43" s="53"/>
      <c r="M43" s="105"/>
      <c r="N43" s="105"/>
      <c r="O43" s="105"/>
      <c r="P43" s="53"/>
    </row>
    <row r="44" spans="1:16" ht="17.25" customHeight="1" x14ac:dyDescent="0.15">
      <c r="A44" s="204" t="s">
        <v>113</v>
      </c>
      <c r="B44" s="130">
        <f>300/15</f>
        <v>20</v>
      </c>
      <c r="C44" s="131"/>
      <c r="D44" s="112">
        <f t="shared" si="5"/>
        <v>0</v>
      </c>
      <c r="E44" s="65" t="s">
        <v>371</v>
      </c>
      <c r="F44" s="65" t="s">
        <v>379</v>
      </c>
      <c r="G44" s="114"/>
      <c r="H44" s="114"/>
      <c r="I44" s="114"/>
      <c r="J44" s="147"/>
      <c r="K44" s="207"/>
      <c r="L44" s="53"/>
      <c r="M44" s="7"/>
      <c r="N44" s="9"/>
      <c r="O44" s="11"/>
      <c r="P44" s="53"/>
    </row>
    <row r="45" spans="1:16" ht="17.25" customHeight="1" x14ac:dyDescent="0.15">
      <c r="A45" s="204" t="s">
        <v>114</v>
      </c>
      <c r="B45" s="130">
        <f>600/15</f>
        <v>40</v>
      </c>
      <c r="C45" s="131"/>
      <c r="D45" s="112">
        <f t="shared" si="5"/>
        <v>0</v>
      </c>
      <c r="E45" s="65" t="s">
        <v>371</v>
      </c>
      <c r="F45" s="65" t="s">
        <v>379</v>
      </c>
      <c r="G45" s="114"/>
      <c r="H45" s="133"/>
      <c r="I45" s="114"/>
      <c r="J45" s="114"/>
      <c r="K45" s="207"/>
      <c r="L45" s="53"/>
      <c r="M45" s="6"/>
      <c r="N45" s="13"/>
      <c r="O45" s="105"/>
      <c r="P45" s="53"/>
    </row>
    <row r="46" spans="1:16" x14ac:dyDescent="0.15">
      <c r="A46" s="204" t="s">
        <v>86</v>
      </c>
      <c r="B46" s="211"/>
      <c r="C46" s="211"/>
      <c r="D46" s="112">
        <f>SUM(D41:D45)</f>
        <v>5320</v>
      </c>
      <c r="E46" s="338"/>
      <c r="F46" s="338"/>
      <c r="G46" s="114"/>
      <c r="H46" s="114"/>
      <c r="I46" s="114"/>
      <c r="J46" s="114"/>
      <c r="K46" s="207"/>
      <c r="L46" s="53"/>
      <c r="M46" s="105"/>
      <c r="N46" s="13"/>
      <c r="O46" s="105"/>
      <c r="P46" s="53"/>
    </row>
    <row r="47" spans="1:16" ht="16" x14ac:dyDescent="0.2">
      <c r="A47" s="134"/>
      <c r="B47" s="135"/>
      <c r="C47" s="135"/>
      <c r="D47" s="135"/>
      <c r="E47" s="135"/>
      <c r="F47" s="135"/>
      <c r="G47" s="135"/>
      <c r="H47" s="135"/>
      <c r="I47" s="135"/>
      <c r="J47" s="135"/>
      <c r="K47" s="153"/>
      <c r="M47" s="7"/>
      <c r="N47" s="8"/>
      <c r="O47" s="11"/>
      <c r="P47" s="53"/>
    </row>
    <row r="48" spans="1:16" x14ac:dyDescent="0.15">
      <c r="A48" s="136" t="s">
        <v>92</v>
      </c>
      <c r="C48" s="74"/>
      <c r="D48" s="74"/>
      <c r="F48" s="74"/>
      <c r="G48" s="74"/>
      <c r="H48" s="74"/>
      <c r="I48" s="74"/>
      <c r="J48" s="74"/>
      <c r="M48" s="105"/>
      <c r="N48" s="105"/>
      <c r="O48" s="105"/>
      <c r="P48" s="53"/>
    </row>
    <row r="49" spans="1:16" ht="20.25" customHeight="1" x14ac:dyDescent="0.15">
      <c r="A49" s="220">
        <f>YEAR(经营计划!$D$3)</f>
        <v>2017</v>
      </c>
      <c r="B49" s="47" t="s">
        <v>40</v>
      </c>
      <c r="C49" s="47" t="s">
        <v>17</v>
      </c>
      <c r="D49" s="47" t="s">
        <v>239</v>
      </c>
      <c r="E49" s="47" t="s">
        <v>33</v>
      </c>
      <c r="F49" s="47" t="s">
        <v>211</v>
      </c>
      <c r="G49" s="47" t="s">
        <v>3</v>
      </c>
      <c r="H49" s="47" t="s">
        <v>30</v>
      </c>
      <c r="I49" s="47" t="s">
        <v>321</v>
      </c>
      <c r="J49" s="47" t="s">
        <v>226</v>
      </c>
      <c r="K49" s="52" t="s">
        <v>320</v>
      </c>
      <c r="L49" s="77" t="s">
        <v>322</v>
      </c>
      <c r="M49" s="105"/>
      <c r="N49" s="4"/>
      <c r="O49" s="105"/>
      <c r="P49" s="53"/>
    </row>
    <row r="50" spans="1:16" ht="13.5" customHeight="1" x14ac:dyDescent="0.15">
      <c r="A50" s="309" t="s">
        <v>325</v>
      </c>
      <c r="B50" s="333" t="s">
        <v>19</v>
      </c>
      <c r="C50" s="37" t="s">
        <v>63</v>
      </c>
      <c r="D50" s="37" t="s">
        <v>53</v>
      </c>
      <c r="E50" s="38" t="s">
        <v>207</v>
      </c>
      <c r="F50" s="138" t="s">
        <v>419</v>
      </c>
      <c r="G50" s="49">
        <v>1200</v>
      </c>
      <c r="H50" s="37">
        <v>7.33</v>
      </c>
      <c r="I50" s="54">
        <f>H50*G50</f>
        <v>8796</v>
      </c>
      <c r="J50" s="323" t="s">
        <v>288</v>
      </c>
      <c r="K50" s="250" t="str">
        <f ca="1">IFERROR(LOOKUP(9E+307,--MID(F50,MIN(FIND({0;1;2;3;4;5;6;7;8;9},F50&amp;1234567890)),ROW(INDIRECT("1:"&amp;LEN(F50)))))*H50/B6*15,"0")</f>
        <v>0</v>
      </c>
      <c r="L50" s="250" t="str">
        <f ca="1">IFERROR(LOOKUP(9E+307,--MID(F50,MIN(FIND({0;1;2;3;4;5;6;7;8;9},F50&amp;1234567890)),ROW(INDIRECT("1:"&amp;LEN(F50)))))*H50/E6,"0")</f>
        <v>0</v>
      </c>
      <c r="M50" s="7"/>
      <c r="N50" s="9"/>
      <c r="O50" s="105"/>
      <c r="P50" s="53"/>
    </row>
    <row r="51" spans="1:16" x14ac:dyDescent="0.15">
      <c r="A51" s="309"/>
      <c r="B51" s="333"/>
      <c r="C51" s="37" t="s">
        <v>64</v>
      </c>
      <c r="D51" s="37" t="s">
        <v>209</v>
      </c>
      <c r="E51" s="38" t="s">
        <v>207</v>
      </c>
      <c r="F51" s="138" t="s">
        <v>213</v>
      </c>
      <c r="G51" s="49">
        <v>667</v>
      </c>
      <c r="H51" s="37"/>
      <c r="I51" s="54">
        <f>H51*G51</f>
        <v>0</v>
      </c>
      <c r="J51" s="324"/>
      <c r="K51" s="250" t="str">
        <f ca="1">IFERROR(LOOKUP(9E+307,--MID(F51,MIN(FIND({0;1;2;3;4;5;6;7;8;9},F51&amp;1234567890)),ROW(INDIRECT("1:"&amp;LEN(F51)))))*H51/B7*15,"0")</f>
        <v>0</v>
      </c>
      <c r="L51" s="250" t="str">
        <f ca="1">IFERROR(LOOKUP(9E+307,--MID(F51,MIN(FIND({0;1;2;3;4;5;6;7;8;9},F51&amp;1234567890)),ROW(INDIRECT("1:"&amp;LEN(F51)))))*H51/E7,"0")</f>
        <v>0</v>
      </c>
      <c r="M51" s="7"/>
      <c r="N51" s="9"/>
      <c r="O51" s="105"/>
      <c r="P51" s="53"/>
    </row>
    <row r="52" spans="1:16" x14ac:dyDescent="0.15">
      <c r="A52" s="309"/>
      <c r="B52" s="333"/>
      <c r="C52" s="37" t="s">
        <v>65</v>
      </c>
      <c r="D52" s="37" t="s">
        <v>66</v>
      </c>
      <c r="E52" s="38" t="s">
        <v>210</v>
      </c>
      <c r="F52" s="138" t="s">
        <v>212</v>
      </c>
      <c r="G52" s="49">
        <v>800</v>
      </c>
      <c r="H52" s="37"/>
      <c r="I52" s="54">
        <f t="shared" ref="I52:I62" si="6">H52*G52</f>
        <v>0</v>
      </c>
      <c r="J52" s="324"/>
      <c r="K52" s="250" t="str">
        <f ca="1">IFERROR(LOOKUP(9E+307,--MID(F52,MIN(FIND({0;1;2;3;4;5;6;7;8;9},F52&amp;1234567890)),ROW(INDIRECT("1:"&amp;LEN(F52)))))*H52/B8*15,"0")</f>
        <v>0</v>
      </c>
      <c r="L52" s="250" t="str">
        <f ca="1">IFERROR(LOOKUP(9E+307,--MID(F52,MIN(FIND({0;1;2;3;4;5;6;7;8;9},F52&amp;1234567890)),ROW(INDIRECT("1:"&amp;LEN(F52)))))*H52/E8,"0")</f>
        <v>0</v>
      </c>
      <c r="M52" s="7"/>
      <c r="N52" s="8"/>
      <c r="O52" s="105"/>
      <c r="P52" s="53"/>
    </row>
    <row r="53" spans="1:16" x14ac:dyDescent="0.15">
      <c r="A53" s="309"/>
      <c r="B53" s="329" t="s">
        <v>21</v>
      </c>
      <c r="C53" s="37" t="s">
        <v>22</v>
      </c>
      <c r="D53" s="37"/>
      <c r="E53" s="38" t="s">
        <v>216</v>
      </c>
      <c r="F53" s="138" t="s">
        <v>217</v>
      </c>
      <c r="G53" s="49">
        <v>14</v>
      </c>
      <c r="H53" s="37"/>
      <c r="I53" s="54">
        <f t="shared" si="6"/>
        <v>0</v>
      </c>
      <c r="J53" s="324"/>
      <c r="K53" s="250">
        <f ca="1">IFERROR(LOOKUP(9E+307,--MID(F53,MIN(FIND({0;1;2;3;4;5;6;7;8;9},F53&amp;1234567890)),ROW(INDIRECT("1:"&amp;LEN(F53)))))*H53/$B$9*15,"0")</f>
        <v>0</v>
      </c>
      <c r="L53" s="250">
        <f ca="1">IFERROR(LOOKUP(9E+307,--MID(F53,MIN(FIND({0;1;2;3;4;5;6;7;8;9},F53&amp;1234567890)),ROW(INDIRECT("1:"&amp;LEN(F53)))))*H53/$E$9,"0")</f>
        <v>0</v>
      </c>
      <c r="M53" s="105"/>
      <c r="N53" s="109"/>
      <c r="O53" s="105"/>
      <c r="P53" s="53"/>
    </row>
    <row r="54" spans="1:16" x14ac:dyDescent="0.15">
      <c r="A54" s="309"/>
      <c r="B54" s="330"/>
      <c r="C54" s="37" t="s">
        <v>23</v>
      </c>
      <c r="D54" s="37"/>
      <c r="E54" s="38" t="s">
        <v>207</v>
      </c>
      <c r="F54" s="138" t="s">
        <v>214</v>
      </c>
      <c r="G54" s="49">
        <v>1500</v>
      </c>
      <c r="H54" s="37">
        <v>1</v>
      </c>
      <c r="I54" s="54">
        <f t="shared" si="6"/>
        <v>1500</v>
      </c>
      <c r="J54" s="324"/>
      <c r="K54" s="250">
        <f ca="1">IFERROR(LOOKUP(9E+307,--MID(F54,MIN(FIND({0;1;2;3;4;5;6;7;8;9},F54&amp;1234567890)),ROW(INDIRECT("1:"&amp;LEN(F54)))))*H54/$B$9*15,"0")</f>
        <v>68.181818181818187</v>
      </c>
      <c r="L54" s="250">
        <f ca="1">IFERROR(LOOKUP(9E+307,--MID(F54,MIN(FIND({0;1;2;3;4;5;6;7;8;9},F54&amp;1234567890)),ROW(INDIRECT("1:"&amp;LEN(F54)))))*H54/$E$9,"0")</f>
        <v>5.6818181818181817</v>
      </c>
      <c r="M54" s="105"/>
      <c r="N54" s="105"/>
      <c r="O54" s="11"/>
      <c r="P54" s="53"/>
    </row>
    <row r="55" spans="1:16" x14ac:dyDescent="0.15">
      <c r="A55" s="309"/>
      <c r="B55" s="330"/>
      <c r="C55" s="37" t="s">
        <v>23</v>
      </c>
      <c r="D55" s="37"/>
      <c r="E55" s="38" t="s">
        <v>219</v>
      </c>
      <c r="F55" s="138" t="s">
        <v>218</v>
      </c>
      <c r="G55" s="49">
        <v>1120</v>
      </c>
      <c r="H55" s="37">
        <v>1</v>
      </c>
      <c r="I55" s="54">
        <f t="shared" si="6"/>
        <v>1120</v>
      </c>
      <c r="J55" s="324"/>
      <c r="K55" s="250">
        <f ca="1">IFERROR(LOOKUP(9E+307,--MID(F55,MIN(FIND({0;1;2;3;4;5;6;7;8;9},F55&amp;1234567890)),ROW(INDIRECT("1:"&amp;LEN(F55)))))*H55/$B$9*15,"0")</f>
        <v>13.636363636363637</v>
      </c>
      <c r="L55" s="250">
        <f ca="1">IFERROR(LOOKUP(9E+307,--MID(F55,MIN(FIND({0;1;2;3;4;5;6;7;8;9},F55&amp;1234567890)),ROW(INDIRECT("1:"&amp;LEN(F55)))))*H55/$E$9,"0")</f>
        <v>1.1363636363636365</v>
      </c>
      <c r="M55" s="6"/>
      <c r="N55" s="14"/>
      <c r="O55" s="105"/>
      <c r="P55" s="53"/>
    </row>
    <row r="56" spans="1:16" x14ac:dyDescent="0.15">
      <c r="A56" s="309"/>
      <c r="B56" s="331"/>
      <c r="C56" s="37" t="s">
        <v>417</v>
      </c>
      <c r="D56" s="37" t="s">
        <v>418</v>
      </c>
      <c r="E56" s="38" t="s">
        <v>220</v>
      </c>
      <c r="F56" s="138" t="s">
        <v>221</v>
      </c>
      <c r="G56" s="49">
        <v>700</v>
      </c>
      <c r="H56" s="37">
        <v>1</v>
      </c>
      <c r="I56" s="54">
        <f t="shared" si="6"/>
        <v>700</v>
      </c>
      <c r="J56" s="324"/>
      <c r="K56" s="250">
        <f ca="1">IFERROR(LOOKUP(9E+307,--MID(F56,MIN(FIND({0;1;2;3;4;5;6;7;8;9},F56&amp;1234567890)),ROW(INDIRECT("1:"&amp;LEN(F56)))))*H56/$B$9*15,"0")</f>
        <v>136.36363636363637</v>
      </c>
      <c r="L56" s="250">
        <f ca="1">IFERROR(LOOKUP(9E+307,--MID(F56,MIN(FIND({0;1;2;3;4;5;6;7;8;9},F56&amp;1234567890)),ROW(INDIRECT("1:"&amp;LEN(F56)))))*H56/$E$9,"0")</f>
        <v>11.363636363636363</v>
      </c>
      <c r="M56" s="6"/>
      <c r="N56" s="4"/>
      <c r="O56" s="11"/>
      <c r="P56" s="53"/>
    </row>
    <row r="57" spans="1:16" x14ac:dyDescent="0.15">
      <c r="A57" s="309"/>
      <c r="B57" s="333" t="s">
        <v>24</v>
      </c>
      <c r="C57" s="37" t="s">
        <v>28</v>
      </c>
      <c r="D57" s="37" t="s">
        <v>55</v>
      </c>
      <c r="E57" s="38" t="s">
        <v>207</v>
      </c>
      <c r="F57" s="138" t="s">
        <v>222</v>
      </c>
      <c r="G57" s="49"/>
      <c r="H57" s="37"/>
      <c r="I57" s="54">
        <f t="shared" si="6"/>
        <v>0</v>
      </c>
      <c r="J57" s="324"/>
      <c r="K57" s="250">
        <f ca="1">IFERROR(LOOKUP(9E+307,--MID(F57,MIN(FIND({0;1;2;3;4;5;6;7;8;9},F57&amp;1234567890)),ROW(INDIRECT("1:"&amp;LEN(F57)))))*H57/$B$9*15,"0")</f>
        <v>0</v>
      </c>
      <c r="L57" s="250">
        <f ca="1">IFERROR(LOOKUP(9E+307,--MID(F57,MIN(FIND({0;1;2;3;4;5;6;7;8;9},F57&amp;1234567890)),ROW(INDIRECT("1:"&amp;LEN(F57)))))*H57/$E$9,"0")</f>
        <v>0</v>
      </c>
      <c r="M57" s="6"/>
      <c r="N57" s="15"/>
      <c r="O57" s="105"/>
      <c r="P57" s="53"/>
    </row>
    <row r="58" spans="1:16" x14ac:dyDescent="0.15">
      <c r="A58" s="309"/>
      <c r="B58" s="333"/>
      <c r="C58" s="37" t="s">
        <v>28</v>
      </c>
      <c r="D58" s="37" t="s">
        <v>224</v>
      </c>
      <c r="E58" s="38" t="s">
        <v>207</v>
      </c>
      <c r="F58" s="138"/>
      <c r="G58" s="49">
        <v>140</v>
      </c>
      <c r="H58" s="37">
        <v>56</v>
      </c>
      <c r="I58" s="54">
        <f t="shared" si="6"/>
        <v>7840</v>
      </c>
      <c r="J58" s="324"/>
      <c r="K58" s="250" t="str">
        <f ca="1">IFERROR(LOOKUP(9E+307,--MID(F58,MIN(FIND({0;1;2;3;4;5;6;7;8;9},F58&amp;1234567890)),ROW(INDIRECT("1:"&amp;LEN(F58)))))*H58/$B$9*15,"0")</f>
        <v>0</v>
      </c>
      <c r="L58" s="250" t="str">
        <f ca="1">IFERROR(LOOKUP(9E+307,--MID(F58,MIN(FIND({0;1;2;3;4;5;6;7;8;9},F58&amp;1234567890)),ROW(INDIRECT("1:"&amp;LEN(F58)))))*H58/$E$9,"0")</f>
        <v>0</v>
      </c>
      <c r="M58" s="7"/>
      <c r="N58" s="9"/>
      <c r="O58" s="11"/>
      <c r="P58" s="53"/>
    </row>
    <row r="59" spans="1:16" x14ac:dyDescent="0.15">
      <c r="A59" s="309"/>
      <c r="B59" s="333"/>
      <c r="C59" s="37" t="s">
        <v>29</v>
      </c>
      <c r="D59" s="37" t="s">
        <v>54</v>
      </c>
      <c r="E59" s="38" t="s">
        <v>223</v>
      </c>
      <c r="F59" s="138" t="s">
        <v>222</v>
      </c>
      <c r="G59" s="49">
        <v>100</v>
      </c>
      <c r="H59" s="37">
        <v>56</v>
      </c>
      <c r="I59" s="54">
        <f t="shared" si="6"/>
        <v>5600</v>
      </c>
      <c r="J59" s="324"/>
      <c r="K59" s="250">
        <f ca="1">IFERROR(LOOKUP(9E+307,--MID(F59,MIN(FIND({0;1;2;3;4;5;6;7;8;9},F59&amp;1234567890)),ROW(INDIRECT("1:"&amp;LEN(F59)))))*H59/$B$9*15,"0")</f>
        <v>381.81818181818181</v>
      </c>
      <c r="L59" s="250">
        <f ca="1">IFERROR(LOOKUP(9E+307,--MID(F59,MIN(FIND({0;1;2;3;4;5;6;7;8;9},F59&amp;1234567890)),ROW(INDIRECT("1:"&amp;LEN(F59)))))*H59/$E$9,"0")</f>
        <v>31.818181818181817</v>
      </c>
      <c r="M59" s="105"/>
      <c r="N59" s="139"/>
      <c r="O59" s="105"/>
      <c r="P59" s="53"/>
    </row>
    <row r="60" spans="1:16" x14ac:dyDescent="0.2">
      <c r="A60" s="309"/>
      <c r="B60" s="333" t="s">
        <v>77</v>
      </c>
      <c r="C60" s="37" t="s">
        <v>32</v>
      </c>
      <c r="D60" s="37"/>
      <c r="E60" s="38"/>
      <c r="F60" s="138"/>
      <c r="G60" s="49"/>
      <c r="H60" s="37"/>
      <c r="I60" s="54">
        <f t="shared" si="6"/>
        <v>0</v>
      </c>
      <c r="J60" s="324"/>
      <c r="K60" s="250" t="str">
        <f ca="1">IFERROR(LOOKUP(9E+307,--MID(F60,MIN(FIND({0;1;2;3;4;5;6;7;8;9},F60&amp;1234567890)),ROW(INDIRECT("1:"&amp;LEN(F60)))))*H60/$B$9*15,"0")</f>
        <v>0</v>
      </c>
      <c r="L60" s="250" t="str">
        <f ca="1">IFERROR(LOOKUP(9E+307,--MID(F60,MIN(FIND({0;1;2;3;4;5;6;7;8;9},F60&amp;1234567890)),ROW(INDIRECT("1:"&amp;LEN(F60)))))*H60/$E$9,"0")</f>
        <v>0</v>
      </c>
      <c r="M60" s="103"/>
      <c r="N60" s="103"/>
      <c r="O60" s="103"/>
      <c r="P60" s="53"/>
    </row>
    <row r="61" spans="1:16" x14ac:dyDescent="0.2">
      <c r="A61" s="309"/>
      <c r="B61" s="333"/>
      <c r="C61" s="37" t="s">
        <v>36</v>
      </c>
      <c r="D61" s="37"/>
      <c r="E61" s="38"/>
      <c r="F61" s="78"/>
      <c r="G61" s="49"/>
      <c r="H61" s="37"/>
      <c r="I61" s="54">
        <f t="shared" si="6"/>
        <v>0</v>
      </c>
      <c r="J61" s="324"/>
      <c r="K61" s="250" t="str">
        <f ca="1">IFERROR(LOOKUP(9E+307,--MID(F61,MIN(FIND({0;1;2;3;4;5;6;7;8;9},F61&amp;1234567890)),ROW(INDIRECT("1:"&amp;LEN(F61)))))*H61/$B$9*15,"0")</f>
        <v>0</v>
      </c>
      <c r="L61" s="250" t="str">
        <f ca="1">IFERROR(LOOKUP(9E+307,--MID(F61,MIN(FIND({0;1;2;3;4;5;6;7;8;9},F61&amp;1234567890)),ROW(INDIRECT("1:"&amp;LEN(F61)))))*H61/$E$9,"0")</f>
        <v>0</v>
      </c>
      <c r="M61" s="103"/>
      <c r="N61" s="103"/>
      <c r="O61" s="103"/>
      <c r="P61" s="53"/>
    </row>
    <row r="62" spans="1:16" x14ac:dyDescent="0.2">
      <c r="A62" s="309"/>
      <c r="B62" s="38" t="s">
        <v>31</v>
      </c>
      <c r="C62" s="37"/>
      <c r="D62" s="37"/>
      <c r="E62" s="38"/>
      <c r="F62" s="78"/>
      <c r="G62" s="49"/>
      <c r="H62" s="37"/>
      <c r="I62" s="54">
        <f t="shared" si="6"/>
        <v>0</v>
      </c>
      <c r="J62" s="324"/>
      <c r="K62" s="250" t="str">
        <f ca="1">IFERROR(LOOKUP(9E+307,--MID(F62,MIN(FIND({0;1;2;3;4;5;6;7;8;9},F62&amp;1234567890)),ROW(INDIRECT("1:"&amp;LEN(F62)))))*H62/$B$9*15,"0")</f>
        <v>0</v>
      </c>
      <c r="L62" s="250" t="str">
        <f ca="1">IFERROR(LOOKUP(9E+307,--MID(F62,MIN(FIND({0;1;2;3;4;5;6;7;8;9},F62&amp;1234567890)),ROW(INDIRECT("1:"&amp;LEN(F62)))))*H62/$E$9,"0")</f>
        <v>0</v>
      </c>
      <c r="M62" s="103"/>
      <c r="N62" s="103"/>
      <c r="O62" s="103"/>
      <c r="P62" s="53"/>
    </row>
    <row r="63" spans="1:16" x14ac:dyDescent="0.2">
      <c r="A63" s="309"/>
      <c r="B63" s="140" t="s">
        <v>243</v>
      </c>
      <c r="C63" s="311"/>
      <c r="D63" s="312"/>
      <c r="E63" s="312"/>
      <c r="F63" s="312"/>
      <c r="G63" s="312"/>
      <c r="H63" s="313"/>
      <c r="I63" s="54">
        <f>SUM(I49:I62)</f>
        <v>25556</v>
      </c>
      <c r="J63" s="325"/>
      <c r="K63" s="336"/>
      <c r="L63" s="337"/>
      <c r="M63" s="103"/>
      <c r="N63" s="103"/>
      <c r="O63" s="103"/>
      <c r="P63" s="53"/>
    </row>
    <row r="64" spans="1:16" x14ac:dyDescent="0.2">
      <c r="A64" s="326" t="s">
        <v>326</v>
      </c>
      <c r="B64" s="47" t="s">
        <v>40</v>
      </c>
      <c r="C64" s="47" t="s">
        <v>17</v>
      </c>
      <c r="D64" s="47" t="s">
        <v>56</v>
      </c>
      <c r="E64" s="47" t="s">
        <v>33</v>
      </c>
      <c r="F64" s="47" t="s">
        <v>227</v>
      </c>
      <c r="G64" s="47" t="s">
        <v>231</v>
      </c>
      <c r="H64" s="47" t="s">
        <v>30</v>
      </c>
      <c r="I64" s="47" t="s">
        <v>86</v>
      </c>
      <c r="J64" s="57" t="s">
        <v>225</v>
      </c>
      <c r="K64" s="156"/>
      <c r="L64" s="53"/>
      <c r="M64" s="103"/>
      <c r="N64" s="103"/>
      <c r="O64" s="103"/>
      <c r="P64" s="53"/>
    </row>
    <row r="65" spans="1:16" x14ac:dyDescent="0.2">
      <c r="A65" s="326"/>
      <c r="B65" s="328" t="s">
        <v>121</v>
      </c>
      <c r="C65" s="329" t="s">
        <v>15</v>
      </c>
      <c r="D65" s="141" t="s">
        <v>57</v>
      </c>
      <c r="E65" s="38" t="s">
        <v>115</v>
      </c>
      <c r="F65" s="142" t="s">
        <v>228</v>
      </c>
      <c r="G65" s="49"/>
      <c r="H65" s="37"/>
      <c r="I65" s="54">
        <f>G65*H65</f>
        <v>0</v>
      </c>
      <c r="J65" s="154"/>
      <c r="K65" s="158"/>
      <c r="L65" s="53"/>
      <c r="M65" s="103"/>
      <c r="N65" s="103"/>
      <c r="O65" s="103"/>
      <c r="P65" s="53"/>
    </row>
    <row r="66" spans="1:16" x14ac:dyDescent="0.2">
      <c r="A66" s="326"/>
      <c r="B66" s="328"/>
      <c r="C66" s="330"/>
      <c r="D66" s="141" t="s">
        <v>62</v>
      </c>
      <c r="E66" s="38" t="s">
        <v>115</v>
      </c>
      <c r="F66" s="142" t="s">
        <v>228</v>
      </c>
      <c r="G66" s="49"/>
      <c r="H66" s="37"/>
      <c r="I66" s="54">
        <f t="shared" ref="I66:I70" si="7">G66*H66</f>
        <v>0</v>
      </c>
      <c r="J66" s="154"/>
      <c r="K66" s="158"/>
      <c r="L66" s="53"/>
      <c r="M66" s="103"/>
      <c r="N66" s="103"/>
      <c r="O66" s="103"/>
      <c r="P66" s="53"/>
    </row>
    <row r="67" spans="1:16" x14ac:dyDescent="0.2">
      <c r="A67" s="326"/>
      <c r="B67" s="328"/>
      <c r="C67" s="330"/>
      <c r="D67" s="141" t="s">
        <v>58</v>
      </c>
      <c r="E67" s="38" t="s">
        <v>115</v>
      </c>
      <c r="F67" s="142" t="s">
        <v>229</v>
      </c>
      <c r="G67" s="49">
        <v>600</v>
      </c>
      <c r="H67" s="37"/>
      <c r="I67" s="54">
        <f t="shared" si="7"/>
        <v>0</v>
      </c>
      <c r="J67" s="154" t="s">
        <v>230</v>
      </c>
      <c r="K67" s="158"/>
      <c r="L67" s="53"/>
      <c r="M67" s="103"/>
      <c r="N67" s="103"/>
      <c r="O67" s="103"/>
      <c r="P67" s="53"/>
    </row>
    <row r="68" spans="1:16" x14ac:dyDescent="0.2">
      <c r="A68" s="326"/>
      <c r="B68" s="328"/>
      <c r="C68" s="330"/>
      <c r="D68" s="141" t="s">
        <v>61</v>
      </c>
      <c r="E68" s="38" t="s">
        <v>115</v>
      </c>
      <c r="F68" s="142" t="s">
        <v>229</v>
      </c>
      <c r="G68" s="49">
        <v>50</v>
      </c>
      <c r="H68" s="37"/>
      <c r="I68" s="54">
        <f t="shared" si="7"/>
        <v>0</v>
      </c>
      <c r="J68" s="154" t="s">
        <v>205</v>
      </c>
      <c r="K68" s="158"/>
      <c r="L68" s="53"/>
      <c r="M68" s="103"/>
      <c r="N68" s="103"/>
      <c r="O68" s="103"/>
      <c r="P68" s="53"/>
    </row>
    <row r="69" spans="1:16" x14ac:dyDescent="0.2">
      <c r="A69" s="326"/>
      <c r="B69" s="328"/>
      <c r="C69" s="331"/>
      <c r="D69" s="141" t="s">
        <v>94</v>
      </c>
      <c r="E69" s="38" t="s">
        <v>115</v>
      </c>
      <c r="F69" s="142" t="s">
        <v>228</v>
      </c>
      <c r="G69" s="49"/>
      <c r="H69" s="37"/>
      <c r="I69" s="54">
        <f t="shared" si="7"/>
        <v>0</v>
      </c>
      <c r="J69" s="154"/>
      <c r="K69" s="158"/>
      <c r="L69" s="53"/>
      <c r="M69" s="103"/>
      <c r="N69" s="103"/>
      <c r="O69" s="103"/>
      <c r="P69" s="53"/>
    </row>
    <row r="70" spans="1:16" x14ac:dyDescent="0.2">
      <c r="A70" s="326"/>
      <c r="B70" s="38" t="s">
        <v>25</v>
      </c>
      <c r="C70" s="143" t="s">
        <v>60</v>
      </c>
      <c r="D70" s="38"/>
      <c r="E70" s="38" t="s">
        <v>59</v>
      </c>
      <c r="F70" s="49"/>
      <c r="G70" s="49"/>
      <c r="H70" s="37"/>
      <c r="I70" s="54">
        <f t="shared" si="7"/>
        <v>0</v>
      </c>
      <c r="J70" s="154"/>
      <c r="K70" s="157"/>
      <c r="L70" s="53"/>
      <c r="M70" s="103"/>
      <c r="N70" s="103"/>
      <c r="O70" s="103"/>
      <c r="P70" s="53"/>
    </row>
    <row r="71" spans="1:16" x14ac:dyDescent="0.2">
      <c r="A71" s="326"/>
      <c r="B71" s="38" t="s">
        <v>26</v>
      </c>
      <c r="C71" s="143" t="s">
        <v>235</v>
      </c>
      <c r="D71" s="38"/>
      <c r="E71" s="38" t="s">
        <v>232</v>
      </c>
      <c r="F71" s="49"/>
      <c r="G71" s="49"/>
      <c r="H71" s="37"/>
      <c r="I71" s="144"/>
      <c r="J71" s="154"/>
      <c r="K71" s="157"/>
      <c r="L71" s="53"/>
      <c r="M71" s="103"/>
      <c r="N71" s="103"/>
      <c r="O71" s="103"/>
      <c r="P71" s="53"/>
    </row>
    <row r="72" spans="1:16" x14ac:dyDescent="0.2">
      <c r="A72" s="326"/>
      <c r="B72" s="143" t="s">
        <v>34</v>
      </c>
      <c r="C72" s="37"/>
      <c r="D72" s="38"/>
      <c r="E72" s="38" t="s">
        <v>59</v>
      </c>
      <c r="F72" s="49"/>
      <c r="G72" s="49"/>
      <c r="H72" s="37"/>
      <c r="I72" s="144"/>
      <c r="J72" s="154"/>
      <c r="K72" s="157"/>
      <c r="L72" s="53"/>
      <c r="M72" s="53"/>
      <c r="N72" s="53"/>
      <c r="O72" s="53"/>
      <c r="P72" s="53"/>
    </row>
    <row r="73" spans="1:16" x14ac:dyDescent="0.2">
      <c r="A73" s="326"/>
      <c r="B73" s="143" t="s">
        <v>35</v>
      </c>
      <c r="C73" s="37"/>
      <c r="D73" s="38"/>
      <c r="E73" s="38" t="s">
        <v>59</v>
      </c>
      <c r="F73" s="49"/>
      <c r="G73" s="49"/>
      <c r="H73" s="37"/>
      <c r="I73" s="144"/>
      <c r="J73" s="154"/>
      <c r="K73" s="157"/>
      <c r="L73" s="53"/>
      <c r="M73" s="53"/>
      <c r="N73" s="53"/>
      <c r="O73" s="53"/>
      <c r="P73" s="53"/>
    </row>
    <row r="74" spans="1:16" x14ac:dyDescent="0.2">
      <c r="A74" s="326"/>
      <c r="B74" s="143" t="s">
        <v>71</v>
      </c>
      <c r="C74" s="37"/>
      <c r="D74" s="38"/>
      <c r="E74" s="38" t="s">
        <v>59</v>
      </c>
      <c r="F74" s="49"/>
      <c r="G74" s="49"/>
      <c r="H74" s="37"/>
      <c r="I74" s="144"/>
      <c r="J74" s="154"/>
      <c r="K74" s="157"/>
      <c r="L74" s="53"/>
      <c r="M74" s="53"/>
      <c r="N74" s="53"/>
      <c r="O74" s="53"/>
      <c r="P74" s="53"/>
    </row>
    <row r="75" spans="1:16" x14ac:dyDescent="0.2">
      <c r="A75" s="326"/>
      <c r="B75" s="143" t="s">
        <v>233</v>
      </c>
      <c r="C75" s="37"/>
      <c r="D75" s="38"/>
      <c r="E75" s="38" t="s">
        <v>234</v>
      </c>
      <c r="F75" s="49"/>
      <c r="G75" s="49"/>
      <c r="H75" s="37"/>
      <c r="I75" s="144"/>
      <c r="J75" s="154"/>
      <c r="K75" s="157"/>
      <c r="L75" s="53"/>
      <c r="M75" s="53"/>
      <c r="N75" s="53"/>
      <c r="O75" s="53"/>
      <c r="P75" s="53"/>
    </row>
    <row r="76" spans="1:16" x14ac:dyDescent="0.2">
      <c r="A76" s="326"/>
      <c r="B76" s="143" t="s">
        <v>41</v>
      </c>
      <c r="C76" s="37"/>
      <c r="D76" s="38"/>
      <c r="E76" s="38" t="s">
        <v>236</v>
      </c>
      <c r="F76" s="49"/>
      <c r="G76" s="49"/>
      <c r="H76" s="37"/>
      <c r="I76" s="144"/>
      <c r="J76" s="154"/>
      <c r="K76" s="157"/>
      <c r="L76" s="53"/>
      <c r="M76" s="53"/>
      <c r="N76" s="53"/>
      <c r="O76" s="53"/>
      <c r="P76" s="53"/>
    </row>
    <row r="77" spans="1:16" x14ac:dyDescent="0.2">
      <c r="A77" s="327"/>
      <c r="B77" s="137" t="s">
        <v>86</v>
      </c>
      <c r="C77" s="37"/>
      <c r="D77" s="38"/>
      <c r="E77" s="38"/>
      <c r="F77" s="49"/>
      <c r="G77" s="49"/>
      <c r="H77" s="37"/>
      <c r="I77" s="54">
        <f>SUM(I65:I76)</f>
        <v>0</v>
      </c>
      <c r="J77" s="82"/>
      <c r="K77" s="158"/>
      <c r="L77" s="53"/>
      <c r="M77" s="53"/>
      <c r="N77" s="53"/>
      <c r="O77" s="53"/>
      <c r="P77" s="53"/>
    </row>
    <row r="78" spans="1:16" x14ac:dyDescent="0.2">
      <c r="A78" s="332" t="s">
        <v>38</v>
      </c>
      <c r="B78" s="47" t="s">
        <v>40</v>
      </c>
      <c r="C78" s="47" t="s">
        <v>17</v>
      </c>
      <c r="D78" s="47"/>
      <c r="E78" s="47"/>
      <c r="F78" s="47" t="s">
        <v>33</v>
      </c>
      <c r="G78" s="47" t="s">
        <v>231</v>
      </c>
      <c r="H78" s="47" t="s">
        <v>240</v>
      </c>
      <c r="I78" s="47" t="s">
        <v>86</v>
      </c>
      <c r="J78" s="57" t="s">
        <v>225</v>
      </c>
      <c r="K78" s="158"/>
      <c r="L78" s="53"/>
      <c r="M78" s="103"/>
      <c r="N78" s="103"/>
      <c r="O78" s="103"/>
      <c r="P78" s="53"/>
    </row>
    <row r="79" spans="1:16" x14ac:dyDescent="0.2">
      <c r="A79" s="326"/>
      <c r="B79" s="329" t="s">
        <v>37</v>
      </c>
      <c r="C79" s="38" t="s">
        <v>237</v>
      </c>
      <c r="D79" s="192"/>
      <c r="E79" s="239"/>
      <c r="F79" s="38" t="s">
        <v>246</v>
      </c>
      <c r="G79" s="49">
        <v>300</v>
      </c>
      <c r="H79" s="37"/>
      <c r="I79" s="54">
        <f>G79*H79</f>
        <v>0</v>
      </c>
      <c r="J79" s="154" t="s">
        <v>241</v>
      </c>
      <c r="K79" s="158"/>
      <c r="L79" s="53"/>
      <c r="M79" s="53"/>
      <c r="N79" s="53"/>
      <c r="O79" s="53"/>
      <c r="P79" s="53"/>
    </row>
    <row r="80" spans="1:16" x14ac:dyDescent="0.2">
      <c r="A80" s="326"/>
      <c r="B80" s="331"/>
      <c r="C80" s="38" t="s">
        <v>238</v>
      </c>
      <c r="D80" s="40"/>
      <c r="E80" s="240"/>
      <c r="F80" s="38" t="s">
        <v>246</v>
      </c>
      <c r="G80" s="49">
        <v>400</v>
      </c>
      <c r="H80" s="37"/>
      <c r="I80" s="54">
        <f>G80*H80</f>
        <v>0</v>
      </c>
      <c r="J80" s="155" t="s">
        <v>230</v>
      </c>
      <c r="K80" s="158"/>
      <c r="L80" s="53"/>
      <c r="M80" s="53"/>
      <c r="N80" s="53"/>
      <c r="O80" s="53"/>
      <c r="P80" s="53"/>
    </row>
    <row r="81" spans="1:16" x14ac:dyDescent="0.2">
      <c r="A81" s="327"/>
      <c r="B81" s="140" t="s">
        <v>244</v>
      </c>
      <c r="C81" s="37"/>
      <c r="D81" s="241"/>
      <c r="E81" s="242"/>
      <c r="F81" s="37"/>
      <c r="G81" s="49"/>
      <c r="H81" s="37"/>
      <c r="I81" s="54">
        <f>SUM(I79:I80)</f>
        <v>0</v>
      </c>
      <c r="J81" s="82"/>
      <c r="K81" s="158"/>
      <c r="L81" s="53"/>
      <c r="M81" s="53"/>
      <c r="N81" s="53"/>
      <c r="O81" s="53"/>
      <c r="P81" s="53"/>
    </row>
    <row r="82" spans="1:16" x14ac:dyDescent="0.2">
      <c r="A82" s="332" t="s">
        <v>323</v>
      </c>
      <c r="B82" s="47" t="s">
        <v>40</v>
      </c>
      <c r="C82" s="231"/>
      <c r="D82" s="232"/>
      <c r="E82" s="233"/>
      <c r="F82" s="47" t="s">
        <v>33</v>
      </c>
      <c r="G82" s="47" t="s">
        <v>231</v>
      </c>
      <c r="H82" s="47" t="s">
        <v>385</v>
      </c>
      <c r="I82" s="47" t="s">
        <v>86</v>
      </c>
      <c r="J82" s="57" t="s">
        <v>225</v>
      </c>
      <c r="K82" s="158"/>
      <c r="L82" s="53"/>
      <c r="M82" s="103"/>
      <c r="N82" s="103"/>
      <c r="O82" s="103"/>
      <c r="P82" s="53"/>
    </row>
    <row r="83" spans="1:16" x14ac:dyDescent="0.2">
      <c r="A83" s="326"/>
      <c r="B83" s="143" t="s">
        <v>39</v>
      </c>
      <c r="C83" s="234"/>
      <c r="D83" s="104"/>
      <c r="E83" s="235"/>
      <c r="F83" s="208" t="s">
        <v>386</v>
      </c>
      <c r="G83" s="54">
        <f>I83/H83</f>
        <v>186.9158878504673</v>
      </c>
      <c r="H83" s="145">
        <f>SUMIFS(客户基本信息!G56:G60,客户基本信息!F56:F60,"玉米")</f>
        <v>107</v>
      </c>
      <c r="I83" s="146">
        <f>SUMIFS(客户基本信息!J58:J60,客户基本信息!F58:F60,"=玉米")</f>
        <v>20000</v>
      </c>
      <c r="J83" s="154" t="s">
        <v>288</v>
      </c>
      <c r="K83" s="158"/>
      <c r="L83" s="53"/>
      <c r="M83" s="53"/>
      <c r="N83" s="53"/>
      <c r="O83" s="53"/>
      <c r="P83" s="53"/>
    </row>
    <row r="84" spans="1:16" x14ac:dyDescent="0.2">
      <c r="A84" s="326"/>
      <c r="B84" s="143" t="s">
        <v>119</v>
      </c>
      <c r="C84" s="234"/>
      <c r="D84" s="104"/>
      <c r="E84" s="235"/>
      <c r="F84" s="208" t="s">
        <v>386</v>
      </c>
      <c r="G84" s="49">
        <v>0.2</v>
      </c>
      <c r="H84" s="148"/>
      <c r="I84" s="146">
        <f>H84*G84</f>
        <v>0</v>
      </c>
      <c r="J84" s="154" t="s">
        <v>288</v>
      </c>
      <c r="K84" s="158"/>
      <c r="L84" s="53"/>
      <c r="M84" s="53"/>
      <c r="N84" s="53"/>
      <c r="O84" s="53"/>
      <c r="P84" s="53"/>
    </row>
    <row r="85" spans="1:16" x14ac:dyDescent="0.2">
      <c r="A85" s="326"/>
      <c r="B85" s="143" t="s">
        <v>120</v>
      </c>
      <c r="C85" s="234"/>
      <c r="D85" s="104"/>
      <c r="E85" s="235"/>
      <c r="F85" s="208" t="s">
        <v>386</v>
      </c>
      <c r="G85" s="49">
        <v>10</v>
      </c>
      <c r="H85" s="148"/>
      <c r="I85" s="146">
        <f>H85*G85</f>
        <v>0</v>
      </c>
      <c r="J85" s="154" t="s">
        <v>288</v>
      </c>
      <c r="K85" s="158"/>
      <c r="L85" s="53"/>
      <c r="M85" s="66"/>
      <c r="N85" s="66"/>
      <c r="O85" s="66"/>
      <c r="P85" s="66"/>
    </row>
    <row r="86" spans="1:16" x14ac:dyDescent="0.2">
      <c r="A86" s="327"/>
      <c r="B86" s="137" t="s">
        <v>245</v>
      </c>
      <c r="C86" s="236"/>
      <c r="D86" s="237"/>
      <c r="E86" s="238"/>
      <c r="F86" s="37"/>
      <c r="G86" s="49"/>
      <c r="H86" s="148"/>
      <c r="I86" s="146">
        <f>SUM(I83:I85)</f>
        <v>20000</v>
      </c>
      <c r="J86" s="82"/>
      <c r="K86" s="158"/>
      <c r="L86" s="53"/>
      <c r="M86" s="66"/>
      <c r="N86" s="66"/>
      <c r="O86" s="66"/>
      <c r="P86" s="66"/>
    </row>
    <row r="87" spans="1:16" ht="20.25" customHeight="1" x14ac:dyDescent="0.15">
      <c r="A87" s="220">
        <f>A49+1</f>
        <v>2018</v>
      </c>
      <c r="B87" s="204" t="s">
        <v>40</v>
      </c>
      <c r="C87" s="204" t="s">
        <v>17</v>
      </c>
      <c r="D87" s="204" t="s">
        <v>239</v>
      </c>
      <c r="E87" s="204" t="s">
        <v>33</v>
      </c>
      <c r="F87" s="204" t="s">
        <v>211</v>
      </c>
      <c r="G87" s="204" t="s">
        <v>3</v>
      </c>
      <c r="H87" s="204" t="s">
        <v>30</v>
      </c>
      <c r="I87" s="204" t="s">
        <v>321</v>
      </c>
      <c r="J87" s="204" t="s">
        <v>226</v>
      </c>
      <c r="K87" s="204" t="s">
        <v>320</v>
      </c>
      <c r="L87" s="206" t="s">
        <v>322</v>
      </c>
      <c r="M87" s="105"/>
      <c r="N87" s="4"/>
      <c r="O87" s="105"/>
      <c r="P87" s="53"/>
    </row>
    <row r="88" spans="1:16" ht="13.5" customHeight="1" x14ac:dyDescent="0.15">
      <c r="A88" s="309" t="s">
        <v>325</v>
      </c>
      <c r="B88" s="333" t="s">
        <v>19</v>
      </c>
      <c r="C88" s="37" t="s">
        <v>63</v>
      </c>
      <c r="D88" s="37" t="s">
        <v>53</v>
      </c>
      <c r="E88" s="208" t="s">
        <v>207</v>
      </c>
      <c r="F88" s="138" t="s">
        <v>419</v>
      </c>
      <c r="G88" s="49">
        <v>1200</v>
      </c>
      <c r="H88" s="37">
        <v>8</v>
      </c>
      <c r="I88" s="54">
        <f>H88*G88</f>
        <v>9600</v>
      </c>
      <c r="J88" s="323" t="s">
        <v>208</v>
      </c>
      <c r="K88" s="250" t="str">
        <f ca="1">IFERROR(LOOKUP(9E+307,--MID(F88,MIN(FIND({0;1;2;3;4;5;6;7;8;9},F88&amp;1234567890)),ROW(INDIRECT("1:"&amp;LEN(F88)))))*H88/B11*15,"0")</f>
        <v>0</v>
      </c>
      <c r="L88" s="250" t="str">
        <f ca="1">IFERROR(LOOKUP(9E+307,--MID(F88,MIN(FIND({0;1;2;3;4;5;6;7;8;9},F88&amp;1234567890)),ROW(INDIRECT("1:"&amp;LEN(F88)))))*H88/E46,"0")</f>
        <v>0</v>
      </c>
      <c r="M88" s="7"/>
      <c r="N88" s="9"/>
      <c r="O88" s="105"/>
      <c r="P88" s="53"/>
    </row>
    <row r="89" spans="1:16" x14ac:dyDescent="0.15">
      <c r="A89" s="309"/>
      <c r="B89" s="333"/>
      <c r="C89" s="37" t="s">
        <v>64</v>
      </c>
      <c r="D89" s="37" t="s">
        <v>209</v>
      </c>
      <c r="E89" s="208" t="s">
        <v>207</v>
      </c>
      <c r="F89" s="138" t="s">
        <v>213</v>
      </c>
      <c r="G89" s="49">
        <v>667</v>
      </c>
      <c r="H89" s="37"/>
      <c r="I89" s="54">
        <f>H89*G89</f>
        <v>0</v>
      </c>
      <c r="J89" s="324"/>
      <c r="K89" s="250" t="str">
        <f ca="1">IFERROR(LOOKUP(9E+307,--MID(F89,MIN(FIND({0;1;2;3;4;5;6;7;8;9},F89&amp;1234567890)),ROW(INDIRECT("1:"&amp;LEN(F89)))))*H89/B12*15,"0")</f>
        <v>0</v>
      </c>
      <c r="L89" s="250" t="str">
        <f ca="1">IFERROR(LOOKUP(9E+307,--MID(F89,MIN(FIND({0;1;2;3;4;5;6;7;8;9},F89&amp;1234567890)),ROW(INDIRECT("1:"&amp;LEN(F89)))))*H89/E47,"0")</f>
        <v>0</v>
      </c>
      <c r="M89" s="7"/>
      <c r="N89" s="9"/>
      <c r="O89" s="105"/>
      <c r="P89" s="53"/>
    </row>
    <row r="90" spans="1:16" x14ac:dyDescent="0.15">
      <c r="A90" s="309"/>
      <c r="B90" s="333"/>
      <c r="C90" s="37" t="s">
        <v>65</v>
      </c>
      <c r="D90" s="37" t="s">
        <v>66</v>
      </c>
      <c r="E90" s="208" t="s">
        <v>210</v>
      </c>
      <c r="F90" s="138" t="s">
        <v>212</v>
      </c>
      <c r="G90" s="49">
        <v>800</v>
      </c>
      <c r="H90" s="37"/>
      <c r="I90" s="54">
        <f t="shared" ref="I90:I100" si="8">H90*G90</f>
        <v>0</v>
      </c>
      <c r="J90" s="324"/>
      <c r="K90" s="250" t="str">
        <f ca="1">IFERROR(LOOKUP(9E+307,--MID(F90,MIN(FIND({0;1;2;3;4;5;6;7;8;9},F90&amp;1234567890)),ROW(INDIRECT("1:"&amp;LEN(F90)))))*H90/B13*15,"0")</f>
        <v>0</v>
      </c>
      <c r="L90" s="250" t="str">
        <f ca="1">IFERROR(LOOKUP(9E+307,--MID(F90,MIN(FIND({0;1;2;3;4;5;6;7;8;9},F90&amp;1234567890)),ROW(INDIRECT("1:"&amp;LEN(F90)))))*H90/E48,"0")</f>
        <v>0</v>
      </c>
      <c r="M90" s="7"/>
      <c r="N90" s="8"/>
      <c r="O90" s="105"/>
      <c r="P90" s="53"/>
    </row>
    <row r="91" spans="1:16" x14ac:dyDescent="0.15">
      <c r="A91" s="309"/>
      <c r="B91" s="329" t="s">
        <v>21</v>
      </c>
      <c r="C91" s="37" t="s">
        <v>22</v>
      </c>
      <c r="D91" s="37" t="s">
        <v>215</v>
      </c>
      <c r="E91" s="208" t="s">
        <v>216</v>
      </c>
      <c r="F91" s="138" t="s">
        <v>217</v>
      </c>
      <c r="G91" s="49">
        <v>14</v>
      </c>
      <c r="H91" s="37"/>
      <c r="I91" s="54">
        <f t="shared" si="8"/>
        <v>0</v>
      </c>
      <c r="J91" s="324"/>
      <c r="K91" s="250">
        <f ca="1">IFERROR(LOOKUP(9E+307,--MID(F91,MIN(FIND({0;1;2;3;4;5;6;7;8;9},F91&amp;1234567890)),ROW(INDIRECT("1:"&amp;LEN(F91)))))*H91/$B$9*15,"0")</f>
        <v>0</v>
      </c>
      <c r="L91" s="250">
        <f ca="1">IFERROR(LOOKUP(9E+307,--MID(F91,MIN(FIND({0;1;2;3;4;5;6;7;8;9},F91&amp;1234567890)),ROW(INDIRECT("1:"&amp;LEN(F91)))))*H91/$E$9,"0")</f>
        <v>0</v>
      </c>
      <c r="M91" s="105"/>
      <c r="N91" s="109"/>
      <c r="O91" s="105"/>
      <c r="P91" s="53"/>
    </row>
    <row r="92" spans="1:16" x14ac:dyDescent="0.15">
      <c r="A92" s="309"/>
      <c r="B92" s="330"/>
      <c r="C92" s="37" t="s">
        <v>23</v>
      </c>
      <c r="D92" s="37"/>
      <c r="E92" s="208" t="s">
        <v>207</v>
      </c>
      <c r="F92" s="138" t="s">
        <v>214</v>
      </c>
      <c r="G92" s="49">
        <v>1500</v>
      </c>
      <c r="H92" s="37">
        <v>1</v>
      </c>
      <c r="I92" s="54">
        <f t="shared" si="8"/>
        <v>1500</v>
      </c>
      <c r="J92" s="324"/>
      <c r="K92" s="250">
        <f ca="1">IFERROR(LOOKUP(9E+307,--MID(F92,MIN(FIND({0;1;2;3;4;5;6;7;8;9},F92&amp;1234567890)),ROW(INDIRECT("1:"&amp;LEN(F92)))))*H92/$B$9*15,"0")</f>
        <v>68.181818181818187</v>
      </c>
      <c r="L92" s="250">
        <f ca="1">IFERROR(LOOKUP(9E+307,--MID(F92,MIN(FIND({0;1;2;3;4;5;6;7;8;9},F92&amp;1234567890)),ROW(INDIRECT("1:"&amp;LEN(F92)))))*H92/$E$9,"0")</f>
        <v>5.6818181818181817</v>
      </c>
      <c r="M92" s="105"/>
      <c r="N92" s="105"/>
      <c r="O92" s="11"/>
      <c r="P92" s="53"/>
    </row>
    <row r="93" spans="1:16" x14ac:dyDescent="0.15">
      <c r="A93" s="309"/>
      <c r="B93" s="330"/>
      <c r="C93" s="37" t="s">
        <v>23</v>
      </c>
      <c r="D93" s="37"/>
      <c r="E93" s="208" t="s">
        <v>219</v>
      </c>
      <c r="F93" s="138" t="s">
        <v>218</v>
      </c>
      <c r="G93" s="49">
        <v>1120</v>
      </c>
      <c r="H93" s="37">
        <v>1</v>
      </c>
      <c r="I93" s="54">
        <f t="shared" si="8"/>
        <v>1120</v>
      </c>
      <c r="J93" s="324"/>
      <c r="K93" s="250">
        <f ca="1">IFERROR(LOOKUP(9E+307,--MID(F93,MIN(FIND({0;1;2;3;4;5;6;7;8;9},F93&amp;1234567890)),ROW(INDIRECT("1:"&amp;LEN(F93)))))*H93/$B$9*15,"0")</f>
        <v>13.636363636363637</v>
      </c>
      <c r="L93" s="250">
        <f ca="1">IFERROR(LOOKUP(9E+307,--MID(F93,MIN(FIND({0;1;2;3;4;5;6;7;8;9},F93&amp;1234567890)),ROW(INDIRECT("1:"&amp;LEN(F93)))))*H93/$E$9,"0")</f>
        <v>1.1363636363636365</v>
      </c>
      <c r="M93" s="6"/>
      <c r="N93" s="14"/>
      <c r="O93" s="105"/>
      <c r="P93" s="53"/>
    </row>
    <row r="94" spans="1:16" x14ac:dyDescent="0.15">
      <c r="A94" s="309"/>
      <c r="B94" s="331"/>
      <c r="C94" s="37" t="s">
        <v>417</v>
      </c>
      <c r="D94" s="37" t="s">
        <v>420</v>
      </c>
      <c r="E94" s="208" t="s">
        <v>220</v>
      </c>
      <c r="F94" s="138" t="s">
        <v>221</v>
      </c>
      <c r="G94" s="49">
        <v>700</v>
      </c>
      <c r="H94" s="37">
        <v>1</v>
      </c>
      <c r="I94" s="54">
        <f t="shared" si="8"/>
        <v>700</v>
      </c>
      <c r="J94" s="324"/>
      <c r="K94" s="250">
        <f ca="1">IFERROR(LOOKUP(9E+307,--MID(F94,MIN(FIND({0;1;2;3;4;5;6;7;8;9},F94&amp;1234567890)),ROW(INDIRECT("1:"&amp;LEN(F94)))))*H94/$B$9*15,"0")</f>
        <v>136.36363636363637</v>
      </c>
      <c r="L94" s="250">
        <f ca="1">IFERROR(LOOKUP(9E+307,--MID(F94,MIN(FIND({0;1;2;3;4;5;6;7;8;9},F94&amp;1234567890)),ROW(INDIRECT("1:"&amp;LEN(F94)))))*H94/$E$9,"0")</f>
        <v>11.363636363636363</v>
      </c>
      <c r="M94" s="6"/>
      <c r="N94" s="4"/>
      <c r="O94" s="11"/>
      <c r="P94" s="53"/>
    </row>
    <row r="95" spans="1:16" x14ac:dyDescent="0.15">
      <c r="A95" s="309"/>
      <c r="B95" s="333" t="s">
        <v>24</v>
      </c>
      <c r="C95" s="37" t="s">
        <v>28</v>
      </c>
      <c r="D95" s="37" t="s">
        <v>55</v>
      </c>
      <c r="E95" s="208" t="s">
        <v>207</v>
      </c>
      <c r="F95" s="138" t="s">
        <v>222</v>
      </c>
      <c r="G95" s="49">
        <v>135</v>
      </c>
      <c r="H95" s="37"/>
      <c r="I95" s="54">
        <f t="shared" si="8"/>
        <v>0</v>
      </c>
      <c r="J95" s="324"/>
      <c r="K95" s="250">
        <f ca="1">IFERROR(LOOKUP(9E+307,--MID(F95,MIN(FIND({0;1;2;3;4;5;6;7;8;9},F95&amp;1234567890)),ROW(INDIRECT("1:"&amp;LEN(F95)))))*H95/$B$9*15,"0")</f>
        <v>0</v>
      </c>
      <c r="L95" s="250">
        <f ca="1">IFERROR(LOOKUP(9E+307,--MID(F95,MIN(FIND({0;1;2;3;4;5;6;7;8;9},F95&amp;1234567890)),ROW(INDIRECT("1:"&amp;LEN(F95)))))*H95/$E$9,"0")</f>
        <v>0</v>
      </c>
      <c r="M95" s="6"/>
      <c r="N95" s="15"/>
      <c r="O95" s="105"/>
      <c r="P95" s="53"/>
    </row>
    <row r="96" spans="1:16" x14ac:dyDescent="0.15">
      <c r="A96" s="309"/>
      <c r="B96" s="333"/>
      <c r="C96" s="37" t="s">
        <v>28</v>
      </c>
      <c r="D96" s="37" t="s">
        <v>224</v>
      </c>
      <c r="E96" s="208" t="s">
        <v>207</v>
      </c>
      <c r="F96" s="138"/>
      <c r="G96" s="49">
        <v>140</v>
      </c>
      <c r="H96" s="37">
        <v>64</v>
      </c>
      <c r="I96" s="54">
        <f t="shared" si="8"/>
        <v>8960</v>
      </c>
      <c r="J96" s="324"/>
      <c r="K96" s="250" t="str">
        <f ca="1">IFERROR(LOOKUP(9E+307,--MID(F96,MIN(FIND({0;1;2;3;4;5;6;7;8;9},F96&amp;1234567890)),ROW(INDIRECT("1:"&amp;LEN(F96)))))*H96/$B$9*15,"0")</f>
        <v>0</v>
      </c>
      <c r="L96" s="250" t="str">
        <f ca="1">IFERROR(LOOKUP(9E+307,--MID(F96,MIN(FIND({0;1;2;3;4;5;6;7;8;9},F96&amp;1234567890)),ROW(INDIRECT("1:"&amp;LEN(F96)))))*H96/$E$9,"0")</f>
        <v>0</v>
      </c>
      <c r="M96" s="7"/>
      <c r="N96" s="9"/>
      <c r="O96" s="11"/>
      <c r="P96" s="53"/>
    </row>
    <row r="97" spans="1:16" x14ac:dyDescent="0.15">
      <c r="A97" s="309"/>
      <c r="B97" s="333"/>
      <c r="C97" s="37" t="s">
        <v>29</v>
      </c>
      <c r="D97" s="37" t="s">
        <v>54</v>
      </c>
      <c r="E97" s="208" t="s">
        <v>223</v>
      </c>
      <c r="F97" s="138" t="s">
        <v>222</v>
      </c>
      <c r="G97" s="49">
        <v>100</v>
      </c>
      <c r="H97" s="37">
        <v>64</v>
      </c>
      <c r="I97" s="54">
        <f t="shared" si="8"/>
        <v>6400</v>
      </c>
      <c r="J97" s="324"/>
      <c r="K97" s="250">
        <f ca="1">IFERROR(LOOKUP(9E+307,--MID(F97,MIN(FIND({0;1;2;3;4;5;6;7;8;9},F97&amp;1234567890)),ROW(INDIRECT("1:"&amp;LEN(F97)))))*H97/$B$9*15,"0")</f>
        <v>436.36363636363637</v>
      </c>
      <c r="L97" s="250">
        <f ca="1">IFERROR(LOOKUP(9E+307,--MID(F97,MIN(FIND({0;1;2;3;4;5;6;7;8;9},F97&amp;1234567890)),ROW(INDIRECT("1:"&amp;LEN(F97)))))*H97/$E$9,"0")</f>
        <v>36.363636363636367</v>
      </c>
      <c r="M97" s="105"/>
      <c r="N97" s="139"/>
      <c r="O97" s="105"/>
      <c r="P97" s="53"/>
    </row>
    <row r="98" spans="1:16" x14ac:dyDescent="0.2">
      <c r="A98" s="309"/>
      <c r="B98" s="333" t="s">
        <v>77</v>
      </c>
      <c r="C98" s="37" t="s">
        <v>32</v>
      </c>
      <c r="D98" s="37"/>
      <c r="E98" s="208"/>
      <c r="F98" s="138"/>
      <c r="G98" s="49"/>
      <c r="H98" s="37"/>
      <c r="I98" s="54">
        <f t="shared" si="8"/>
        <v>0</v>
      </c>
      <c r="J98" s="324"/>
      <c r="K98" s="250" t="str">
        <f ca="1">IFERROR(LOOKUP(9E+307,--MID(F98,MIN(FIND({0;1;2;3;4;5;6;7;8;9},F98&amp;1234567890)),ROW(INDIRECT("1:"&amp;LEN(F98)))))*H98/$B$9*15,"0")</f>
        <v>0</v>
      </c>
      <c r="L98" s="250" t="str">
        <f ca="1">IFERROR(LOOKUP(9E+307,--MID(F98,MIN(FIND({0;1;2;3;4;5;6;7;8;9},F98&amp;1234567890)),ROW(INDIRECT("1:"&amp;LEN(F98)))))*H98/$E$9,"0")</f>
        <v>0</v>
      </c>
      <c r="M98" s="103"/>
      <c r="N98" s="103"/>
      <c r="O98" s="103"/>
      <c r="P98" s="53"/>
    </row>
    <row r="99" spans="1:16" x14ac:dyDescent="0.2">
      <c r="A99" s="309"/>
      <c r="B99" s="333"/>
      <c r="C99" s="37" t="s">
        <v>36</v>
      </c>
      <c r="D99" s="37"/>
      <c r="E99" s="208"/>
      <c r="F99" s="78"/>
      <c r="G99" s="49"/>
      <c r="H99" s="37"/>
      <c r="I99" s="54">
        <f t="shared" si="8"/>
        <v>0</v>
      </c>
      <c r="J99" s="324"/>
      <c r="K99" s="250" t="str">
        <f ca="1">IFERROR(LOOKUP(9E+307,--MID(F99,MIN(FIND({0;1;2;3;4;5;6;7;8;9},F99&amp;1234567890)),ROW(INDIRECT("1:"&amp;LEN(F99)))))*H99/$B$9*15,"0")</f>
        <v>0</v>
      </c>
      <c r="L99" s="250" t="str">
        <f ca="1">IFERROR(LOOKUP(9E+307,--MID(F99,MIN(FIND({0;1;2;3;4;5;6;7;8;9},F99&amp;1234567890)),ROW(INDIRECT("1:"&amp;LEN(F99)))))*H99/$E$9,"0")</f>
        <v>0</v>
      </c>
      <c r="M99" s="103"/>
      <c r="N99" s="103"/>
      <c r="O99" s="103"/>
      <c r="P99" s="53"/>
    </row>
    <row r="100" spans="1:16" x14ac:dyDescent="0.2">
      <c r="A100" s="309"/>
      <c r="B100" s="208" t="s">
        <v>31</v>
      </c>
      <c r="C100" s="37"/>
      <c r="D100" s="37"/>
      <c r="E100" s="208"/>
      <c r="F100" s="78"/>
      <c r="G100" s="49"/>
      <c r="H100" s="37"/>
      <c r="I100" s="54">
        <f t="shared" si="8"/>
        <v>0</v>
      </c>
      <c r="J100" s="324"/>
      <c r="K100" s="250" t="str">
        <f ca="1">IFERROR(LOOKUP(9E+307,--MID(F100,MIN(FIND({0;1;2;3;4;5;6;7;8;9},F100&amp;1234567890)),ROW(INDIRECT("1:"&amp;LEN(F100)))))*H100/$B$9*15,"0")</f>
        <v>0</v>
      </c>
      <c r="L100" s="250" t="str">
        <f ca="1">IFERROR(LOOKUP(9E+307,--MID(F100,MIN(FIND({0;1;2;3;4;5;6;7;8;9},F100&amp;1234567890)),ROW(INDIRECT("1:"&amp;LEN(F100)))))*H100/$E$9,"0")</f>
        <v>0</v>
      </c>
      <c r="M100" s="103"/>
      <c r="N100" s="103"/>
      <c r="O100" s="103"/>
      <c r="P100" s="53"/>
    </row>
    <row r="101" spans="1:16" x14ac:dyDescent="0.2">
      <c r="A101" s="309"/>
      <c r="B101" s="140" t="s">
        <v>243</v>
      </c>
      <c r="C101" s="311"/>
      <c r="D101" s="312"/>
      <c r="E101" s="312"/>
      <c r="F101" s="312"/>
      <c r="G101" s="312"/>
      <c r="H101" s="313"/>
      <c r="I101" s="54">
        <f>SUM(I87:I100)</f>
        <v>28280</v>
      </c>
      <c r="J101" s="325"/>
      <c r="K101" s="321"/>
      <c r="L101" s="322"/>
      <c r="M101" s="103"/>
      <c r="N101" s="103"/>
      <c r="O101" s="103"/>
      <c r="P101" s="53"/>
    </row>
    <row r="102" spans="1:16" x14ac:dyDescent="0.2">
      <c r="A102" s="326" t="s">
        <v>326</v>
      </c>
      <c r="B102" s="204" t="s">
        <v>40</v>
      </c>
      <c r="C102" s="204" t="s">
        <v>17</v>
      </c>
      <c r="D102" s="204" t="s">
        <v>56</v>
      </c>
      <c r="E102" s="204" t="s">
        <v>33</v>
      </c>
      <c r="F102" s="204" t="s">
        <v>227</v>
      </c>
      <c r="G102" s="204" t="s">
        <v>231</v>
      </c>
      <c r="H102" s="204" t="s">
        <v>30</v>
      </c>
      <c r="I102" s="204" t="s">
        <v>86</v>
      </c>
      <c r="J102" s="205" t="s">
        <v>225</v>
      </c>
      <c r="K102" s="209"/>
      <c r="L102" s="53"/>
      <c r="M102" s="103"/>
      <c r="N102" s="103"/>
      <c r="O102" s="103"/>
      <c r="P102" s="53"/>
    </row>
    <row r="103" spans="1:16" x14ac:dyDescent="0.2">
      <c r="A103" s="326"/>
      <c r="B103" s="328" t="s">
        <v>121</v>
      </c>
      <c r="C103" s="329" t="s">
        <v>15</v>
      </c>
      <c r="D103" s="141" t="s">
        <v>57</v>
      </c>
      <c r="E103" s="208" t="s">
        <v>115</v>
      </c>
      <c r="F103" s="142" t="s">
        <v>228</v>
      </c>
      <c r="G103" s="49"/>
      <c r="H103" s="37"/>
      <c r="I103" s="54">
        <f>G103*H103</f>
        <v>0</v>
      </c>
      <c r="J103" s="154"/>
      <c r="K103" s="158"/>
      <c r="L103" s="53"/>
      <c r="M103" s="103"/>
      <c r="N103" s="103"/>
      <c r="O103" s="103"/>
      <c r="P103" s="53"/>
    </row>
    <row r="104" spans="1:16" x14ac:dyDescent="0.2">
      <c r="A104" s="326"/>
      <c r="B104" s="328"/>
      <c r="C104" s="330"/>
      <c r="D104" s="141" t="s">
        <v>62</v>
      </c>
      <c r="E104" s="208" t="s">
        <v>115</v>
      </c>
      <c r="F104" s="142" t="s">
        <v>228</v>
      </c>
      <c r="G104" s="49"/>
      <c r="H104" s="37"/>
      <c r="I104" s="54">
        <f t="shared" ref="I104:I108" si="9">G104*H104</f>
        <v>0</v>
      </c>
      <c r="J104" s="154"/>
      <c r="K104" s="158"/>
      <c r="L104" s="53"/>
      <c r="M104" s="103"/>
      <c r="N104" s="103"/>
      <c r="O104" s="103"/>
      <c r="P104" s="53"/>
    </row>
    <row r="105" spans="1:16" x14ac:dyDescent="0.2">
      <c r="A105" s="326"/>
      <c r="B105" s="328"/>
      <c r="C105" s="330"/>
      <c r="D105" s="141" t="s">
        <v>58</v>
      </c>
      <c r="E105" s="208" t="s">
        <v>115</v>
      </c>
      <c r="F105" s="142" t="s">
        <v>229</v>
      </c>
      <c r="G105" s="49">
        <v>600</v>
      </c>
      <c r="H105" s="37"/>
      <c r="I105" s="54">
        <f t="shared" si="9"/>
        <v>0</v>
      </c>
      <c r="J105" s="154" t="s">
        <v>230</v>
      </c>
      <c r="K105" s="158"/>
      <c r="L105" s="53"/>
      <c r="M105" s="103"/>
      <c r="N105" s="103"/>
      <c r="O105" s="103"/>
      <c r="P105" s="53"/>
    </row>
    <row r="106" spans="1:16" x14ac:dyDescent="0.2">
      <c r="A106" s="326"/>
      <c r="B106" s="328"/>
      <c r="C106" s="330"/>
      <c r="D106" s="141" t="s">
        <v>61</v>
      </c>
      <c r="E106" s="208" t="s">
        <v>115</v>
      </c>
      <c r="F106" s="142" t="s">
        <v>229</v>
      </c>
      <c r="G106" s="49">
        <v>50</v>
      </c>
      <c r="H106" s="37"/>
      <c r="I106" s="54">
        <f t="shared" si="9"/>
        <v>0</v>
      </c>
      <c r="J106" s="154" t="s">
        <v>205</v>
      </c>
      <c r="K106" s="158"/>
      <c r="L106" s="53"/>
      <c r="M106" s="103"/>
      <c r="N106" s="103"/>
      <c r="O106" s="103"/>
      <c r="P106" s="53"/>
    </row>
    <row r="107" spans="1:16" x14ac:dyDescent="0.2">
      <c r="A107" s="326"/>
      <c r="B107" s="328"/>
      <c r="C107" s="331"/>
      <c r="D107" s="141" t="s">
        <v>94</v>
      </c>
      <c r="E107" s="208" t="s">
        <v>115</v>
      </c>
      <c r="F107" s="142" t="s">
        <v>228</v>
      </c>
      <c r="G107" s="49"/>
      <c r="H107" s="37"/>
      <c r="I107" s="54">
        <f t="shared" si="9"/>
        <v>0</v>
      </c>
      <c r="J107" s="154"/>
      <c r="K107" s="158"/>
      <c r="L107" s="53"/>
      <c r="M107" s="103"/>
      <c r="N107" s="103"/>
      <c r="O107" s="103"/>
      <c r="P107" s="53"/>
    </row>
    <row r="108" spans="1:16" x14ac:dyDescent="0.2">
      <c r="A108" s="326"/>
      <c r="B108" s="208" t="s">
        <v>25</v>
      </c>
      <c r="C108" s="143" t="s">
        <v>60</v>
      </c>
      <c r="D108" s="208"/>
      <c r="E108" s="208" t="s">
        <v>59</v>
      </c>
      <c r="F108" s="49"/>
      <c r="G108" s="49"/>
      <c r="H108" s="37"/>
      <c r="I108" s="54">
        <f t="shared" si="9"/>
        <v>0</v>
      </c>
      <c r="J108" s="154"/>
      <c r="K108" s="157"/>
      <c r="L108" s="53"/>
      <c r="M108" s="103"/>
      <c r="N108" s="103"/>
      <c r="O108" s="103"/>
      <c r="P108" s="53"/>
    </row>
    <row r="109" spans="1:16" x14ac:dyDescent="0.2">
      <c r="A109" s="326"/>
      <c r="B109" s="208" t="s">
        <v>26</v>
      </c>
      <c r="C109" s="143" t="s">
        <v>235</v>
      </c>
      <c r="D109" s="208"/>
      <c r="E109" s="208" t="s">
        <v>232</v>
      </c>
      <c r="F109" s="49"/>
      <c r="G109" s="49"/>
      <c r="H109" s="37"/>
      <c r="I109" s="144"/>
      <c r="J109" s="154"/>
      <c r="K109" s="157"/>
      <c r="L109" s="53"/>
      <c r="M109" s="103"/>
      <c r="N109" s="103"/>
      <c r="O109" s="103"/>
      <c r="P109" s="53"/>
    </row>
    <row r="110" spans="1:16" x14ac:dyDescent="0.2">
      <c r="A110" s="326"/>
      <c r="B110" s="143" t="s">
        <v>34</v>
      </c>
      <c r="C110" s="37"/>
      <c r="D110" s="208"/>
      <c r="E110" s="208" t="s">
        <v>59</v>
      </c>
      <c r="F110" s="49"/>
      <c r="G110" s="49"/>
      <c r="H110" s="37"/>
      <c r="I110" s="144"/>
      <c r="J110" s="154"/>
      <c r="K110" s="157"/>
      <c r="L110" s="53"/>
      <c r="M110" s="53"/>
      <c r="N110" s="53"/>
      <c r="O110" s="53"/>
      <c r="P110" s="53"/>
    </row>
    <row r="111" spans="1:16" x14ac:dyDescent="0.2">
      <c r="A111" s="326"/>
      <c r="B111" s="143" t="s">
        <v>35</v>
      </c>
      <c r="C111" s="37"/>
      <c r="D111" s="208"/>
      <c r="E111" s="208" t="s">
        <v>59</v>
      </c>
      <c r="F111" s="49"/>
      <c r="G111" s="49"/>
      <c r="H111" s="37"/>
      <c r="I111" s="144"/>
      <c r="J111" s="154"/>
      <c r="K111" s="157"/>
      <c r="L111" s="53"/>
      <c r="M111" s="53"/>
      <c r="N111" s="53"/>
      <c r="O111" s="53"/>
      <c r="P111" s="53"/>
    </row>
    <row r="112" spans="1:16" x14ac:dyDescent="0.2">
      <c r="A112" s="326"/>
      <c r="B112" s="143" t="s">
        <v>71</v>
      </c>
      <c r="C112" s="37"/>
      <c r="D112" s="208"/>
      <c r="E112" s="208" t="s">
        <v>59</v>
      </c>
      <c r="F112" s="49"/>
      <c r="G112" s="49"/>
      <c r="H112" s="37"/>
      <c r="I112" s="144"/>
      <c r="J112" s="154"/>
      <c r="K112" s="157"/>
      <c r="L112" s="53"/>
      <c r="M112" s="53"/>
      <c r="N112" s="53"/>
      <c r="O112" s="53"/>
      <c r="P112" s="53"/>
    </row>
    <row r="113" spans="1:16" x14ac:dyDescent="0.2">
      <c r="A113" s="326"/>
      <c r="B113" s="143" t="s">
        <v>233</v>
      </c>
      <c r="C113" s="37"/>
      <c r="D113" s="208"/>
      <c r="E113" s="208" t="s">
        <v>234</v>
      </c>
      <c r="F113" s="49"/>
      <c r="G113" s="49"/>
      <c r="H113" s="37"/>
      <c r="I113" s="144"/>
      <c r="J113" s="154"/>
      <c r="K113" s="157"/>
      <c r="L113" s="53"/>
      <c r="M113" s="53"/>
      <c r="N113" s="53"/>
      <c r="O113" s="53"/>
      <c r="P113" s="53"/>
    </row>
    <row r="114" spans="1:16" x14ac:dyDescent="0.2">
      <c r="A114" s="326"/>
      <c r="B114" s="143" t="s">
        <v>41</v>
      </c>
      <c r="C114" s="37"/>
      <c r="D114" s="208"/>
      <c r="E114" s="208" t="s">
        <v>236</v>
      </c>
      <c r="F114" s="49"/>
      <c r="G114" s="49"/>
      <c r="H114" s="37"/>
      <c r="I114" s="144"/>
      <c r="J114" s="154"/>
      <c r="K114" s="157"/>
      <c r="L114" s="53"/>
      <c r="M114" s="53"/>
      <c r="N114" s="53"/>
      <c r="O114" s="53"/>
      <c r="P114" s="53"/>
    </row>
    <row r="115" spans="1:16" x14ac:dyDescent="0.2">
      <c r="A115" s="327"/>
      <c r="B115" s="137" t="s">
        <v>86</v>
      </c>
      <c r="C115" s="37"/>
      <c r="D115" s="208"/>
      <c r="E115" s="208"/>
      <c r="F115" s="49"/>
      <c r="G115" s="49"/>
      <c r="H115" s="37"/>
      <c r="I115" s="54">
        <f>SUM(I103:I114)</f>
        <v>0</v>
      </c>
      <c r="J115" s="82"/>
      <c r="K115" s="158"/>
      <c r="L115" s="53"/>
      <c r="M115" s="53"/>
      <c r="N115" s="53"/>
      <c r="O115" s="53"/>
      <c r="P115" s="53"/>
    </row>
    <row r="116" spans="1:16" x14ac:dyDescent="0.2">
      <c r="A116" s="332" t="s">
        <v>38</v>
      </c>
      <c r="B116" s="204" t="s">
        <v>40</v>
      </c>
      <c r="C116" s="204" t="s">
        <v>17</v>
      </c>
      <c r="D116" s="204"/>
      <c r="E116" s="204"/>
      <c r="F116" s="204" t="s">
        <v>33</v>
      </c>
      <c r="G116" s="204" t="s">
        <v>231</v>
      </c>
      <c r="H116" s="204" t="s">
        <v>240</v>
      </c>
      <c r="I116" s="204" t="s">
        <v>86</v>
      </c>
      <c r="J116" s="205" t="s">
        <v>225</v>
      </c>
      <c r="K116" s="158"/>
      <c r="L116" s="53"/>
      <c r="M116" s="103"/>
      <c r="N116" s="103"/>
      <c r="O116" s="103"/>
      <c r="P116" s="53"/>
    </row>
    <row r="117" spans="1:16" x14ac:dyDescent="0.2">
      <c r="A117" s="326"/>
      <c r="B117" s="329" t="s">
        <v>37</v>
      </c>
      <c r="C117" s="208" t="s">
        <v>237</v>
      </c>
      <c r="D117" s="192"/>
      <c r="E117" s="239"/>
      <c r="F117" s="208" t="s">
        <v>246</v>
      </c>
      <c r="G117" s="49">
        <v>300</v>
      </c>
      <c r="H117" s="37"/>
      <c r="I117" s="54">
        <f>G117*H117</f>
        <v>0</v>
      </c>
      <c r="J117" s="154" t="s">
        <v>241</v>
      </c>
      <c r="K117" s="158"/>
      <c r="L117" s="53"/>
      <c r="M117" s="53"/>
      <c r="N117" s="53"/>
      <c r="O117" s="53"/>
      <c r="P117" s="53"/>
    </row>
    <row r="118" spans="1:16" x14ac:dyDescent="0.2">
      <c r="A118" s="326"/>
      <c r="B118" s="331"/>
      <c r="C118" s="208" t="s">
        <v>238</v>
      </c>
      <c r="D118" s="40"/>
      <c r="E118" s="240"/>
      <c r="F118" s="208" t="s">
        <v>246</v>
      </c>
      <c r="G118" s="49">
        <v>400</v>
      </c>
      <c r="H118" s="37"/>
      <c r="I118" s="54">
        <f>G118*H118</f>
        <v>0</v>
      </c>
      <c r="J118" s="155" t="s">
        <v>230</v>
      </c>
      <c r="K118" s="158"/>
      <c r="L118" s="53"/>
      <c r="M118" s="53"/>
      <c r="N118" s="53"/>
      <c r="O118" s="53"/>
      <c r="P118" s="53"/>
    </row>
    <row r="119" spans="1:16" x14ac:dyDescent="0.2">
      <c r="A119" s="327"/>
      <c r="B119" s="140" t="s">
        <v>244</v>
      </c>
      <c r="C119" s="37"/>
      <c r="D119" s="241"/>
      <c r="E119" s="242"/>
      <c r="F119" s="37"/>
      <c r="G119" s="49"/>
      <c r="H119" s="37"/>
      <c r="I119" s="54">
        <f>SUM(I117:I118)</f>
        <v>0</v>
      </c>
      <c r="J119" s="82"/>
      <c r="K119" s="158"/>
      <c r="L119" s="53"/>
      <c r="M119" s="53"/>
      <c r="N119" s="53"/>
      <c r="O119" s="53"/>
      <c r="P119" s="53"/>
    </row>
    <row r="120" spans="1:16" x14ac:dyDescent="0.2">
      <c r="A120" s="332" t="s">
        <v>323</v>
      </c>
      <c r="B120" s="204" t="s">
        <v>40</v>
      </c>
      <c r="C120" s="231"/>
      <c r="D120" s="232"/>
      <c r="E120" s="233"/>
      <c r="F120" s="204" t="s">
        <v>33</v>
      </c>
      <c r="G120" s="204" t="s">
        <v>231</v>
      </c>
      <c r="H120" s="204" t="s">
        <v>387</v>
      </c>
      <c r="I120" s="204" t="s">
        <v>86</v>
      </c>
      <c r="J120" s="205" t="s">
        <v>225</v>
      </c>
      <c r="K120" s="158"/>
      <c r="L120" s="53"/>
      <c r="M120" s="103"/>
      <c r="N120" s="103"/>
      <c r="O120" s="103"/>
      <c r="P120" s="53"/>
    </row>
    <row r="121" spans="1:16" x14ac:dyDescent="0.2">
      <c r="A121" s="326"/>
      <c r="B121" s="143" t="s">
        <v>39</v>
      </c>
      <c r="C121" s="234"/>
      <c r="D121" s="104"/>
      <c r="E121" s="235"/>
      <c r="F121" s="208" t="s">
        <v>386</v>
      </c>
      <c r="G121" s="54">
        <f>I121/H121</f>
        <v>213.67521367521368</v>
      </c>
      <c r="H121" s="145">
        <f>SUMIFS(客户基本信息!G63:G67,客户基本信息!F63:F67,"玉米")</f>
        <v>117</v>
      </c>
      <c r="I121" s="146">
        <f>SUMIFS(客户基本信息!J65:J67,客户基本信息!F65:F67,"=玉米")</f>
        <v>25000</v>
      </c>
      <c r="J121" s="154" t="s">
        <v>288</v>
      </c>
      <c r="K121" s="158"/>
      <c r="L121" s="53"/>
      <c r="M121" s="53"/>
      <c r="N121" s="53"/>
      <c r="O121" s="53"/>
      <c r="P121" s="53"/>
    </row>
    <row r="122" spans="1:16" x14ac:dyDescent="0.2">
      <c r="A122" s="326"/>
      <c r="B122" s="143" t="s">
        <v>119</v>
      </c>
      <c r="C122" s="234"/>
      <c r="D122" s="104"/>
      <c r="E122" s="235"/>
      <c r="F122" s="208" t="s">
        <v>386</v>
      </c>
      <c r="G122" s="49">
        <v>0.2</v>
      </c>
      <c r="H122" s="148">
        <v>0</v>
      </c>
      <c r="I122" s="146">
        <f>H122*G122</f>
        <v>0</v>
      </c>
      <c r="J122" s="154" t="s">
        <v>288</v>
      </c>
      <c r="K122" s="158"/>
      <c r="L122" s="53"/>
      <c r="M122" s="53"/>
      <c r="N122" s="53"/>
      <c r="O122" s="53"/>
      <c r="P122" s="53"/>
    </row>
    <row r="123" spans="1:16" x14ac:dyDescent="0.2">
      <c r="A123" s="326"/>
      <c r="B123" s="143" t="s">
        <v>120</v>
      </c>
      <c r="C123" s="234"/>
      <c r="D123" s="104"/>
      <c r="E123" s="235"/>
      <c r="F123" s="208" t="s">
        <v>386</v>
      </c>
      <c r="G123" s="49">
        <v>10</v>
      </c>
      <c r="H123" s="148">
        <v>0</v>
      </c>
      <c r="I123" s="146">
        <f>H123*G123</f>
        <v>0</v>
      </c>
      <c r="J123" s="154" t="s">
        <v>288</v>
      </c>
      <c r="K123" s="158"/>
      <c r="L123" s="53"/>
      <c r="M123" s="66"/>
      <c r="N123" s="66"/>
      <c r="O123" s="66"/>
      <c r="P123" s="66"/>
    </row>
    <row r="124" spans="1:16" x14ac:dyDescent="0.2">
      <c r="A124" s="327"/>
      <c r="B124" s="137" t="s">
        <v>245</v>
      </c>
      <c r="C124" s="236"/>
      <c r="D124" s="237"/>
      <c r="E124" s="238"/>
      <c r="F124" s="37"/>
      <c r="G124" s="49"/>
      <c r="H124" s="148"/>
      <c r="I124" s="146">
        <f>SUM(I121:I123)</f>
        <v>25000</v>
      </c>
      <c r="J124" s="82"/>
      <c r="K124" s="158"/>
      <c r="L124" s="53"/>
      <c r="M124" s="66"/>
      <c r="N124" s="66"/>
      <c r="O124" s="66"/>
      <c r="P124" s="66"/>
    </row>
    <row r="125" spans="1:16" x14ac:dyDescent="0.2">
      <c r="H125" s="99"/>
      <c r="K125" s="41"/>
      <c r="M125" s="66"/>
      <c r="N125" s="66"/>
      <c r="O125" s="66"/>
      <c r="P125" s="66"/>
    </row>
    <row r="126" spans="1:16" ht="16.5" customHeight="1" x14ac:dyDescent="0.2">
      <c r="A126" s="124" t="s">
        <v>97</v>
      </c>
      <c r="B126" s="101"/>
      <c r="C126" s="102"/>
      <c r="D126" s="102"/>
      <c r="E126" s="101"/>
      <c r="F126" s="102"/>
      <c r="G126" s="102"/>
      <c r="H126" s="102"/>
      <c r="I126" s="102"/>
      <c r="J126" s="102"/>
      <c r="K126" s="102"/>
      <c r="M126" s="66"/>
      <c r="N126" s="66"/>
      <c r="O126" s="66"/>
      <c r="P126" s="66"/>
    </row>
    <row r="127" spans="1:16" ht="17.25" customHeight="1" x14ac:dyDescent="0.2">
      <c r="A127" s="47"/>
      <c r="B127" s="47" t="s">
        <v>104</v>
      </c>
      <c r="C127" s="47" t="s">
        <v>27</v>
      </c>
      <c r="D127" s="47" t="s">
        <v>103</v>
      </c>
      <c r="E127" s="47" t="s">
        <v>98</v>
      </c>
      <c r="F127" s="47" t="s">
        <v>99</v>
      </c>
      <c r="G127" s="47" t="s">
        <v>100</v>
      </c>
      <c r="H127" s="47" t="s">
        <v>248</v>
      </c>
      <c r="I127" s="47" t="s">
        <v>249</v>
      </c>
      <c r="J127" s="47" t="s">
        <v>250</v>
      </c>
      <c r="K127" s="58"/>
      <c r="L127" s="58"/>
      <c r="M127" s="53"/>
      <c r="N127" s="53"/>
      <c r="O127" s="66"/>
      <c r="P127" s="66"/>
    </row>
    <row r="128" spans="1:16" ht="17.25" customHeight="1" x14ac:dyDescent="0.2">
      <c r="A128" s="309" t="s">
        <v>101</v>
      </c>
      <c r="B128" s="149"/>
      <c r="C128" s="149">
        <v>123123</v>
      </c>
      <c r="D128" s="31" t="s">
        <v>105</v>
      </c>
      <c r="E128" s="149">
        <v>3</v>
      </c>
      <c r="F128" s="31" t="s">
        <v>161</v>
      </c>
      <c r="G128" s="31" t="s">
        <v>160</v>
      </c>
      <c r="H128" s="31" t="s">
        <v>161</v>
      </c>
      <c r="I128" s="31" t="s">
        <v>161</v>
      </c>
      <c r="J128" s="31" t="s">
        <v>160</v>
      </c>
      <c r="K128" s="114"/>
      <c r="L128" s="114"/>
      <c r="M128" s="53"/>
      <c r="N128" s="53"/>
      <c r="O128" s="66"/>
      <c r="P128" s="66"/>
    </row>
    <row r="129" spans="1:14" ht="17.25" customHeight="1" x14ac:dyDescent="0.2">
      <c r="A129" s="309"/>
      <c r="B129" s="149"/>
      <c r="C129" s="149"/>
      <c r="D129" s="31"/>
      <c r="E129" s="149"/>
      <c r="F129" s="31"/>
      <c r="G129" s="31"/>
      <c r="H129" s="31"/>
      <c r="I129" s="31"/>
      <c r="J129" s="31"/>
      <c r="K129" s="114"/>
      <c r="L129" s="114"/>
      <c r="M129" s="53"/>
      <c r="N129" s="53"/>
    </row>
    <row r="130" spans="1:14" ht="18.75" customHeight="1" x14ac:dyDescent="0.2">
      <c r="A130" s="150"/>
      <c r="B130" s="47" t="s">
        <v>117</v>
      </c>
      <c r="C130" s="47" t="s">
        <v>27</v>
      </c>
      <c r="D130" s="47" t="s">
        <v>103</v>
      </c>
      <c r="E130" s="47" t="s">
        <v>98</v>
      </c>
      <c r="F130" s="47" t="s">
        <v>107</v>
      </c>
      <c r="G130" s="47" t="s">
        <v>106</v>
      </c>
      <c r="H130" s="47" t="s">
        <v>108</v>
      </c>
      <c r="I130" s="47" t="s">
        <v>124</v>
      </c>
      <c r="J130" s="47" t="s">
        <v>122</v>
      </c>
      <c r="K130" s="58"/>
      <c r="L130" s="58"/>
      <c r="M130" s="53"/>
      <c r="N130" s="53"/>
    </row>
    <row r="131" spans="1:14" ht="18.75" customHeight="1" x14ac:dyDescent="0.2">
      <c r="A131" s="309" t="s">
        <v>102</v>
      </c>
      <c r="B131" s="149"/>
      <c r="C131" s="149">
        <v>345345</v>
      </c>
      <c r="D131" s="31" t="s">
        <v>118</v>
      </c>
      <c r="E131" s="149">
        <v>5</v>
      </c>
      <c r="F131" s="31" t="s">
        <v>160</v>
      </c>
      <c r="G131" s="31" t="s">
        <v>160</v>
      </c>
      <c r="H131" s="31" t="s">
        <v>161</v>
      </c>
      <c r="I131" s="31" t="s">
        <v>160</v>
      </c>
      <c r="J131" s="31" t="s">
        <v>123</v>
      </c>
      <c r="K131" s="114"/>
      <c r="L131" s="114"/>
      <c r="M131" s="53"/>
      <c r="N131" s="53"/>
    </row>
    <row r="132" spans="1:14" ht="18.75" customHeight="1" x14ac:dyDescent="0.2">
      <c r="A132" s="309"/>
      <c r="B132" s="149"/>
      <c r="C132" s="149"/>
      <c r="D132" s="31"/>
      <c r="E132" s="149"/>
      <c r="F132" s="31"/>
      <c r="G132" s="31"/>
      <c r="H132" s="31"/>
      <c r="I132" s="31"/>
      <c r="J132" s="31"/>
      <c r="K132" s="114"/>
      <c r="L132" s="114"/>
      <c r="M132" s="53"/>
      <c r="N132" s="53"/>
    </row>
    <row r="133" spans="1:14" x14ac:dyDescent="0.2">
      <c r="K133" s="53"/>
      <c r="L133" s="53"/>
      <c r="M133" s="53"/>
      <c r="N133" s="53"/>
    </row>
  </sheetData>
  <dataConsolidate/>
  <mergeCells count="40">
    <mergeCell ref="F17:G17"/>
    <mergeCell ref="B65:B69"/>
    <mergeCell ref="A50:A63"/>
    <mergeCell ref="A64:A77"/>
    <mergeCell ref="B53:B56"/>
    <mergeCell ref="C65:C69"/>
    <mergeCell ref="K18:K21"/>
    <mergeCell ref="B60:B61"/>
    <mergeCell ref="B50:B52"/>
    <mergeCell ref="B57:B59"/>
    <mergeCell ref="J50:J63"/>
    <mergeCell ref="F24:G24"/>
    <mergeCell ref="K25:K28"/>
    <mergeCell ref="K41:K42"/>
    <mergeCell ref="C63:H63"/>
    <mergeCell ref="K63:L63"/>
    <mergeCell ref="K34:K35"/>
    <mergeCell ref="E33:F33"/>
    <mergeCell ref="E40:F40"/>
    <mergeCell ref="E39:F39"/>
    <mergeCell ref="E46:F46"/>
    <mergeCell ref="A78:A81"/>
    <mergeCell ref="B79:B80"/>
    <mergeCell ref="A82:A86"/>
    <mergeCell ref="A131:A132"/>
    <mergeCell ref="A88:A101"/>
    <mergeCell ref="B88:B90"/>
    <mergeCell ref="A120:A124"/>
    <mergeCell ref="B91:B94"/>
    <mergeCell ref="B95:B97"/>
    <mergeCell ref="B98:B99"/>
    <mergeCell ref="K101:L101"/>
    <mergeCell ref="J88:J101"/>
    <mergeCell ref="C101:H101"/>
    <mergeCell ref="A128:A129"/>
    <mergeCell ref="A102:A115"/>
    <mergeCell ref="B103:B107"/>
    <mergeCell ref="C103:C107"/>
    <mergeCell ref="A116:A119"/>
    <mergeCell ref="B117:B118"/>
  </mergeCells>
  <phoneticPr fontId="2" type="noConversion"/>
  <dataValidations count="14">
    <dataValidation type="list" allowBlank="1" showInputMessage="1" showErrorMessage="1" sqref="C53:C56 C91:C94">
      <formula1>"杀虫剂,杀菌剂,除草剂,种衣剂,叶面肥,微量元素,其他药剂"</formula1>
    </dataValidation>
    <dataValidation type="list" allowBlank="1" showInputMessage="1" showErrorMessage="1" sqref="C57:C59 C95:C97">
      <formula1>"底肥,口肥,追肥,"</formula1>
    </dataValidation>
    <dataValidation type="list" allowBlank="1" showInputMessage="1" showErrorMessage="1" sqref="D65:D69 D103:D107">
      <formula1>"整体,播种,收割,飞防,其他"</formula1>
    </dataValidation>
    <dataValidation type="list" allowBlank="1" showInputMessage="1" showErrorMessage="1" sqref="C50:C52 C88:C90">
      <formula1>"玉米品种一,玉米品种二,玉米品种三,无"</formula1>
    </dataValidation>
    <dataValidation type="list" allowBlank="1" showInputMessage="1" showErrorMessage="1" sqref="D128:D129">
      <formula1>"种子,化肥,农药,全部投入品"</formula1>
    </dataValidation>
    <dataValidation type="list" allowBlank="1" showInputMessage="1" showErrorMessage="1" sqref="D131:D132">
      <formula1>"收购潮粮,收购干粮,代储代烘"</formula1>
    </dataValidation>
    <dataValidation type="list" allowBlank="1" showInputMessage="1" showErrorMessage="1" sqref="J131:J132">
      <formula1>"储备粮,饲用,加工,食用,其他"</formula1>
    </dataValidation>
    <dataValidation type="list" allowBlank="1" showInputMessage="1" showErrorMessage="1" sqref="J65:J76 J83:J85 J50 J79:J80 J103:J114 J121:J123 J88 J117:J118">
      <formula1>"一月,二月,三月,四月,五月,六月,七月,八月,九月,十月,十一月,十二月"</formula1>
    </dataValidation>
    <dataValidation type="list" allowBlank="1" showInputMessage="1" showErrorMessage="1" sqref="F6:F8 F11:F13">
      <formula1>"角质,粉质,半角质"</formula1>
    </dataValidation>
    <dataValidation type="list" allowBlank="1" showInputMessage="1" showErrorMessage="1" sqref="G6:G8 G11:G13">
      <formula1>"一等,二等,三等,三等以下"</formula1>
    </dataValidation>
    <dataValidation type="list" allowBlank="1" showInputMessage="1" showErrorMessage="1" sqref="F65:F69 F103:F107">
      <formula1>"自耕,外包"</formula1>
    </dataValidation>
    <dataValidation type="list" allowBlank="1" showInputMessage="1" showErrorMessage="1" sqref="F131:I132 F128:J129">
      <formula1>"是,否"</formula1>
    </dataValidation>
    <dataValidation type="list" allowBlank="1" showInputMessage="1" showErrorMessage="1" sqref="G18:G22 F41:F45 F34:F38 G25:G29">
      <formula1>"1月,2月,3月,4月,5月,6月,7月,8月,9月,10月,11月,12月"</formula1>
    </dataValidation>
    <dataValidation type="list" allowBlank="1" showInputMessage="1" showErrorMessage="1" sqref="F18:F22 E41:E45 E34:E38 F25:F29">
      <formula1>"2016年,2017年,2018年,2019年"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经营计划</vt:lpstr>
      <vt:lpstr>客户基本信息</vt:lpstr>
      <vt:lpstr>经营固定成本</vt:lpstr>
      <vt:lpstr>玉米生产卡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2018-11-28T12:08:03Z</dcterms:modified>
</cp:coreProperties>
</file>