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25" windowHeight="11205" firstSheet="5" activeTab="5"/>
  </bookViews>
  <sheets>
    <sheet name="SUMMARY" sheetId="4" state="hidden" r:id="rId1"/>
    <sheet name="LOAN SUMMARY" sheetId="5" state="hidden" r:id="rId2"/>
    <sheet name="Graphic Analysis" sheetId="7" state="hidden" r:id="rId3"/>
    <sheet name="CAIRO" sheetId="3" state="hidden" r:id="rId4"/>
    <sheet name="CHAZANGA" sheetId="6" state="hidden" r:id="rId5"/>
    <sheet name="HEAD OFFICE" sheetId="2" r:id="rId6"/>
    <sheet name="SOWETO" sheetId="1" state="hidden" r:id="rId7"/>
    <sheet name="LOAN SUMMARY REWORK" sheetId="8" state="hidden" r:id="rId8"/>
  </sheets>
  <externalReferences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</externalReferences>
  <calcPr calcId="144525"/>
</workbook>
</file>

<file path=xl/comments1.xml><?xml version="1.0" encoding="utf-8"?>
<comments xmlns="http://schemas.openxmlformats.org/spreadsheetml/2006/main">
  <authors>
    <author>Laxmi</author>
    <author>User</author>
    <author>SAMSON</author>
  </authors>
  <commentList>
    <comment ref="M70" authorId="0">
      <text>
        <r>
          <rPr>
            <b/>
            <sz val="9"/>
            <rFont val="Tahoma"/>
            <charset val="134"/>
          </rPr>
          <t>Laxmi:</t>
        </r>
        <r>
          <rPr>
            <sz val="9"/>
            <rFont val="Tahoma"/>
            <charset val="134"/>
          </rPr>
          <t xml:space="preserve">
Recover from khetiwe M
</t>
        </r>
      </text>
    </comment>
    <comment ref="O70" authorId="1">
      <text>
        <r>
          <rPr>
            <b/>
            <sz val="9"/>
            <rFont val="Tahoma"/>
            <charset val="134"/>
          </rPr>
          <t>User:</t>
        </r>
        <r>
          <rPr>
            <sz val="9"/>
            <rFont val="Tahoma"/>
            <charset val="134"/>
          </rPr>
          <t xml:space="preserve">
OPERATED ON</t>
        </r>
      </text>
    </comment>
    <comment ref="B81" authorId="2">
      <text>
        <r>
          <rPr>
            <b/>
            <sz val="9"/>
            <rFont val="Tahoma"/>
            <charset val="134"/>
          </rPr>
          <t>SAMSON:</t>
        </r>
        <r>
          <rPr>
            <sz val="9"/>
            <rFont val="Tahoma"/>
            <charset val="134"/>
          </rPr>
          <t xml:space="preserve">
Recommended by Precious Lwanga
</t>
        </r>
      </text>
    </comment>
    <comment ref="C81" authorId="2">
      <text>
        <r>
          <rPr>
            <b/>
            <sz val="9"/>
            <rFont val="Tahoma"/>
            <charset val="134"/>
          </rPr>
          <t>SAMSON:</t>
        </r>
        <r>
          <rPr>
            <sz val="9"/>
            <rFont val="Tahoma"/>
            <charset val="134"/>
          </rPr>
          <t xml:space="preserve">
Recommended by Precious Lwanga
</t>
        </r>
      </text>
    </comment>
    <comment ref="B85" authorId="2">
      <text>
        <r>
          <rPr>
            <b/>
            <sz val="9"/>
            <rFont val="Tahoma"/>
            <charset val="134"/>
          </rPr>
          <t>SAMSON:</t>
        </r>
        <r>
          <rPr>
            <sz val="9"/>
            <rFont val="Tahoma"/>
            <charset val="134"/>
          </rPr>
          <t xml:space="preserve">
liability is on khetiwe</t>
        </r>
      </text>
    </comment>
    <comment ref="C85" authorId="2">
      <text>
        <r>
          <rPr>
            <b/>
            <sz val="9"/>
            <rFont val="Tahoma"/>
            <charset val="134"/>
          </rPr>
          <t>SAMSON:</t>
        </r>
        <r>
          <rPr>
            <sz val="9"/>
            <rFont val="Tahoma"/>
            <charset val="134"/>
          </rPr>
          <t xml:space="preserve">
liability is on khetiwe</t>
        </r>
      </text>
    </comment>
    <comment ref="B112" authorId="2">
      <text>
        <r>
          <rPr>
            <b/>
            <sz val="9"/>
            <rFont val="Tahoma"/>
            <charset val="134"/>
          </rPr>
          <t xml:space="preserve">Liability Khetiwe
</t>
        </r>
      </text>
    </comment>
    <comment ref="B117" authorId="2">
      <text>
        <r>
          <rPr>
            <b/>
            <sz val="9"/>
            <rFont val="Tahoma"/>
            <charset val="134"/>
          </rPr>
          <t xml:space="preserve">LIABILITY KHETIWE
</t>
        </r>
      </text>
    </comment>
    <comment ref="B126" authorId="2">
      <text>
        <r>
          <rPr>
            <b/>
            <sz val="9"/>
            <rFont val="Tahoma"/>
            <charset val="134"/>
          </rPr>
          <t xml:space="preserve">Liability Khetiwe
</t>
        </r>
      </text>
    </comment>
    <comment ref="B138" authorId="2">
      <text>
        <r>
          <rPr>
            <b/>
            <sz val="9"/>
            <rFont val="Tahoma"/>
            <charset val="134"/>
          </rPr>
          <t xml:space="preserve">LIABILITY KHETIWE
</t>
        </r>
      </text>
    </comment>
    <comment ref="B146" authorId="2">
      <text>
        <r>
          <rPr>
            <b/>
            <sz val="9"/>
            <rFont val="Tahoma"/>
            <charset val="134"/>
          </rPr>
          <t xml:space="preserve">Liability Khetiwe
</t>
        </r>
      </text>
    </comment>
  </commentList>
</comments>
</file>

<file path=xl/comments2.xml><?xml version="1.0" encoding="utf-8"?>
<comments xmlns="http://schemas.openxmlformats.org/spreadsheetml/2006/main">
  <authors>
    <author>LAXMI CAPITALS</author>
  </authors>
  <commentList>
    <comment ref="D19" authorId="0">
      <text>
        <r>
          <rPr>
            <b/>
            <sz val="9"/>
            <rFont val="Times New Roman"/>
            <charset val="0"/>
          </rPr>
          <t>LAXMI CAPITALS:</t>
        </r>
        <r>
          <rPr>
            <sz val="9"/>
            <rFont val="Times New Roman"/>
            <charset val="0"/>
          </rPr>
          <t xml:space="preserve">
0966965096</t>
        </r>
      </text>
    </comment>
    <comment ref="D49" authorId="0">
      <text>
        <r>
          <rPr>
            <b/>
            <sz val="9"/>
            <rFont val="Times New Roman"/>
            <charset val="0"/>
          </rPr>
          <t>LAXMI CAPITALS:</t>
        </r>
        <r>
          <rPr>
            <sz val="9"/>
            <rFont val="Times New Roman"/>
            <charset val="0"/>
          </rPr>
          <t xml:space="preserve">
0966965096</t>
        </r>
      </text>
    </comment>
    <comment ref="D61" authorId="0">
      <text>
        <r>
          <rPr>
            <b/>
            <sz val="9"/>
            <rFont val="Times New Roman"/>
            <charset val="0"/>
          </rPr>
          <t>LAXMI CAPITALS:</t>
        </r>
        <r>
          <rPr>
            <sz val="9"/>
            <rFont val="Times New Roman"/>
            <charset val="0"/>
          </rPr>
          <t xml:space="preserve">
0977369458
</t>
        </r>
      </text>
    </comment>
  </commentList>
</comments>
</file>

<file path=xl/comments3.xml><?xml version="1.0" encoding="utf-8"?>
<comments xmlns="http://schemas.openxmlformats.org/spreadsheetml/2006/main">
  <authors>
    <author>SAMSON</author>
    <author>Windows User</author>
  </authors>
  <commentList>
    <comment ref="C232" authorId="0">
      <text>
        <r>
          <rPr>
            <b/>
            <sz val="9"/>
            <rFont val="Tahoma"/>
            <charset val="134"/>
          </rPr>
          <t>SAMSON:</t>
        </r>
        <r>
          <rPr>
            <sz val="9"/>
            <rFont val="Tahoma"/>
            <charset val="134"/>
          </rPr>
          <t xml:space="preserve">
recommended by Elina Banda
</t>
        </r>
      </text>
    </comment>
    <comment ref="C244" authorId="0">
      <text>
        <r>
          <rPr>
            <b/>
            <sz val="9"/>
            <rFont val="Tahoma"/>
            <charset val="134"/>
          </rPr>
          <t>SAMSON:</t>
        </r>
        <r>
          <rPr>
            <sz val="9"/>
            <rFont val="Tahoma"/>
            <charset val="134"/>
          </rPr>
          <t xml:space="preserve">
recommended by Elina banda</t>
        </r>
      </text>
    </comment>
    <comment ref="C245" authorId="0">
      <text>
        <r>
          <rPr>
            <b/>
            <sz val="9"/>
            <rFont val="Tahoma"/>
            <charset val="134"/>
          </rPr>
          <t>SAMSON:</t>
        </r>
        <r>
          <rPr>
            <sz val="9"/>
            <rFont val="Tahoma"/>
            <charset val="134"/>
          </rPr>
          <t xml:space="preserve">
recommended by Elina Banda
</t>
        </r>
      </text>
    </comment>
    <comment ref="B248" authorId="1">
      <text>
        <r>
          <rPr>
            <b/>
            <sz val="9"/>
            <rFont val="Tahoma"/>
            <charset val="134"/>
          </rPr>
          <t>Windows User:</t>
        </r>
        <r>
          <rPr>
            <sz val="9"/>
            <rFont val="Tahoma"/>
            <charset val="134"/>
          </rPr>
          <t xml:space="preserve">
RECCOMENDED BY MATILDA KASHINGA </t>
        </r>
      </text>
    </comment>
    <comment ref="C259" authorId="0">
      <text>
        <r>
          <rPr>
            <b/>
            <sz val="9"/>
            <rFont val="Tahoma"/>
            <charset val="134"/>
          </rPr>
          <t>SAMSON:</t>
        </r>
        <r>
          <rPr>
            <sz val="9"/>
            <rFont val="Tahoma"/>
            <charset val="134"/>
          </rPr>
          <t xml:space="preserve">
RECOMMENDED BY ESTON CHAMA
</t>
        </r>
      </text>
    </comment>
    <comment ref="C261" authorId="0">
      <text>
        <r>
          <rPr>
            <b/>
            <sz val="9"/>
            <rFont val="Tahoma"/>
            <charset val="134"/>
          </rPr>
          <t>SAMSON:</t>
        </r>
        <r>
          <rPr>
            <sz val="9"/>
            <rFont val="Tahoma"/>
            <charset val="134"/>
          </rPr>
          <t xml:space="preserve">
LIABILITY BUPE
</t>
        </r>
      </text>
    </comment>
    <comment ref="B262" authorId="1">
      <text>
        <r>
          <rPr>
            <b/>
            <sz val="9"/>
            <rFont val="Tahoma"/>
            <charset val="134"/>
          </rPr>
          <t>Windows User:</t>
        </r>
        <r>
          <rPr>
            <sz val="9"/>
            <rFont val="Tahoma"/>
            <charset val="134"/>
          </rPr>
          <t xml:space="preserve">
RECCOMENDED BY MATILDA KASHINGA </t>
        </r>
      </text>
    </comment>
    <comment ref="C262" authorId="0">
      <text>
        <r>
          <rPr>
            <b/>
            <sz val="9"/>
            <rFont val="Tahoma"/>
            <charset val="134"/>
          </rPr>
          <t>SAMSON:</t>
        </r>
        <r>
          <rPr>
            <sz val="9"/>
            <rFont val="Tahoma"/>
            <charset val="134"/>
          </rPr>
          <t xml:space="preserve">
RECOMMENDED BY MATILDAH KASHINGA</t>
        </r>
      </text>
    </comment>
    <comment ref="C263" authorId="0">
      <text>
        <r>
          <rPr>
            <b/>
            <sz val="9"/>
            <rFont val="Tahoma"/>
            <charset val="134"/>
          </rPr>
          <t>SAMSON:</t>
        </r>
        <r>
          <rPr>
            <sz val="9"/>
            <rFont val="Tahoma"/>
            <charset val="134"/>
          </rPr>
          <t xml:space="preserve">
RECOMMENDED BY MATILDAH KASHINGA
</t>
        </r>
      </text>
    </comment>
  </commentList>
</comments>
</file>

<file path=xl/sharedStrings.xml><?xml version="1.0" encoding="utf-8"?>
<sst xmlns="http://schemas.openxmlformats.org/spreadsheetml/2006/main" count="1549" uniqueCount="737">
  <si>
    <t>LOAN DISBURSEMENT SUMMARY</t>
  </si>
  <si>
    <t>Week Ending-17/7/2020</t>
  </si>
  <si>
    <t>Branch</t>
  </si>
  <si>
    <t>Total</t>
  </si>
  <si>
    <t>Expected First week</t>
  </si>
  <si>
    <t>Total collected</t>
  </si>
  <si>
    <t>Outstanding</t>
  </si>
  <si>
    <t>Expected</t>
  </si>
  <si>
    <t>Name</t>
  </si>
  <si>
    <t>Disbursed</t>
  </si>
  <si>
    <t xml:space="preserve">Recovery </t>
  </si>
  <si>
    <t>first week</t>
  </si>
  <si>
    <t>Amount</t>
  </si>
  <si>
    <t>Repayment %</t>
  </si>
  <si>
    <t>%</t>
  </si>
  <si>
    <t>Soweto</t>
  </si>
  <si>
    <t>Lumumba</t>
  </si>
  <si>
    <t>Cairo</t>
  </si>
  <si>
    <t>Week Ending-24/7/2020</t>
  </si>
  <si>
    <t>Expected Second week</t>
  </si>
  <si>
    <t>second week</t>
  </si>
  <si>
    <t>Week Ending 31/7/2020</t>
  </si>
  <si>
    <t>third week</t>
  </si>
  <si>
    <t>Week Ending 7/8/2020</t>
  </si>
  <si>
    <t>Expected third week</t>
  </si>
  <si>
    <t>Variance</t>
  </si>
  <si>
    <t>fourth week</t>
  </si>
  <si>
    <t>Total Recoveries</t>
  </si>
  <si>
    <t>6th Loan Disbursement</t>
  </si>
  <si>
    <t>Week Ending 24/7/2020</t>
  </si>
  <si>
    <t>Expected Forth week</t>
  </si>
  <si>
    <t>First week</t>
  </si>
  <si>
    <t>Expected second week</t>
  </si>
  <si>
    <t>7th Loan Disbursement-31 July 2020</t>
  </si>
  <si>
    <t>8th Loan Disbursement</t>
  </si>
  <si>
    <t xml:space="preserve">Total Outstanding </t>
  </si>
  <si>
    <t>Branch Locator</t>
  </si>
  <si>
    <t>Number of Clients YTD</t>
  </si>
  <si>
    <t>Amount Disbursed YTD</t>
  </si>
  <si>
    <t>Loan Repayment YTD</t>
  </si>
  <si>
    <t>Outstanding Balance YTD</t>
  </si>
  <si>
    <t>% Recovery YTD</t>
  </si>
  <si>
    <t>Default Interest YTD</t>
  </si>
  <si>
    <t>Total Outstanding YTD</t>
  </si>
  <si>
    <t>Upfront interest YTD</t>
  </si>
  <si>
    <t>Chazanga</t>
  </si>
  <si>
    <t>Per CMS</t>
  </si>
  <si>
    <t>B2B</t>
  </si>
  <si>
    <t>SB</t>
  </si>
  <si>
    <t>Unreconciled difference</t>
  </si>
  <si>
    <t>Difference</t>
  </si>
  <si>
    <t xml:space="preserve"> </t>
  </si>
  <si>
    <t>Prior Year</t>
  </si>
  <si>
    <t>Default</t>
  </si>
  <si>
    <t>Current</t>
  </si>
  <si>
    <t>PY</t>
  </si>
  <si>
    <t>Default Interest share</t>
  </si>
  <si>
    <t>Company</t>
  </si>
  <si>
    <t>Employee Share</t>
  </si>
  <si>
    <t>SOWETO</t>
  </si>
  <si>
    <t>disbursed</t>
  </si>
  <si>
    <t>balance</t>
  </si>
  <si>
    <t>CHAZANGA</t>
  </si>
  <si>
    <t>LUMUMBA</t>
  </si>
  <si>
    <t>CAIRO</t>
  </si>
  <si>
    <t>BRANCH</t>
  </si>
  <si>
    <t>MANAGER</t>
  </si>
  <si>
    <t>LOAN CONSULTANT</t>
  </si>
  <si>
    <t>Frequency of loans</t>
  </si>
  <si>
    <t>Amount Disbursed</t>
  </si>
  <si>
    <t xml:space="preserve">Loan Repayment </t>
  </si>
  <si>
    <t>Outstanding Actual Balance</t>
  </si>
  <si>
    <t>% Recovery</t>
  </si>
  <si>
    <t>Default Interest Oustanding</t>
  </si>
  <si>
    <t>Total Actual Plus Default</t>
  </si>
  <si>
    <t>1st Batch Disbursement</t>
  </si>
  <si>
    <t>SN</t>
  </si>
  <si>
    <t>FIRST NAME</t>
  </si>
  <si>
    <t>LAST NAME</t>
  </si>
  <si>
    <t>N.R.C #</t>
  </si>
  <si>
    <t>PHONE</t>
  </si>
  <si>
    <t>AMOUNT DISBURSED</t>
  </si>
  <si>
    <t>2ND WEEK</t>
  </si>
  <si>
    <t>3RD WEEK</t>
  </si>
  <si>
    <t>4TH WEEK</t>
  </si>
  <si>
    <t>BALANCE</t>
  </si>
  <si>
    <t>COMMENT</t>
  </si>
  <si>
    <t xml:space="preserve">NELLARS </t>
  </si>
  <si>
    <t xml:space="preserve"> TEMBO</t>
  </si>
  <si>
    <t xml:space="preserve">PATRICK </t>
  </si>
  <si>
    <t>HIMOONDE</t>
  </si>
  <si>
    <t>MARIAN MAKUNGU</t>
  </si>
  <si>
    <t>MAKUNGU</t>
  </si>
  <si>
    <t xml:space="preserve">ANNIE </t>
  </si>
  <si>
    <t xml:space="preserve"> CHILANGWA</t>
  </si>
  <si>
    <t xml:space="preserve">RACHEAL </t>
  </si>
  <si>
    <t xml:space="preserve"> MWINSE</t>
  </si>
  <si>
    <t xml:space="preserve">PHILEMON </t>
  </si>
  <si>
    <t>NYIRENDA</t>
  </si>
  <si>
    <t xml:space="preserve">PELINA </t>
  </si>
  <si>
    <t xml:space="preserve"> ZULU</t>
  </si>
  <si>
    <t>2nd Batch Disbursement</t>
  </si>
  <si>
    <t xml:space="preserve">MAGGIE </t>
  </si>
  <si>
    <t xml:space="preserve"> SIAME</t>
  </si>
  <si>
    <t xml:space="preserve">THABETHA </t>
  </si>
  <si>
    <t>MWAPE</t>
  </si>
  <si>
    <t xml:space="preserve">FAIDES </t>
  </si>
  <si>
    <t xml:space="preserve"> PHIRI</t>
  </si>
  <si>
    <t xml:space="preserve">CHARITY </t>
  </si>
  <si>
    <t xml:space="preserve"> KALEPA</t>
  </si>
  <si>
    <t xml:space="preserve">MARGRET </t>
  </si>
  <si>
    <t>MVULA</t>
  </si>
  <si>
    <t xml:space="preserve">NAMAINGA </t>
  </si>
  <si>
    <t xml:space="preserve"> NSELUKE</t>
  </si>
  <si>
    <t xml:space="preserve">CYNTHIA </t>
  </si>
  <si>
    <t xml:space="preserve"> MULENGA</t>
  </si>
  <si>
    <t>3rd Batch Disbursement</t>
  </si>
  <si>
    <t xml:space="preserve">MUBANGA </t>
  </si>
  <si>
    <t xml:space="preserve"> MWAMBA</t>
  </si>
  <si>
    <t xml:space="preserve">PRECIOUS </t>
  </si>
  <si>
    <t xml:space="preserve"> LWANGA</t>
  </si>
  <si>
    <t xml:space="preserve">OTILIA </t>
  </si>
  <si>
    <t xml:space="preserve"> KAMOKOLA</t>
  </si>
  <si>
    <t>MWINSE</t>
  </si>
  <si>
    <t xml:space="preserve">ATIMARA </t>
  </si>
  <si>
    <t>MWAISE</t>
  </si>
  <si>
    <t xml:space="preserve">DAVIES </t>
  </si>
  <si>
    <t>NKAUSE</t>
  </si>
  <si>
    <t xml:space="preserve">JOSEPH </t>
  </si>
  <si>
    <t xml:space="preserve"> CHIZONGO</t>
  </si>
  <si>
    <t xml:space="preserve">LUCKSON </t>
  </si>
  <si>
    <t>CHIYOYA</t>
  </si>
  <si>
    <t xml:space="preserve">MERCY </t>
  </si>
  <si>
    <t>NAKAMBA</t>
  </si>
  <si>
    <t>4th Batch Disbursement</t>
  </si>
  <si>
    <t>Default Interest</t>
  </si>
  <si>
    <t xml:space="preserve">OLIPA </t>
  </si>
  <si>
    <t>MTONGA</t>
  </si>
  <si>
    <t xml:space="preserve">LINDA </t>
  </si>
  <si>
    <t>NANDAZI</t>
  </si>
  <si>
    <t xml:space="preserve">PETER </t>
  </si>
  <si>
    <t>KANGWA</t>
  </si>
  <si>
    <t xml:space="preserve">ALBERT </t>
  </si>
  <si>
    <t>CHIBESA</t>
  </si>
  <si>
    <t xml:space="preserve">LYSON </t>
  </si>
  <si>
    <t xml:space="preserve"> ZIMBA</t>
  </si>
  <si>
    <t xml:space="preserve">LYDIA </t>
  </si>
  <si>
    <t>LUNGU</t>
  </si>
  <si>
    <t>Follow up this week</t>
  </si>
  <si>
    <t xml:space="preserve">MARIAN </t>
  </si>
  <si>
    <t>NYUMBA YANGA</t>
  </si>
  <si>
    <t xml:space="preserve"> MVULA</t>
  </si>
  <si>
    <t>PEARL OF HEATLH</t>
  </si>
  <si>
    <t>Cheque payment. Receipt to be raised</t>
  </si>
  <si>
    <t>CARLOS</t>
  </si>
  <si>
    <t>MWALE</t>
  </si>
  <si>
    <t>Zesco employee</t>
  </si>
  <si>
    <t>5th Batch Disbursement 10.7.2020</t>
  </si>
  <si>
    <t>17.7.2020</t>
  </si>
  <si>
    <t>24.7.2020</t>
  </si>
  <si>
    <t>31.7.2020</t>
  </si>
  <si>
    <t>10.8.2020</t>
  </si>
  <si>
    <t xml:space="preserve">PRESCIOUS </t>
  </si>
  <si>
    <t xml:space="preserve">MIRRIAM </t>
  </si>
  <si>
    <t xml:space="preserve"> CHINENGUNDU</t>
  </si>
  <si>
    <t xml:space="preserve">THABITHA </t>
  </si>
  <si>
    <t xml:space="preserve"> MWAPE</t>
  </si>
  <si>
    <t xml:space="preserve">MEMORY </t>
  </si>
  <si>
    <t xml:space="preserve"> SULIYA</t>
  </si>
  <si>
    <t xml:space="preserve">MAHONGO </t>
  </si>
  <si>
    <t xml:space="preserve"> NJUNGU</t>
  </si>
  <si>
    <t>6th Loan Disbursement-17.7.2020</t>
  </si>
  <si>
    <t>RECEIPT NO.</t>
  </si>
  <si>
    <t>PHIRI</t>
  </si>
  <si>
    <t xml:space="preserve">NELLERS </t>
  </si>
  <si>
    <t>TEMBO</t>
  </si>
  <si>
    <t xml:space="preserve">FLORENCE </t>
  </si>
  <si>
    <t>KUNDA</t>
  </si>
  <si>
    <t xml:space="preserve">PATRICIA </t>
  </si>
  <si>
    <t>MALAMA</t>
  </si>
  <si>
    <t xml:space="preserve">RABECCA </t>
  </si>
  <si>
    <t>NKABILA</t>
  </si>
  <si>
    <t xml:space="preserve">MARGRET  </t>
  </si>
  <si>
    <t>NAMUSAMBA</t>
  </si>
  <si>
    <t xml:space="preserve">BAZILITA </t>
  </si>
  <si>
    <t>Khetiwe</t>
  </si>
  <si>
    <t>Natasha</t>
  </si>
  <si>
    <t>7th Loan Disbursement-31.7.2020</t>
  </si>
  <si>
    <t>1ST WEEK</t>
  </si>
  <si>
    <t>31.8.2020</t>
  </si>
  <si>
    <t xml:space="preserve">MWEEMBA.C. </t>
  </si>
  <si>
    <t>MBWILI</t>
  </si>
  <si>
    <t>Salary</t>
  </si>
  <si>
    <t xml:space="preserve">LIZZY </t>
  </si>
  <si>
    <t>JONAZI</t>
  </si>
  <si>
    <t>KALEPA</t>
  </si>
  <si>
    <t xml:space="preserve">ELISA </t>
  </si>
  <si>
    <t>BANDA</t>
  </si>
  <si>
    <t xml:space="preserve">LUNGULWA </t>
  </si>
  <si>
    <t>CHIWOYOYA</t>
  </si>
  <si>
    <t>MULINGA</t>
  </si>
  <si>
    <t>8th Loan Disbursement-7.8.2020</t>
  </si>
  <si>
    <t>7.09.2020</t>
  </si>
  <si>
    <t>Mirriam</t>
  </si>
  <si>
    <t>Chinengundu</t>
  </si>
  <si>
    <t>Precoius</t>
  </si>
  <si>
    <t>Lwanga</t>
  </si>
  <si>
    <t>9th Loan Disbursement-14.8.2020</t>
  </si>
  <si>
    <t>14.9.2020</t>
  </si>
  <si>
    <t>Salary backed</t>
  </si>
  <si>
    <t xml:space="preserve">Thabita </t>
  </si>
  <si>
    <t xml:space="preserve"> Mwape</t>
  </si>
  <si>
    <t>Airtel Commission</t>
  </si>
  <si>
    <t xml:space="preserve">Namainga </t>
  </si>
  <si>
    <t xml:space="preserve"> Nseluka</t>
  </si>
  <si>
    <t xml:space="preserve">Write off 0.5 </t>
  </si>
  <si>
    <t xml:space="preserve">Erick </t>
  </si>
  <si>
    <t xml:space="preserve"> Phiri</t>
  </si>
  <si>
    <t xml:space="preserve">Florence </t>
  </si>
  <si>
    <t xml:space="preserve"> Kunda</t>
  </si>
  <si>
    <t>10th Loan Disbursement-15.9.2020</t>
  </si>
  <si>
    <t xml:space="preserve">Shiwoyongo </t>
  </si>
  <si>
    <t>Lufungulwa</t>
  </si>
  <si>
    <t>Loan Repayment</t>
  </si>
  <si>
    <t>First Week</t>
  </si>
  <si>
    <t xml:space="preserve">ARETHA       LUPIYA </t>
  </si>
  <si>
    <t>SHARON  LUPIYA</t>
  </si>
  <si>
    <t>BERNADETTE MULENGA</t>
  </si>
  <si>
    <t xml:space="preserve">SUZEN  ZULU </t>
  </si>
  <si>
    <t>CATHRINE  PHIRI</t>
  </si>
  <si>
    <t>STELLAR  DAKA</t>
  </si>
  <si>
    <t>ERICA  SOKOSI</t>
  </si>
  <si>
    <t>THERESA  NYIRONGO</t>
  </si>
  <si>
    <t>BEATRICE  SAKALA</t>
  </si>
  <si>
    <t>MICHEAL  KAYOMBO</t>
  </si>
  <si>
    <t>LEYA  BANDA</t>
  </si>
  <si>
    <t>BENZUU CHIMUKA</t>
  </si>
  <si>
    <t>RHODAH  MVULA</t>
  </si>
  <si>
    <t xml:space="preserve">HILDAH  PHIRI </t>
  </si>
  <si>
    <t>CAROL  LUSWATI</t>
  </si>
  <si>
    <t>COSTANCE  MUBANGA</t>
  </si>
  <si>
    <t>NAOMI  ZULU</t>
  </si>
  <si>
    <t>OLIVA  LUNGU</t>
  </si>
  <si>
    <t>SHARON  MULENGA</t>
  </si>
  <si>
    <t>TIMOTHY  VUMBUNU</t>
  </si>
  <si>
    <t>JENIPHER  MVULA</t>
  </si>
  <si>
    <t>Claims to have sent money to a wrong Account</t>
  </si>
  <si>
    <t>LOLENJI  MTONGA</t>
  </si>
  <si>
    <t>CHANDA  MBULUNGE</t>
  </si>
  <si>
    <t>DOCUS  KOPA</t>
  </si>
  <si>
    <t>HELLEN  PHIRI</t>
  </si>
  <si>
    <t>LOVENESS  KABWE</t>
  </si>
  <si>
    <t>MERICIOUS  MANENGU</t>
  </si>
  <si>
    <t>Rental income. 6th September</t>
  </si>
  <si>
    <t>CHRISTINA  LUNGU</t>
  </si>
  <si>
    <t>SHEILA  MUMBA</t>
  </si>
  <si>
    <t>PATRICIA  MUNYEMBA</t>
  </si>
  <si>
    <t>CATHRINE  LUNGU</t>
  </si>
  <si>
    <t>NAOMI   ZULU</t>
  </si>
  <si>
    <t>Next week</t>
  </si>
  <si>
    <t>ELICA     SOKOSI</t>
  </si>
  <si>
    <t>Police visit</t>
  </si>
  <si>
    <t>BEENZU   CHIMUKA</t>
  </si>
  <si>
    <t>ELIAS   MULENGA</t>
  </si>
  <si>
    <t>HILDAH  PHIRI</t>
  </si>
  <si>
    <t>LCC employee at city market</t>
  </si>
  <si>
    <t>Bar closed</t>
  </si>
  <si>
    <t>OLIVIA  LUNGU</t>
  </si>
  <si>
    <t>MicheaL  KAYOMBO</t>
  </si>
  <si>
    <t>HQ</t>
  </si>
  <si>
    <t>JOBBY</t>
  </si>
  <si>
    <t>Number of Clients</t>
  </si>
  <si>
    <t>Upfront Interest</t>
  </si>
  <si>
    <t>Admin Fees</t>
  </si>
  <si>
    <t>Loan repayment</t>
  </si>
  <si>
    <t>Default paid</t>
  </si>
  <si>
    <t>Outstanding Balance</t>
  </si>
  <si>
    <t>March Batch Summary</t>
  </si>
  <si>
    <t>April Batch Summary</t>
  </si>
  <si>
    <t>All Batch Summary</t>
  </si>
  <si>
    <t>March Batch(02/03-02/04)</t>
  </si>
  <si>
    <t>BATCH 1</t>
  </si>
  <si>
    <t>Names</t>
  </si>
  <si>
    <t>NRC</t>
  </si>
  <si>
    <t>Phone Number</t>
  </si>
  <si>
    <t>Default Payable</t>
  </si>
  <si>
    <t>Audience Mudenda</t>
  </si>
  <si>
    <t>411931/74/1</t>
  </si>
  <si>
    <t>0978361370</t>
  </si>
  <si>
    <t>Kelvin   Fundiwa</t>
  </si>
  <si>
    <t>113417/91/1</t>
  </si>
  <si>
    <t>0979553576</t>
  </si>
  <si>
    <t>Precious   Lwanga</t>
  </si>
  <si>
    <t>888069/11/1</t>
  </si>
  <si>
    <t>0977386128</t>
  </si>
  <si>
    <t>Mirriam Chinengundu</t>
  </si>
  <si>
    <t>812959/11/1</t>
  </si>
  <si>
    <t>0977533873</t>
  </si>
  <si>
    <t>Mukelebai   Mubebo</t>
  </si>
  <si>
    <t>178463/81/1</t>
  </si>
  <si>
    <t>0979414287</t>
  </si>
  <si>
    <t>Agness C. Mukuka</t>
  </si>
  <si>
    <t>422086/10/1</t>
  </si>
  <si>
    <t>0976768658</t>
  </si>
  <si>
    <t>Emelda    Kaula</t>
  </si>
  <si>
    <t>176763/15/1</t>
  </si>
  <si>
    <t>0977209321</t>
  </si>
  <si>
    <t>Suzen    Banda</t>
  </si>
  <si>
    <t>160226/73/1</t>
  </si>
  <si>
    <t>0977831359</t>
  </si>
  <si>
    <t>March Batch(16/03-16/04)</t>
  </si>
  <si>
    <t>BATCH 2</t>
  </si>
  <si>
    <t>Thabitha  Mwape</t>
  </si>
  <si>
    <t>122266/77/1</t>
  </si>
  <si>
    <t>0972361173</t>
  </si>
  <si>
    <t>Vincent  K.  Muntu</t>
  </si>
  <si>
    <t>240696/83/1</t>
  </si>
  <si>
    <t>0974454644</t>
  </si>
  <si>
    <t>Cephas   Chilufya</t>
  </si>
  <si>
    <t>136144/71/1</t>
  </si>
  <si>
    <t>0971573793</t>
  </si>
  <si>
    <t>March Batch( 22/03-22/04)</t>
  </si>
  <si>
    <t>BATCH 3</t>
  </si>
  <si>
    <t>Kelvin Fundiwa</t>
  </si>
  <si>
    <t>Agness C.Mukuka</t>
  </si>
  <si>
    <t>Christopher    Muza</t>
  </si>
  <si>
    <t>802940/11/1</t>
  </si>
  <si>
    <t>0976406187</t>
  </si>
  <si>
    <t>Patricia   Munyemba</t>
  </si>
  <si>
    <t>167367/65/1</t>
  </si>
  <si>
    <t>0977330046</t>
  </si>
  <si>
    <t>Misozi      Banda</t>
  </si>
  <si>
    <t>268513/54/1</t>
  </si>
  <si>
    <t>0971054480</t>
  </si>
  <si>
    <t>April Batch(12/04-08/05)</t>
  </si>
  <si>
    <t>BATCH 4</t>
  </si>
  <si>
    <t>Racheal  Mwinsa</t>
  </si>
  <si>
    <t>192673/10/1</t>
  </si>
  <si>
    <t>0975834123</t>
  </si>
  <si>
    <t>Brian  S.Namasiku</t>
  </si>
  <si>
    <t>206512/15/1</t>
  </si>
  <si>
    <t>0975388315</t>
  </si>
  <si>
    <t>Rodgers   Daka</t>
  </si>
  <si>
    <t>457432/11/1</t>
  </si>
  <si>
    <t>0977369458</t>
  </si>
  <si>
    <t>Robert  Njobvu</t>
  </si>
  <si>
    <t>220364/10/1</t>
  </si>
  <si>
    <t>0979010303</t>
  </si>
  <si>
    <t>Berchimas Manirampa</t>
  </si>
  <si>
    <t>0975823844</t>
  </si>
  <si>
    <t>Anna  Zimba</t>
  </si>
  <si>
    <t>353204/17/1</t>
  </si>
  <si>
    <t>0979625593</t>
  </si>
  <si>
    <t>Racheal Mutupula</t>
  </si>
  <si>
    <t>0979885872</t>
  </si>
  <si>
    <t>BRANCH SUPERVISOR</t>
  </si>
  <si>
    <t>BUPE</t>
  </si>
  <si>
    <t>LISA</t>
  </si>
  <si>
    <t>Repayment</t>
  </si>
  <si>
    <t>1st Batch</t>
  </si>
  <si>
    <t>2nd Batch</t>
  </si>
  <si>
    <t>3rd Batch</t>
  </si>
  <si>
    <t>4th Batch</t>
  </si>
  <si>
    <t>5th Batch</t>
  </si>
  <si>
    <t>6th Batch</t>
  </si>
  <si>
    <t>7th Batch</t>
  </si>
  <si>
    <t>8th Batch</t>
  </si>
  <si>
    <t>9th Batch</t>
  </si>
  <si>
    <t xml:space="preserve">   </t>
  </si>
  <si>
    <t>Last Meeting</t>
  </si>
  <si>
    <t>8th Loan applicants</t>
  </si>
  <si>
    <t>2nd Week</t>
  </si>
  <si>
    <t>Comment</t>
  </si>
  <si>
    <t>TENDAI</t>
  </si>
  <si>
    <t xml:space="preserve"> 241168/75/1 </t>
  </si>
  <si>
    <t>REQUESTED TO PAY IN TWO WEEKS INSTALMENTS OF K3000</t>
  </si>
  <si>
    <t>Joe</t>
  </si>
  <si>
    <t>Client has relocated and cant be traced.</t>
  </si>
  <si>
    <t>MIRRIAM</t>
  </si>
  <si>
    <t>MWEBE</t>
  </si>
  <si>
    <t>222223/42/1</t>
  </si>
  <si>
    <t>PAID</t>
  </si>
  <si>
    <t>MARY</t>
  </si>
  <si>
    <t>MULENGA</t>
  </si>
  <si>
    <t>347556/53/1</t>
  </si>
  <si>
    <t>KINGSLEY</t>
  </si>
  <si>
    <t>SILWAMBA</t>
  </si>
  <si>
    <t>645924/11/1</t>
  </si>
  <si>
    <t>ANTHONY</t>
  </si>
  <si>
    <t>993212/11/1</t>
  </si>
  <si>
    <t>ESTHER</t>
  </si>
  <si>
    <t>MWEWA</t>
  </si>
  <si>
    <t>205498/64/1</t>
  </si>
  <si>
    <t>SUZEN</t>
  </si>
  <si>
    <t>232666/67/1</t>
  </si>
  <si>
    <t>REGINA</t>
  </si>
  <si>
    <t>MPUNDU</t>
  </si>
  <si>
    <t>180847/45/1</t>
  </si>
  <si>
    <t>EDAH</t>
  </si>
  <si>
    <t>NAWAKWI</t>
  </si>
  <si>
    <t>230232/16/1</t>
  </si>
  <si>
    <t>MATILDAH</t>
  </si>
  <si>
    <t>CHANDA</t>
  </si>
  <si>
    <t>208102/64/1</t>
  </si>
  <si>
    <t>CHRISTOPHER</t>
  </si>
  <si>
    <t>373675/67/1</t>
  </si>
  <si>
    <t>MANDEVU</t>
  </si>
  <si>
    <t>208132/15/1</t>
  </si>
  <si>
    <t>BRENDA</t>
  </si>
  <si>
    <t>CHILUFYA</t>
  </si>
  <si>
    <t>107374/95/1</t>
  </si>
  <si>
    <t>ENERT</t>
  </si>
  <si>
    <t>100181/54/1</t>
  </si>
  <si>
    <t>366475/11</t>
  </si>
  <si>
    <t>WINFRIDA</t>
  </si>
  <si>
    <t>DAKA</t>
  </si>
  <si>
    <t>131866/34/1</t>
  </si>
  <si>
    <t>SILLY</t>
  </si>
  <si>
    <t>KOLALA</t>
  </si>
  <si>
    <t>126673/81/1</t>
  </si>
  <si>
    <t>BEAUTY</t>
  </si>
  <si>
    <t>KAPOBA</t>
  </si>
  <si>
    <t>584758/11/1</t>
  </si>
  <si>
    <t>MAGIE</t>
  </si>
  <si>
    <t>NAMUTOWE</t>
  </si>
  <si>
    <t>225347/43/1</t>
  </si>
  <si>
    <t>CHABALA</t>
  </si>
  <si>
    <t>857167/11/1</t>
  </si>
  <si>
    <t>RICHARD</t>
  </si>
  <si>
    <t>NAMAYANGA</t>
  </si>
  <si>
    <t>274904/17/1</t>
  </si>
  <si>
    <t>LILIAN</t>
  </si>
  <si>
    <t>MUTALE</t>
  </si>
  <si>
    <t>361121/10/1</t>
  </si>
  <si>
    <t>SARA</t>
  </si>
  <si>
    <t>KAFWIMBI</t>
  </si>
  <si>
    <t xml:space="preserve"> 155770/72/1</t>
  </si>
  <si>
    <t>VERA</t>
  </si>
  <si>
    <t>KALYATI</t>
  </si>
  <si>
    <t>188777/73/1</t>
  </si>
  <si>
    <t>REQUESTED TO PAY IN TWO WEEKS INSTALMENTS OF K1,250</t>
  </si>
  <si>
    <t>STANLEY</t>
  </si>
  <si>
    <t>KABEMBA</t>
  </si>
  <si>
    <t>305552/33/1</t>
  </si>
  <si>
    <t>REQUESTED TO PAY IN TWO WEEKS INSTALMENTS OF K1,050</t>
  </si>
  <si>
    <t>CAROLINE</t>
  </si>
  <si>
    <t>NAKAZWE</t>
  </si>
  <si>
    <t>418712/11/1</t>
  </si>
  <si>
    <t>BALANCE WILL BE PAID ON FRIDAY WHICH IS K2000</t>
  </si>
  <si>
    <t>LOVENESS</t>
  </si>
  <si>
    <t>240102/67/1</t>
  </si>
  <si>
    <t>BALANCE WILL BE PAID ON WEDNESDAY WHICH IS K500</t>
  </si>
  <si>
    <t>BARBRA</t>
  </si>
  <si>
    <t>NALAVNE</t>
  </si>
  <si>
    <t>511553/10/1</t>
  </si>
  <si>
    <t>LISTER</t>
  </si>
  <si>
    <t>169288/42/1</t>
  </si>
  <si>
    <t>882, 934 , 947</t>
  </si>
  <si>
    <t>PRSCILLA</t>
  </si>
  <si>
    <t>KAYUMA</t>
  </si>
  <si>
    <t>240778/18/1</t>
  </si>
  <si>
    <t>REQUESTED TO PAY IN TWO WEEKS INSTALMENTS OF K2500</t>
  </si>
  <si>
    <t xml:space="preserve"> Recover</t>
  </si>
  <si>
    <t>ASTRIDAH</t>
  </si>
  <si>
    <t>SIAMULAMFU</t>
  </si>
  <si>
    <t>992798/11/1</t>
  </si>
  <si>
    <t>879 , 885</t>
  </si>
  <si>
    <t>BALANCE TO BE PAID ON FRIDAY WHICH IS K480</t>
  </si>
  <si>
    <t>BEATRICE</t>
  </si>
  <si>
    <t>BWALYA</t>
  </si>
  <si>
    <t>349256/11/1</t>
  </si>
  <si>
    <t>REQUESTED TO PAY IN TWO WEEKS INSTALMENTS OF K5000</t>
  </si>
  <si>
    <t>NAOMI</t>
  </si>
  <si>
    <t>NKHOMA</t>
  </si>
  <si>
    <t>581351/11/1</t>
  </si>
  <si>
    <t xml:space="preserve">                                                                                                     </t>
  </si>
  <si>
    <t>TOTAL</t>
  </si>
  <si>
    <t>MILDRED</t>
  </si>
  <si>
    <t>CHONGO</t>
  </si>
  <si>
    <t>QUEEN</t>
  </si>
  <si>
    <t>KUMWENDA</t>
  </si>
  <si>
    <t>MERCY</t>
  </si>
  <si>
    <t>KAYELU</t>
  </si>
  <si>
    <t>AMON</t>
  </si>
  <si>
    <t xml:space="preserve">CHIWALA </t>
  </si>
  <si>
    <t>PRISCILA</t>
  </si>
  <si>
    <t>MOSES</t>
  </si>
  <si>
    <t>SICHULA</t>
  </si>
  <si>
    <t>ECLES</t>
  </si>
  <si>
    <t>MITI</t>
  </si>
  <si>
    <t>OmellY</t>
  </si>
  <si>
    <t>Kambele</t>
  </si>
  <si>
    <t>ANNA</t>
  </si>
  <si>
    <t>SAUTI</t>
  </si>
  <si>
    <t>GIVEN</t>
  </si>
  <si>
    <t>NYANGU</t>
  </si>
  <si>
    <t>DOREEN</t>
  </si>
  <si>
    <t>KANKOMPE</t>
  </si>
  <si>
    <t>ADESS</t>
  </si>
  <si>
    <t>CHITALA</t>
  </si>
  <si>
    <t>Recover</t>
  </si>
  <si>
    <t>BRIDGET</t>
  </si>
  <si>
    <t>MWANZA</t>
  </si>
  <si>
    <t>VELENAS</t>
  </si>
  <si>
    <t>481244/11/1</t>
  </si>
  <si>
    <t>Check</t>
  </si>
  <si>
    <t>AGNESS</t>
  </si>
  <si>
    <t>ZULU</t>
  </si>
  <si>
    <t>CONCIOUS</t>
  </si>
  <si>
    <t>NGOMA</t>
  </si>
  <si>
    <t>EUNICE</t>
  </si>
  <si>
    <t>HAATAMBA</t>
  </si>
  <si>
    <t>VIOLET</t>
  </si>
  <si>
    <t>NYERENDA</t>
  </si>
  <si>
    <t>KASHINGA</t>
  </si>
  <si>
    <t>MADALITSO</t>
  </si>
  <si>
    <t>CHRISTINE</t>
  </si>
  <si>
    <t>MALAMBO</t>
  </si>
  <si>
    <t>RABECCA</t>
  </si>
  <si>
    <t>NAMUKONDI</t>
  </si>
  <si>
    <t>291694/47/1</t>
  </si>
  <si>
    <t>CATHRINE</t>
  </si>
  <si>
    <t>CHIDUKWA</t>
  </si>
  <si>
    <t>275365/17/1</t>
  </si>
  <si>
    <t>MWILA</t>
  </si>
  <si>
    <t>KAPITA</t>
  </si>
  <si>
    <t>303819/24/1</t>
  </si>
  <si>
    <t>HILDA</t>
  </si>
  <si>
    <t>MICHELO</t>
  </si>
  <si>
    <t>297084/74/1</t>
  </si>
  <si>
    <t>MONICA</t>
  </si>
  <si>
    <t>598745/17/1</t>
  </si>
  <si>
    <t>MARGRET</t>
  </si>
  <si>
    <t>692558/11/1</t>
  </si>
  <si>
    <t>No trace</t>
  </si>
  <si>
    <t>Regina to follow up</t>
  </si>
  <si>
    <t>SHADRECK</t>
  </si>
  <si>
    <t>SIMWIZYA</t>
  </si>
  <si>
    <t>616998/11/1</t>
  </si>
  <si>
    <t>EDDY</t>
  </si>
  <si>
    <t>MUSOKWA</t>
  </si>
  <si>
    <t>281829/45/1</t>
  </si>
  <si>
    <t>MESA</t>
  </si>
  <si>
    <t>CHIPULU</t>
  </si>
  <si>
    <t>178777/44/1</t>
  </si>
  <si>
    <t>BETHA</t>
  </si>
  <si>
    <t>NAMUSOKWE</t>
  </si>
  <si>
    <t>798825/11/1</t>
  </si>
  <si>
    <t>KALANDA</t>
  </si>
  <si>
    <t>CHIPAMBALA</t>
  </si>
  <si>
    <t>208361/15/1</t>
  </si>
  <si>
    <t>Commitment to be given Friday 18 September</t>
  </si>
  <si>
    <t>MACLANA</t>
  </si>
  <si>
    <t>640714/11/1</t>
  </si>
  <si>
    <t>MARTHA</t>
  </si>
  <si>
    <t>759629/11/1</t>
  </si>
  <si>
    <t>RACHEAL</t>
  </si>
  <si>
    <t>CHULU</t>
  </si>
  <si>
    <t>327565/11/1</t>
  </si>
  <si>
    <t>THERESA</t>
  </si>
  <si>
    <t>MUBANGA</t>
  </si>
  <si>
    <t>207766/17/1</t>
  </si>
  <si>
    <t>GIVENESS</t>
  </si>
  <si>
    <t>CHUMA</t>
  </si>
  <si>
    <t>291749/17/1</t>
  </si>
  <si>
    <t>223963/31/1</t>
  </si>
  <si>
    <t>ALEX</t>
  </si>
  <si>
    <t>SAKALA</t>
  </si>
  <si>
    <t>128459/91/1</t>
  </si>
  <si>
    <t>ALICE</t>
  </si>
  <si>
    <t>MWANDILA</t>
  </si>
  <si>
    <t>CHISAKA</t>
  </si>
  <si>
    <t>185017/17/1</t>
  </si>
  <si>
    <t xml:space="preserve"> Airtel withdraw charge</t>
  </si>
  <si>
    <t>brenda</t>
  </si>
  <si>
    <t>chilufya</t>
  </si>
  <si>
    <t xml:space="preserve">AGNESS                 </t>
  </si>
  <si>
    <t>chanda</t>
  </si>
  <si>
    <t>winfidah        daka</t>
  </si>
  <si>
    <t>CLAIMS FINISHED COMING THRU MONDAY</t>
  </si>
  <si>
    <t xml:space="preserve">check </t>
  </si>
  <si>
    <t>enerty                 phiri</t>
  </si>
  <si>
    <t>100181/54/1          0979829466</t>
  </si>
  <si>
    <t>FINISHED</t>
  </si>
  <si>
    <t xml:space="preserve">richard            namayaga </t>
  </si>
  <si>
    <t>PENALTES AGREES TO PAY</t>
  </si>
  <si>
    <t>BETRICE</t>
  </si>
  <si>
    <t>PAYING ON SMALL AMOUNTS THOUGH.</t>
  </si>
  <si>
    <t xml:space="preserve">silly </t>
  </si>
  <si>
    <t>kolala</t>
  </si>
  <si>
    <t xml:space="preserve">lilian </t>
  </si>
  <si>
    <t xml:space="preserve">mutale </t>
  </si>
  <si>
    <t>359160/81/1</t>
  </si>
  <si>
    <t>366475/11/1</t>
  </si>
  <si>
    <t xml:space="preserve">pamela            chishala </t>
  </si>
  <si>
    <t>278817/64/1</t>
  </si>
  <si>
    <t>lister</t>
  </si>
  <si>
    <t>nakamba</t>
  </si>
  <si>
    <t>COLLATERAL HQ</t>
  </si>
  <si>
    <t xml:space="preserve">queen </t>
  </si>
  <si>
    <t>kumwenda</t>
  </si>
  <si>
    <t>277275/32/1</t>
  </si>
  <si>
    <t>5th Dec</t>
  </si>
  <si>
    <t xml:space="preserve">loveness       chabala </t>
  </si>
  <si>
    <t>esther</t>
  </si>
  <si>
    <t xml:space="preserve">mwewa </t>
  </si>
  <si>
    <t>LATE CAPTURE LEADIND TO K8.85 PENALTY</t>
  </si>
  <si>
    <t xml:space="preserve">patricia         chabala </t>
  </si>
  <si>
    <t>CHALLENGE HUSBAND DIED.STARTED PAYING LAST WEEK</t>
  </si>
  <si>
    <t>816664/11/1</t>
  </si>
  <si>
    <t>CHIWALA</t>
  </si>
  <si>
    <t>315758/61/1</t>
  </si>
  <si>
    <t>MONTHED</t>
  </si>
  <si>
    <t xml:space="preserve">REGINA </t>
  </si>
  <si>
    <t>180847/43/1</t>
  </si>
  <si>
    <t>Started making payments</t>
  </si>
  <si>
    <t>MAGGY</t>
  </si>
  <si>
    <t>MULOMBE</t>
  </si>
  <si>
    <t>504843/11/1</t>
  </si>
  <si>
    <t>BELINDA</t>
  </si>
  <si>
    <t>SHOSHOTA</t>
  </si>
  <si>
    <t>279991/66/1</t>
  </si>
  <si>
    <t>PHONE OFFLINE.STAND NOT FOUND/HOME UNKNOWN</t>
  </si>
  <si>
    <t>570640/11/1</t>
  </si>
  <si>
    <t xml:space="preserve">ANTONY </t>
  </si>
  <si>
    <t>993213/11/1</t>
  </si>
  <si>
    <t>phone OFFLINE.STAND NOT FOUND/HOME UNKNOWN</t>
  </si>
  <si>
    <t>CLARA</t>
  </si>
  <si>
    <t>LYANDISHA</t>
  </si>
  <si>
    <t>710445/11/1</t>
  </si>
  <si>
    <t>CLAIMS FINISHED,WAITING FOR VERIFICATION OF RECIEPTS ON WEDNESDAY</t>
  </si>
  <si>
    <t>LINDA</t>
  </si>
  <si>
    <t>ESTON</t>
  </si>
  <si>
    <t>CHAMA</t>
  </si>
  <si>
    <t>786892/11/1</t>
  </si>
  <si>
    <t>ECLESS</t>
  </si>
  <si>
    <t>264324/33/1</t>
  </si>
  <si>
    <t>CLAIMS FINISHED( SENT VIA AIRTEL MONEY HQ )WILL COME WITH</t>
  </si>
  <si>
    <t>NALAVWE</t>
  </si>
  <si>
    <t>Visit</t>
  </si>
  <si>
    <t>did not get</t>
  </si>
  <si>
    <t>PETIENCE</t>
  </si>
  <si>
    <t>158135/10/1</t>
  </si>
  <si>
    <t>agrees to pay penalties</t>
  </si>
  <si>
    <t>186503/63/1</t>
  </si>
  <si>
    <t xml:space="preserve">MARY </t>
  </si>
  <si>
    <t>MULENDELO</t>
  </si>
  <si>
    <t>771202/11/1</t>
  </si>
  <si>
    <t>Phone off</t>
  </si>
  <si>
    <t>check with Accounts</t>
  </si>
  <si>
    <t>269068/61/1</t>
  </si>
  <si>
    <t>HATAMBA</t>
  </si>
  <si>
    <t>103295/18/1</t>
  </si>
  <si>
    <t>120905/19/1</t>
  </si>
  <si>
    <t>Airtel Proof</t>
  </si>
  <si>
    <t>LEYA</t>
  </si>
  <si>
    <t>SARAH</t>
  </si>
  <si>
    <t>155770/72/1</t>
  </si>
  <si>
    <t>Friday 06/12/2020</t>
  </si>
  <si>
    <t>STAINLY</t>
  </si>
  <si>
    <t>HILDAH</t>
  </si>
  <si>
    <t>CHISANGA</t>
  </si>
  <si>
    <t>BELISTER</t>
  </si>
  <si>
    <t>MULELA</t>
  </si>
  <si>
    <t>KAKOMPE</t>
  </si>
  <si>
    <t>IT to Check</t>
  </si>
  <si>
    <t>AUDRY</t>
  </si>
  <si>
    <t>KANJONGO</t>
  </si>
  <si>
    <t>KELVIN</t>
  </si>
  <si>
    <t>FUDIWA</t>
  </si>
  <si>
    <t>maxwell</t>
  </si>
  <si>
    <t>mwanza</t>
  </si>
  <si>
    <t>PENALTY WAS NOT COMUNICATATED PROPERLY KNOWS HE FINISHED PAYING</t>
  </si>
  <si>
    <t>RODRICK</t>
  </si>
  <si>
    <t>CHIBEKA</t>
  </si>
  <si>
    <t>mwila</t>
  </si>
  <si>
    <t>kapita</t>
  </si>
  <si>
    <t>Central police today</t>
  </si>
  <si>
    <t>MUZA</t>
  </si>
  <si>
    <t>RECHEAL</t>
  </si>
  <si>
    <t xml:space="preserve">EUNICE </t>
  </si>
  <si>
    <t>MUSUKWA</t>
  </si>
  <si>
    <t>REQUESTED TO PAY IN TWO WEEKS INSTALMENTS OF K1000</t>
  </si>
  <si>
    <t>ANDREW</t>
  </si>
  <si>
    <t>ENETTY</t>
  </si>
  <si>
    <t xml:space="preserve">Bupe </t>
  </si>
  <si>
    <t>Mwenda</t>
  </si>
  <si>
    <t>Stanely Lwita</t>
  </si>
  <si>
    <t>REQUESTED TO PAY IN TWO WEEKS INSTALMENTS 4000</t>
  </si>
  <si>
    <t>PATRICIA</t>
  </si>
  <si>
    <t>MUKUKA</t>
  </si>
  <si>
    <t xml:space="preserve">3RD WEEK </t>
  </si>
  <si>
    <t>CLENDAH</t>
  </si>
  <si>
    <t>SIABANTU</t>
  </si>
  <si>
    <t>ROSE</t>
  </si>
  <si>
    <t>CHIBWE</t>
  </si>
  <si>
    <t>PAYING TODAY</t>
  </si>
  <si>
    <t>ELIZABETH</t>
  </si>
  <si>
    <t>KAMBANJE</t>
  </si>
  <si>
    <t>MWEEMBA</t>
  </si>
  <si>
    <t>CHUMWE</t>
  </si>
  <si>
    <t>CHIKOTI</t>
  </si>
  <si>
    <t>check</t>
  </si>
  <si>
    <t>SHDRECK</t>
  </si>
  <si>
    <t>DOUGLAS</t>
  </si>
  <si>
    <t>MUKUBA</t>
  </si>
  <si>
    <t>PAYING MONTHEND</t>
  </si>
  <si>
    <t xml:space="preserve">ESTON </t>
  </si>
  <si>
    <t>CHAMBA</t>
  </si>
  <si>
    <t xml:space="preserve">CAPHAS </t>
  </si>
  <si>
    <t xml:space="preserve">BRENDA </t>
  </si>
  <si>
    <t>KALUMBU</t>
  </si>
  <si>
    <t>Elizbeth</t>
  </si>
  <si>
    <t>Kambanje</t>
  </si>
  <si>
    <t>Visitation</t>
  </si>
  <si>
    <t>Stannily</t>
  </si>
  <si>
    <t>Kabemba</t>
  </si>
  <si>
    <t>Enetty</t>
  </si>
  <si>
    <t>Phiri</t>
  </si>
  <si>
    <t xml:space="preserve">Airtel </t>
  </si>
  <si>
    <t xml:space="preserve">Maggie </t>
  </si>
  <si>
    <t>Namutowe</t>
  </si>
  <si>
    <t>Shadreck</t>
  </si>
  <si>
    <t>Mulenga</t>
  </si>
  <si>
    <t>Lillian</t>
  </si>
  <si>
    <t>Mutale</t>
  </si>
  <si>
    <t>Bupe</t>
  </si>
  <si>
    <t>Matilda</t>
  </si>
  <si>
    <t>Kashinga</t>
  </si>
  <si>
    <t xml:space="preserve">ECLESS </t>
  </si>
  <si>
    <t>OMELLY</t>
  </si>
  <si>
    <t>KAMBELE</t>
  </si>
  <si>
    <t>Late Capture of receipts</t>
  </si>
  <si>
    <t>RONALD</t>
  </si>
  <si>
    <t>SUMMARY</t>
  </si>
  <si>
    <t>10th Batch</t>
  </si>
  <si>
    <t>11th Batch</t>
  </si>
</sst>
</file>

<file path=xl/styles.xml><?xml version="1.0" encoding="utf-8"?>
<styleSheet xmlns="http://schemas.openxmlformats.org/spreadsheetml/2006/main">
  <numFmts count="8">
    <numFmt numFmtId="176" formatCode="_-* #,##0_-;\-* #,##0_-;_-* &quot;-&quot;??_-;_-@_-"/>
    <numFmt numFmtId="43" formatCode="_(* #,##0.00_);_(* \(#,##0.00\);_(* &quot;-&quot;??_);_(@_)"/>
    <numFmt numFmtId="177" formatCode="_(* #,##0_);_(* \(#,##0\);_(* &quot;-&quot;??_);_(@_)"/>
    <numFmt numFmtId="178" formatCode="_ * #,##0_ ;_ * \-#,##0_ ;_ * &quot;-&quot;_ ;_ @_ "/>
    <numFmt numFmtId="44" formatCode="_(&quot;$&quot;* #,##0.00_);_(&quot;$&quot;* \(#,##0.00\);_(&quot;$&quot;* &quot;-&quot;??_);_(@_)"/>
    <numFmt numFmtId="179" formatCode="_ * #,##0.00_ ;_ * \-#,##0.00_ ;_ * &quot;-&quot;??_ ;_ @_ "/>
    <numFmt numFmtId="42" formatCode="_(&quot;$&quot;* #,##0_);_(&quot;$&quot;* \(#,##0\);_(&quot;$&quot;* &quot;-&quot;_);_(@_)"/>
    <numFmt numFmtId="180" formatCode="0.00_);[Red]\(0.00\)"/>
  </numFmts>
  <fonts count="48">
    <font>
      <sz val="11"/>
      <color theme="1"/>
      <name val="Calibri"/>
      <charset val="134"/>
      <scheme val="minor"/>
    </font>
    <font>
      <sz val="11"/>
      <color theme="1"/>
      <name val="Arial Narrow"/>
      <charset val="134"/>
    </font>
    <font>
      <b/>
      <sz val="11"/>
      <color theme="1"/>
      <name val="Arial Narrow"/>
      <charset val="134"/>
    </font>
    <font>
      <b/>
      <sz val="11"/>
      <name val="Arial Narrow"/>
      <charset val="134"/>
    </font>
    <font>
      <sz val="11"/>
      <color theme="1"/>
      <name val="Arial"/>
      <charset val="134"/>
    </font>
    <font>
      <sz val="11"/>
      <color theme="1"/>
      <name val="Arial Black"/>
      <charset val="134"/>
    </font>
    <font>
      <sz val="11"/>
      <name val="Arial"/>
      <charset val="134"/>
    </font>
    <font>
      <sz val="11"/>
      <name val="Arial Narrow"/>
      <charset val="134"/>
    </font>
    <font>
      <sz val="11"/>
      <color indexed="63"/>
      <name val="Arial Narrow"/>
      <charset val="134"/>
    </font>
    <font>
      <b/>
      <sz val="11"/>
      <color theme="1"/>
      <name val="Calibri"/>
      <charset val="134"/>
      <scheme val="minor"/>
    </font>
    <font>
      <sz val="11"/>
      <color theme="3" tint="0.599993896298105"/>
      <name val="Arial Narrow"/>
      <charset val="134"/>
    </font>
    <font>
      <sz val="11"/>
      <color rgb="FF00B0F0"/>
      <name val="Arial Narrow"/>
      <charset val="134"/>
    </font>
    <font>
      <sz val="12"/>
      <color theme="1"/>
      <name val="Arial Narrow"/>
      <charset val="134"/>
    </font>
    <font>
      <b/>
      <sz val="12"/>
      <color rgb="FFFF0000"/>
      <name val="Arial Narrow"/>
      <charset val="134"/>
    </font>
    <font>
      <sz val="12"/>
      <color rgb="FFFF0000"/>
      <name val="Arial Narrow"/>
      <charset val="134"/>
    </font>
    <font>
      <b/>
      <sz val="12"/>
      <color theme="1"/>
      <name val="Arial Narrow"/>
      <charset val="134"/>
    </font>
    <font>
      <sz val="12"/>
      <color rgb="FF000000"/>
      <name val="Arial Narrow"/>
      <charset val="134"/>
    </font>
    <font>
      <b/>
      <sz val="11"/>
      <name val="Arial"/>
      <charset val="134"/>
    </font>
    <font>
      <b/>
      <sz val="11"/>
      <color theme="1"/>
      <name val="Arial"/>
      <charset val="134"/>
    </font>
    <font>
      <sz val="11"/>
      <color rgb="FF000000"/>
      <name val="Arial"/>
      <charset val="134"/>
    </font>
    <font>
      <sz val="11"/>
      <color rgb="FF000000"/>
      <name val="Arial Narrow"/>
      <charset val="134"/>
    </font>
    <font>
      <sz val="11"/>
      <color rgb="FF00B050"/>
      <name val="Arial Narrow"/>
      <charset val="134"/>
    </font>
    <font>
      <sz val="11"/>
      <color rgb="FF000000"/>
      <name val="Calibri"/>
      <charset val="134"/>
    </font>
    <font>
      <b/>
      <sz val="11"/>
      <color rgb="FFFF0000"/>
      <name val="Calibri"/>
      <charset val="134"/>
      <scheme val="minor"/>
    </font>
    <font>
      <sz val="11"/>
      <color theme="0"/>
      <name val="Arial Narrow"/>
      <charset val="134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9"/>
      <name val="Tahoma"/>
      <charset val="134"/>
    </font>
    <font>
      <sz val="9"/>
      <name val="Tahoma"/>
      <charset val="134"/>
    </font>
    <font>
      <sz val="9"/>
      <name val="Times New Roman"/>
      <charset val="0"/>
    </font>
    <font>
      <b/>
      <sz val="9"/>
      <name val="Times New Roman"/>
      <charset val="0"/>
    </font>
  </fonts>
  <fills count="44">
    <fill>
      <patternFill patternType="none"/>
    </fill>
    <fill>
      <patternFill patternType="gray125"/>
    </fill>
    <fill>
      <patternFill patternType="solid">
        <fgColor theme="0" tint="-0.34998626667073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42"/>
      </left>
      <right style="thin">
        <color indexed="42"/>
      </right>
      <top style="thin">
        <color indexed="42"/>
      </top>
      <bottom style="thin">
        <color indexed="42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2">
    <xf numFmtId="0" fontId="0" fillId="0" borderId="0"/>
    <xf numFmtId="0" fontId="29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/>
    <xf numFmtId="178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0" fontId="30" fillId="0" borderId="0" applyNumberFormat="0" applyFill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20" borderId="15" applyNumberFormat="0" applyAlignment="0" applyProtection="0">
      <alignment vertical="center"/>
    </xf>
    <xf numFmtId="0" fontId="34" fillId="0" borderId="16" applyNumberFormat="0" applyFill="0" applyAlignment="0" applyProtection="0">
      <alignment vertical="center"/>
    </xf>
    <xf numFmtId="0" fontId="0" fillId="21" borderId="17" applyNumberFormat="0" applyFont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16" applyNumberFormat="0" applyFill="0" applyAlignment="0" applyProtection="0">
      <alignment vertical="center"/>
    </xf>
    <xf numFmtId="0" fontId="27" fillId="0" borderId="18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9" fillId="31" borderId="19" applyNumberFormat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40" fillId="36" borderId="20" applyNumberFormat="0" applyAlignment="0" applyProtection="0">
      <alignment vertical="center"/>
    </xf>
    <xf numFmtId="0" fontId="29" fillId="37" borderId="0" applyNumberFormat="0" applyBorder="0" applyAlignment="0" applyProtection="0">
      <alignment vertical="center"/>
    </xf>
    <xf numFmtId="0" fontId="42" fillId="36" borderId="19" applyNumberFormat="0" applyAlignment="0" applyProtection="0">
      <alignment vertical="center"/>
    </xf>
    <xf numFmtId="0" fontId="41" fillId="0" borderId="21" applyNumberFormat="0" applyFill="0" applyAlignment="0" applyProtection="0">
      <alignment vertical="center"/>
    </xf>
    <xf numFmtId="0" fontId="26" fillId="0" borderId="14" applyNumberFormat="0" applyFill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43" fillId="38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42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44" fontId="0" fillId="0" borderId="0" applyFont="0" applyFill="0" applyBorder="0" applyAlignment="0" applyProtection="0"/>
    <xf numFmtId="0" fontId="31" fillId="32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179" fontId="0" fillId="0" borderId="0" applyFont="0" applyFill="0" applyBorder="0" applyAlignment="0" applyProtection="0"/>
    <xf numFmtId="179" fontId="0" fillId="0" borderId="0" applyFont="0" applyFill="0" applyBorder="0" applyAlignment="0" applyProtection="0"/>
  </cellStyleXfs>
  <cellXfs count="335">
    <xf numFmtId="0" fontId="0" fillId="0" borderId="0" xfId="0"/>
    <xf numFmtId="0" fontId="1" fillId="0" borderId="0" xfId="0" applyFont="1"/>
    <xf numFmtId="0" fontId="1" fillId="2" borderId="1" xfId="0" applyFont="1" applyFill="1" applyBorder="1" applyAlignment="1"/>
    <xf numFmtId="49" fontId="1" fillId="2" borderId="1" xfId="0" applyNumberFormat="1" applyFont="1" applyFill="1" applyBorder="1" applyAlignment="1">
      <alignment wrapText="1"/>
    </xf>
    <xf numFmtId="0" fontId="1" fillId="2" borderId="1" xfId="0" applyFont="1" applyFill="1" applyBorder="1"/>
    <xf numFmtId="2" fontId="1" fillId="2" borderId="1" xfId="0" applyNumberFormat="1" applyFont="1" applyFill="1" applyBorder="1" applyAlignment="1">
      <alignment wrapText="1"/>
    </xf>
    <xf numFmtId="177" fontId="1" fillId="0" borderId="0" xfId="2" applyNumberFormat="1" applyFont="1"/>
    <xf numFmtId="9" fontId="1" fillId="0" borderId="0" xfId="6" applyFont="1"/>
    <xf numFmtId="177" fontId="1" fillId="0" borderId="2" xfId="2" applyNumberFormat="1" applyFont="1" applyBorder="1"/>
    <xf numFmtId="9" fontId="1" fillId="0" borderId="2" xfId="6" applyFont="1" applyBorder="1"/>
    <xf numFmtId="177" fontId="2" fillId="0" borderId="0" xfId="2" applyNumberFormat="1" applyFont="1"/>
    <xf numFmtId="9" fontId="2" fillId="0" borderId="0" xfId="2" applyNumberFormat="1" applyFont="1"/>
    <xf numFmtId="0" fontId="2" fillId="0" borderId="0" xfId="0" applyFont="1"/>
    <xf numFmtId="9" fontId="2" fillId="0" borderId="0" xfId="0" applyNumberFormat="1" applyFont="1"/>
    <xf numFmtId="177" fontId="2" fillId="0" borderId="2" xfId="0" applyNumberFormat="1" applyFont="1" applyBorder="1"/>
    <xf numFmtId="0" fontId="1" fillId="2" borderId="1" xfId="0" applyFont="1" applyFill="1" applyBorder="1" applyAlignment="1">
      <alignment wrapText="1"/>
    </xf>
    <xf numFmtId="177" fontId="1" fillId="0" borderId="0" xfId="0" applyNumberFormat="1" applyFont="1" applyFill="1" applyBorder="1"/>
    <xf numFmtId="177" fontId="1" fillId="0" borderId="0" xfId="2" applyNumberFormat="1" applyFont="1" applyFill="1"/>
    <xf numFmtId="0" fontId="3" fillId="0" borderId="0" xfId="0" applyFont="1"/>
    <xf numFmtId="177" fontId="3" fillId="0" borderId="0" xfId="2" applyNumberFormat="1" applyFont="1" applyFill="1"/>
    <xf numFmtId="177" fontId="3" fillId="0" borderId="0" xfId="2" applyNumberFormat="1" applyFont="1"/>
    <xf numFmtId="177" fontId="1" fillId="0" borderId="3" xfId="2" applyNumberFormat="1" applyFont="1" applyBorder="1"/>
    <xf numFmtId="0" fontId="4" fillId="2" borderId="1" xfId="0" applyFont="1" applyFill="1" applyBorder="1"/>
    <xf numFmtId="0" fontId="4" fillId="2" borderId="0" xfId="0" applyFont="1" applyFill="1"/>
    <xf numFmtId="0" fontId="4" fillId="2" borderId="0" xfId="0" applyFont="1" applyFill="1" applyBorder="1" applyAlignment="1">
      <alignment wrapText="1"/>
    </xf>
    <xf numFmtId="49" fontId="4" fillId="2" borderId="0" xfId="0" applyNumberFormat="1" applyFont="1" applyFill="1" applyAlignment="1">
      <alignment wrapText="1"/>
    </xf>
    <xf numFmtId="2" fontId="5" fillId="2" borderId="0" xfId="0" applyNumberFormat="1" applyFont="1" applyFill="1" applyAlignment="1">
      <alignment wrapText="1"/>
    </xf>
    <xf numFmtId="0" fontId="4" fillId="2" borderId="0" xfId="0" applyFont="1" applyFill="1" applyAlignment="1">
      <alignment wrapText="1"/>
    </xf>
    <xf numFmtId="0" fontId="4" fillId="0" borderId="0" xfId="0" applyFont="1"/>
    <xf numFmtId="177" fontId="6" fillId="0" borderId="0" xfId="2" applyNumberFormat="1" applyFont="1" applyFill="1" applyBorder="1"/>
    <xf numFmtId="177" fontId="6" fillId="0" borderId="0" xfId="2" applyNumberFormat="1" applyFont="1"/>
    <xf numFmtId="177" fontId="0" fillId="0" borderId="0" xfId="2" applyNumberFormat="1" applyFont="1"/>
    <xf numFmtId="177" fontId="4" fillId="0" borderId="3" xfId="2" applyNumberFormat="1" applyFont="1" applyBorder="1"/>
    <xf numFmtId="9" fontId="1" fillId="0" borderId="4" xfId="6" applyFont="1" applyBorder="1"/>
    <xf numFmtId="0" fontId="0" fillId="2" borderId="1" xfId="0" applyFill="1" applyBorder="1"/>
    <xf numFmtId="2" fontId="4" fillId="2" borderId="0" xfId="0" applyNumberFormat="1" applyFont="1" applyFill="1" applyAlignment="1">
      <alignment wrapText="1"/>
    </xf>
    <xf numFmtId="180" fontId="0" fillId="0" borderId="0" xfId="2" applyNumberFormat="1" applyFont="1"/>
    <xf numFmtId="180" fontId="0" fillId="0" borderId="0" xfId="0" applyNumberFormat="1"/>
    <xf numFmtId="0" fontId="1" fillId="0" borderId="1" xfId="0" applyFont="1" applyBorder="1"/>
    <xf numFmtId="0" fontId="7" fillId="0" borderId="0" xfId="0" applyFont="1" applyFill="1"/>
    <xf numFmtId="49" fontId="7" fillId="0" borderId="0" xfId="0" applyNumberFormat="1" applyFont="1" applyFill="1" applyBorder="1" applyAlignment="1">
      <alignment wrapText="1"/>
    </xf>
    <xf numFmtId="177" fontId="1" fillId="0" borderId="0" xfId="0" applyNumberFormat="1" applyFont="1" applyFill="1" applyBorder="1" applyAlignment="1">
      <alignment wrapText="1"/>
    </xf>
    <xf numFmtId="177" fontId="1" fillId="0" borderId="0" xfId="0" applyNumberFormat="1" applyFont="1"/>
    <xf numFmtId="3" fontId="1" fillId="0" borderId="0" xfId="0" applyNumberFormat="1" applyFont="1"/>
    <xf numFmtId="177" fontId="1" fillId="0" borderId="0" xfId="6" applyNumberFormat="1" applyFont="1"/>
    <xf numFmtId="0" fontId="1" fillId="3" borderId="1" xfId="0" applyFont="1" applyFill="1" applyBorder="1"/>
    <xf numFmtId="43" fontId="1" fillId="0" borderId="1" xfId="2" applyFont="1" applyFill="1" applyBorder="1"/>
    <xf numFmtId="177" fontId="1" fillId="0" borderId="1" xfId="2" applyNumberFormat="1" applyFont="1" applyFill="1" applyBorder="1"/>
    <xf numFmtId="43" fontId="7" fillId="0" borderId="1" xfId="2" applyFont="1" applyFill="1" applyBorder="1"/>
    <xf numFmtId="177" fontId="7" fillId="0" borderId="1" xfId="2" applyNumberFormat="1" applyFont="1" applyFill="1" applyBorder="1"/>
    <xf numFmtId="0" fontId="1" fillId="0" borderId="1" xfId="0" applyFont="1" applyFill="1" applyBorder="1"/>
    <xf numFmtId="177" fontId="2" fillId="0" borderId="2" xfId="2" applyNumberFormat="1" applyFont="1" applyBorder="1"/>
    <xf numFmtId="177" fontId="1" fillId="0" borderId="4" xfId="0" applyNumberFormat="1" applyFont="1" applyBorder="1"/>
    <xf numFmtId="2" fontId="1" fillId="2" borderId="1" xfId="0" applyNumberFormat="1" applyFont="1" applyFill="1" applyBorder="1"/>
    <xf numFmtId="177" fontId="1" fillId="0" borderId="1" xfId="2" applyNumberFormat="1" applyFont="1" applyBorder="1"/>
    <xf numFmtId="177" fontId="1" fillId="0" borderId="1" xfId="2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right"/>
    </xf>
    <xf numFmtId="0" fontId="1" fillId="0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43" fontId="1" fillId="3" borderId="1" xfId="2" applyFont="1" applyFill="1" applyBorder="1"/>
    <xf numFmtId="177" fontId="1" fillId="4" borderId="1" xfId="2" applyNumberFormat="1" applyFont="1" applyFill="1" applyBorder="1"/>
    <xf numFmtId="49" fontId="8" fillId="0" borderId="5" xfId="0" applyNumberFormat="1" applyFont="1" applyFill="1" applyBorder="1"/>
    <xf numFmtId="0" fontId="1" fillId="5" borderId="1" xfId="0" applyFont="1" applyFill="1" applyBorder="1"/>
    <xf numFmtId="43" fontId="1" fillId="5" borderId="1" xfId="2" applyFont="1" applyFill="1" applyBorder="1"/>
    <xf numFmtId="43" fontId="2" fillId="3" borderId="1" xfId="2" applyFont="1" applyFill="1" applyBorder="1"/>
    <xf numFmtId="0" fontId="0" fillId="3" borderId="1" xfId="0" applyFont="1" applyFill="1" applyBorder="1" applyAlignment="1"/>
    <xf numFmtId="2" fontId="0" fillId="3" borderId="1" xfId="51" applyNumberFormat="1" applyFont="1" applyFill="1" applyBorder="1"/>
    <xf numFmtId="2" fontId="0" fillId="0" borderId="6" xfId="0" applyNumberFormat="1" applyFont="1" applyFill="1" applyBorder="1" applyAlignment="1"/>
    <xf numFmtId="2" fontId="0" fillId="3" borderId="6" xfId="50" applyNumberFormat="1" applyFont="1" applyFill="1" applyBorder="1"/>
    <xf numFmtId="177" fontId="1" fillId="4" borderId="1" xfId="2" applyNumberFormat="1" applyFont="1" applyFill="1" applyBorder="1" applyAlignment="1">
      <alignment horizontal="center"/>
    </xf>
    <xf numFmtId="177" fontId="1" fillId="0" borderId="1" xfId="2" applyNumberFormat="1" applyFont="1" applyBorder="1" applyAlignment="1">
      <alignment horizontal="center"/>
    </xf>
    <xf numFmtId="177" fontId="1" fillId="5" borderId="1" xfId="2" applyNumberFormat="1" applyFont="1" applyFill="1" applyBorder="1" applyAlignment="1">
      <alignment horizontal="center"/>
    </xf>
    <xf numFmtId="177" fontId="1" fillId="5" borderId="1" xfId="2" applyNumberFormat="1" applyFont="1" applyFill="1" applyBorder="1"/>
    <xf numFmtId="177" fontId="1" fillId="0" borderId="1" xfId="0" applyNumberFormat="1" applyFont="1" applyBorder="1"/>
    <xf numFmtId="0" fontId="0" fillId="0" borderId="1" xfId="0" applyFont="1" applyFill="1" applyBorder="1" applyAlignment="1"/>
    <xf numFmtId="2" fontId="0" fillId="0" borderId="1" xfId="51" applyNumberFormat="1" applyFont="1" applyBorder="1"/>
    <xf numFmtId="0" fontId="1" fillId="4" borderId="1" xfId="0" applyFont="1" applyFill="1" applyBorder="1"/>
    <xf numFmtId="0" fontId="0" fillId="6" borderId="1" xfId="0" applyFont="1" applyFill="1" applyBorder="1" applyAlignment="1"/>
    <xf numFmtId="0" fontId="1" fillId="6" borderId="1" xfId="0" applyFont="1" applyFill="1" applyBorder="1"/>
    <xf numFmtId="2" fontId="0" fillId="6" borderId="1" xfId="51" applyNumberFormat="1" applyFont="1" applyFill="1" applyBorder="1"/>
    <xf numFmtId="2" fontId="0" fillId="6" borderId="6" xfId="0" applyNumberFormat="1" applyFont="1" applyFill="1" applyBorder="1" applyAlignment="1"/>
    <xf numFmtId="177" fontId="1" fillId="6" borderId="1" xfId="2" applyNumberFormat="1" applyFont="1" applyFill="1" applyBorder="1"/>
    <xf numFmtId="0" fontId="2" fillId="0" borderId="1" xfId="0" applyFont="1" applyBorder="1"/>
    <xf numFmtId="0" fontId="9" fillId="3" borderId="1" xfId="0" applyFont="1" applyFill="1" applyBorder="1" applyAlignment="1"/>
    <xf numFmtId="0" fontId="2" fillId="3" borderId="1" xfId="0" applyFont="1" applyFill="1" applyBorder="1"/>
    <xf numFmtId="2" fontId="9" fillId="3" borderId="1" xfId="51" applyNumberFormat="1" applyFont="1" applyFill="1" applyBorder="1"/>
    <xf numFmtId="2" fontId="9" fillId="0" borderId="6" xfId="0" applyNumberFormat="1" applyFont="1" applyFill="1" applyBorder="1" applyAlignment="1"/>
    <xf numFmtId="177" fontId="2" fillId="0" borderId="1" xfId="2" applyNumberFormat="1" applyFont="1" applyFill="1" applyBorder="1"/>
    <xf numFmtId="177" fontId="1" fillId="6" borderId="1" xfId="2" applyNumberFormat="1" applyFont="1" applyFill="1" applyBorder="1" applyAlignment="1">
      <alignment horizontal="center"/>
    </xf>
    <xf numFmtId="177" fontId="2" fillId="0" borderId="1" xfId="2" applyNumberFormat="1" applyFont="1" applyFill="1" applyBorder="1" applyAlignment="1">
      <alignment horizontal="center"/>
    </xf>
    <xf numFmtId="0" fontId="7" fillId="0" borderId="1" xfId="0" applyFont="1" applyFill="1" applyBorder="1"/>
    <xf numFmtId="0" fontId="7" fillId="7" borderId="1" xfId="0" applyFont="1" applyFill="1" applyBorder="1"/>
    <xf numFmtId="177" fontId="7" fillId="7" borderId="1" xfId="2" applyNumberFormat="1" applyFont="1" applyFill="1" applyBorder="1"/>
    <xf numFmtId="177" fontId="2" fillId="0" borderId="0" xfId="2" applyNumberFormat="1" applyFont="1" applyBorder="1"/>
    <xf numFmtId="3" fontId="2" fillId="0" borderId="7" xfId="0" applyNumberFormat="1" applyFont="1" applyBorder="1"/>
    <xf numFmtId="0" fontId="1" fillId="0" borderId="6" xfId="0" applyFont="1" applyBorder="1"/>
    <xf numFmtId="2" fontId="1" fillId="3" borderId="1" xfId="0" applyNumberFormat="1" applyFont="1" applyFill="1" applyBorder="1"/>
    <xf numFmtId="177" fontId="1" fillId="3" borderId="1" xfId="2" applyNumberFormat="1" applyFont="1" applyFill="1" applyBorder="1"/>
    <xf numFmtId="177" fontId="10" fillId="0" borderId="1" xfId="2" applyNumberFormat="1" applyFont="1" applyBorder="1"/>
    <xf numFmtId="177" fontId="7" fillId="0" borderId="1" xfId="2" applyNumberFormat="1" applyFont="1" applyBorder="1"/>
    <xf numFmtId="177" fontId="2" fillId="0" borderId="7" xfId="2" applyNumberFormat="1" applyFont="1" applyBorder="1"/>
    <xf numFmtId="2" fontId="1" fillId="0" borderId="1" xfId="0" applyNumberFormat="1" applyFont="1" applyFill="1" applyBorder="1"/>
    <xf numFmtId="0" fontId="1" fillId="8" borderId="1" xfId="0" applyFont="1" applyFill="1" applyBorder="1"/>
    <xf numFmtId="2" fontId="1" fillId="8" borderId="1" xfId="0" applyNumberFormat="1" applyFont="1" applyFill="1" applyBorder="1"/>
    <xf numFmtId="177" fontId="1" fillId="8" borderId="1" xfId="2" applyNumberFormat="1" applyFont="1" applyFill="1" applyBorder="1"/>
    <xf numFmtId="177" fontId="7" fillId="8" borderId="1" xfId="2" applyNumberFormat="1" applyFont="1" applyFill="1" applyBorder="1"/>
    <xf numFmtId="2" fontId="1" fillId="4" borderId="1" xfId="0" applyNumberFormat="1" applyFont="1" applyFill="1" applyBorder="1"/>
    <xf numFmtId="177" fontId="7" fillId="4" borderId="1" xfId="2" applyNumberFormat="1" applyFont="1" applyFill="1" applyBorder="1"/>
    <xf numFmtId="0" fontId="1" fillId="3" borderId="8" xfId="0" applyFont="1" applyFill="1" applyBorder="1"/>
    <xf numFmtId="177" fontId="7" fillId="7" borderId="1" xfId="2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177" fontId="2" fillId="0" borderId="0" xfId="0" applyNumberFormat="1" applyFont="1" applyBorder="1"/>
    <xf numFmtId="43" fontId="2" fillId="0" borderId="0" xfId="0" applyNumberFormat="1" applyFont="1"/>
    <xf numFmtId="177" fontId="11" fillId="0" borderId="1" xfId="2" applyNumberFormat="1" applyFont="1" applyBorder="1"/>
    <xf numFmtId="1" fontId="1" fillId="0" borderId="0" xfId="0" applyNumberFormat="1" applyFont="1"/>
    <xf numFmtId="0" fontId="1" fillId="0" borderId="0" xfId="0" applyFont="1" applyAlignment="1">
      <alignment wrapText="1"/>
    </xf>
    <xf numFmtId="0" fontId="1" fillId="0" borderId="8" xfId="0" applyFont="1" applyFill="1" applyBorder="1"/>
    <xf numFmtId="43" fontId="1" fillId="0" borderId="0" xfId="2" applyFont="1"/>
    <xf numFmtId="0" fontId="7" fillId="4" borderId="1" xfId="0" applyFont="1" applyFill="1" applyBorder="1"/>
    <xf numFmtId="43" fontId="7" fillId="4" borderId="1" xfId="2" applyFont="1" applyFill="1" applyBorder="1"/>
    <xf numFmtId="177" fontId="7" fillId="4" borderId="1" xfId="2" applyNumberFormat="1" applyFont="1" applyFill="1" applyBorder="1" applyAlignment="1">
      <alignment horizontal="center"/>
    </xf>
    <xf numFmtId="0" fontId="12" fillId="0" borderId="0" xfId="0" applyFont="1" applyBorder="1"/>
    <xf numFmtId="0" fontId="12" fillId="0" borderId="0" xfId="0" applyFont="1"/>
    <xf numFmtId="0" fontId="12" fillId="2" borderId="1" xfId="0" applyFont="1" applyFill="1" applyBorder="1"/>
    <xf numFmtId="0" fontId="12" fillId="2" borderId="9" xfId="0" applyFont="1" applyFill="1" applyBorder="1" applyAlignment="1">
      <alignment wrapText="1"/>
    </xf>
    <xf numFmtId="0" fontId="12" fillId="2" borderId="9" xfId="0" applyFont="1" applyFill="1" applyBorder="1" applyAlignment="1"/>
    <xf numFmtId="49" fontId="12" fillId="2" borderId="9" xfId="0" applyNumberFormat="1" applyFont="1" applyFill="1" applyBorder="1" applyAlignment="1">
      <alignment wrapText="1"/>
    </xf>
    <xf numFmtId="0" fontId="13" fillId="0" borderId="0" xfId="0" applyFont="1"/>
    <xf numFmtId="0" fontId="12" fillId="0" borderId="0" xfId="0" applyNumberFormat="1" applyFont="1" applyBorder="1"/>
    <xf numFmtId="43" fontId="12" fillId="0" borderId="0" xfId="2" applyNumberFormat="1" applyFont="1" applyFill="1" applyBorder="1"/>
    <xf numFmtId="43" fontId="12" fillId="0" borderId="0" xfId="2" applyFont="1" applyFill="1" applyBorder="1"/>
    <xf numFmtId="177" fontId="12" fillId="0" borderId="0" xfId="2" applyNumberFormat="1" applyFont="1" applyFill="1" applyBorder="1"/>
    <xf numFmtId="0" fontId="14" fillId="0" borderId="0" xfId="0" applyFont="1"/>
    <xf numFmtId="3" fontId="12" fillId="0" borderId="0" xfId="0" applyNumberFormat="1" applyFont="1" applyBorder="1"/>
    <xf numFmtId="43" fontId="12" fillId="0" borderId="0" xfId="2" applyNumberFormat="1" applyFont="1" applyBorder="1"/>
    <xf numFmtId="43" fontId="12" fillId="0" borderId="0" xfId="2" applyFont="1" applyBorder="1"/>
    <xf numFmtId="4" fontId="12" fillId="0" borderId="0" xfId="2" applyNumberFormat="1" applyFont="1" applyBorder="1"/>
    <xf numFmtId="0" fontId="15" fillId="0" borderId="2" xfId="0" applyFont="1" applyBorder="1" applyAlignment="1"/>
    <xf numFmtId="43" fontId="15" fillId="0" borderId="2" xfId="0" applyNumberFormat="1" applyFont="1" applyBorder="1" applyAlignment="1"/>
    <xf numFmtId="43" fontId="15" fillId="0" borderId="2" xfId="2" applyNumberFormat="1" applyFont="1" applyBorder="1" applyAlignment="1"/>
    <xf numFmtId="43" fontId="15" fillId="0" borderId="2" xfId="2" applyFont="1" applyBorder="1" applyAlignment="1"/>
    <xf numFmtId="0" fontId="15" fillId="0" borderId="10" xfId="0" applyFont="1" applyBorder="1" applyAlignment="1"/>
    <xf numFmtId="43" fontId="15" fillId="0" borderId="10" xfId="0" applyNumberFormat="1" applyFont="1" applyBorder="1" applyAlignment="1"/>
    <xf numFmtId="43" fontId="15" fillId="0" borderId="10" xfId="2" applyNumberFormat="1" applyFont="1" applyBorder="1" applyAlignment="1"/>
    <xf numFmtId="43" fontId="15" fillId="0" borderId="10" xfId="2" applyFont="1" applyBorder="1" applyAlignment="1"/>
    <xf numFmtId="0" fontId="15" fillId="0" borderId="0" xfId="0" applyFont="1" applyBorder="1" applyAlignment="1"/>
    <xf numFmtId="43" fontId="15" fillId="0" borderId="0" xfId="0" applyNumberFormat="1" applyFont="1" applyBorder="1" applyAlignment="1"/>
    <xf numFmtId="43" fontId="15" fillId="0" borderId="0" xfId="2" applyNumberFormat="1" applyFont="1" applyBorder="1" applyAlignment="1"/>
    <xf numFmtId="43" fontId="15" fillId="0" borderId="0" xfId="2" applyFont="1" applyBorder="1" applyAlignment="1"/>
    <xf numFmtId="0" fontId="12" fillId="2" borderId="1" xfId="0" applyFont="1" applyFill="1" applyBorder="1" applyAlignment="1">
      <alignment wrapText="1"/>
    </xf>
    <xf numFmtId="49" fontId="12" fillId="2" borderId="1" xfId="0" applyNumberFormat="1" applyFont="1" applyFill="1" applyBorder="1" applyAlignment="1">
      <alignment wrapText="1"/>
    </xf>
    <xf numFmtId="43" fontId="12" fillId="0" borderId="0" xfId="2" applyFont="1"/>
    <xf numFmtId="9" fontId="12" fillId="0" borderId="0" xfId="6" applyFont="1"/>
    <xf numFmtId="43" fontId="12" fillId="0" borderId="2" xfId="2" applyFont="1" applyBorder="1"/>
    <xf numFmtId="9" fontId="12" fillId="0" borderId="2" xfId="6" applyFont="1" applyBorder="1"/>
    <xf numFmtId="0" fontId="12" fillId="0" borderId="0" xfId="0" applyFont="1" applyFill="1" applyBorder="1"/>
    <xf numFmtId="43" fontId="14" fillId="0" borderId="0" xfId="2" applyFont="1" applyBorder="1"/>
    <xf numFmtId="43" fontId="12" fillId="2" borderId="1" xfId="2" applyFont="1" applyFill="1" applyBorder="1" applyAlignment="1">
      <alignment wrapText="1"/>
    </xf>
    <xf numFmtId="43" fontId="12" fillId="2" borderId="1" xfId="2" applyFont="1" applyFill="1" applyBorder="1"/>
    <xf numFmtId="43" fontId="12" fillId="0" borderId="0" xfId="0" applyNumberFormat="1" applyFont="1" applyBorder="1"/>
    <xf numFmtId="9" fontId="12" fillId="0" borderId="0" xfId="6" applyFont="1" applyBorder="1"/>
    <xf numFmtId="4" fontId="12" fillId="0" borderId="2" xfId="0" applyNumberFormat="1" applyFont="1" applyBorder="1"/>
    <xf numFmtId="43" fontId="12" fillId="0" borderId="2" xfId="2" applyNumberFormat="1" applyFont="1" applyBorder="1"/>
    <xf numFmtId="0" fontId="0" fillId="0" borderId="0" xfId="0" applyFont="1" applyFill="1" applyBorder="1" applyAlignment="1">
      <alignment vertical="center"/>
    </xf>
    <xf numFmtId="43" fontId="12" fillId="0" borderId="0" xfId="2" applyFont="1" applyFill="1" applyBorder="1" applyAlignment="1">
      <alignment vertical="center"/>
    </xf>
    <xf numFmtId="9" fontId="12" fillId="0" borderId="0" xfId="6" applyFont="1" applyFill="1" applyBorder="1" applyAlignment="1" applyProtection="1"/>
    <xf numFmtId="0" fontId="15" fillId="0" borderId="0" xfId="0" applyFont="1" applyBorder="1"/>
    <xf numFmtId="0" fontId="16" fillId="0" borderId="0" xfId="0" applyFont="1"/>
    <xf numFmtId="43" fontId="12" fillId="0" borderId="0" xfId="6" applyNumberFormat="1" applyFont="1"/>
    <xf numFmtId="0" fontId="12" fillId="2" borderId="9" xfId="0" applyFont="1" applyFill="1" applyBorder="1"/>
    <xf numFmtId="2" fontId="12" fillId="2" borderId="9" xfId="0" applyNumberFormat="1" applyFont="1" applyFill="1" applyBorder="1" applyAlignment="1">
      <alignment wrapText="1"/>
    </xf>
    <xf numFmtId="9" fontId="15" fillId="0" borderId="0" xfId="6" applyFont="1" applyBorder="1"/>
    <xf numFmtId="177" fontId="15" fillId="0" borderId="0" xfId="0" applyNumberFormat="1" applyFont="1" applyBorder="1"/>
    <xf numFmtId="43" fontId="15" fillId="0" borderId="0" xfId="2" applyFont="1" applyBorder="1"/>
    <xf numFmtId="43" fontId="15" fillId="0" borderId="0" xfId="2" applyNumberFormat="1" applyFont="1" applyBorder="1"/>
    <xf numFmtId="4" fontId="15" fillId="0" borderId="0" xfId="2" applyNumberFormat="1" applyFont="1" applyBorder="1"/>
    <xf numFmtId="9" fontId="15" fillId="0" borderId="2" xfId="6" applyFont="1" applyBorder="1" applyAlignment="1"/>
    <xf numFmtId="9" fontId="15" fillId="0" borderId="10" xfId="6" applyFont="1" applyBorder="1" applyAlignment="1"/>
    <xf numFmtId="9" fontId="15" fillId="0" borderId="0" xfId="6" applyFont="1" applyBorder="1" applyAlignment="1"/>
    <xf numFmtId="2" fontId="12" fillId="2" borderId="1" xfId="0" applyNumberFormat="1" applyFont="1" applyFill="1" applyBorder="1" applyAlignment="1">
      <alignment wrapText="1"/>
    </xf>
    <xf numFmtId="43" fontId="12" fillId="0" borderId="0" xfId="2" applyNumberFormat="1" applyFont="1"/>
    <xf numFmtId="43" fontId="12" fillId="0" borderId="0" xfId="2" applyFont="1" applyFill="1"/>
    <xf numFmtId="43" fontId="15" fillId="0" borderId="2" xfId="2" applyFont="1" applyBorder="1"/>
    <xf numFmtId="44" fontId="12" fillId="2" borderId="1" xfId="2" applyNumberFormat="1" applyFont="1" applyFill="1" applyBorder="1" applyAlignment="1"/>
    <xf numFmtId="4" fontId="15" fillId="0" borderId="2" xfId="0" applyNumberFormat="1" applyFont="1" applyBorder="1"/>
    <xf numFmtId="0" fontId="15" fillId="0" borderId="2" xfId="0" applyFont="1" applyBorder="1"/>
    <xf numFmtId="43" fontId="15" fillId="0" borderId="2" xfId="0" applyNumberFormat="1" applyFont="1" applyBorder="1"/>
    <xf numFmtId="43" fontId="15" fillId="0" borderId="2" xfId="2" applyNumberFormat="1" applyFont="1" applyBorder="1"/>
    <xf numFmtId="0" fontId="4" fillId="0" borderId="0" xfId="0" applyFont="1" applyFill="1"/>
    <xf numFmtId="0" fontId="4" fillId="2" borderId="1" xfId="0" applyFont="1" applyFill="1" applyBorder="1" applyAlignment="1">
      <alignment wrapText="1"/>
    </xf>
    <xf numFmtId="49" fontId="4" fillId="2" borderId="1" xfId="0" applyNumberFormat="1" applyFont="1" applyFill="1" applyBorder="1" applyAlignment="1">
      <alignment wrapText="1"/>
    </xf>
    <xf numFmtId="2" fontId="4" fillId="2" borderId="1" xfId="0" applyNumberFormat="1" applyFont="1" applyFill="1" applyBorder="1" applyAlignment="1">
      <alignment wrapText="1"/>
    </xf>
    <xf numFmtId="9" fontId="17" fillId="0" borderId="0" xfId="6" applyFont="1"/>
    <xf numFmtId="177" fontId="4" fillId="0" borderId="0" xfId="0" applyNumberFormat="1" applyFont="1"/>
    <xf numFmtId="9" fontId="6" fillId="0" borderId="0" xfId="6" applyFont="1"/>
    <xf numFmtId="9" fontId="4" fillId="0" borderId="3" xfId="6" applyFont="1" applyBorder="1"/>
    <xf numFmtId="3" fontId="4" fillId="0" borderId="0" xfId="0" applyNumberFormat="1" applyFont="1"/>
    <xf numFmtId="2" fontId="4" fillId="2" borderId="1" xfId="0" applyNumberFormat="1" applyFont="1" applyFill="1" applyBorder="1"/>
    <xf numFmtId="0" fontId="4" fillId="0" borderId="1" xfId="0" applyFont="1" applyBorder="1"/>
    <xf numFmtId="2" fontId="18" fillId="8" borderId="1" xfId="0" applyNumberFormat="1" applyFont="1" applyFill="1" applyBorder="1"/>
    <xf numFmtId="0" fontId="4" fillId="0" borderId="1" xfId="0" applyFont="1" applyFill="1" applyBorder="1"/>
    <xf numFmtId="177" fontId="19" fillId="0" borderId="1" xfId="2" applyNumberFormat="1" applyFont="1" applyFill="1" applyBorder="1" applyAlignment="1" applyProtection="1"/>
    <xf numFmtId="0" fontId="18" fillId="8" borderId="0" xfId="0" applyFont="1" applyFill="1"/>
    <xf numFmtId="0" fontId="4" fillId="5" borderId="1" xfId="0" applyFont="1" applyFill="1" applyBorder="1"/>
    <xf numFmtId="0" fontId="4" fillId="3" borderId="0" xfId="0" applyFont="1" applyFill="1" applyBorder="1"/>
    <xf numFmtId="0" fontId="4" fillId="0" borderId="0" xfId="0" applyFont="1" applyBorder="1"/>
    <xf numFmtId="177" fontId="4" fillId="0" borderId="2" xfId="2" applyNumberFormat="1" applyFont="1" applyBorder="1"/>
    <xf numFmtId="2" fontId="4" fillId="3" borderId="1" xfId="0" applyNumberFormat="1" applyFont="1" applyFill="1" applyBorder="1"/>
    <xf numFmtId="177" fontId="4" fillId="3" borderId="1" xfId="2" applyNumberFormat="1" applyFont="1" applyFill="1" applyBorder="1"/>
    <xf numFmtId="2" fontId="4" fillId="3" borderId="1" xfId="0" applyNumberFormat="1" applyFont="1" applyFill="1" applyBorder="1" applyAlignment="1"/>
    <xf numFmtId="177" fontId="4" fillId="3" borderId="0" xfId="2" applyNumberFormat="1" applyFont="1" applyFill="1" applyBorder="1"/>
    <xf numFmtId="43" fontId="4" fillId="0" borderId="2" xfId="2" applyFont="1" applyBorder="1"/>
    <xf numFmtId="1" fontId="4" fillId="8" borderId="1" xfId="0" applyNumberFormat="1" applyFont="1" applyFill="1" applyBorder="1"/>
    <xf numFmtId="1" fontId="19" fillId="0" borderId="1" xfId="2" applyNumberFormat="1" applyFont="1" applyFill="1" applyBorder="1" applyAlignment="1" applyProtection="1"/>
    <xf numFmtId="1" fontId="4" fillId="8" borderId="0" xfId="0" applyNumberFormat="1" applyFont="1" applyFill="1" applyBorder="1"/>
    <xf numFmtId="1" fontId="4" fillId="3" borderId="0" xfId="2" applyNumberFormat="1" applyFont="1" applyFill="1" applyBorder="1"/>
    <xf numFmtId="1" fontId="4" fillId="0" borderId="0" xfId="0" applyNumberFormat="1" applyFont="1"/>
    <xf numFmtId="2" fontId="4" fillId="0" borderId="1" xfId="0" applyNumberFormat="1" applyFont="1" applyBorder="1"/>
    <xf numFmtId="177" fontId="4" fillId="0" borderId="1" xfId="2" applyNumberFormat="1" applyFont="1" applyBorder="1"/>
    <xf numFmtId="2" fontId="5" fillId="2" borderId="1" xfId="0" applyNumberFormat="1" applyFont="1" applyFill="1" applyBorder="1" applyAlignment="1">
      <alignment wrapText="1"/>
    </xf>
    <xf numFmtId="177" fontId="4" fillId="0" borderId="0" xfId="2" applyNumberFormat="1" applyFont="1"/>
    <xf numFmtId="2" fontId="4" fillId="2" borderId="11" xfId="0" applyNumberFormat="1" applyFont="1" applyFill="1" applyBorder="1"/>
    <xf numFmtId="2" fontId="4" fillId="0" borderId="0" xfId="0" applyNumberFormat="1" applyFont="1" applyFill="1"/>
    <xf numFmtId="177" fontId="4" fillId="0" borderId="1" xfId="2" applyNumberFormat="1" applyFont="1" applyFill="1" applyBorder="1"/>
    <xf numFmtId="1" fontId="4" fillId="0" borderId="1" xfId="0" applyNumberFormat="1" applyFont="1" applyFill="1" applyBorder="1"/>
    <xf numFmtId="0" fontId="4" fillId="3" borderId="1" xfId="0" applyFont="1" applyFill="1" applyBorder="1"/>
    <xf numFmtId="177" fontId="4" fillId="5" borderId="1" xfId="2" applyNumberFormat="1" applyFont="1" applyFill="1" applyBorder="1"/>
    <xf numFmtId="1" fontId="4" fillId="5" borderId="1" xfId="0" applyNumberFormat="1" applyFont="1" applyFill="1" applyBorder="1"/>
    <xf numFmtId="0" fontId="4" fillId="3" borderId="0" xfId="0" applyFont="1" applyFill="1"/>
    <xf numFmtId="9" fontId="4" fillId="0" borderId="0" xfId="6" applyFont="1" applyFill="1"/>
    <xf numFmtId="0" fontId="4" fillId="3" borderId="1" xfId="0" applyFont="1" applyFill="1" applyBorder="1" applyAlignment="1">
      <alignment wrapText="1"/>
    </xf>
    <xf numFmtId="9" fontId="4" fillId="0" borderId="0" xfId="6" applyFont="1"/>
    <xf numFmtId="0" fontId="4" fillId="0" borderId="1" xfId="0" applyFont="1" applyBorder="1" applyAlignment="1">
      <alignment wrapText="1"/>
    </xf>
    <xf numFmtId="1" fontId="4" fillId="0" borderId="1" xfId="2" applyNumberFormat="1" applyFont="1" applyFill="1" applyBorder="1"/>
    <xf numFmtId="2" fontId="4" fillId="8" borderId="1" xfId="0" applyNumberFormat="1" applyFont="1" applyFill="1" applyBorder="1"/>
    <xf numFmtId="177" fontId="4" fillId="8" borderId="1" xfId="2" applyNumberFormat="1" applyFont="1" applyFill="1" applyBorder="1"/>
    <xf numFmtId="0" fontId="4" fillId="0" borderId="1" xfId="0" applyFont="1" applyBorder="1" applyAlignment="1"/>
    <xf numFmtId="0" fontId="1" fillId="3" borderId="0" xfId="0" applyFont="1" applyFill="1"/>
    <xf numFmtId="0" fontId="1" fillId="0" borderId="0" xfId="0" applyFont="1" applyBorder="1"/>
    <xf numFmtId="0" fontId="1" fillId="0" borderId="0" xfId="0" applyFont="1" applyFill="1"/>
    <xf numFmtId="49" fontId="7" fillId="2" borderId="1" xfId="0" applyNumberFormat="1" applyFont="1" applyFill="1" applyBorder="1" applyAlignment="1">
      <alignment wrapText="1"/>
    </xf>
    <xf numFmtId="177" fontId="2" fillId="0" borderId="0" xfId="0" applyNumberFormat="1" applyFont="1" applyFill="1" applyBorder="1"/>
    <xf numFmtId="9" fontId="2" fillId="0" borderId="0" xfId="6" applyFont="1"/>
    <xf numFmtId="9" fontId="1" fillId="0" borderId="0" xfId="6" applyFont="1" applyFill="1"/>
    <xf numFmtId="177" fontId="1" fillId="0" borderId="0" xfId="0" applyNumberFormat="1" applyFont="1" applyFill="1"/>
    <xf numFmtId="9" fontId="1" fillId="0" borderId="3" xfId="6" applyFont="1" applyBorder="1"/>
    <xf numFmtId="0" fontId="0" fillId="0" borderId="1" xfId="0" applyBorder="1"/>
    <xf numFmtId="177" fontId="0" fillId="0" borderId="1" xfId="2" applyNumberFormat="1" applyFont="1" applyBorder="1"/>
    <xf numFmtId="177" fontId="0" fillId="0" borderId="1" xfId="2" applyNumberFormat="1" applyFont="1" applyFill="1" applyBorder="1"/>
    <xf numFmtId="0" fontId="0" fillId="5" borderId="1" xfId="0" applyFill="1" applyBorder="1"/>
    <xf numFmtId="177" fontId="0" fillId="5" borderId="1" xfId="2" applyNumberFormat="1" applyFont="1" applyFill="1" applyBorder="1"/>
    <xf numFmtId="0" fontId="0" fillId="0" borderId="1" xfId="0" applyFill="1" applyBorder="1"/>
    <xf numFmtId="0" fontId="1" fillId="3" borderId="0" xfId="0" applyFont="1" applyFill="1" applyBorder="1"/>
    <xf numFmtId="177" fontId="1" fillId="3" borderId="0" xfId="2" applyNumberFormat="1" applyFont="1" applyFill="1" applyBorder="1"/>
    <xf numFmtId="0" fontId="1" fillId="9" borderId="1" xfId="0" applyFont="1" applyFill="1" applyBorder="1" applyAlignment="1">
      <alignment wrapText="1"/>
    </xf>
    <xf numFmtId="2" fontId="1" fillId="2" borderId="11" xfId="0" applyNumberFormat="1" applyFont="1" applyFill="1" applyBorder="1"/>
    <xf numFmtId="0" fontId="1" fillId="2" borderId="0" xfId="0" applyFont="1" applyFill="1"/>
    <xf numFmtId="177" fontId="20" fillId="0" borderId="1" xfId="2" applyNumberFormat="1" applyFont="1" applyFill="1" applyBorder="1" applyAlignment="1" applyProtection="1"/>
    <xf numFmtId="1" fontId="1" fillId="0" borderId="1" xfId="0" applyNumberFormat="1" applyFont="1" applyFill="1" applyBorder="1"/>
    <xf numFmtId="177" fontId="20" fillId="5" borderId="1" xfId="2" applyNumberFormat="1" applyFont="1" applyFill="1" applyBorder="1" applyAlignment="1" applyProtection="1"/>
    <xf numFmtId="1" fontId="1" fillId="5" borderId="1" xfId="0" applyNumberFormat="1" applyFont="1" applyFill="1" applyBorder="1"/>
    <xf numFmtId="0" fontId="1" fillId="0" borderId="0" xfId="0" applyFont="1" applyFill="1" applyAlignment="1"/>
    <xf numFmtId="0" fontId="0" fillId="4" borderId="1" xfId="0" applyFill="1" applyBorder="1"/>
    <xf numFmtId="177" fontId="0" fillId="4" borderId="1" xfId="2" applyNumberFormat="1" applyFont="1" applyFill="1" applyBorder="1"/>
    <xf numFmtId="0" fontId="0" fillId="3" borderId="1" xfId="0" applyFill="1" applyBorder="1"/>
    <xf numFmtId="177" fontId="0" fillId="3" borderId="1" xfId="2" applyNumberFormat="1" applyFont="1" applyFill="1" applyBorder="1"/>
    <xf numFmtId="0" fontId="1" fillId="10" borderId="1" xfId="0" applyFont="1" applyFill="1" applyBorder="1"/>
    <xf numFmtId="177" fontId="1" fillId="10" borderId="1" xfId="2" applyNumberFormat="1" applyFont="1" applyFill="1" applyBorder="1"/>
    <xf numFmtId="2" fontId="1" fillId="0" borderId="0" xfId="0" applyNumberFormat="1" applyFont="1"/>
    <xf numFmtId="2" fontId="1" fillId="2" borderId="1" xfId="0" applyNumberFormat="1" applyFont="1" applyFill="1" applyBorder="1" applyAlignment="1"/>
    <xf numFmtId="2" fontId="1" fillId="10" borderId="1" xfId="0" applyNumberFormat="1" applyFont="1" applyFill="1" applyBorder="1"/>
    <xf numFmtId="2" fontId="1" fillId="3" borderId="0" xfId="0" applyNumberFormat="1" applyFont="1" applyFill="1" applyBorder="1"/>
    <xf numFmtId="0" fontId="2" fillId="3" borderId="0" xfId="0" applyFont="1" applyFill="1" applyBorder="1"/>
    <xf numFmtId="2" fontId="2" fillId="3" borderId="0" xfId="0" applyNumberFormat="1" applyFont="1" applyFill="1" applyBorder="1"/>
    <xf numFmtId="0" fontId="1" fillId="10" borderId="0" xfId="0" applyFont="1" applyFill="1"/>
    <xf numFmtId="177" fontId="20" fillId="4" borderId="1" xfId="2" applyNumberFormat="1" applyFont="1" applyFill="1" applyBorder="1" applyAlignment="1" applyProtection="1"/>
    <xf numFmtId="177" fontId="20" fillId="3" borderId="1" xfId="2" applyNumberFormat="1" applyFont="1" applyFill="1" applyBorder="1" applyAlignment="1" applyProtection="1"/>
    <xf numFmtId="0" fontId="1" fillId="5" borderId="0" xfId="0" applyFont="1" applyFill="1"/>
    <xf numFmtId="177" fontId="20" fillId="10" borderId="1" xfId="2" applyNumberFormat="1" applyFont="1" applyFill="1" applyBorder="1" applyAlignment="1" applyProtection="1"/>
    <xf numFmtId="177" fontId="20" fillId="11" borderId="1" xfId="2" applyNumberFormat="1" applyFont="1" applyFill="1" applyBorder="1" applyAlignment="1" applyProtection="1"/>
    <xf numFmtId="177" fontId="20" fillId="0" borderId="1" xfId="2" applyNumberFormat="1" applyFont="1" applyBorder="1" applyAlignment="1" applyProtection="1"/>
    <xf numFmtId="177" fontId="21" fillId="0" borderId="1" xfId="2" applyNumberFormat="1" applyFont="1" applyFill="1" applyBorder="1" applyAlignment="1" applyProtection="1"/>
    <xf numFmtId="0" fontId="1" fillId="0" borderId="9" xfId="0" applyFont="1" applyBorder="1"/>
    <xf numFmtId="177" fontId="1" fillId="0" borderId="0" xfId="2" applyNumberFormat="1" applyFont="1" applyBorder="1"/>
    <xf numFmtId="43" fontId="1" fillId="3" borderId="0" xfId="2" applyFont="1" applyFill="1"/>
    <xf numFmtId="43" fontId="1" fillId="0" borderId="0" xfId="0" applyNumberFormat="1" applyFont="1"/>
    <xf numFmtId="0" fontId="22" fillId="0" borderId="0" xfId="0" applyFont="1"/>
    <xf numFmtId="0" fontId="22" fillId="0" borderId="0" xfId="0" applyFont="1" applyAlignment="1">
      <alignment horizontal="center"/>
    </xf>
    <xf numFmtId="0" fontId="22" fillId="0" borderId="12" xfId="0" applyFont="1" applyBorder="1"/>
    <xf numFmtId="0" fontId="23" fillId="0" borderId="0" xfId="0" applyFont="1"/>
    <xf numFmtId="0" fontId="7" fillId="2" borderId="1" xfId="0" applyFont="1" applyFill="1" applyBorder="1" applyAlignment="1">
      <alignment wrapText="1"/>
    </xf>
    <xf numFmtId="2" fontId="7" fillId="2" borderId="1" xfId="0" applyNumberFormat="1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177" fontId="1" fillId="0" borderId="0" xfId="2" applyNumberFormat="1" applyFont="1" applyAlignment="1">
      <alignment horizontal="right" vertical="top"/>
    </xf>
    <xf numFmtId="177" fontId="1" fillId="0" borderId="0" xfId="2" applyNumberFormat="1" applyFont="1" applyAlignment="1">
      <alignment horizontal="right"/>
    </xf>
    <xf numFmtId="177" fontId="2" fillId="0" borderId="3" xfId="2" applyNumberFormat="1" applyFont="1" applyBorder="1" applyAlignment="1">
      <alignment horizontal="right" vertical="top"/>
    </xf>
    <xf numFmtId="177" fontId="2" fillId="0" borderId="3" xfId="2" applyNumberFormat="1" applyFont="1" applyBorder="1" applyAlignment="1">
      <alignment horizontal="right"/>
    </xf>
    <xf numFmtId="9" fontId="2" fillId="0" borderId="3" xfId="6" applyFont="1" applyBorder="1"/>
    <xf numFmtId="0" fontId="2" fillId="8" borderId="0" xfId="0" applyFont="1" applyFill="1"/>
    <xf numFmtId="177" fontId="2" fillId="8" borderId="0" xfId="2" applyNumberFormat="1" applyFont="1" applyFill="1"/>
    <xf numFmtId="9" fontId="2" fillId="8" borderId="0" xfId="6" applyFont="1" applyFill="1"/>
    <xf numFmtId="177" fontId="2" fillId="8" borderId="1" xfId="2" applyNumberFormat="1" applyFont="1" applyFill="1" applyBorder="1"/>
    <xf numFmtId="0" fontId="2" fillId="0" borderId="0" xfId="0" applyFont="1" applyAlignment="1">
      <alignment horizontal="center"/>
    </xf>
    <xf numFmtId="0" fontId="24" fillId="0" borderId="0" xfId="0" applyFont="1"/>
    <xf numFmtId="0" fontId="9" fillId="0" borderId="0" xfId="0" applyFont="1"/>
    <xf numFmtId="0" fontId="9" fillId="12" borderId="0" xfId="0" applyFont="1" applyFill="1"/>
    <xf numFmtId="0" fontId="9" fillId="12" borderId="0" xfId="0" applyFont="1" applyFill="1" applyAlignment="1">
      <alignment horizontal="center"/>
    </xf>
    <xf numFmtId="0" fontId="9" fillId="12" borderId="0" xfId="0" applyFont="1" applyFill="1" applyAlignment="1">
      <alignment horizontal="center" wrapText="1"/>
    </xf>
    <xf numFmtId="0" fontId="9" fillId="12" borderId="0" xfId="0" applyFont="1" applyFill="1" applyAlignment="1">
      <alignment horizontal="right"/>
    </xf>
    <xf numFmtId="0" fontId="9" fillId="12" borderId="0" xfId="0" applyFont="1" applyFill="1" applyAlignment="1"/>
    <xf numFmtId="176" fontId="0" fillId="0" borderId="0" xfId="2" applyNumberFormat="1" applyFont="1"/>
    <xf numFmtId="177" fontId="0" fillId="0" borderId="0" xfId="0" applyNumberFormat="1"/>
    <xf numFmtId="10" fontId="0" fillId="0" borderId="0" xfId="0" applyNumberFormat="1"/>
    <xf numFmtId="9" fontId="0" fillId="0" borderId="0" xfId="0" applyNumberFormat="1"/>
    <xf numFmtId="176" fontId="0" fillId="0" borderId="12" xfId="2" applyNumberFormat="1" applyFont="1" applyBorder="1"/>
    <xf numFmtId="177" fontId="0" fillId="0" borderId="12" xfId="0" applyNumberFormat="1" applyBorder="1"/>
    <xf numFmtId="9" fontId="0" fillId="0" borderId="12" xfId="0" applyNumberFormat="1" applyBorder="1"/>
    <xf numFmtId="176" fontId="9" fillId="0" borderId="4" xfId="2" applyNumberFormat="1" applyFont="1" applyBorder="1"/>
    <xf numFmtId="176" fontId="9" fillId="0" borderId="4" xfId="0" applyNumberFormat="1" applyFont="1" applyBorder="1"/>
    <xf numFmtId="177" fontId="9" fillId="0" borderId="4" xfId="0" applyNumberFormat="1" applyFont="1" applyBorder="1"/>
    <xf numFmtId="10" fontId="9" fillId="0" borderId="4" xfId="0" applyNumberFormat="1" applyFont="1" applyBorder="1"/>
    <xf numFmtId="176" fontId="9" fillId="0" borderId="3" xfId="0" applyNumberFormat="1" applyFont="1" applyBorder="1"/>
    <xf numFmtId="176" fontId="9" fillId="0" borderId="0" xfId="0" applyNumberFormat="1" applyFont="1"/>
    <xf numFmtId="10" fontId="0" fillId="0" borderId="12" xfId="0" applyNumberFormat="1" applyBorder="1"/>
    <xf numFmtId="176" fontId="0" fillId="0" borderId="0" xfId="6" applyNumberFormat="1" applyFont="1"/>
    <xf numFmtId="10" fontId="0" fillId="0" borderId="0" xfId="6" applyNumberFormat="1" applyFont="1"/>
    <xf numFmtId="176" fontId="0" fillId="0" borderId="0" xfId="0" applyNumberFormat="1"/>
    <xf numFmtId="9" fontId="9" fillId="0" borderId="4" xfId="0" applyNumberFormat="1" applyFont="1" applyBorder="1"/>
    <xf numFmtId="176" fontId="9" fillId="0" borderId="0" xfId="2" applyNumberFormat="1" applyFont="1" applyBorder="1"/>
    <xf numFmtId="176" fontId="9" fillId="0" borderId="0" xfId="0" applyNumberFormat="1" applyFont="1" applyBorder="1"/>
    <xf numFmtId="177" fontId="9" fillId="0" borderId="0" xfId="0" applyNumberFormat="1" applyFont="1" applyBorder="1"/>
    <xf numFmtId="10" fontId="9" fillId="0" borderId="0" xfId="0" applyNumberFormat="1" applyFont="1" applyBorder="1"/>
    <xf numFmtId="176" fontId="9" fillId="0" borderId="13" xfId="0" applyNumberFormat="1" applyFont="1" applyBorder="1"/>
    <xf numFmtId="0" fontId="0" fillId="0" borderId="0" xfId="0" applyFont="1"/>
    <xf numFmtId="9" fontId="0" fillId="0" borderId="0" xfId="6" applyFont="1"/>
    <xf numFmtId="0" fontId="12" fillId="0" borderId="0" xfId="0" applyFont="1" quotePrefix="1"/>
  </cellXfs>
  <cellStyles count="52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Currency 2" xfId="38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  <cellStyle name="Comma 3" xfId="50"/>
    <cellStyle name="Comma 5" xfId="51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externalLink" Target="externalLinks/externalLink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5" Type="http://schemas.openxmlformats.org/officeDocument/2006/relationships/sharedStrings" Target="sharedStrings.xml"/><Relationship Id="rId24" Type="http://schemas.openxmlformats.org/officeDocument/2006/relationships/styles" Target="styles.xml"/><Relationship Id="rId23" Type="http://schemas.openxmlformats.org/officeDocument/2006/relationships/theme" Target="theme/theme1.xml"/><Relationship Id="rId22" Type="http://schemas.openxmlformats.org/officeDocument/2006/relationships/externalLink" Target="externalLinks/externalLink14.xml"/><Relationship Id="rId21" Type="http://schemas.openxmlformats.org/officeDocument/2006/relationships/externalLink" Target="externalLinks/externalLink13.xml"/><Relationship Id="rId20" Type="http://schemas.openxmlformats.org/officeDocument/2006/relationships/externalLink" Target="externalLinks/externalLink12.xml"/><Relationship Id="rId2" Type="http://schemas.openxmlformats.org/officeDocument/2006/relationships/worksheet" Target="worksheets/sheet2.xml"/><Relationship Id="rId19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9.xml"/><Relationship Id="rId16" Type="http://schemas.openxmlformats.org/officeDocument/2006/relationships/externalLink" Target="externalLinks/externalLink8.xml"/><Relationship Id="rId15" Type="http://schemas.openxmlformats.org/officeDocument/2006/relationships/externalLink" Target="externalLinks/externalLink7.xml"/><Relationship Id="rId14" Type="http://schemas.openxmlformats.org/officeDocument/2006/relationships/externalLink" Target="externalLinks/externalLink6.xml"/><Relationship Id="rId13" Type="http://schemas.openxmlformats.org/officeDocument/2006/relationships/externalLink" Target="externalLinks/externalLink5.xml"/><Relationship Id="rId12" Type="http://schemas.openxmlformats.org/officeDocument/2006/relationships/externalLink" Target="externalLinks/externalLink4.xml"/><Relationship Id="rId11" Type="http://schemas.openxmlformats.org/officeDocument/2006/relationships/externalLink" Target="externalLinks/externalLink3.xml"/><Relationship Id="rId10" Type="http://schemas.openxmlformats.org/officeDocument/2006/relationships/externalLink" Target="externalLinks/externalLink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Lbls>
            <c:delete val="1"/>
          </c:dLbls>
          <c:cat>
            <c:strRef>
              <c:f>'[2]branch graph data'!$A$4:$L$4</c:f>
              <c:strCache>
                <c:ptCount val="12"/>
                <c:pt idx="0">
                  <c:v>SOWETO</c:v>
                </c:pt>
                <c:pt idx="1">
                  <c:v>disbursed</c:v>
                </c:pt>
                <c:pt idx="2">
                  <c:v>balance</c:v>
                </c:pt>
                <c:pt idx="3">
                  <c:v>CHAZANGA</c:v>
                </c:pt>
                <c:pt idx="4">
                  <c:v>disbursed</c:v>
                </c:pt>
                <c:pt idx="5">
                  <c:v>balance</c:v>
                </c:pt>
                <c:pt idx="6">
                  <c:v>LUMUMBA</c:v>
                </c:pt>
                <c:pt idx="7">
                  <c:v>disbursed</c:v>
                </c:pt>
                <c:pt idx="8">
                  <c:v>balance</c:v>
                </c:pt>
                <c:pt idx="9">
                  <c:v>CAIRO</c:v>
                </c:pt>
                <c:pt idx="10">
                  <c:v>disbursed</c:v>
                </c:pt>
                <c:pt idx="11">
                  <c:v>balance</c:v>
                </c:pt>
              </c:strCache>
            </c:strRef>
          </c:cat>
          <c:val>
            <c:numRef>
              <c:f>'[2]branch graph data'!$A$5:$L$5</c:f>
              <c:numCache>
                <c:formatCode>General</c:formatCode>
                <c:ptCount val="12"/>
                <c:pt idx="1">
                  <c:v>283550</c:v>
                </c:pt>
                <c:pt idx="2">
                  <c:v>41770</c:v>
                </c:pt>
                <c:pt idx="4">
                  <c:v>81000</c:v>
                </c:pt>
                <c:pt idx="5">
                  <c:v>18192</c:v>
                </c:pt>
                <c:pt idx="7">
                  <c:v>238000</c:v>
                </c:pt>
                <c:pt idx="8">
                  <c:v>64908</c:v>
                </c:pt>
                <c:pt idx="10">
                  <c:v>138750</c:v>
                </c:pt>
                <c:pt idx="11">
                  <c:v>9093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0766848"/>
        <c:axId val="100768384"/>
      </c:barChart>
      <c:catAx>
        <c:axId val="1007668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0768384"/>
        <c:crosses val="autoZero"/>
        <c:auto val="1"/>
        <c:lblAlgn val="ctr"/>
        <c:lblOffset val="100"/>
        <c:noMultiLvlLbl val="0"/>
      </c:catAx>
      <c:valAx>
        <c:axId val="100768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0766848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466725</xdr:colOff>
      <xdr:row>5</xdr:row>
      <xdr:rowOff>180975</xdr:rowOff>
    </xdr:from>
    <xdr:to>
      <xdr:col>14</xdr:col>
      <xdr:colOff>161925</xdr:colOff>
      <xdr:row>20</xdr:row>
      <xdr:rowOff>66675</xdr:rowOff>
    </xdr:to>
    <xdr:graphicFrame>
      <xdr:nvGraphicFramePr>
        <xdr:cNvPr id="2" name="Chart 1"/>
        <xdr:cNvGraphicFramePr/>
      </xdr:nvGraphicFramePr>
      <xdr:xfrm>
        <a:off x="4619625" y="1133475"/>
        <a:ext cx="505777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SAMSON\Downloads\LOAN%20DISBURSEMENT%20SCHEDULE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ELIYAM~1\AppData\Local\Temp\LIVE%20SOWETO%20ALL%20BATCHES%20PLUS%20DEFALTS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LAXMI%20CAPITALS\AppData\Roaming\kingsoft\office6\backup\Worksheet%20in%20LIVE%20SOWETO%20ALL%20BATCHES%20PLUS%20DEFALTS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User\Downloads\7th%20applicants%20list%20(3)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User\Downloads\Client_Statement%20(20)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ELIYA%20MWALE\Documents\LAXMI%20CAPITAL%20SOLUTIONS%20LIMITED\LOAN%20DISBURSEMENT%20BATCH%20UPDATED%20SUMMARY%20FINA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ELIYA%20MWALE\Documents\LAXMI%20CAPITAL%20SOLUTIONS%20LIMITED\LOAN%20DISBURSEMENT%20SCHEDULE%201-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User\AppData\Local\Packages\Microsoft.MicrosoftEdge_8wekyb3d8bbwe\TempState\Downloads\5TH%20&amp;%206TH%20BATCH%20UPDATED%20SUMMARY%20(3)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User\Downloads\Client_Statement%20(10)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User\Desktop\9TH%20NEW%20APPLICANTS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ELIYAM~1\AppData\Local\Temp\CHAZANGA%20UPDATED%20FILES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ELIYA%20MWALE\Downloads\CHAZANGA%20UPDATED%20FILES%20(1)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User\Downloads\TOTAL%20DISBURSEMENTS%20(3)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User\Downloads\Client_Statement%20(11)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UMMARY"/>
      <sheetName val="LUMUMBA "/>
      <sheetName val="SOWETO"/>
      <sheetName val="CAIRO"/>
      <sheetName val="BUDGET"/>
    </sheetNames>
    <sheetDataSet>
      <sheetData sheetId="0"/>
      <sheetData sheetId="1">
        <row r="1">
          <cell r="A1" t="str">
            <v>LAXMI CAPITAL SOLUTIONS LIMITED</v>
          </cell>
        </row>
      </sheetData>
      <sheetData sheetId="2"/>
      <sheetData sheetId="3"/>
      <sheetData sheetId="4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Sheet9"/>
    </sheetNames>
    <sheetDataSet>
      <sheetData sheetId="0"/>
      <sheetData sheetId="1">
        <row r="10">
          <cell r="H10">
            <v>930.06</v>
          </cell>
        </row>
        <row r="16">
          <cell r="H16">
            <v>1286.53</v>
          </cell>
        </row>
        <row r="18">
          <cell r="H18">
            <v>1021.79</v>
          </cell>
        </row>
      </sheetData>
      <sheetData sheetId="2"/>
      <sheetData sheetId="3"/>
      <sheetData sheetId="4"/>
      <sheetData sheetId="5">
        <row r="4">
          <cell r="E4">
            <v>3670</v>
          </cell>
        </row>
        <row r="9">
          <cell r="E9">
            <v>5166</v>
          </cell>
        </row>
        <row r="11">
          <cell r="E11">
            <v>2895</v>
          </cell>
        </row>
      </sheetData>
      <sheetData sheetId="6"/>
      <sheetData sheetId="7">
        <row r="7">
          <cell r="H7">
            <v>4300</v>
          </cell>
        </row>
        <row r="7">
          <cell r="J7">
            <v>910</v>
          </cell>
        </row>
      </sheetData>
      <sheetData sheetId="8"/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September 2019"/>
      <sheetName val="October 2019"/>
      <sheetName val="NOVEMBER 2019"/>
    </sheetNames>
    <sheetDataSet>
      <sheetData sheetId="0"/>
      <sheetData sheetId="1"/>
      <sheetData sheetId="2">
        <row r="9">
          <cell r="I9">
            <v>450</v>
          </cell>
        </row>
        <row r="9">
          <cell r="K9">
            <v>628.97</v>
          </cell>
        </row>
        <row r="12">
          <cell r="K12">
            <v>2287.17</v>
          </cell>
        </row>
        <row r="15">
          <cell r="K15">
            <v>0</v>
          </cell>
        </row>
        <row r="23">
          <cell r="I23">
            <v>1990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>
  <externalBook xmlns:r="http://schemas.openxmlformats.org/officeDocument/2006/relationships" r:id="rId1">
    <sheetNames>
      <sheetName val="LUMUMBA"/>
      <sheetName val="SOWETO"/>
      <sheetName val="CAIRO"/>
      <sheetName val="SUMMARY"/>
    </sheetNames>
    <sheetDataSet>
      <sheetData sheetId="0"/>
      <sheetData sheetId="1">
        <row r="3">
          <cell r="E3">
            <v>10000</v>
          </cell>
        </row>
        <row r="6">
          <cell r="E6">
            <v>3000</v>
          </cell>
        </row>
      </sheetData>
      <sheetData sheetId="2"/>
      <sheetData sheetId="3"/>
    </sheetDataSet>
  </externalBook>
</externalLink>
</file>

<file path=xl/externalLinks/externalLink1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 refreshError="1">
        <row r="3343">
          <cell r="K3343">
            <v>250</v>
          </cell>
        </row>
        <row r="3527">
          <cell r="K3527">
            <v>1397</v>
          </cell>
        </row>
        <row r="4189">
          <cell r="K4189">
            <v>87.5</v>
          </cell>
        </row>
        <row r="4190">
          <cell r="L4190">
            <v>875</v>
          </cell>
        </row>
        <row r="4191">
          <cell r="L4191">
            <v>875</v>
          </cell>
        </row>
        <row r="4192">
          <cell r="L4192">
            <v>875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>
  <externalBook xmlns:r="http://schemas.openxmlformats.org/officeDocument/2006/relationships" r:id="rId1">
    <sheetNames>
      <sheetName val="SUMMARY"/>
      <sheetName val="LOAN SUMMARY"/>
      <sheetName val="Graphic Analysis"/>
      <sheetName val="CAIRO"/>
      <sheetName val="CHAZANGA"/>
      <sheetName val="LUMUMBA"/>
      <sheetName val="SOWETO"/>
      <sheetName val="Sheet1"/>
    </sheetNames>
    <sheetDataSet>
      <sheetData sheetId="0"/>
      <sheetData sheetId="1"/>
      <sheetData sheetId="2"/>
      <sheetData sheetId="3"/>
      <sheetData sheetId="4"/>
      <sheetData sheetId="5">
        <row r="51">
          <cell r="I51">
            <v>4606.84</v>
          </cell>
        </row>
      </sheetData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BUPE"/>
      <sheetName val="JOSEPH"/>
      <sheetName val="ALINESS"/>
      <sheetName val="JOBBY"/>
      <sheetName val="HAPPINESS"/>
      <sheetName val="RONALD"/>
      <sheetName val="LISA"/>
      <sheetName val="KHETIWE"/>
      <sheetName val="NATASHA"/>
      <sheetName val="RONALD 2"/>
      <sheetName val="DASHBOARD"/>
      <sheetName val="branch graph 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4">
          <cell r="A4" t="str">
            <v>SOWETO</v>
          </cell>
          <cell r="B4" t="str">
            <v>disbursed</v>
          </cell>
          <cell r="C4" t="str">
            <v>balance</v>
          </cell>
          <cell r="D4" t="str">
            <v>CHAZANGA</v>
          </cell>
          <cell r="E4" t="str">
            <v>disbursed</v>
          </cell>
          <cell r="F4" t="str">
            <v>balance</v>
          </cell>
          <cell r="G4" t="str">
            <v>LUMUMBA</v>
          </cell>
          <cell r="H4" t="str">
            <v>disbursed</v>
          </cell>
          <cell r="I4" t="str">
            <v>balance</v>
          </cell>
          <cell r="J4" t="str">
            <v>CAIRO</v>
          </cell>
          <cell r="K4" t="str">
            <v>disbursed</v>
          </cell>
          <cell r="L4" t="str">
            <v>balance</v>
          </cell>
        </row>
        <row r="5">
          <cell r="B5">
            <v>283550</v>
          </cell>
          <cell r="C5">
            <v>41770</v>
          </cell>
        </row>
        <row r="5">
          <cell r="E5">
            <v>81000</v>
          </cell>
          <cell r="F5">
            <v>18192</v>
          </cell>
        </row>
        <row r="5">
          <cell r="H5">
            <v>238000</v>
          </cell>
          <cell r="I5">
            <v>64908</v>
          </cell>
        </row>
        <row r="5">
          <cell r="K5">
            <v>138750</v>
          </cell>
          <cell r="L5">
            <v>9093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UMMARY"/>
      <sheetName val="SOWETO"/>
      <sheetName val="LUMUMBA"/>
      <sheetName val="CAIRO"/>
    </sheetNames>
    <sheetDataSet>
      <sheetData sheetId="0" refreshError="1">
        <row r="1">
          <cell r="A1" t="str">
            <v>LAXMI CAPITAL SOLUTIONS LIMITED</v>
          </cell>
        </row>
        <row r="2">
          <cell r="A2" t="str">
            <v>LOAN DISBURSEMENT SUMMARY</v>
          </cell>
        </row>
      </sheetData>
      <sheetData sheetId="1" refreshError="1"/>
      <sheetData sheetId="2" refreshError="1">
        <row r="1">
          <cell r="A1" t="str">
            <v>LAXMI CAPITAL SOLUTIONS LIMITED</v>
          </cell>
        </row>
        <row r="2">
          <cell r="A2" t="str">
            <v>LOAN DISBURSEMENT SUMMARY</v>
          </cell>
        </row>
        <row r="5">
          <cell r="A5" t="str">
            <v>SN</v>
          </cell>
          <cell r="B5" t="str">
            <v>FIRST NAME</v>
          </cell>
          <cell r="C5" t="str">
            <v>LAST NAME</v>
          </cell>
          <cell r="D5" t="str">
            <v>N.R.C #</v>
          </cell>
          <cell r="E5" t="str">
            <v>PHONE</v>
          </cell>
          <cell r="F5" t="str">
            <v>AMOUNT DISBURSED</v>
          </cell>
        </row>
        <row r="5">
          <cell r="L5" t="str">
            <v>RECEIPT NO.</v>
          </cell>
        </row>
      </sheetData>
      <sheetData sheetId="3" refreshError="1">
        <row r="5">
          <cell r="M5" t="str">
            <v>COMMENT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 refreshError="1">
        <row r="259">
          <cell r="K259">
            <v>200</v>
          </cell>
        </row>
        <row r="260">
          <cell r="K260">
            <v>220</v>
          </cell>
        </row>
        <row r="261">
          <cell r="K261">
            <v>242</v>
          </cell>
        </row>
        <row r="262">
          <cell r="K262">
            <v>266.2</v>
          </cell>
        </row>
        <row r="263">
          <cell r="K263">
            <v>292.82</v>
          </cell>
        </row>
        <row r="264">
          <cell r="K264">
            <v>322.102</v>
          </cell>
        </row>
        <row r="265">
          <cell r="K265">
            <v>0</v>
          </cell>
        </row>
        <row r="454">
          <cell r="L454">
            <v>1074</v>
          </cell>
        </row>
        <row r="455">
          <cell r="L455">
            <v>500</v>
          </cell>
        </row>
        <row r="456">
          <cell r="L456">
            <v>526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Summary"/>
      <sheetName val="LUMUMBA "/>
      <sheetName val="SOWETO"/>
      <sheetName val="CAIRO"/>
      <sheetName val="BUDGET"/>
    </sheetNames>
    <sheetDataSet>
      <sheetData sheetId="0"/>
      <sheetData sheetId="1"/>
      <sheetData sheetId="2"/>
      <sheetData sheetId="3">
        <row r="2">
          <cell r="C2">
            <v>7000</v>
          </cell>
        </row>
        <row r="3">
          <cell r="C3">
            <v>5000</v>
          </cell>
        </row>
        <row r="4">
          <cell r="C4">
            <v>3000</v>
          </cell>
        </row>
        <row r="6">
          <cell r="C6">
            <v>4000</v>
          </cell>
        </row>
        <row r="7">
          <cell r="C7">
            <v>3000</v>
          </cell>
        </row>
      </sheetData>
      <sheetData sheetId="4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29">
          <cell r="E29">
            <v>700</v>
          </cell>
        </row>
      </sheetData>
      <sheetData sheetId="1"/>
      <sheetData sheetId="2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53">
          <cell r="E53">
            <v>2830</v>
          </cell>
        </row>
        <row r="59">
          <cell r="E59">
            <v>2747</v>
          </cell>
        </row>
      </sheetData>
      <sheetData sheetId="1"/>
      <sheetData sheetId="2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12">
          <cell r="C12">
            <v>513550</v>
          </cell>
        </row>
        <row r="24">
          <cell r="C24">
            <v>373750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3550">
          <cell r="L3550">
            <v>1000</v>
          </cell>
        </row>
        <row r="3551">
          <cell r="L3551">
            <v>500</v>
          </cell>
        </row>
        <row r="3552">
          <cell r="L3552">
            <v>250</v>
          </cell>
        </row>
        <row r="3553">
          <cell r="L3553">
            <v>250</v>
          </cell>
        </row>
        <row r="3554">
          <cell r="L3554">
            <v>250</v>
          </cell>
        </row>
        <row r="3555">
          <cell r="L3555">
            <v>1250</v>
          </cell>
        </row>
        <row r="3556">
          <cell r="L3556">
            <v>250</v>
          </cell>
        </row>
        <row r="3557">
          <cell r="L3557">
            <v>500</v>
          </cell>
        </row>
        <row r="4002">
          <cell r="L4002">
            <v>150</v>
          </cell>
        </row>
        <row r="4003">
          <cell r="L4003">
            <v>100</v>
          </cell>
        </row>
        <row r="4004">
          <cell r="L4004">
            <v>200</v>
          </cell>
        </row>
        <row r="4005">
          <cell r="L4005">
            <v>100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L110"/>
  <sheetViews>
    <sheetView topLeftCell="A97" workbookViewId="0">
      <selection activeCell="B110" sqref="B110"/>
    </sheetView>
  </sheetViews>
  <sheetFormatPr defaultColWidth="9" defaultRowHeight="15"/>
  <cols>
    <col min="1" max="1" width="2.85714285714286" customWidth="1"/>
    <col min="2" max="2" width="17.7142857142857" customWidth="1"/>
    <col min="3" max="3" width="11.4285714285714" customWidth="1"/>
    <col min="4" max="4" width="11.1428571428571" customWidth="1"/>
    <col min="5" max="5" width="14" customWidth="1"/>
    <col min="6" max="6" width="12.7142857142857" customWidth="1"/>
    <col min="7" max="7" width="12.5714285714286" customWidth="1"/>
    <col min="8" max="8" width="13" hidden="1" customWidth="1"/>
    <col min="9" max="9" width="12" customWidth="1"/>
  </cols>
  <sheetData>
    <row r="1" spans="2:6">
      <c r="B1" s="304" t="str">
        <f>+'[1]LUMUMBA '!A1</f>
        <v>LAXMI CAPITAL SOLUTIONS LIMITED</v>
      </c>
      <c r="C1" s="304"/>
      <c r="D1" s="304"/>
      <c r="E1" s="304"/>
      <c r="F1" s="304"/>
    </row>
    <row r="2" spans="2:6">
      <c r="B2" s="304" t="s">
        <v>0</v>
      </c>
      <c r="C2" s="304"/>
      <c r="D2" s="304"/>
      <c r="E2" s="304"/>
      <c r="F2" s="304"/>
    </row>
    <row r="4" spans="2:7">
      <c r="B4" s="304" t="s">
        <v>1</v>
      </c>
      <c r="C4" s="304"/>
      <c r="D4" s="304"/>
      <c r="E4" s="304"/>
      <c r="F4" s="304"/>
      <c r="G4" s="304"/>
    </row>
    <row r="5" ht="30" spans="2:9">
      <c r="B5" s="305" t="s">
        <v>2</v>
      </c>
      <c r="C5" s="306" t="s">
        <v>3</v>
      </c>
      <c r="D5" s="307" t="s">
        <v>4</v>
      </c>
      <c r="E5" s="306" t="s">
        <v>5</v>
      </c>
      <c r="F5" s="308" t="s">
        <v>6</v>
      </c>
      <c r="G5" s="309"/>
      <c r="H5" s="305" t="s">
        <v>7</v>
      </c>
      <c r="I5" s="305" t="s">
        <v>6</v>
      </c>
    </row>
    <row r="6" spans="2:9">
      <c r="B6" s="305" t="s">
        <v>8</v>
      </c>
      <c r="C6" s="306" t="s">
        <v>9</v>
      </c>
      <c r="D6" s="307" t="s">
        <v>10</v>
      </c>
      <c r="E6" s="306" t="s">
        <v>11</v>
      </c>
      <c r="F6" s="308" t="s">
        <v>12</v>
      </c>
      <c r="G6" s="309" t="s">
        <v>13</v>
      </c>
      <c r="H6" s="305" t="s">
        <v>13</v>
      </c>
      <c r="I6" s="305" t="s">
        <v>14</v>
      </c>
    </row>
    <row r="7" spans="2:9">
      <c r="B7" t="s">
        <v>15</v>
      </c>
      <c r="C7" s="310">
        <f>+SOWETO!F207</f>
        <v>4908.91</v>
      </c>
      <c r="D7" s="310">
        <f>H7*C7</f>
        <v>1227.2275</v>
      </c>
      <c r="E7" s="310">
        <f>+SOWETO!G207</f>
        <v>10050</v>
      </c>
      <c r="F7" s="311">
        <f>E7-D7</f>
        <v>8822.7725</v>
      </c>
      <c r="G7" s="312">
        <f>+E7/D7</f>
        <v>8.18919067573046</v>
      </c>
      <c r="H7" s="313">
        <v>0.25</v>
      </c>
      <c r="I7" s="324">
        <f>+C7-E7</f>
        <v>-5141.09</v>
      </c>
    </row>
    <row r="8" spans="2:9">
      <c r="B8" t="s">
        <v>16</v>
      </c>
      <c r="C8" s="310" t="e">
        <f>+'HEAD OFFICE'!#REF!</f>
        <v>#REF!</v>
      </c>
      <c r="D8" s="310" t="e">
        <f>H8*C8</f>
        <v>#REF!</v>
      </c>
      <c r="E8" s="310" t="e">
        <f>+'HEAD OFFICE'!#REF!</f>
        <v>#REF!</v>
      </c>
      <c r="F8" s="311" t="e">
        <f>E8-D8</f>
        <v>#REF!</v>
      </c>
      <c r="G8" s="312" t="e">
        <f>+E8/D8</f>
        <v>#REF!</v>
      </c>
      <c r="H8" s="313">
        <v>0.25</v>
      </c>
      <c r="I8" s="324" t="e">
        <f>+C8-E8</f>
        <v>#REF!</v>
      </c>
    </row>
    <row r="9" spans="2:9">
      <c r="B9" t="s">
        <v>17</v>
      </c>
      <c r="C9" s="314">
        <f>+CAIRO!G87</f>
        <v>25500</v>
      </c>
      <c r="D9" s="314">
        <f>H9*C9</f>
        <v>6375</v>
      </c>
      <c r="E9" s="314">
        <f>+CAIRO!I87</f>
        <v>1650</v>
      </c>
      <c r="F9" s="315">
        <f>E9-D9</f>
        <v>-4725</v>
      </c>
      <c r="G9" s="312">
        <f>+E9/D9</f>
        <v>0.258823529411765</v>
      </c>
      <c r="H9" s="316">
        <v>0.25</v>
      </c>
      <c r="I9" s="324">
        <f>+C9-E9</f>
        <v>23850</v>
      </c>
    </row>
    <row r="10" spans="3:9">
      <c r="C10" s="317" t="e">
        <f>SUM(C7:C9)</f>
        <v>#REF!</v>
      </c>
      <c r="D10" s="318" t="e">
        <f>SUM(D7:D9)</f>
        <v>#REF!</v>
      </c>
      <c r="E10" s="317" t="e">
        <f>SUM(E7:E9)</f>
        <v>#REF!</v>
      </c>
      <c r="F10" s="319" t="e">
        <f>E10-D10</f>
        <v>#REF!</v>
      </c>
      <c r="G10" s="320" t="e">
        <f>SUM(G7:G9)/3</f>
        <v>#REF!</v>
      </c>
      <c r="H10" s="320">
        <f>SUM(H7:H9)/3</f>
        <v>0.25</v>
      </c>
      <c r="I10" s="318" t="e">
        <f>SUM(I7:I9)</f>
        <v>#REF!</v>
      </c>
    </row>
    <row r="12" spans="2:3">
      <c r="B12" s="304" t="s">
        <v>18</v>
      </c>
      <c r="C12" s="304"/>
    </row>
    <row r="13" ht="45" spans="2:9">
      <c r="B13" s="305" t="s">
        <v>2</v>
      </c>
      <c r="C13" s="306" t="s">
        <v>3</v>
      </c>
      <c r="D13" s="307" t="s">
        <v>19</v>
      </c>
      <c r="E13" s="306" t="s">
        <v>5</v>
      </c>
      <c r="F13" s="308" t="str">
        <f>+F5</f>
        <v>Outstanding</v>
      </c>
      <c r="G13" s="309"/>
      <c r="H13" s="305" t="s">
        <v>7</v>
      </c>
      <c r="I13" s="305" t="str">
        <f>+I5</f>
        <v>Outstanding</v>
      </c>
    </row>
    <row r="14" spans="2:9">
      <c r="B14" s="305" t="s">
        <v>8</v>
      </c>
      <c r="C14" s="306" t="s">
        <v>9</v>
      </c>
      <c r="D14" s="307" t="s">
        <v>10</v>
      </c>
      <c r="E14" s="306" t="s">
        <v>20</v>
      </c>
      <c r="F14" s="308" t="s">
        <v>12</v>
      </c>
      <c r="G14" s="309" t="s">
        <v>13</v>
      </c>
      <c r="H14" s="305" t="s">
        <v>13</v>
      </c>
      <c r="I14" s="305" t="s">
        <v>14</v>
      </c>
    </row>
    <row r="15" spans="2:9">
      <c r="B15" t="s">
        <v>15</v>
      </c>
      <c r="C15" s="310">
        <f>+C7</f>
        <v>4908.91</v>
      </c>
      <c r="D15" s="310">
        <v>20500</v>
      </c>
      <c r="E15" s="310">
        <f>+SOWETO!H207</f>
        <v>11500</v>
      </c>
      <c r="F15" s="311">
        <f>E15-D15</f>
        <v>-9000</v>
      </c>
      <c r="G15" s="312">
        <f>+E15/D15</f>
        <v>0.560975609756098</v>
      </c>
      <c r="H15" s="313">
        <v>0.25</v>
      </c>
      <c r="I15" s="324">
        <f>+C15-E15-E7</f>
        <v>-16641.09</v>
      </c>
    </row>
    <row r="16" spans="2:9">
      <c r="B16" t="s">
        <v>16</v>
      </c>
      <c r="C16" s="310" t="e">
        <f>+C8</f>
        <v>#REF!</v>
      </c>
      <c r="D16" s="310">
        <v>6500</v>
      </c>
      <c r="E16" s="310" t="e">
        <f>+'HEAD OFFICE'!#REF!</f>
        <v>#REF!</v>
      </c>
      <c r="F16" s="311" t="e">
        <f>E16-D16</f>
        <v>#REF!</v>
      </c>
      <c r="G16" s="312" t="e">
        <f>+E16/D16</f>
        <v>#REF!</v>
      </c>
      <c r="H16" s="313">
        <v>0.25</v>
      </c>
      <c r="I16" s="324" t="e">
        <f>+C16-E16-E8</f>
        <v>#REF!</v>
      </c>
    </row>
    <row r="17" spans="2:9">
      <c r="B17" t="s">
        <v>17</v>
      </c>
      <c r="C17" s="314">
        <f>+C9</f>
        <v>25500</v>
      </c>
      <c r="D17" s="314">
        <v>6375</v>
      </c>
      <c r="E17" s="314">
        <f>+CAIRO!J87</f>
        <v>4250</v>
      </c>
      <c r="F17" s="315">
        <f>E17-D17</f>
        <v>-2125</v>
      </c>
      <c r="G17" s="312">
        <f>+E17/D17</f>
        <v>0.666666666666667</v>
      </c>
      <c r="H17" s="316">
        <v>0.25</v>
      </c>
      <c r="I17" s="324">
        <f>+C17-E17-E9</f>
        <v>19600</v>
      </c>
    </row>
    <row r="18" spans="3:9">
      <c r="C18" s="317" t="e">
        <f>SUM(C15:C17)</f>
        <v>#REF!</v>
      </c>
      <c r="D18" s="318">
        <f>SUM(D15:D17)</f>
        <v>33375</v>
      </c>
      <c r="E18" s="317" t="e">
        <f>SUM(E15:E17)</f>
        <v>#REF!</v>
      </c>
      <c r="F18" s="319" t="e">
        <f>E18-D18</f>
        <v>#REF!</v>
      </c>
      <c r="G18" s="320" t="e">
        <f>SUM(G15:G17)/3</f>
        <v>#REF!</v>
      </c>
      <c r="H18" s="320">
        <f>SUM(H15:H17)/3</f>
        <v>0.25</v>
      </c>
      <c r="I18" s="318" t="e">
        <f>SUM(I15:I17)</f>
        <v>#REF!</v>
      </c>
    </row>
    <row r="23" spans="2:2">
      <c r="B23" t="s">
        <v>21</v>
      </c>
    </row>
    <row r="24" ht="45" spans="2:9">
      <c r="B24" s="305" t="s">
        <v>2</v>
      </c>
      <c r="C24" s="306" t="s">
        <v>3</v>
      </c>
      <c r="D24" s="307" t="s">
        <v>19</v>
      </c>
      <c r="E24" s="306" t="s">
        <v>5</v>
      </c>
      <c r="F24" s="308" t="str">
        <f>+F13</f>
        <v>Outstanding</v>
      </c>
      <c r="G24" s="309"/>
      <c r="H24" s="305" t="s">
        <v>7</v>
      </c>
      <c r="I24" s="305" t="str">
        <f>+I13</f>
        <v>Outstanding</v>
      </c>
    </row>
    <row r="25" spans="2:9">
      <c r="B25" s="305" t="s">
        <v>8</v>
      </c>
      <c r="C25" s="306" t="s">
        <v>9</v>
      </c>
      <c r="D25" s="307" t="s">
        <v>10</v>
      </c>
      <c r="E25" s="306" t="s">
        <v>22</v>
      </c>
      <c r="F25" s="308" t="s">
        <v>12</v>
      </c>
      <c r="G25" s="309" t="s">
        <v>13</v>
      </c>
      <c r="H25" s="305" t="s">
        <v>13</v>
      </c>
      <c r="I25" s="305" t="s">
        <v>14</v>
      </c>
    </row>
    <row r="26" spans="2:9">
      <c r="B26" t="s">
        <v>15</v>
      </c>
      <c r="C26" s="310">
        <f>+C15</f>
        <v>4908.91</v>
      </c>
      <c r="D26" s="310">
        <f>H26*C26</f>
        <v>1227.2275</v>
      </c>
      <c r="E26" s="310">
        <f>+SOWETO!I207</f>
        <v>9580</v>
      </c>
      <c r="F26" s="311">
        <f>E26-D26</f>
        <v>8352.7725</v>
      </c>
      <c r="G26" s="312">
        <f>+E26/D26</f>
        <v>7.80621359935301</v>
      </c>
      <c r="H26" s="313">
        <v>0.25</v>
      </c>
      <c r="I26" s="324">
        <f>+C26-E26-E7-E15</f>
        <v>-26221.09</v>
      </c>
    </row>
    <row r="27" spans="2:9">
      <c r="B27" t="s">
        <v>16</v>
      </c>
      <c r="C27" s="310" t="e">
        <f>+C16</f>
        <v>#REF!</v>
      </c>
      <c r="D27" s="310" t="e">
        <f>H27*C27</f>
        <v>#REF!</v>
      </c>
      <c r="E27" s="310" t="e">
        <f>+'HEAD OFFICE'!#REF!</f>
        <v>#REF!</v>
      </c>
      <c r="F27" s="311" t="e">
        <f>E27-D27</f>
        <v>#REF!</v>
      </c>
      <c r="G27" s="312" t="e">
        <f>+E27/D27</f>
        <v>#REF!</v>
      </c>
      <c r="H27" s="313">
        <v>0.25</v>
      </c>
      <c r="I27" s="324" t="e">
        <f>+C27-E27-E8-E16</f>
        <v>#REF!</v>
      </c>
    </row>
    <row r="28" spans="2:9">
      <c r="B28" t="s">
        <v>17</v>
      </c>
      <c r="C28" s="310">
        <f>+C17</f>
        <v>25500</v>
      </c>
      <c r="D28" s="314">
        <f>H28*C28</f>
        <v>6375</v>
      </c>
      <c r="E28" s="314">
        <f>+CAIRO!K87</f>
        <v>600</v>
      </c>
      <c r="F28" s="315">
        <f>E28-D28</f>
        <v>-5775</v>
      </c>
      <c r="G28" s="312">
        <f>+E28/D28</f>
        <v>0.0941176470588235</v>
      </c>
      <c r="H28" s="316">
        <v>0.25</v>
      </c>
      <c r="I28" s="324">
        <f>+C28-E28-E9-E17</f>
        <v>19000</v>
      </c>
    </row>
    <row r="29" spans="3:9">
      <c r="C29" s="317" t="e">
        <f>SUM(C26:C28)</f>
        <v>#REF!</v>
      </c>
      <c r="D29" s="318" t="e">
        <f>SUM(D26:D28)</f>
        <v>#REF!</v>
      </c>
      <c r="E29" s="317" t="e">
        <f>SUM(E26:E28)</f>
        <v>#REF!</v>
      </c>
      <c r="F29" s="319" t="e">
        <f>E29-D29</f>
        <v>#REF!</v>
      </c>
      <c r="G29" s="320" t="e">
        <f>SUM(G26:G28)/3</f>
        <v>#REF!</v>
      </c>
      <c r="H29" s="320">
        <f>SUM(H26:H28)/3</f>
        <v>0.25</v>
      </c>
      <c r="I29" s="318" t="e">
        <f>SUM(I26:I28)</f>
        <v>#REF!</v>
      </c>
    </row>
    <row r="32" spans="2:2">
      <c r="B32" t="s">
        <v>23</v>
      </c>
    </row>
    <row r="33" ht="30" spans="2:9">
      <c r="B33" s="305" t="s">
        <v>2</v>
      </c>
      <c r="C33" s="306" t="s">
        <v>3</v>
      </c>
      <c r="D33" s="307" t="s">
        <v>24</v>
      </c>
      <c r="E33" s="306" t="s">
        <v>5</v>
      </c>
      <c r="F33" s="308" t="str">
        <f>+F24</f>
        <v>Outstanding</v>
      </c>
      <c r="G33" s="309"/>
      <c r="H33" s="305" t="s">
        <v>7</v>
      </c>
      <c r="I33" s="305" t="s">
        <v>25</v>
      </c>
    </row>
    <row r="34" spans="2:9">
      <c r="B34" s="305" t="s">
        <v>8</v>
      </c>
      <c r="C34" s="306" t="s">
        <v>9</v>
      </c>
      <c r="D34" s="307" t="s">
        <v>10</v>
      </c>
      <c r="E34" s="306" t="s">
        <v>26</v>
      </c>
      <c r="F34" s="308" t="s">
        <v>12</v>
      </c>
      <c r="G34" s="309" t="s">
        <v>13</v>
      </c>
      <c r="H34" s="305" t="s">
        <v>13</v>
      </c>
      <c r="I34" s="305" t="s">
        <v>14</v>
      </c>
    </row>
    <row r="35" spans="2:9">
      <c r="B35" t="s">
        <v>15</v>
      </c>
      <c r="C35" s="310">
        <f>+C26</f>
        <v>4908.91</v>
      </c>
      <c r="D35" s="310">
        <f>H35*C35</f>
        <v>1227.2275</v>
      </c>
      <c r="E35" s="310">
        <f>+SOWETO!J207</f>
        <v>33970</v>
      </c>
      <c r="F35" s="311">
        <f>E35-D35</f>
        <v>32742.7725</v>
      </c>
      <c r="G35" s="312">
        <f>+E35/D35</f>
        <v>27.6802793288123</v>
      </c>
      <c r="H35" s="313">
        <v>0.25</v>
      </c>
      <c r="I35" s="324">
        <f>+C35-E35-E15-E26-E7</f>
        <v>-60191.09</v>
      </c>
    </row>
    <row r="36" spans="2:9">
      <c r="B36" t="s">
        <v>16</v>
      </c>
      <c r="C36" s="310" t="e">
        <f>+C27</f>
        <v>#REF!</v>
      </c>
      <c r="D36" s="310" t="e">
        <f>H36*C36</f>
        <v>#REF!</v>
      </c>
      <c r="E36" s="310" t="e">
        <f>+'HEAD OFFICE'!#REF!</f>
        <v>#REF!</v>
      </c>
      <c r="F36" s="311" t="e">
        <f>E36-D36</f>
        <v>#REF!</v>
      </c>
      <c r="G36" s="312" t="e">
        <f>+E36/D36</f>
        <v>#REF!</v>
      </c>
      <c r="H36" s="313">
        <v>0.25</v>
      </c>
      <c r="I36" s="324" t="e">
        <f>+C36-E36-E16-E27-E8</f>
        <v>#REF!</v>
      </c>
    </row>
    <row r="37" spans="2:9">
      <c r="B37" t="s">
        <v>17</v>
      </c>
      <c r="C37" s="314">
        <f>+C28</f>
        <v>25500</v>
      </c>
      <c r="D37" s="314">
        <f>H37*C37</f>
        <v>6375</v>
      </c>
      <c r="E37" s="314">
        <f>+CAIRO!L87</f>
        <v>19109</v>
      </c>
      <c r="F37" s="315">
        <f>E37-D37</f>
        <v>12734</v>
      </c>
      <c r="G37" s="312">
        <f>+E37/D37</f>
        <v>2.99749019607843</v>
      </c>
      <c r="H37" s="316">
        <v>0.25</v>
      </c>
      <c r="I37" s="324">
        <f>+C37-E37-E17-E28-E9</f>
        <v>-109</v>
      </c>
    </row>
    <row r="38" spans="3:9">
      <c r="C38" s="317" t="e">
        <f>SUM(C35:C37)</f>
        <v>#REF!</v>
      </c>
      <c r="D38" s="318" t="e">
        <f>SUM(D35:D37)</f>
        <v>#REF!</v>
      </c>
      <c r="E38" s="317" t="e">
        <f>SUM(E35:E37)</f>
        <v>#REF!</v>
      </c>
      <c r="F38" s="319" t="e">
        <f>E38-D38</f>
        <v>#REF!</v>
      </c>
      <c r="G38" s="320" t="e">
        <f>SUM(G35:G37)/3</f>
        <v>#REF!</v>
      </c>
      <c r="H38" s="320">
        <f>SUM(H35:H37)/3</f>
        <v>0.25</v>
      </c>
      <c r="I38" s="318" t="e">
        <f>SUM(I35:I37)</f>
        <v>#REF!</v>
      </c>
    </row>
    <row r="41" ht="15.75" spans="2:9">
      <c r="B41" s="304" t="s">
        <v>27</v>
      </c>
      <c r="C41" s="321" t="e">
        <f>+C10</f>
        <v>#REF!</v>
      </c>
      <c r="D41" s="321"/>
      <c r="E41" s="321" t="e">
        <f>+E10+E18+E29+E38</f>
        <v>#REF!</v>
      </c>
      <c r="F41" s="321" t="e">
        <f>-F10-F18-F29-F38</f>
        <v>#REF!</v>
      </c>
      <c r="G41" s="321"/>
      <c r="H41" s="322"/>
      <c r="I41" s="322"/>
    </row>
    <row r="44" hidden="1"/>
    <row r="45" hidden="1"/>
    <row r="46" hidden="1"/>
    <row r="47" hidden="1"/>
    <row r="48" hidden="1"/>
    <row r="51" spans="2:2">
      <c r="B51" t="s">
        <v>28</v>
      </c>
    </row>
    <row r="53" spans="2:2">
      <c r="B53" t="s">
        <v>29</v>
      </c>
    </row>
    <row r="54" ht="30" spans="2:9">
      <c r="B54" s="305" t="s">
        <v>2</v>
      </c>
      <c r="C54" s="306" t="s">
        <v>3</v>
      </c>
      <c r="D54" s="307" t="s">
        <v>30</v>
      </c>
      <c r="E54" s="306" t="s">
        <v>5</v>
      </c>
      <c r="F54" s="308" t="s">
        <v>25</v>
      </c>
      <c r="G54" s="309" t="s">
        <v>31</v>
      </c>
      <c r="H54" s="305" t="s">
        <v>7</v>
      </c>
      <c r="I54" s="305" t="s">
        <v>25</v>
      </c>
    </row>
    <row r="55" spans="2:9">
      <c r="B55" s="305" t="s">
        <v>8</v>
      </c>
      <c r="C55" s="306" t="s">
        <v>9</v>
      </c>
      <c r="D55" s="307" t="s">
        <v>10</v>
      </c>
      <c r="E55" s="306" t="s">
        <v>11</v>
      </c>
      <c r="F55" s="308" t="s">
        <v>12</v>
      </c>
      <c r="G55" s="309" t="s">
        <v>13</v>
      </c>
      <c r="H55" s="305" t="s">
        <v>13</v>
      </c>
      <c r="I55" s="305" t="s">
        <v>14</v>
      </c>
    </row>
    <row r="56" spans="2:12">
      <c r="B56" t="s">
        <v>15</v>
      </c>
      <c r="C56" s="310">
        <f>+SOWETO!F223</f>
        <v>984.47</v>
      </c>
      <c r="D56" s="310">
        <f>+C56*H56</f>
        <v>246.1175</v>
      </c>
      <c r="E56" s="310">
        <f>+SOWETO!G223</f>
        <v>3850</v>
      </c>
      <c r="F56" s="311">
        <f>E56-D56</f>
        <v>3603.8825</v>
      </c>
      <c r="G56" s="312">
        <f>E56/C56</f>
        <v>3.91073369427204</v>
      </c>
      <c r="H56" s="313">
        <v>0.25</v>
      </c>
      <c r="I56" s="325">
        <f>G56-H56</f>
        <v>3.66073369427204</v>
      </c>
      <c r="L56" s="326"/>
    </row>
    <row r="57" spans="2:9">
      <c r="B57" t="s">
        <v>16</v>
      </c>
      <c r="C57" s="310" t="e">
        <f>+'HEAD OFFICE'!#REF!</f>
        <v>#REF!</v>
      </c>
      <c r="D57" s="310" t="e">
        <f>+C57*H57</f>
        <v>#REF!</v>
      </c>
      <c r="E57" s="310" t="e">
        <f>+'HEAD OFFICE'!#REF!</f>
        <v>#REF!</v>
      </c>
      <c r="F57" s="311" t="e">
        <f>E57-D57</f>
        <v>#REF!</v>
      </c>
      <c r="G57" s="312" t="e">
        <f>E57/C57</f>
        <v>#REF!</v>
      </c>
      <c r="H57" s="313">
        <v>0.25</v>
      </c>
      <c r="I57" s="312" t="e">
        <f>G57-H57</f>
        <v>#REF!</v>
      </c>
    </row>
    <row r="58" spans="2:9">
      <c r="B58" t="s">
        <v>17</v>
      </c>
      <c r="C58" s="314">
        <f>+CAIRO!G100</f>
        <v>19500</v>
      </c>
      <c r="D58" s="310">
        <f>+C58*H58</f>
        <v>4875</v>
      </c>
      <c r="E58" s="314">
        <f>+CAIRO!I100</f>
        <v>1450</v>
      </c>
      <c r="F58" s="315">
        <f>E58-D58</f>
        <v>-3425</v>
      </c>
      <c r="G58" s="323">
        <f>E58/C58</f>
        <v>0.0743589743589744</v>
      </c>
      <c r="H58" s="316">
        <v>0.25</v>
      </c>
      <c r="I58" s="323">
        <f>G58-H58</f>
        <v>-0.175641025641026</v>
      </c>
    </row>
    <row r="59" spans="3:9">
      <c r="C59" s="317" t="e">
        <f>SUM(C56:C58)</f>
        <v>#REF!</v>
      </c>
      <c r="D59" s="318" t="e">
        <f>SUM(D56:D58)</f>
        <v>#REF!</v>
      </c>
      <c r="E59" s="317" t="e">
        <f>SUM(E56:E58)</f>
        <v>#REF!</v>
      </c>
      <c r="F59" s="319" t="e">
        <f>E59-D59</f>
        <v>#REF!</v>
      </c>
      <c r="G59" s="320" t="e">
        <f>SUM(G56:G58)/3</f>
        <v>#REF!</v>
      </c>
      <c r="H59" s="320">
        <f>SUM(H56:H58)/3</f>
        <v>0.25</v>
      </c>
      <c r="I59" s="320" t="e">
        <f>SUM(I56:I58)/3</f>
        <v>#REF!</v>
      </c>
    </row>
    <row r="63" spans="2:2">
      <c r="B63" t="str">
        <f>+B23</f>
        <v>Week Ending 31/7/2020</v>
      </c>
    </row>
    <row r="64" ht="45" spans="2:9">
      <c r="B64" s="305" t="s">
        <v>2</v>
      </c>
      <c r="C64" s="306" t="s">
        <v>3</v>
      </c>
      <c r="D64" s="307" t="s">
        <v>32</v>
      </c>
      <c r="E64" s="306" t="s">
        <v>5</v>
      </c>
      <c r="F64" s="308" t="s">
        <v>25</v>
      </c>
      <c r="G64" s="309" t="s">
        <v>31</v>
      </c>
      <c r="H64" s="305" t="s">
        <v>7</v>
      </c>
      <c r="I64" s="305" t="s">
        <v>25</v>
      </c>
    </row>
    <row r="65" spans="2:9">
      <c r="B65" s="305" t="s">
        <v>8</v>
      </c>
      <c r="C65" s="306" t="s">
        <v>9</v>
      </c>
      <c r="D65" s="307" t="s">
        <v>10</v>
      </c>
      <c r="E65" s="306" t="s">
        <v>20</v>
      </c>
      <c r="F65" s="308" t="s">
        <v>12</v>
      </c>
      <c r="G65" s="309" t="s">
        <v>13</v>
      </c>
      <c r="H65" s="305" t="s">
        <v>13</v>
      </c>
      <c r="I65" s="305" t="s">
        <v>14</v>
      </c>
    </row>
    <row r="66" spans="2:9">
      <c r="B66" t="s">
        <v>15</v>
      </c>
      <c r="C66" s="310">
        <f>+C56</f>
        <v>984.47</v>
      </c>
      <c r="D66" s="310">
        <f>H66*C66</f>
        <v>246.1175</v>
      </c>
      <c r="E66" s="310">
        <f>+SOWETO!H223</f>
        <v>4250</v>
      </c>
      <c r="F66" s="311">
        <f>E66-D66</f>
        <v>4003.8825</v>
      </c>
      <c r="G66" s="312">
        <f>E66/C66</f>
        <v>4.31704368848213</v>
      </c>
      <c r="H66" s="313">
        <v>0.25</v>
      </c>
      <c r="I66" s="325">
        <f>G66-H66</f>
        <v>4.06704368848213</v>
      </c>
    </row>
    <row r="67" spans="2:9">
      <c r="B67" t="s">
        <v>16</v>
      </c>
      <c r="C67" s="310" t="e">
        <f>+C57</f>
        <v>#REF!</v>
      </c>
      <c r="D67" s="310" t="e">
        <f>H67*C67</f>
        <v>#REF!</v>
      </c>
      <c r="E67" s="310" t="e">
        <f>+'HEAD OFFICE'!#REF!</f>
        <v>#REF!</v>
      </c>
      <c r="F67" s="311" t="e">
        <f>E67-D67</f>
        <v>#REF!</v>
      </c>
      <c r="G67" s="312" t="e">
        <f>E67/C67</f>
        <v>#REF!</v>
      </c>
      <c r="H67" s="313">
        <v>0.25</v>
      </c>
      <c r="I67" s="312" t="e">
        <f>G67-H67</f>
        <v>#REF!</v>
      </c>
    </row>
    <row r="68" spans="2:9">
      <c r="B68" t="s">
        <v>17</v>
      </c>
      <c r="C68" s="310">
        <f>+C58</f>
        <v>19500</v>
      </c>
      <c r="D68" s="314">
        <f>H68*C68</f>
        <v>4875</v>
      </c>
      <c r="E68" s="314">
        <f>+CAIRO!J100</f>
        <v>1695</v>
      </c>
      <c r="F68" s="315">
        <f>E68-D68</f>
        <v>-3180</v>
      </c>
      <c r="G68" s="323">
        <f>E68/C68</f>
        <v>0.0869230769230769</v>
      </c>
      <c r="H68" s="316">
        <v>0.25</v>
      </c>
      <c r="I68" s="323">
        <f>G68-H68</f>
        <v>-0.163076923076923</v>
      </c>
    </row>
    <row r="69" spans="3:9">
      <c r="C69" s="317" t="e">
        <f>SUM(C66:C68)</f>
        <v>#REF!</v>
      </c>
      <c r="D69" s="318" t="e">
        <f>SUM(D66:D68)</f>
        <v>#REF!</v>
      </c>
      <c r="E69" s="317" t="e">
        <f>SUM(E66:E68)</f>
        <v>#REF!</v>
      </c>
      <c r="F69" s="319" t="e">
        <f>E69-D69</f>
        <v>#REF!</v>
      </c>
      <c r="G69" s="320" t="e">
        <f>SUM(G66:G68)/3</f>
        <v>#REF!</v>
      </c>
      <c r="H69" s="327">
        <f>SUM(H66:H68)/3</f>
        <v>0.25</v>
      </c>
      <c r="I69" s="320" t="e">
        <f>SUM(I66:I68)/3</f>
        <v>#REF!</v>
      </c>
    </row>
    <row r="72" spans="2:2">
      <c r="B72" t="s">
        <v>23</v>
      </c>
    </row>
    <row r="73" ht="30" spans="2:9">
      <c r="B73" s="305" t="s">
        <v>2</v>
      </c>
      <c r="C73" s="306" t="s">
        <v>3</v>
      </c>
      <c r="D73" s="307" t="s">
        <v>24</v>
      </c>
      <c r="E73" s="306" t="s">
        <v>5</v>
      </c>
      <c r="F73" s="308" t="str">
        <f>+F64</f>
        <v>Variance</v>
      </c>
      <c r="G73" s="309"/>
      <c r="H73" s="305" t="s">
        <v>7</v>
      </c>
      <c r="I73" s="305" t="s">
        <v>25</v>
      </c>
    </row>
    <row r="74" spans="2:9">
      <c r="B74" s="305" t="s">
        <v>8</v>
      </c>
      <c r="C74" s="306" t="s">
        <v>9</v>
      </c>
      <c r="D74" s="307" t="s">
        <v>10</v>
      </c>
      <c r="E74" s="306" t="str">
        <f>+E25</f>
        <v>third week</v>
      </c>
      <c r="F74" s="308" t="s">
        <v>12</v>
      </c>
      <c r="G74" s="309" t="s">
        <v>13</v>
      </c>
      <c r="H74" s="305" t="s">
        <v>13</v>
      </c>
      <c r="I74" s="305" t="s">
        <v>14</v>
      </c>
    </row>
    <row r="75" spans="2:9">
      <c r="B75" t="s">
        <v>15</v>
      </c>
      <c r="C75" s="310">
        <f>+C66</f>
        <v>984.47</v>
      </c>
      <c r="D75" s="310">
        <f>H75*C75</f>
        <v>246.1175</v>
      </c>
      <c r="E75" s="310">
        <f>+SOWETO!I223</f>
        <v>9916</v>
      </c>
      <c r="F75" s="311">
        <f>E75-D75</f>
        <v>9669.8825</v>
      </c>
      <c r="G75" s="312">
        <f>+E75/D75</f>
        <v>40.2896990258718</v>
      </c>
      <c r="H75" s="313">
        <v>0.25</v>
      </c>
      <c r="I75" s="325">
        <f>G75-H75</f>
        <v>40.0396990258718</v>
      </c>
    </row>
    <row r="76" spans="2:9">
      <c r="B76" t="s">
        <v>16</v>
      </c>
      <c r="C76" s="310" t="e">
        <f>+C67</f>
        <v>#REF!</v>
      </c>
      <c r="D76" s="310" t="e">
        <f>H76*C76</f>
        <v>#REF!</v>
      </c>
      <c r="E76" s="310" t="e">
        <f>+'HEAD OFFICE'!#REF!</f>
        <v>#REF!</v>
      </c>
      <c r="F76" s="311" t="e">
        <f>E76-D76</f>
        <v>#REF!</v>
      </c>
      <c r="G76" s="312" t="e">
        <f>+E76/D76</f>
        <v>#REF!</v>
      </c>
      <c r="H76" s="313">
        <v>0.25</v>
      </c>
      <c r="I76" s="325" t="e">
        <f>G76-H76</f>
        <v>#REF!</v>
      </c>
    </row>
    <row r="77" spans="2:9">
      <c r="B77" t="s">
        <v>17</v>
      </c>
      <c r="C77" s="314">
        <f>+C68</f>
        <v>19500</v>
      </c>
      <c r="D77" s="314">
        <f>H77*C77</f>
        <v>4875</v>
      </c>
      <c r="E77" s="314">
        <f>+CAIRO!K100</f>
        <v>3390</v>
      </c>
      <c r="F77" s="315">
        <f>E77-D77</f>
        <v>-1485</v>
      </c>
      <c r="G77" s="312">
        <f>+E77/D77</f>
        <v>0.695384615384615</v>
      </c>
      <c r="H77" s="316">
        <v>0.25</v>
      </c>
      <c r="I77" s="325">
        <f>G77-H77</f>
        <v>0.445384615384615</v>
      </c>
    </row>
    <row r="78" spans="3:9">
      <c r="C78" s="317" t="e">
        <f>SUM(C75:C77)</f>
        <v>#REF!</v>
      </c>
      <c r="D78" s="318" t="e">
        <f>SUM(D75:D77)</f>
        <v>#REF!</v>
      </c>
      <c r="E78" s="317" t="e">
        <f>SUM(E75:E77)</f>
        <v>#REF!</v>
      </c>
      <c r="F78" s="319" t="e">
        <f>E78-D78</f>
        <v>#REF!</v>
      </c>
      <c r="G78" s="320" t="e">
        <f>SUM(G75:G77)/3</f>
        <v>#REF!</v>
      </c>
      <c r="H78" s="320">
        <f>SUM(H75:H77)/3</f>
        <v>0.25</v>
      </c>
      <c r="I78" s="318" t="e">
        <f>SUM(I75:I77)</f>
        <v>#REF!</v>
      </c>
    </row>
    <row r="81" ht="15.75" spans="2:9">
      <c r="B81" s="304" t="s">
        <v>27</v>
      </c>
      <c r="C81" s="321" t="e">
        <f>+C69</f>
        <v>#REF!</v>
      </c>
      <c r="D81" s="321"/>
      <c r="E81" s="321" t="e">
        <f>+E59+E69+E78</f>
        <v>#REF!</v>
      </c>
      <c r="F81" s="321" t="e">
        <f>+C81-E81</f>
        <v>#REF!</v>
      </c>
      <c r="G81" s="321"/>
      <c r="H81" s="322"/>
      <c r="I81" s="322"/>
    </row>
    <row r="85" spans="2:2">
      <c r="B85" t="s">
        <v>33</v>
      </c>
    </row>
    <row r="88" ht="30" spans="2:9">
      <c r="B88" s="305" t="s">
        <v>2</v>
      </c>
      <c r="C88" s="306" t="s">
        <v>3</v>
      </c>
      <c r="D88" s="307" t="s">
        <v>30</v>
      </c>
      <c r="E88" s="306" t="s">
        <v>5</v>
      </c>
      <c r="F88" s="308" t="s">
        <v>25</v>
      </c>
      <c r="G88" s="309" t="s">
        <v>31</v>
      </c>
      <c r="H88" s="305" t="s">
        <v>7</v>
      </c>
      <c r="I88" s="305" t="s">
        <v>25</v>
      </c>
    </row>
    <row r="89" spans="2:9">
      <c r="B89" s="305" t="s">
        <v>8</v>
      </c>
      <c r="C89" s="306" t="s">
        <v>9</v>
      </c>
      <c r="D89" s="307" t="s">
        <v>10</v>
      </c>
      <c r="E89" s="306" t="s">
        <v>11</v>
      </c>
      <c r="F89" s="308" t="s">
        <v>12</v>
      </c>
      <c r="G89" s="309" t="s">
        <v>13</v>
      </c>
      <c r="H89" s="305" t="s">
        <v>13</v>
      </c>
      <c r="I89" s="305" t="s">
        <v>14</v>
      </c>
    </row>
    <row r="90" spans="2:9">
      <c r="B90" t="s">
        <v>15</v>
      </c>
      <c r="C90" s="310">
        <f>+SOWETO!F235</f>
        <v>377.5</v>
      </c>
      <c r="D90" s="310">
        <f>+C90*H90</f>
        <v>94.375</v>
      </c>
      <c r="E90" s="310">
        <f>+SOWETO!G235</f>
        <v>900</v>
      </c>
      <c r="F90" s="311">
        <f>E90-D90</f>
        <v>805.625</v>
      </c>
      <c r="G90" s="312">
        <f>E90/C90</f>
        <v>2.3841059602649</v>
      </c>
      <c r="H90" s="313">
        <v>0.25</v>
      </c>
      <c r="I90" s="325">
        <f>G90-H90</f>
        <v>2.1341059602649</v>
      </c>
    </row>
    <row r="91" spans="2:9">
      <c r="B91" t="s">
        <v>16</v>
      </c>
      <c r="C91" s="310" t="e">
        <f>+'HEAD OFFICE'!#REF!</f>
        <v>#REF!</v>
      </c>
      <c r="D91" s="310" t="e">
        <f>+C91*H91</f>
        <v>#REF!</v>
      </c>
      <c r="E91" s="310" t="e">
        <f>+'HEAD OFFICE'!#REF!</f>
        <v>#REF!</v>
      </c>
      <c r="F91" s="311" t="e">
        <f>E91-D91</f>
        <v>#REF!</v>
      </c>
      <c r="G91" s="312" t="e">
        <f>E91/C91</f>
        <v>#REF!</v>
      </c>
      <c r="H91" s="313">
        <v>0.25</v>
      </c>
      <c r="I91" s="312" t="e">
        <f>G91-H91</f>
        <v>#REF!</v>
      </c>
    </row>
    <row r="92" spans="2:9">
      <c r="B92" t="s">
        <v>17</v>
      </c>
      <c r="C92" s="314">
        <f>+CAIRO!G119</f>
        <v>23000</v>
      </c>
      <c r="D92" s="310">
        <f>+C92*H92</f>
        <v>5750</v>
      </c>
      <c r="E92" s="314">
        <f>+CAIRO!I119</f>
        <v>4100</v>
      </c>
      <c r="F92" s="315">
        <f>E92-D92</f>
        <v>-1650</v>
      </c>
      <c r="G92" s="323">
        <f>E92/C92</f>
        <v>0.178260869565217</v>
      </c>
      <c r="H92" s="316">
        <v>0.25</v>
      </c>
      <c r="I92" s="323">
        <f>G92-H92</f>
        <v>-0.0717391304347826</v>
      </c>
    </row>
    <row r="93" spans="3:9">
      <c r="C93" s="317" t="e">
        <f>SUM(C90:C92)</f>
        <v>#REF!</v>
      </c>
      <c r="D93" s="318" t="e">
        <f>SUM(D90:D92)</f>
        <v>#REF!</v>
      </c>
      <c r="E93" s="317" t="e">
        <f>SUM(E90:E92)</f>
        <v>#REF!</v>
      </c>
      <c r="F93" s="319" t="e">
        <f>E93-D93</f>
        <v>#REF!</v>
      </c>
      <c r="G93" s="320" t="e">
        <f>SUM(G90:G92)/3</f>
        <v>#REF!</v>
      </c>
      <c r="H93" s="320">
        <f>SUM(H90:H92)/3</f>
        <v>0.25</v>
      </c>
      <c r="I93" s="320" t="e">
        <f>SUM(I90:I92)/3</f>
        <v>#REF!</v>
      </c>
    </row>
    <row r="97" spans="2:2">
      <c r="B97" t="s">
        <v>34</v>
      </c>
    </row>
    <row r="100" ht="30" spans="2:9">
      <c r="B100" s="305" t="s">
        <v>2</v>
      </c>
      <c r="C100" s="306" t="s">
        <v>3</v>
      </c>
      <c r="D100" s="307" t="s">
        <v>30</v>
      </c>
      <c r="E100" s="306" t="s">
        <v>5</v>
      </c>
      <c r="F100" s="308" t="s">
        <v>25</v>
      </c>
      <c r="G100" s="309" t="s">
        <v>31</v>
      </c>
      <c r="H100" s="305" t="s">
        <v>7</v>
      </c>
      <c r="I100" s="305" t="s">
        <v>25</v>
      </c>
    </row>
    <row r="101" spans="2:9">
      <c r="B101" s="305" t="s">
        <v>8</v>
      </c>
      <c r="C101" s="306" t="s">
        <v>9</v>
      </c>
      <c r="D101" s="307" t="s">
        <v>10</v>
      </c>
      <c r="E101" s="306" t="s">
        <v>11</v>
      </c>
      <c r="F101" s="308" t="s">
        <v>12</v>
      </c>
      <c r="G101" s="309" t="s">
        <v>13</v>
      </c>
      <c r="H101" s="305" t="s">
        <v>13</v>
      </c>
      <c r="I101" s="305" t="s">
        <v>14</v>
      </c>
    </row>
    <row r="102" spans="2:9">
      <c r="B102" t="s">
        <v>15</v>
      </c>
      <c r="C102" s="310">
        <f>+SOWETO!F250</f>
        <v>3972.8</v>
      </c>
      <c r="D102" s="310">
        <f>+C102*H102</f>
        <v>993.2</v>
      </c>
      <c r="E102" s="310">
        <v>0</v>
      </c>
      <c r="F102" s="311">
        <f>E102-D102</f>
        <v>-993.2</v>
      </c>
      <c r="G102" s="312">
        <f>E102/C102</f>
        <v>0</v>
      </c>
      <c r="H102" s="313">
        <v>0.25</v>
      </c>
      <c r="I102" s="325">
        <f>G102-H102</f>
        <v>-0.25</v>
      </c>
    </row>
    <row r="103" spans="2:9">
      <c r="B103" t="s">
        <v>16</v>
      </c>
      <c r="C103" s="310" t="e">
        <f>+'HEAD OFFICE'!#REF!</f>
        <v>#REF!</v>
      </c>
      <c r="D103" s="310" t="e">
        <f>+C103*H103</f>
        <v>#REF!</v>
      </c>
      <c r="E103" s="310">
        <v>0</v>
      </c>
      <c r="F103" s="311" t="e">
        <f>E103-D103</f>
        <v>#REF!</v>
      </c>
      <c r="G103" s="312" t="e">
        <f>E103/C103</f>
        <v>#REF!</v>
      </c>
      <c r="H103" s="313">
        <v>0.25</v>
      </c>
      <c r="I103" s="312" t="e">
        <f>G103-H103</f>
        <v>#REF!</v>
      </c>
    </row>
    <row r="104" spans="2:9">
      <c r="B104" t="s">
        <v>17</v>
      </c>
      <c r="C104" s="314">
        <f>+CAIRO!G119</f>
        <v>23000</v>
      </c>
      <c r="D104" s="310">
        <f>+C104*H104</f>
        <v>5750</v>
      </c>
      <c r="E104" s="314">
        <v>0</v>
      </c>
      <c r="F104" s="315">
        <f>E104-D104</f>
        <v>-5750</v>
      </c>
      <c r="G104" s="323">
        <f>E104/C104</f>
        <v>0</v>
      </c>
      <c r="H104" s="316">
        <v>0.25</v>
      </c>
      <c r="I104" s="323">
        <f>G104-H104</f>
        <v>-0.25</v>
      </c>
    </row>
    <row r="105" spans="3:9">
      <c r="C105" s="317" t="e">
        <f>SUM(C102:C104)</f>
        <v>#REF!</v>
      </c>
      <c r="D105" s="318" t="e">
        <f>SUM(D102:D104)</f>
        <v>#REF!</v>
      </c>
      <c r="E105" s="317">
        <f>SUM(E102:E104)</f>
        <v>0</v>
      </c>
      <c r="F105" s="319" t="e">
        <f>E105-D105</f>
        <v>#REF!</v>
      </c>
      <c r="G105" s="320" t="e">
        <f>SUM(G102:G104)/3</f>
        <v>#REF!</v>
      </c>
      <c r="H105" s="320">
        <f>SUM(H102:H104)/3</f>
        <v>0.25</v>
      </c>
      <c r="I105" s="320" t="e">
        <f>SUM(I102:I104)/3</f>
        <v>#REF!</v>
      </c>
    </row>
    <row r="109" spans="3:9">
      <c r="C109" s="328"/>
      <c r="D109" s="329"/>
      <c r="E109" s="328"/>
      <c r="F109" s="330"/>
      <c r="G109" s="331"/>
      <c r="H109" s="331"/>
      <c r="I109" s="331"/>
    </row>
    <row r="110" ht="15.75" spans="2:9">
      <c r="B110" s="304" t="s">
        <v>35</v>
      </c>
      <c r="C110" s="332" t="e">
        <f>+C81+C41+C93+C105</f>
        <v>#REF!</v>
      </c>
      <c r="D110" s="332" t="e">
        <f>+D81+D41+D93+D105</f>
        <v>#REF!</v>
      </c>
      <c r="E110" s="332" t="e">
        <f>+E81+E41+E93+E105</f>
        <v>#REF!</v>
      </c>
      <c r="F110" s="332" t="e">
        <f>+F81+F41+F93+F105</f>
        <v>#REF!</v>
      </c>
      <c r="G110" s="332" t="e">
        <f>+C110-E110</f>
        <v>#REF!</v>
      </c>
      <c r="H110" s="333"/>
      <c r="I110" s="334" t="e">
        <f>+E110/C110</f>
        <v>#REF!</v>
      </c>
    </row>
  </sheetData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2"/>
  <sheetViews>
    <sheetView topLeftCell="A7" workbookViewId="0">
      <selection activeCell="B29" sqref="B29:F32"/>
    </sheetView>
  </sheetViews>
  <sheetFormatPr defaultColWidth="9.14285714285714" defaultRowHeight="16.5"/>
  <cols>
    <col min="1" max="1" width="9.14285714285714" style="1"/>
    <col min="2" max="2" width="8.85714285714286" style="1" customWidth="1"/>
    <col min="3" max="3" width="8.42857142857143" style="1" customWidth="1"/>
    <col min="4" max="4" width="12.8571428571429" style="1" customWidth="1"/>
    <col min="5" max="5" width="11.4285714285714" style="1" customWidth="1"/>
    <col min="6" max="6" width="12.2857142857143" style="1" customWidth="1"/>
    <col min="7" max="7" width="9.57142857142857" style="1" customWidth="1"/>
    <col min="8" max="8" width="10.4285714285714" style="1" customWidth="1"/>
    <col min="9" max="9" width="12.1428571428571" style="1" customWidth="1"/>
    <col min="10" max="11" width="9.14285714285714" style="1"/>
    <col min="12" max="14" width="9" style="1" hidden="1" customWidth="1"/>
    <col min="15" max="15" width="10.1428571428571" style="1"/>
    <col min="16" max="16" width="13.4285714285714" style="1" customWidth="1"/>
    <col min="17" max="17" width="15.8571428571429" style="1"/>
    <col min="18" max="16384" width="9.14285714285714" style="1"/>
  </cols>
  <sheetData>
    <row r="1" spans="1:5">
      <c r="A1" s="12" t="str">
        <f>+SUMMARY!B1</f>
        <v>LAXMI CAPITAL SOLUTIONS LIMITED</v>
      </c>
      <c r="B1" s="12"/>
      <c r="C1" s="12"/>
      <c r="D1" s="12"/>
      <c r="E1" s="12"/>
    </row>
    <row r="2" spans="1:5">
      <c r="A2" s="12" t="s">
        <v>0</v>
      </c>
      <c r="B2" s="12"/>
      <c r="C2" s="12"/>
      <c r="D2" s="12"/>
      <c r="E2" s="12"/>
    </row>
    <row r="5" ht="49.5" spans="2:16">
      <c r="B5" s="15" t="s">
        <v>36</v>
      </c>
      <c r="C5" s="15" t="s">
        <v>37</v>
      </c>
      <c r="D5" s="290" t="s">
        <v>38</v>
      </c>
      <c r="E5" s="240" t="s">
        <v>39</v>
      </c>
      <c r="F5" s="290" t="s">
        <v>40</v>
      </c>
      <c r="G5" s="290" t="s">
        <v>41</v>
      </c>
      <c r="H5" s="291" t="s">
        <v>42</v>
      </c>
      <c r="I5" s="291" t="s">
        <v>43</v>
      </c>
      <c r="O5" s="115" t="s">
        <v>44</v>
      </c>
      <c r="P5" s="115"/>
    </row>
    <row r="6" spans="4:7">
      <c r="D6" s="292"/>
      <c r="E6" s="292"/>
      <c r="F6" s="292"/>
      <c r="G6" s="292"/>
    </row>
    <row r="7" spans="2:15">
      <c r="B7" s="1" t="s">
        <v>17</v>
      </c>
      <c r="C7" s="293">
        <f>+CAIRO!C18</f>
        <v>69</v>
      </c>
      <c r="D7" s="294">
        <f>+CAIRO!D18</f>
        <v>239750</v>
      </c>
      <c r="E7" s="294">
        <f>-CAIRO!E18</f>
        <v>-238477.5</v>
      </c>
      <c r="F7" s="294">
        <f>+D7+E7</f>
        <v>1272.5</v>
      </c>
      <c r="G7" s="7">
        <f>-E7/(D7)</f>
        <v>0.994692387904067</v>
      </c>
      <c r="H7" s="6">
        <f>CAIRO!H18</f>
        <v>13234.872</v>
      </c>
      <c r="I7" s="44">
        <f>+F7+H7</f>
        <v>14507.372</v>
      </c>
      <c r="O7" s="294">
        <v>46494</v>
      </c>
    </row>
    <row r="8" spans="2:15">
      <c r="B8" s="1" t="s">
        <v>45</v>
      </c>
      <c r="C8" s="293">
        <f>+CHAZANGA!C12</f>
        <v>34</v>
      </c>
      <c r="D8" s="294">
        <f>+CHAZANGA!D12:D12</f>
        <v>80500</v>
      </c>
      <c r="E8" s="294">
        <f>-CHAZANGA!E12</f>
        <v>-83550</v>
      </c>
      <c r="F8" s="294">
        <f t="shared" ref="F8:F10" si="0">+D8+E8</f>
        <v>-3050</v>
      </c>
      <c r="G8" s="7">
        <f t="shared" ref="G8:G10" si="1">-E8/(D8)</f>
        <v>1.03788819875776</v>
      </c>
      <c r="H8" s="6">
        <f>+CHAZANGA!H12</f>
        <v>8813.57</v>
      </c>
      <c r="I8" s="44">
        <f t="shared" ref="I8:I10" si="2">+F8+H8</f>
        <v>5763.57</v>
      </c>
      <c r="O8" s="294">
        <v>22837</v>
      </c>
    </row>
    <row r="9" spans="2:16">
      <c r="B9" s="1" t="s">
        <v>16</v>
      </c>
      <c r="C9" s="293" t="e">
        <f>+'HEAD OFFICE'!#REF!</f>
        <v>#REF!</v>
      </c>
      <c r="D9" s="294" t="e">
        <f>+'HEAD OFFICE'!#REF!</f>
        <v>#REF!</v>
      </c>
      <c r="E9" s="294" t="e">
        <f>-'HEAD OFFICE'!#REF!</f>
        <v>#REF!</v>
      </c>
      <c r="F9" s="294" t="e">
        <f t="shared" si="0"/>
        <v>#REF!</v>
      </c>
      <c r="G9" s="7" t="e">
        <f t="shared" si="1"/>
        <v>#REF!</v>
      </c>
      <c r="H9" s="6" t="e">
        <f>+'HEAD OFFICE'!#REF!</f>
        <v>#REF!</v>
      </c>
      <c r="I9" s="44" t="e">
        <f t="shared" si="2"/>
        <v>#REF!</v>
      </c>
      <c r="O9" s="294">
        <v>117250</v>
      </c>
      <c r="P9" s="1">
        <f>+O9-'LOAN SUMMARY REWORK'!H36-'LOAN SUMMARY REWORK'!I36</f>
        <v>-7820</v>
      </c>
    </row>
    <row r="10" spans="2:15">
      <c r="B10" s="1" t="s">
        <v>15</v>
      </c>
      <c r="C10" s="293">
        <f>+SOWETO!C19</f>
        <v>180</v>
      </c>
      <c r="D10" s="294">
        <f>+SOWETO!D19</f>
        <v>560050</v>
      </c>
      <c r="E10" s="294">
        <f>-SOWETO!E19</f>
        <v>-493076</v>
      </c>
      <c r="F10" s="294">
        <f t="shared" si="0"/>
        <v>66974</v>
      </c>
      <c r="G10" s="7">
        <f t="shared" si="1"/>
        <v>0.880414248727792</v>
      </c>
      <c r="H10" s="6">
        <f>+SOWETO!H19</f>
        <v>31081.39</v>
      </c>
      <c r="I10" s="44">
        <f t="shared" si="2"/>
        <v>98055.39</v>
      </c>
      <c r="O10" s="294">
        <v>153934</v>
      </c>
    </row>
    <row r="11" ht="17.25" spans="3:15">
      <c r="C11" s="295" t="e">
        <f>SUM(C7:C10)</f>
        <v>#REF!</v>
      </c>
      <c r="D11" s="296" t="e">
        <f>SUM(D7:D10)</f>
        <v>#REF!</v>
      </c>
      <c r="E11" s="296" t="e">
        <f t="shared" ref="E11:I11" si="3">SUM(E7:E10)</f>
        <v>#REF!</v>
      </c>
      <c r="F11" s="296" t="e">
        <f t="shared" si="3"/>
        <v>#REF!</v>
      </c>
      <c r="G11" s="297" t="e">
        <f>-E11/D11</f>
        <v>#REF!</v>
      </c>
      <c r="H11" s="296" t="e">
        <f t="shared" si="3"/>
        <v>#REF!</v>
      </c>
      <c r="I11" s="296" t="e">
        <f t="shared" si="3"/>
        <v>#REF!</v>
      </c>
      <c r="K11" s="42"/>
      <c r="L11" s="42" t="e">
        <f>+E11+796230</f>
        <v>#REF!</v>
      </c>
      <c r="M11" s="7" t="e">
        <f>+K11/F11</f>
        <v>#REF!</v>
      </c>
      <c r="O11" s="296">
        <f>SUM(O7:O10)</f>
        <v>340515</v>
      </c>
    </row>
    <row r="12" spans="11:11">
      <c r="K12" s="42"/>
    </row>
    <row r="13" hidden="1" spans="2:8">
      <c r="B13" s="298" t="s">
        <v>46</v>
      </c>
      <c r="C13" s="298"/>
      <c r="D13" s="299">
        <f>SUM(D14:D16)</f>
        <v>1221050</v>
      </c>
      <c r="E13" s="299">
        <f>SUM(E14:E16)</f>
        <v>-854511</v>
      </c>
      <c r="F13" s="299">
        <f>D13+E13</f>
        <v>366539</v>
      </c>
      <c r="G13" s="300">
        <f>-E13/D13</f>
        <v>0.699816551328774</v>
      </c>
      <c r="H13" s="300">
        <f>+F13/D13</f>
        <v>0.300183448671226</v>
      </c>
    </row>
    <row r="14" hidden="1" spans="2:8">
      <c r="B14" s="298" t="s">
        <v>47</v>
      </c>
      <c r="C14" s="298"/>
      <c r="D14" s="301">
        <v>1137350</v>
      </c>
      <c r="E14" s="301">
        <v>-776256</v>
      </c>
      <c r="F14" s="301">
        <f>D14+E14</f>
        <v>361094</v>
      </c>
      <c r="G14" s="300"/>
      <c r="H14" s="300"/>
    </row>
    <row r="15" hidden="1" spans="2:8">
      <c r="B15" s="298" t="str">
        <f>+B25</f>
        <v>Default</v>
      </c>
      <c r="C15" s="298"/>
      <c r="D15" s="301">
        <v>0</v>
      </c>
      <c r="E15" s="301">
        <v>0</v>
      </c>
      <c r="F15" s="301">
        <f>D15+E15</f>
        <v>0</v>
      </c>
      <c r="G15" s="300"/>
      <c r="H15" s="300"/>
    </row>
    <row r="16" hidden="1" spans="2:9">
      <c r="B16" s="298" t="s">
        <v>48</v>
      </c>
      <c r="C16" s="298"/>
      <c r="D16" s="301">
        <v>83700</v>
      </c>
      <c r="E16" s="301">
        <v>-78255</v>
      </c>
      <c r="F16" s="301">
        <f>D16+E16</f>
        <v>5445</v>
      </c>
      <c r="G16" s="300"/>
      <c r="H16" s="300"/>
      <c r="I16" s="303">
        <v>260190</v>
      </c>
    </row>
    <row r="17" spans="2:9">
      <c r="B17" s="12"/>
      <c r="C17" s="12"/>
      <c r="G17" s="10"/>
      <c r="H17" s="242"/>
      <c r="I17" s="242"/>
    </row>
    <row r="18" hidden="1" spans="2:9">
      <c r="B18" s="1" t="s">
        <v>49</v>
      </c>
      <c r="I18" s="6" t="e">
        <f>+I16-I11</f>
        <v>#REF!</v>
      </c>
    </row>
    <row r="19" hidden="1" spans="2:9">
      <c r="B19" s="1" t="s">
        <v>50</v>
      </c>
      <c r="D19" s="42" t="e">
        <f>+D11-D13</f>
        <v>#REF!</v>
      </c>
      <c r="G19" s="42" t="s">
        <v>51</v>
      </c>
      <c r="H19" s="7"/>
      <c r="I19" s="7"/>
    </row>
    <row r="20" spans="3:9">
      <c r="C20" s="12"/>
      <c r="I20" s="7"/>
    </row>
    <row r="21" spans="2:2">
      <c r="B21" s="12" t="s">
        <v>52</v>
      </c>
    </row>
    <row r="23" spans="2:9">
      <c r="B23" s="1" t="s">
        <v>46</v>
      </c>
      <c r="D23" s="6">
        <f>SUM(D24:D26)</f>
        <v>1621862</v>
      </c>
      <c r="E23" s="6"/>
      <c r="F23" s="6">
        <f>SUM(F24:F26)</f>
        <v>-1315744</v>
      </c>
      <c r="G23" s="6">
        <f>D23+F23</f>
        <v>306118</v>
      </c>
      <c r="H23" s="7">
        <f>-F23/D23</f>
        <v>0.811255211602467</v>
      </c>
      <c r="I23" s="7">
        <f>+G23/D23</f>
        <v>0.188744788397533</v>
      </c>
    </row>
    <row r="24" spans="2:9">
      <c r="B24" s="1" t="s">
        <v>47</v>
      </c>
      <c r="D24" s="54">
        <v>1528550</v>
      </c>
      <c r="E24" s="54"/>
      <c r="F24" s="54">
        <v>-1315744</v>
      </c>
      <c r="G24" s="54">
        <f>D24+F24</f>
        <v>212806</v>
      </c>
      <c r="H24" s="7"/>
      <c r="I24" s="7"/>
    </row>
    <row r="25" spans="2:9">
      <c r="B25" s="1" t="s">
        <v>53</v>
      </c>
      <c r="D25" s="54">
        <f>1621862-D24</f>
        <v>93312</v>
      </c>
      <c r="E25" s="54"/>
      <c r="F25" s="54">
        <v>0</v>
      </c>
      <c r="G25" s="54">
        <f>D25+F25</f>
        <v>93312</v>
      </c>
      <c r="H25" s="7"/>
      <c r="I25" s="7"/>
    </row>
    <row r="26" hidden="1" spans="2:9">
      <c r="B26" s="1" t="s">
        <v>48</v>
      </c>
      <c r="D26" s="54"/>
      <c r="E26" s="54"/>
      <c r="F26" s="54"/>
      <c r="G26" s="54"/>
      <c r="H26" s="7"/>
      <c r="I26" s="7"/>
    </row>
    <row r="28" spans="6:8">
      <c r="F28" s="302" t="s">
        <v>54</v>
      </c>
      <c r="H28" s="302" t="s">
        <v>55</v>
      </c>
    </row>
    <row r="29" spans="2:8">
      <c r="B29" s="1" t="s">
        <v>56</v>
      </c>
      <c r="D29" s="10" t="s">
        <v>57</v>
      </c>
      <c r="E29" s="11">
        <v>0.7</v>
      </c>
      <c r="F29" s="10" t="e">
        <f>0.7*H11</f>
        <v>#REF!</v>
      </c>
      <c r="H29" s="6">
        <f>+G25*0.7</f>
        <v>65318.4</v>
      </c>
    </row>
    <row r="30" spans="4:8">
      <c r="D30" s="12" t="s">
        <v>58</v>
      </c>
      <c r="E30" s="13">
        <v>0.3</v>
      </c>
      <c r="F30" s="10" t="e">
        <f>0.3*H11</f>
        <v>#REF!</v>
      </c>
      <c r="H30" s="6">
        <f>+G25*0.3</f>
        <v>27993.6</v>
      </c>
    </row>
    <row r="31" spans="8:8">
      <c r="H31" s="6"/>
    </row>
    <row r="32" ht="17.25" spans="6:8">
      <c r="F32" s="14" t="e">
        <f>SUM(F29:F30)</f>
        <v>#REF!</v>
      </c>
      <c r="H32" s="8">
        <f>SUM(H29:H30)</f>
        <v>93312</v>
      </c>
    </row>
  </sheetData>
  <sortState ref="B7:G10">
    <sortCondition ref="B7:B10"/>
  </sortState>
  <pageMargins left="0.7" right="0.7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4:L5"/>
  <sheetViews>
    <sheetView workbookViewId="0">
      <selection activeCell="K5" sqref="K5"/>
    </sheetView>
  </sheetViews>
  <sheetFormatPr defaultColWidth="9" defaultRowHeight="15" outlineLevelRow="4"/>
  <cols>
    <col min="2" max="3" width="11.5714285714286" customWidth="1"/>
    <col min="5" max="6" width="10.5714285714286" customWidth="1"/>
    <col min="8" max="8" width="11.5714285714286" customWidth="1"/>
    <col min="9" max="9" width="10.5714285714286" customWidth="1"/>
    <col min="11" max="11" width="11.5714285714286" customWidth="1"/>
    <col min="12" max="12" width="10.7142857142857" customWidth="1"/>
  </cols>
  <sheetData>
    <row r="4" spans="1:12">
      <c r="A4" s="289" t="s">
        <v>59</v>
      </c>
      <c r="B4" t="s">
        <v>60</v>
      </c>
      <c r="C4" t="s">
        <v>61</v>
      </c>
      <c r="D4" t="s">
        <v>62</v>
      </c>
      <c r="E4" t="s">
        <v>60</v>
      </c>
      <c r="F4" t="s">
        <v>61</v>
      </c>
      <c r="G4" t="s">
        <v>63</v>
      </c>
      <c r="H4" t="s">
        <v>60</v>
      </c>
      <c r="I4" t="s">
        <v>61</v>
      </c>
      <c r="J4" t="s">
        <v>64</v>
      </c>
      <c r="K4" t="s">
        <v>60</v>
      </c>
      <c r="L4" t="s">
        <v>61</v>
      </c>
    </row>
    <row r="5" spans="2:12">
      <c r="B5" s="31" t="e">
        <f>+'LOAN SUMMARY'!D9</f>
        <v>#REF!</v>
      </c>
      <c r="C5" s="31" t="e">
        <f>+'LOAN SUMMARY'!F9</f>
        <v>#REF!</v>
      </c>
      <c r="D5" s="31"/>
      <c r="E5" s="31">
        <f>+'LOAN SUMMARY'!D10</f>
        <v>560050</v>
      </c>
      <c r="F5" s="31">
        <f>+'LOAN SUMMARY'!F10</f>
        <v>66974</v>
      </c>
      <c r="G5" s="31"/>
      <c r="H5" s="31">
        <f>+'LOAN SUMMARY'!D8</f>
        <v>80500</v>
      </c>
      <c r="I5" s="31">
        <f>+'LOAN SUMMARY'!F8</f>
        <v>-3050</v>
      </c>
      <c r="J5" s="31"/>
      <c r="K5" s="31">
        <f>+'LOAN SUMMARY'!D7</f>
        <v>239750</v>
      </c>
      <c r="L5" s="31">
        <f>+'LOAN SUMMARY'!F7</f>
        <v>1272.5</v>
      </c>
    </row>
  </sheetData>
  <pageMargins left="0.7" right="0.7" top="0.75" bottom="0.75" header="0.3" footer="0.3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53"/>
  <sheetViews>
    <sheetView zoomScale="124" zoomScaleNormal="124" topLeftCell="A7" workbookViewId="0">
      <selection activeCell="H19" sqref="H19"/>
    </sheetView>
  </sheetViews>
  <sheetFormatPr defaultColWidth="9.14285714285714" defaultRowHeight="16.5"/>
  <cols>
    <col min="1" max="1" width="15.2857142857143" style="1" customWidth="1"/>
    <col min="2" max="2" width="20.1428571428571" style="1" customWidth="1"/>
    <col min="3" max="3" width="15.4285714285714" style="1" customWidth="1"/>
    <col min="4" max="4" width="10.7142857142857" style="1" customWidth="1"/>
    <col min="5" max="5" width="9.28571428571429" style="1" customWidth="1"/>
    <col min="6" max="6" width="12.5714285714286" style="1" customWidth="1"/>
    <col min="7" max="7" width="11.2857142857143" style="1" customWidth="1"/>
    <col min="8" max="8" width="12.1428571428571" style="1" customWidth="1"/>
    <col min="9" max="9" width="12.2857142857143" style="1" customWidth="1"/>
    <col min="10" max="10" width="11.5714285714286" style="1" customWidth="1"/>
    <col min="11" max="12" width="14.7142857142857" style="1" customWidth="1"/>
    <col min="13" max="13" width="10.5714285714286" style="1" customWidth="1"/>
    <col min="14" max="14" width="11" style="1" hidden="1" customWidth="1"/>
    <col min="15" max="15" width="16.4285714285714" style="1" hidden="1" customWidth="1"/>
    <col min="16" max="16" width="9.14285714285714" style="1" hidden="1" customWidth="1"/>
    <col min="17" max="17" width="10.5714285714286" style="1" customWidth="1"/>
    <col min="18" max="16384" width="9.14285714285714" style="1"/>
  </cols>
  <sheetData>
    <row r="1" spans="1:1">
      <c r="A1" s="1" t="str">
        <f>+[3]LUMUMBA!A1</f>
        <v>LAXMI CAPITAL SOLUTIONS LIMITED</v>
      </c>
    </row>
    <row r="2" spans="1:1">
      <c r="A2" s="1" t="str">
        <f>+[3]LUMUMBA!A2</f>
        <v>LOAN DISBURSEMENT SUMMARY</v>
      </c>
    </row>
    <row r="3" spans="1:2">
      <c r="A3" s="1" t="s">
        <v>65</v>
      </c>
      <c r="B3" s="1" t="s">
        <v>64</v>
      </c>
    </row>
    <row r="4" spans="1:1">
      <c r="A4" s="1" t="s">
        <v>66</v>
      </c>
    </row>
    <row r="5" spans="1:1">
      <c r="A5" s="1" t="s">
        <v>67</v>
      </c>
    </row>
    <row r="7" ht="49.5" spans="2:9">
      <c r="B7" s="15" t="s">
        <v>68</v>
      </c>
      <c r="C7" s="4" t="str">
        <f>+'HEAD OFFICE'!B6</f>
        <v>Number of Clients</v>
      </c>
      <c r="D7" s="15" t="s">
        <v>69</v>
      </c>
      <c r="E7" s="240" t="s">
        <v>70</v>
      </c>
      <c r="F7" s="15" t="s">
        <v>71</v>
      </c>
      <c r="G7" s="15" t="s">
        <v>72</v>
      </c>
      <c r="H7" s="5" t="s">
        <v>73</v>
      </c>
      <c r="I7" s="254" t="s">
        <v>74</v>
      </c>
    </row>
    <row r="8" spans="2:10">
      <c r="B8" s="1" t="str">
        <f>+'HEAD OFFICE'!A7</f>
        <v>March Batch Summary</v>
      </c>
      <c r="C8" s="1">
        <f>+A30</f>
        <v>7</v>
      </c>
      <c r="D8" s="16">
        <f>+G32</f>
        <v>20650</v>
      </c>
      <c r="E8" s="6">
        <f>SUM(I32:L32)</f>
        <v>22220.5</v>
      </c>
      <c r="F8" s="6">
        <f>+D8-E8</f>
        <v>-1570.5</v>
      </c>
      <c r="G8" s="7">
        <f>+E8/SUM(D8)</f>
        <v>1.07605326876513</v>
      </c>
      <c r="H8" s="42">
        <f>+H32</f>
        <v>1570.122</v>
      </c>
      <c r="I8" s="42">
        <f>+F8+H8</f>
        <v>-0.378000000000156</v>
      </c>
      <c r="J8" s="42"/>
    </row>
    <row r="9" spans="2:9">
      <c r="B9" s="12" t="e">
        <f>+'HEAD OFFICE'!#REF!</f>
        <v>#REF!</v>
      </c>
      <c r="C9" s="12">
        <f>+A43</f>
        <v>7</v>
      </c>
      <c r="D9" s="241">
        <f>+G45</f>
        <v>19000</v>
      </c>
      <c r="E9" s="10">
        <f>SUM(I45:L45)</f>
        <v>19000</v>
      </c>
      <c r="F9" s="6">
        <f t="shared" ref="F9:F17" si="0">+D9-E9</f>
        <v>0</v>
      </c>
      <c r="G9" s="242">
        <f t="shared" ref="G9:G17" si="1">+E9/SUM(D9)</f>
        <v>1</v>
      </c>
      <c r="H9" s="42">
        <v>0</v>
      </c>
      <c r="I9" s="42">
        <f t="shared" ref="I9:I17" si="2">+F9+H9</f>
        <v>0</v>
      </c>
    </row>
    <row r="10" spans="2:9">
      <c r="B10" s="12" t="e">
        <f>+'HEAD OFFICE'!#REF!</f>
        <v>#REF!</v>
      </c>
      <c r="C10" s="12">
        <f>+A58</f>
        <v>9</v>
      </c>
      <c r="D10" s="241">
        <f>+G60</f>
        <v>30400</v>
      </c>
      <c r="E10" s="10">
        <f>SUM(I60:L60)</f>
        <v>30400</v>
      </c>
      <c r="F10" s="6">
        <f t="shared" si="0"/>
        <v>0</v>
      </c>
      <c r="G10" s="242">
        <f t="shared" si="1"/>
        <v>1</v>
      </c>
      <c r="H10" s="42">
        <v>0</v>
      </c>
      <c r="I10" s="42">
        <f t="shared" si="2"/>
        <v>0</v>
      </c>
    </row>
    <row r="11" spans="2:9">
      <c r="B11" s="239" t="e">
        <f>+'HEAD OFFICE'!#REF!</f>
        <v>#REF!</v>
      </c>
      <c r="C11" s="239">
        <f>+A75</f>
        <v>12</v>
      </c>
      <c r="D11" s="16">
        <f>+G76</f>
        <v>43700</v>
      </c>
      <c r="E11" s="17">
        <f>SUM(I76:L76)</f>
        <v>46855</v>
      </c>
      <c r="F11" s="6">
        <f t="shared" si="0"/>
        <v>-3155</v>
      </c>
      <c r="G11" s="243">
        <f t="shared" si="1"/>
        <v>1.07219679633867</v>
      </c>
      <c r="H11" s="244">
        <f>+H76</f>
        <v>6772.4</v>
      </c>
      <c r="I11" s="42">
        <f t="shared" si="2"/>
        <v>3617.4</v>
      </c>
    </row>
    <row r="12" spans="2:9">
      <c r="B12" s="239" t="e">
        <f>+'HEAD OFFICE'!#REF!</f>
        <v>#REF!</v>
      </c>
      <c r="C12" s="239">
        <f>+A85</f>
        <v>7</v>
      </c>
      <c r="D12" s="17">
        <f>+G87</f>
        <v>25500</v>
      </c>
      <c r="E12" s="17">
        <f>SUM(I87:L87)</f>
        <v>25609</v>
      </c>
      <c r="F12" s="6">
        <f t="shared" si="0"/>
        <v>-109</v>
      </c>
      <c r="G12" s="7">
        <f t="shared" si="1"/>
        <v>1.00427450980392</v>
      </c>
      <c r="H12" s="244">
        <f>+H87</f>
        <v>2432</v>
      </c>
      <c r="I12" s="42">
        <f t="shared" si="2"/>
        <v>2323</v>
      </c>
    </row>
    <row r="13" spans="2:9">
      <c r="B13" s="12" t="e">
        <f>+'HEAD OFFICE'!#REF!</f>
        <v>#REF!</v>
      </c>
      <c r="C13" s="12">
        <f>+A98</f>
        <v>8</v>
      </c>
      <c r="D13" s="10">
        <f>+G100</f>
        <v>19500</v>
      </c>
      <c r="E13" s="10">
        <f>SUM(I100:L100)</f>
        <v>19500</v>
      </c>
      <c r="F13" s="6">
        <f t="shared" si="0"/>
        <v>0</v>
      </c>
      <c r="G13" s="242">
        <f t="shared" si="1"/>
        <v>1</v>
      </c>
      <c r="H13" s="42">
        <v>0</v>
      </c>
      <c r="I13" s="42">
        <f t="shared" si="2"/>
        <v>0</v>
      </c>
    </row>
    <row r="14" spans="2:9">
      <c r="B14" s="1" t="e">
        <f>+'HEAD OFFICE'!#REF!</f>
        <v>#REF!</v>
      </c>
      <c r="C14" s="1">
        <f>+A117</f>
        <v>8</v>
      </c>
      <c r="D14" s="10">
        <f>+G119</f>
        <v>23000</v>
      </c>
      <c r="E14" s="10">
        <f>SUM(I119:L119)</f>
        <v>23000</v>
      </c>
      <c r="F14" s="6">
        <f t="shared" si="0"/>
        <v>0</v>
      </c>
      <c r="G14" s="242">
        <f t="shared" si="1"/>
        <v>1</v>
      </c>
      <c r="H14" s="42">
        <v>0</v>
      </c>
      <c r="I14" s="42">
        <f t="shared" si="2"/>
        <v>0</v>
      </c>
    </row>
    <row r="15" spans="2:9">
      <c r="B15" s="12" t="e">
        <f>+'HEAD OFFICE'!#REF!</f>
        <v>#REF!</v>
      </c>
      <c r="C15" s="12">
        <f>+A126</f>
        <v>2</v>
      </c>
      <c r="D15" s="10">
        <f>+G128</f>
        <v>13000</v>
      </c>
      <c r="E15" s="10">
        <f>SUM(I128:L128)</f>
        <v>13000</v>
      </c>
      <c r="F15" s="6">
        <f t="shared" si="0"/>
        <v>0</v>
      </c>
      <c r="G15" s="242">
        <f t="shared" si="1"/>
        <v>1</v>
      </c>
      <c r="H15" s="42">
        <v>0</v>
      </c>
      <c r="I15" s="42">
        <f t="shared" si="2"/>
        <v>0</v>
      </c>
    </row>
    <row r="16" spans="2:9">
      <c r="B16" s="1" t="e">
        <f>+'HEAD OFFICE'!#REF!</f>
        <v>#REF!</v>
      </c>
      <c r="C16" s="1">
        <f>+A137</f>
        <v>6</v>
      </c>
      <c r="D16" s="6">
        <f>+G140</f>
        <v>22000</v>
      </c>
      <c r="E16" s="6">
        <f>SUM(I140:L140)</f>
        <v>19893</v>
      </c>
      <c r="F16" s="6">
        <f t="shared" si="0"/>
        <v>2107</v>
      </c>
      <c r="G16" s="7">
        <f t="shared" si="1"/>
        <v>0.904227272727273</v>
      </c>
      <c r="H16" s="42">
        <f>+H140</f>
        <v>1620.35</v>
      </c>
      <c r="I16" s="42">
        <f t="shared" si="2"/>
        <v>3727.35</v>
      </c>
    </row>
    <row r="17" spans="2:9">
      <c r="B17" s="1" t="e">
        <f>+'HEAD OFFICE'!#REF!</f>
        <v>#REF!</v>
      </c>
      <c r="C17" s="1">
        <v>3</v>
      </c>
      <c r="D17" s="6">
        <f>+G149</f>
        <v>23000</v>
      </c>
      <c r="E17" s="6">
        <f>SUM(I149:L149)</f>
        <v>19000</v>
      </c>
      <c r="F17" s="6">
        <f t="shared" si="0"/>
        <v>4000</v>
      </c>
      <c r="G17" s="7">
        <f t="shared" si="1"/>
        <v>0.826086956521739</v>
      </c>
      <c r="H17" s="42">
        <f>+H149</f>
        <v>840</v>
      </c>
      <c r="I17" s="42">
        <f t="shared" si="2"/>
        <v>4840</v>
      </c>
    </row>
    <row r="18" ht="17.25" spans="3:9">
      <c r="C18" s="21">
        <f>SUM(C8:C17)</f>
        <v>69</v>
      </c>
      <c r="D18" s="21">
        <f>SUM(D8:D17)</f>
        <v>239750</v>
      </c>
      <c r="E18" s="21">
        <f t="shared" ref="E18:H18" si="3">SUM(E8:E17)</f>
        <v>238477.5</v>
      </c>
      <c r="F18" s="21">
        <f t="shared" si="3"/>
        <v>1272.5</v>
      </c>
      <c r="G18" s="245">
        <f>+E18/D18</f>
        <v>0.994692387904067</v>
      </c>
      <c r="H18" s="21">
        <f t="shared" si="3"/>
        <v>13234.872</v>
      </c>
      <c r="I18" s="21">
        <f t="shared" ref="I18" si="4">SUM(I8:I17)</f>
        <v>14507.372</v>
      </c>
    </row>
    <row r="19" spans="3:9">
      <c r="C19" s="6"/>
      <c r="D19" s="6"/>
      <c r="E19" s="6"/>
      <c r="F19" s="6"/>
      <c r="G19" s="7"/>
      <c r="H19" s="6"/>
      <c r="I19" s="6"/>
    </row>
    <row r="20" spans="8:10">
      <c r="H20" s="1">
        <f>+CHAZANGA!H14</f>
        <v>0</v>
      </c>
      <c r="I20" s="6">
        <v>16395</v>
      </c>
      <c r="J20" s="6">
        <f>I18-I20</f>
        <v>-1887.628</v>
      </c>
    </row>
    <row r="21" spans="3:3">
      <c r="C21" s="43"/>
    </row>
    <row r="22" spans="1:8">
      <c r="A22" s="1" t="s">
        <v>75</v>
      </c>
      <c r="H22" s="42"/>
    </row>
    <row r="23" spans="1:16">
      <c r="A23" s="4" t="s">
        <v>76</v>
      </c>
      <c r="B23" s="4" t="s">
        <v>77</v>
      </c>
      <c r="C23" s="4" t="s">
        <v>78</v>
      </c>
      <c r="D23" s="4" t="s">
        <v>79</v>
      </c>
      <c r="E23" s="4"/>
      <c r="F23" s="4" t="s">
        <v>80</v>
      </c>
      <c r="G23" s="53" t="s">
        <v>81</v>
      </c>
      <c r="H23" s="53" t="str">
        <f>+H63</f>
        <v>Default Interest</v>
      </c>
      <c r="I23" s="53" t="str">
        <f>+I78</f>
        <v>17.7.2020</v>
      </c>
      <c r="J23" s="53" t="s">
        <v>82</v>
      </c>
      <c r="K23" s="53" t="s">
        <v>83</v>
      </c>
      <c r="L23" s="53" t="s">
        <v>84</v>
      </c>
      <c r="M23" s="53" t="s">
        <v>85</v>
      </c>
      <c r="N23" s="53" t="str">
        <f>+N78</f>
        <v>RECEIPT NO.</v>
      </c>
      <c r="O23" s="255" t="s">
        <v>86</v>
      </c>
      <c r="P23" s="256" t="e">
        <f>+P78</f>
        <v>#REF!</v>
      </c>
    </row>
    <row r="24" hidden="1" spans="1:14">
      <c r="A24" s="38">
        <v>1</v>
      </c>
      <c r="B24" s="246" t="s">
        <v>87</v>
      </c>
      <c r="C24" s="246" t="s">
        <v>88</v>
      </c>
      <c r="D24" s="50"/>
      <c r="E24" s="50"/>
      <c r="F24" s="50"/>
      <c r="G24" s="247">
        <v>4000</v>
      </c>
      <c r="H24" s="247"/>
      <c r="I24" s="257">
        <f>+G24/4</f>
        <v>1000</v>
      </c>
      <c r="J24" s="257">
        <f>+I24</f>
        <v>1000</v>
      </c>
      <c r="K24" s="257">
        <f>+J24</f>
        <v>1000</v>
      </c>
      <c r="L24" s="257">
        <f>+K24</f>
        <v>1000</v>
      </c>
      <c r="M24" s="47">
        <f>G24-I24-J24-K24-L24</f>
        <v>0</v>
      </c>
      <c r="N24" s="258"/>
    </row>
    <row r="25" hidden="1" spans="1:14">
      <c r="A25" s="38">
        <f t="shared" ref="A25:A30" si="5">+A24+1</f>
        <v>2</v>
      </c>
      <c r="B25" s="246" t="s">
        <v>89</v>
      </c>
      <c r="C25" s="246" t="s">
        <v>90</v>
      </c>
      <c r="D25" s="50"/>
      <c r="E25" s="50"/>
      <c r="F25" s="50"/>
      <c r="G25" s="248">
        <v>4000</v>
      </c>
      <c r="H25" s="248"/>
      <c r="I25" s="257"/>
      <c r="J25" s="257"/>
      <c r="K25" s="257"/>
      <c r="L25" s="257">
        <v>4000</v>
      </c>
      <c r="M25" s="47">
        <f t="shared" ref="M25:M28" si="6">G25-I25-J25-K25-L25</f>
        <v>0</v>
      </c>
      <c r="N25" s="50"/>
    </row>
    <row r="26" hidden="1" spans="1:16">
      <c r="A26" s="38">
        <f t="shared" si="5"/>
        <v>3</v>
      </c>
      <c r="B26" s="246" t="s">
        <v>91</v>
      </c>
      <c r="C26" s="246" t="s">
        <v>92</v>
      </c>
      <c r="D26" s="50"/>
      <c r="E26" s="50"/>
      <c r="F26" s="50"/>
      <c r="G26" s="248">
        <v>3000</v>
      </c>
      <c r="H26" s="248"/>
      <c r="I26" s="257">
        <f>+G26/4</f>
        <v>750</v>
      </c>
      <c r="J26" s="257">
        <v>750</v>
      </c>
      <c r="K26" s="257">
        <v>750</v>
      </c>
      <c r="L26" s="257">
        <v>750</v>
      </c>
      <c r="M26" s="47">
        <f t="shared" si="6"/>
        <v>0</v>
      </c>
      <c r="N26" s="50"/>
      <c r="O26" s="237"/>
      <c r="P26" s="237"/>
    </row>
    <row r="27" hidden="1" spans="1:15">
      <c r="A27" s="38">
        <f t="shared" si="5"/>
        <v>4</v>
      </c>
      <c r="B27" s="249" t="s">
        <v>93</v>
      </c>
      <c r="C27" s="249" t="s">
        <v>94</v>
      </c>
      <c r="D27" s="62"/>
      <c r="E27" s="62"/>
      <c r="F27" s="62"/>
      <c r="G27" s="250">
        <v>3000</v>
      </c>
      <c r="H27" s="250"/>
      <c r="I27" s="259">
        <f>+G27/4</f>
        <v>750</v>
      </c>
      <c r="J27" s="259">
        <v>750</v>
      </c>
      <c r="K27" s="259">
        <v>500</v>
      </c>
      <c r="L27" s="259">
        <v>1000</v>
      </c>
      <c r="M27" s="72">
        <f t="shared" si="6"/>
        <v>0</v>
      </c>
      <c r="N27" s="260"/>
      <c r="O27" s="115"/>
    </row>
    <row r="28" hidden="1" spans="1:14">
      <c r="A28" s="38">
        <f t="shared" si="5"/>
        <v>5</v>
      </c>
      <c r="B28" s="246" t="s">
        <v>95</v>
      </c>
      <c r="C28" s="246" t="s">
        <v>96</v>
      </c>
      <c r="D28" s="50"/>
      <c r="E28" s="50"/>
      <c r="F28" s="50"/>
      <c r="G28" s="248">
        <v>3000</v>
      </c>
      <c r="H28" s="248"/>
      <c r="I28" s="257">
        <v>750</v>
      </c>
      <c r="J28" s="257">
        <v>750</v>
      </c>
      <c r="K28" s="257">
        <v>750</v>
      </c>
      <c r="L28" s="257">
        <v>750</v>
      </c>
      <c r="M28" s="47">
        <f t="shared" si="6"/>
        <v>0</v>
      </c>
      <c r="N28" s="50"/>
    </row>
    <row r="29" hidden="1" spans="1:14">
      <c r="A29" s="38">
        <f t="shared" si="5"/>
        <v>6</v>
      </c>
      <c r="B29" s="246" t="s">
        <v>97</v>
      </c>
      <c r="C29" s="246" t="s">
        <v>98</v>
      </c>
      <c r="D29" s="50"/>
      <c r="E29" s="50"/>
      <c r="F29" s="50"/>
      <c r="G29" s="248">
        <v>650</v>
      </c>
      <c r="H29" s="248"/>
      <c r="I29" s="257">
        <f>+G29/4</f>
        <v>162.5</v>
      </c>
      <c r="J29" s="257">
        <v>163</v>
      </c>
      <c r="K29" s="257">
        <v>163</v>
      </c>
      <c r="L29" s="257">
        <v>162</v>
      </c>
      <c r="M29" s="47">
        <v>0</v>
      </c>
      <c r="N29" s="50"/>
    </row>
    <row r="30" hidden="1" spans="1:15">
      <c r="A30" s="38">
        <f t="shared" si="5"/>
        <v>7</v>
      </c>
      <c r="B30" s="251" t="s">
        <v>99</v>
      </c>
      <c r="C30" s="251" t="s">
        <v>100</v>
      </c>
      <c r="D30" s="50"/>
      <c r="E30" s="50"/>
      <c r="F30" s="50"/>
      <c r="G30" s="248">
        <v>3000</v>
      </c>
      <c r="H30" s="248">
        <f>SUM([4]Sheet1!$K$259:$K$265)+27</f>
        <v>1570.122</v>
      </c>
      <c r="I30" s="257">
        <v>500</v>
      </c>
      <c r="J30" s="257">
        <v>500</v>
      </c>
      <c r="K30" s="257"/>
      <c r="L30" s="257">
        <f>2000+520+400+650</f>
        <v>3570</v>
      </c>
      <c r="M30" s="47">
        <f>G30-I30-J30-K30-L30+H30</f>
        <v>0.121999999999844</v>
      </c>
      <c r="N30" s="50"/>
      <c r="O30" s="261"/>
    </row>
    <row r="31" spans="1:16">
      <c r="A31" s="238"/>
      <c r="B31" s="252"/>
      <c r="C31" s="252"/>
      <c r="D31" s="252"/>
      <c r="E31" s="252"/>
      <c r="F31" s="252"/>
      <c r="G31" s="253"/>
      <c r="H31" s="253"/>
      <c r="I31" s="253"/>
      <c r="J31" s="253"/>
      <c r="K31" s="253"/>
      <c r="L31" s="253"/>
      <c r="M31" s="253"/>
      <c r="N31" s="252"/>
      <c r="O31" s="237"/>
      <c r="P31" s="237"/>
    </row>
    <row r="32" ht="17.25" spans="1:16">
      <c r="A32" s="238"/>
      <c r="B32" s="238"/>
      <c r="C32" s="238"/>
      <c r="D32" s="238"/>
      <c r="E32" s="238"/>
      <c r="F32" s="238"/>
      <c r="G32" s="51">
        <f>SUM(G24:G30)</f>
        <v>20650</v>
      </c>
      <c r="H32" s="51">
        <f>SUM(H24:H30)</f>
        <v>1570.122</v>
      </c>
      <c r="I32" s="51">
        <f>SUM(I24:I31)</f>
        <v>3912.5</v>
      </c>
      <c r="J32" s="51">
        <f>SUM(J24:J31)</f>
        <v>3913</v>
      </c>
      <c r="K32" s="51">
        <f>SUM(K24:K31)</f>
        <v>3163</v>
      </c>
      <c r="L32" s="51">
        <f>SUM(L24:L31)</f>
        <v>11232</v>
      </c>
      <c r="M32" s="51">
        <f>SUM(M24:M31)</f>
        <v>0.121999999999844</v>
      </c>
      <c r="N32" s="238"/>
      <c r="P32" s="7">
        <f>SUM(I32:L32)/(G32+H32)</f>
        <v>1.00001701160777</v>
      </c>
    </row>
    <row r="35" spans="1:1">
      <c r="A35" s="1" t="s">
        <v>101</v>
      </c>
    </row>
    <row r="36" spans="1:16">
      <c r="A36" s="4" t="s">
        <v>76</v>
      </c>
      <c r="B36" s="4" t="s">
        <v>77</v>
      </c>
      <c r="C36" s="4" t="s">
        <v>78</v>
      </c>
      <c r="D36" s="4" t="s">
        <v>79</v>
      </c>
      <c r="E36" s="4"/>
      <c r="F36" s="4" t="s">
        <v>80</v>
      </c>
      <c r="G36" s="53" t="s">
        <v>81</v>
      </c>
      <c r="H36" s="53" t="str">
        <f>+H23</f>
        <v>Default Interest</v>
      </c>
      <c r="I36" s="53" t="str">
        <f>+I91</f>
        <v>24.7.2020</v>
      </c>
      <c r="J36" s="53" t="s">
        <v>82</v>
      </c>
      <c r="K36" s="53" t="s">
        <v>83</v>
      </c>
      <c r="L36" s="53" t="s">
        <v>84</v>
      </c>
      <c r="M36" s="53" t="s">
        <v>85</v>
      </c>
      <c r="N36" s="53" t="str">
        <f>+N91</f>
        <v>RECEIPT NO.</v>
      </c>
      <c r="O36" s="255" t="s">
        <v>86</v>
      </c>
      <c r="P36" s="256">
        <f>+P91</f>
        <v>0</v>
      </c>
    </row>
    <row r="37" hidden="1" spans="1:14">
      <c r="A37" s="38">
        <v>1</v>
      </c>
      <c r="B37" s="246" t="s">
        <v>102</v>
      </c>
      <c r="C37" s="246" t="s">
        <v>103</v>
      </c>
      <c r="D37" s="50"/>
      <c r="E37" s="50"/>
      <c r="F37" s="50"/>
      <c r="G37" s="247">
        <v>4000</v>
      </c>
      <c r="H37" s="247"/>
      <c r="I37" s="257">
        <v>1000</v>
      </c>
      <c r="J37" s="257">
        <v>1000</v>
      </c>
      <c r="K37" s="257">
        <v>1000</v>
      </c>
      <c r="L37" s="257">
        <v>1000</v>
      </c>
      <c r="M37" s="47">
        <f>G37-I37-J37-K37-L37</f>
        <v>0</v>
      </c>
      <c r="N37" s="258"/>
    </row>
    <row r="38" hidden="1" spans="1:14">
      <c r="A38" s="38">
        <f t="shared" ref="A38:A43" si="7">+A37+1</f>
        <v>2</v>
      </c>
      <c r="B38" s="246" t="s">
        <v>104</v>
      </c>
      <c r="C38" s="246" t="s">
        <v>105</v>
      </c>
      <c r="D38" s="50"/>
      <c r="E38" s="50"/>
      <c r="F38" s="50"/>
      <c r="G38" s="247">
        <v>4000</v>
      </c>
      <c r="H38" s="247"/>
      <c r="I38" s="257">
        <v>1000</v>
      </c>
      <c r="J38" s="257">
        <v>1000</v>
      </c>
      <c r="K38" s="257">
        <v>1000</v>
      </c>
      <c r="L38" s="257">
        <v>1000</v>
      </c>
      <c r="M38" s="47">
        <f t="shared" ref="M38:M42" si="8">G38-I38-J38-K38-L38</f>
        <v>0</v>
      </c>
      <c r="N38" s="50"/>
    </row>
    <row r="39" hidden="1" spans="1:16">
      <c r="A39" s="38">
        <f t="shared" si="7"/>
        <v>3</v>
      </c>
      <c r="B39" s="246" t="s">
        <v>106</v>
      </c>
      <c r="C39" s="246" t="s">
        <v>107</v>
      </c>
      <c r="D39" s="50"/>
      <c r="E39" s="50"/>
      <c r="F39" s="50"/>
      <c r="G39" s="247">
        <v>1000</v>
      </c>
      <c r="H39" s="247"/>
      <c r="I39" s="257">
        <v>250</v>
      </c>
      <c r="J39" s="257">
        <v>250</v>
      </c>
      <c r="K39" s="257">
        <v>250</v>
      </c>
      <c r="L39" s="257">
        <v>250</v>
      </c>
      <c r="M39" s="47">
        <f t="shared" si="8"/>
        <v>0</v>
      </c>
      <c r="N39" s="50"/>
      <c r="O39" s="237"/>
      <c r="P39" s="237"/>
    </row>
    <row r="40" hidden="1" spans="1:14">
      <c r="A40" s="38">
        <f t="shared" si="7"/>
        <v>4</v>
      </c>
      <c r="B40" s="246" t="s">
        <v>108</v>
      </c>
      <c r="C40" s="246" t="s">
        <v>109</v>
      </c>
      <c r="D40" s="50"/>
      <c r="E40" s="50"/>
      <c r="F40" s="50"/>
      <c r="G40" s="248">
        <v>1000</v>
      </c>
      <c r="H40" s="248"/>
      <c r="I40" s="257">
        <v>250</v>
      </c>
      <c r="J40" s="257">
        <v>250</v>
      </c>
      <c r="K40" s="257">
        <v>250</v>
      </c>
      <c r="L40" s="257">
        <v>250</v>
      </c>
      <c r="M40" s="47">
        <f t="shared" si="8"/>
        <v>0</v>
      </c>
      <c r="N40" s="258"/>
    </row>
    <row r="41" hidden="1" spans="1:14">
      <c r="A41" s="38">
        <f t="shared" si="7"/>
        <v>5</v>
      </c>
      <c r="B41" s="246" t="s">
        <v>110</v>
      </c>
      <c r="C41" s="246" t="s">
        <v>111</v>
      </c>
      <c r="D41" s="50"/>
      <c r="E41" s="50"/>
      <c r="F41" s="50"/>
      <c r="G41" s="248">
        <v>4000</v>
      </c>
      <c r="H41" s="248"/>
      <c r="I41" s="257">
        <v>1000</v>
      </c>
      <c r="J41" s="257">
        <v>1000</v>
      </c>
      <c r="K41" s="257">
        <v>1000</v>
      </c>
      <c r="L41" s="257">
        <v>1000</v>
      </c>
      <c r="M41" s="47">
        <f t="shared" si="8"/>
        <v>0</v>
      </c>
      <c r="N41" s="50"/>
    </row>
    <row r="42" hidden="1" spans="1:14">
      <c r="A42" s="38">
        <f t="shared" si="7"/>
        <v>6</v>
      </c>
      <c r="B42" s="246" t="s">
        <v>112</v>
      </c>
      <c r="C42" s="246" t="s">
        <v>113</v>
      </c>
      <c r="D42" s="50"/>
      <c r="E42" s="50"/>
      <c r="F42" s="50"/>
      <c r="G42" s="248">
        <v>1000</v>
      </c>
      <c r="H42" s="248"/>
      <c r="I42" s="257">
        <v>250</v>
      </c>
      <c r="J42" s="257">
        <v>250</v>
      </c>
      <c r="K42" s="257">
        <v>250</v>
      </c>
      <c r="L42" s="257">
        <v>250</v>
      </c>
      <c r="M42" s="47">
        <f t="shared" si="8"/>
        <v>0</v>
      </c>
      <c r="N42" s="50"/>
    </row>
    <row r="43" hidden="1" spans="1:16">
      <c r="A43" s="38">
        <f t="shared" si="7"/>
        <v>7</v>
      </c>
      <c r="B43" s="246" t="s">
        <v>114</v>
      </c>
      <c r="C43" s="246" t="s">
        <v>115</v>
      </c>
      <c r="D43" s="50"/>
      <c r="E43" s="50"/>
      <c r="F43" s="50"/>
      <c r="G43" s="248">
        <v>4000</v>
      </c>
      <c r="H43" s="248"/>
      <c r="I43" s="257">
        <v>1000</v>
      </c>
      <c r="J43" s="257">
        <v>1000</v>
      </c>
      <c r="K43" s="257">
        <v>1000</v>
      </c>
      <c r="L43" s="257">
        <v>1000</v>
      </c>
      <c r="M43" s="47">
        <f t="shared" ref="M43" si="9">G43-I43-J43-K43-L43</f>
        <v>0</v>
      </c>
      <c r="N43" s="50"/>
      <c r="O43" s="237"/>
      <c r="P43" s="237"/>
    </row>
    <row r="44" spans="1:16">
      <c r="A44" s="238"/>
      <c r="B44" s="252"/>
      <c r="C44" s="252"/>
      <c r="D44" s="252"/>
      <c r="E44" s="252"/>
      <c r="F44" s="252"/>
      <c r="G44" s="253"/>
      <c r="H44" s="253"/>
      <c r="I44" s="253"/>
      <c r="J44" s="253"/>
      <c r="K44" s="253"/>
      <c r="L44" s="253"/>
      <c r="M44" s="253"/>
      <c r="N44" s="252"/>
      <c r="O44" s="237"/>
      <c r="P44" s="237"/>
    </row>
    <row r="45" ht="17.25" spans="1:16">
      <c r="A45" s="238"/>
      <c r="B45" s="238"/>
      <c r="C45" s="238"/>
      <c r="D45" s="238"/>
      <c r="E45" s="238"/>
      <c r="F45" s="238"/>
      <c r="G45" s="51">
        <f>SUM(G37:G43)</f>
        <v>19000</v>
      </c>
      <c r="H45" s="51"/>
      <c r="I45" s="51">
        <f>SUM(I37:I44)</f>
        <v>4750</v>
      </c>
      <c r="J45" s="51">
        <f>SUM(J37:J44)</f>
        <v>4750</v>
      </c>
      <c r="K45" s="51">
        <f>SUM(K37:K44)</f>
        <v>4750</v>
      </c>
      <c r="L45" s="51">
        <f>SUM(L37:L44)</f>
        <v>4750</v>
      </c>
      <c r="M45" s="51">
        <f>SUM(M37:M44)</f>
        <v>0</v>
      </c>
      <c r="N45" s="238"/>
      <c r="P45" s="7">
        <f>SUM(I45:L45)/(G45+H45)</f>
        <v>1</v>
      </c>
    </row>
    <row r="47" ht="15.75" customHeight="1"/>
    <row r="48" spans="1:1">
      <c r="A48" s="1" t="s">
        <v>116</v>
      </c>
    </row>
    <row r="49" spans="1:16">
      <c r="A49" s="4" t="s">
        <v>76</v>
      </c>
      <c r="B49" s="4" t="s">
        <v>77</v>
      </c>
      <c r="C49" s="4" t="s">
        <v>78</v>
      </c>
      <c r="D49" s="4" t="s">
        <v>79</v>
      </c>
      <c r="E49" s="4"/>
      <c r="F49" s="4" t="s">
        <v>80</v>
      </c>
      <c r="G49" s="53" t="s">
        <v>81</v>
      </c>
      <c r="H49" s="53" t="str">
        <f>+H36</f>
        <v>Default Interest</v>
      </c>
      <c r="I49" s="53" t="str">
        <f>+I36</f>
        <v>24.7.2020</v>
      </c>
      <c r="J49" s="53" t="s">
        <v>82</v>
      </c>
      <c r="K49" s="53" t="s">
        <v>83</v>
      </c>
      <c r="L49" s="53" t="s">
        <v>84</v>
      </c>
      <c r="M49" s="53" t="s">
        <v>85</v>
      </c>
      <c r="N49" s="53">
        <f>+N104</f>
        <v>0</v>
      </c>
      <c r="O49" s="255" t="s">
        <v>86</v>
      </c>
      <c r="P49" s="256">
        <f>+P104</f>
        <v>0</v>
      </c>
    </row>
    <row r="50" hidden="1" spans="1:14">
      <c r="A50" s="38">
        <v>1</v>
      </c>
      <c r="B50" s="246" t="s">
        <v>117</v>
      </c>
      <c r="C50" s="246" t="s">
        <v>118</v>
      </c>
      <c r="D50" s="50"/>
      <c r="E50" s="50"/>
      <c r="F50" s="50"/>
      <c r="G50" s="247">
        <v>4000</v>
      </c>
      <c r="H50" s="247"/>
      <c r="I50" s="257">
        <f>+G50/4</f>
        <v>1000</v>
      </c>
      <c r="J50" s="257">
        <f t="shared" ref="J50:L51" si="10">+I50</f>
        <v>1000</v>
      </c>
      <c r="K50" s="257">
        <f t="shared" si="10"/>
        <v>1000</v>
      </c>
      <c r="L50" s="257">
        <f t="shared" si="10"/>
        <v>1000</v>
      </c>
      <c r="M50" s="47">
        <f>G50-I50-J50-K50-L50</f>
        <v>0</v>
      </c>
      <c r="N50" s="258"/>
    </row>
    <row r="51" hidden="1" spans="1:14">
      <c r="A51" s="38">
        <f t="shared" ref="A51:A58" si="11">+A50+1</f>
        <v>2</v>
      </c>
      <c r="B51" s="246" t="s">
        <v>119</v>
      </c>
      <c r="C51" s="246" t="s">
        <v>120</v>
      </c>
      <c r="D51" s="50"/>
      <c r="E51" s="50"/>
      <c r="F51" s="50"/>
      <c r="G51" s="247">
        <v>4000</v>
      </c>
      <c r="H51" s="247"/>
      <c r="I51" s="257">
        <f>+G51/4</f>
        <v>1000</v>
      </c>
      <c r="J51" s="257">
        <f t="shared" si="10"/>
        <v>1000</v>
      </c>
      <c r="K51" s="257">
        <f t="shared" si="10"/>
        <v>1000</v>
      </c>
      <c r="L51" s="257">
        <f t="shared" si="10"/>
        <v>1000</v>
      </c>
      <c r="M51" s="47">
        <f t="shared" ref="M51:M58" si="12">G51-I51-J51-K51-L51</f>
        <v>0</v>
      </c>
      <c r="N51" s="50"/>
    </row>
    <row r="52" hidden="1" spans="1:16">
      <c r="A52" s="38">
        <f t="shared" si="11"/>
        <v>3</v>
      </c>
      <c r="B52" s="246" t="s">
        <v>121</v>
      </c>
      <c r="C52" s="246" t="s">
        <v>122</v>
      </c>
      <c r="D52" s="50"/>
      <c r="E52" s="50"/>
      <c r="F52" s="50"/>
      <c r="G52" s="247">
        <v>1300</v>
      </c>
      <c r="H52" s="247"/>
      <c r="I52" s="257">
        <f>+G52/4</f>
        <v>325</v>
      </c>
      <c r="J52" s="257">
        <v>325</v>
      </c>
      <c r="K52" s="257">
        <v>325</v>
      </c>
      <c r="L52" s="257">
        <v>325</v>
      </c>
      <c r="M52" s="47">
        <f t="shared" si="12"/>
        <v>0</v>
      </c>
      <c r="N52" s="50"/>
      <c r="O52" s="237"/>
      <c r="P52" s="237"/>
    </row>
    <row r="53" hidden="1" spans="1:14">
      <c r="A53" s="38">
        <f t="shared" si="11"/>
        <v>4</v>
      </c>
      <c r="B53" s="246" t="s">
        <v>95</v>
      </c>
      <c r="C53" s="246" t="s">
        <v>123</v>
      </c>
      <c r="D53" s="50"/>
      <c r="E53" s="50"/>
      <c r="F53" s="50"/>
      <c r="G53" s="247">
        <v>5000</v>
      </c>
      <c r="H53" s="247"/>
      <c r="I53" s="257">
        <f>+G53/4</f>
        <v>1250</v>
      </c>
      <c r="J53" s="257">
        <v>1250</v>
      </c>
      <c r="K53" s="257">
        <v>1250</v>
      </c>
      <c r="L53" s="257">
        <v>1250</v>
      </c>
      <c r="M53" s="47">
        <f t="shared" si="12"/>
        <v>0</v>
      </c>
      <c r="N53" s="258"/>
    </row>
    <row r="54" hidden="1" spans="1:14">
      <c r="A54" s="38">
        <f t="shared" si="11"/>
        <v>5</v>
      </c>
      <c r="B54" s="246" t="s">
        <v>124</v>
      </c>
      <c r="C54" s="246" t="s">
        <v>125</v>
      </c>
      <c r="D54" s="50"/>
      <c r="E54" s="50"/>
      <c r="F54" s="50"/>
      <c r="G54" s="247">
        <v>2000</v>
      </c>
      <c r="H54" s="247"/>
      <c r="I54" s="257">
        <v>500</v>
      </c>
      <c r="J54" s="257">
        <v>500</v>
      </c>
      <c r="K54" s="257">
        <v>500</v>
      </c>
      <c r="L54" s="257">
        <v>500</v>
      </c>
      <c r="M54" s="47">
        <f t="shared" si="12"/>
        <v>0</v>
      </c>
      <c r="N54" s="50"/>
    </row>
    <row r="55" hidden="1" spans="1:14">
      <c r="A55" s="38">
        <f t="shared" si="11"/>
        <v>6</v>
      </c>
      <c r="B55" s="246" t="s">
        <v>126</v>
      </c>
      <c r="C55" s="246" t="s">
        <v>127</v>
      </c>
      <c r="D55" s="50"/>
      <c r="E55" s="50"/>
      <c r="F55" s="50"/>
      <c r="G55" s="247">
        <v>2500</v>
      </c>
      <c r="H55" s="247"/>
      <c r="I55" s="257">
        <f>+G55/4</f>
        <v>625</v>
      </c>
      <c r="J55" s="257">
        <v>625</v>
      </c>
      <c r="K55" s="257">
        <v>625</v>
      </c>
      <c r="L55" s="257">
        <v>625</v>
      </c>
      <c r="M55" s="47">
        <f t="shared" si="12"/>
        <v>0</v>
      </c>
      <c r="N55" s="50"/>
    </row>
    <row r="56" hidden="1" spans="1:16">
      <c r="A56" s="38">
        <f t="shared" si="11"/>
        <v>7</v>
      </c>
      <c r="B56" s="246" t="s">
        <v>128</v>
      </c>
      <c r="C56" s="246" t="s">
        <v>129</v>
      </c>
      <c r="D56" s="50"/>
      <c r="E56" s="50"/>
      <c r="F56" s="50"/>
      <c r="G56" s="248">
        <v>5000</v>
      </c>
      <c r="H56" s="248"/>
      <c r="I56" s="257">
        <f>+G56/4</f>
        <v>1250</v>
      </c>
      <c r="J56" s="257">
        <v>1250</v>
      </c>
      <c r="K56" s="257">
        <v>1250</v>
      </c>
      <c r="L56" s="257">
        <v>1250</v>
      </c>
      <c r="M56" s="47">
        <f t="shared" si="12"/>
        <v>0</v>
      </c>
      <c r="N56" s="50"/>
      <c r="O56" s="237"/>
      <c r="P56" s="237"/>
    </row>
    <row r="57" hidden="1" spans="1:16">
      <c r="A57" s="38">
        <f t="shared" si="11"/>
        <v>8</v>
      </c>
      <c r="B57" s="246" t="s">
        <v>130</v>
      </c>
      <c r="C57" s="246" t="s">
        <v>131</v>
      </c>
      <c r="D57" s="38"/>
      <c r="E57" s="38"/>
      <c r="F57" s="38"/>
      <c r="G57" s="247">
        <v>1600</v>
      </c>
      <c r="H57" s="247"/>
      <c r="I57" s="54">
        <v>400</v>
      </c>
      <c r="J57" s="54">
        <v>400</v>
      </c>
      <c r="K57" s="54">
        <v>400</v>
      </c>
      <c r="L57" s="54">
        <v>400</v>
      </c>
      <c r="M57" s="47">
        <f t="shared" si="12"/>
        <v>0</v>
      </c>
      <c r="N57" s="38"/>
      <c r="O57" s="237"/>
      <c r="P57" s="237"/>
    </row>
    <row r="58" hidden="1" spans="1:14">
      <c r="A58" s="38">
        <f t="shared" si="11"/>
        <v>9</v>
      </c>
      <c r="B58" s="246" t="s">
        <v>132</v>
      </c>
      <c r="C58" s="246" t="s">
        <v>133</v>
      </c>
      <c r="D58" s="38"/>
      <c r="E58" s="38"/>
      <c r="F58" s="38"/>
      <c r="G58" s="247">
        <v>5000</v>
      </c>
      <c r="H58" s="247"/>
      <c r="I58" s="54">
        <v>1250</v>
      </c>
      <c r="J58" s="54">
        <v>1250</v>
      </c>
      <c r="K58" s="54">
        <v>1250</v>
      </c>
      <c r="L58" s="54">
        <v>1250</v>
      </c>
      <c r="M58" s="47">
        <f t="shared" si="12"/>
        <v>0</v>
      </c>
      <c r="N58" s="38"/>
    </row>
    <row r="60" ht="17.25" spans="4:16">
      <c r="D60" s="238"/>
      <c r="E60" s="238"/>
      <c r="F60" s="238"/>
      <c r="G60" s="51">
        <f t="shared" ref="G60:M60" si="13">SUM(G50:G58)</f>
        <v>30400</v>
      </c>
      <c r="H60" s="51"/>
      <c r="I60" s="51">
        <f t="shared" si="13"/>
        <v>7600</v>
      </c>
      <c r="J60" s="51">
        <f t="shared" si="13"/>
        <v>7600</v>
      </c>
      <c r="K60" s="51">
        <f t="shared" si="13"/>
        <v>7600</v>
      </c>
      <c r="L60" s="51">
        <f t="shared" si="13"/>
        <v>7600</v>
      </c>
      <c r="M60" s="51">
        <f t="shared" si="13"/>
        <v>0</v>
      </c>
      <c r="N60" s="238"/>
      <c r="P60" s="7">
        <f>SUM(I60:L60)/(G60+H60)</f>
        <v>1</v>
      </c>
    </row>
    <row r="61" ht="17.25" spans="4:14">
      <c r="D61" s="238"/>
      <c r="E61" s="238"/>
      <c r="F61" s="238"/>
      <c r="G61" s="93"/>
      <c r="H61" s="93"/>
      <c r="I61" s="93"/>
      <c r="J61" s="93"/>
      <c r="K61" s="93"/>
      <c r="L61" s="93"/>
      <c r="M61" s="93"/>
      <c r="N61" s="238"/>
    </row>
    <row r="62" spans="1:1">
      <c r="A62" s="1" t="s">
        <v>134</v>
      </c>
    </row>
    <row r="63" ht="33" spans="1:16">
      <c r="A63" s="4" t="s">
        <v>76</v>
      </c>
      <c r="B63" s="4" t="s">
        <v>77</v>
      </c>
      <c r="C63" s="4" t="s">
        <v>78</v>
      </c>
      <c r="D63" s="4" t="s">
        <v>79</v>
      </c>
      <c r="E63" s="4"/>
      <c r="F63" s="4" t="s">
        <v>80</v>
      </c>
      <c r="G63" s="53" t="s">
        <v>81</v>
      </c>
      <c r="H63" s="5" t="s">
        <v>135</v>
      </c>
      <c r="I63" s="53" t="str">
        <f>+I49</f>
        <v>24.7.2020</v>
      </c>
      <c r="J63" s="53" t="s">
        <v>82</v>
      </c>
      <c r="K63" s="53" t="s">
        <v>83</v>
      </c>
      <c r="L63" s="53" t="s">
        <v>84</v>
      </c>
      <c r="M63" s="53" t="s">
        <v>85</v>
      </c>
      <c r="N63" s="53" t="str">
        <f>+N78</f>
        <v>RECEIPT NO.</v>
      </c>
      <c r="O63" s="255" t="s">
        <v>86</v>
      </c>
      <c r="P63" s="256">
        <f>+P118</f>
        <v>0</v>
      </c>
    </row>
    <row r="64" hidden="1" spans="1:14">
      <c r="A64" s="38">
        <v>1</v>
      </c>
      <c r="B64" s="246" t="s">
        <v>136</v>
      </c>
      <c r="C64" s="246" t="s">
        <v>137</v>
      </c>
      <c r="D64" s="50"/>
      <c r="E64" s="50"/>
      <c r="F64" s="50"/>
      <c r="G64" s="247">
        <f>5000</f>
        <v>5000</v>
      </c>
      <c r="H64" s="247"/>
      <c r="I64" s="257"/>
      <c r="J64" s="257"/>
      <c r="K64" s="257"/>
      <c r="L64" s="257">
        <v>5000</v>
      </c>
      <c r="M64" s="47">
        <f>G64-I64-J64-K64-L64</f>
        <v>0</v>
      </c>
      <c r="N64" s="258"/>
    </row>
    <row r="65" hidden="1" spans="1:14">
      <c r="A65" s="38">
        <f>+A64+1</f>
        <v>2</v>
      </c>
      <c r="B65" s="262" t="s">
        <v>138</v>
      </c>
      <c r="C65" s="262" t="s">
        <v>139</v>
      </c>
      <c r="D65" s="76"/>
      <c r="E65" s="76"/>
      <c r="F65" s="76"/>
      <c r="G65" s="263">
        <v>1000</v>
      </c>
      <c r="H65" s="263"/>
      <c r="I65" s="275">
        <v>250</v>
      </c>
      <c r="J65" s="275">
        <v>250</v>
      </c>
      <c r="K65" s="275">
        <v>250</v>
      </c>
      <c r="L65" s="275">
        <v>250</v>
      </c>
      <c r="M65" s="60">
        <f t="shared" ref="M65:M68" si="14">G65-I65-J65-K65-L65</f>
        <v>0</v>
      </c>
      <c r="N65" s="50"/>
    </row>
    <row r="66" hidden="1" spans="1:16">
      <c r="A66" s="38">
        <f t="shared" ref="A66:A75" si="15">+A65+1</f>
        <v>3</v>
      </c>
      <c r="B66" s="246" t="s">
        <v>140</v>
      </c>
      <c r="C66" s="246" t="s">
        <v>141</v>
      </c>
      <c r="D66" s="50"/>
      <c r="E66" s="50"/>
      <c r="F66" s="50"/>
      <c r="G66" s="247">
        <v>3000</v>
      </c>
      <c r="H66" s="247"/>
      <c r="I66" s="257">
        <v>750</v>
      </c>
      <c r="J66" s="257">
        <v>750</v>
      </c>
      <c r="K66" s="257">
        <v>750</v>
      </c>
      <c r="L66" s="257">
        <v>750</v>
      </c>
      <c r="M66" s="47">
        <f t="shared" si="14"/>
        <v>0</v>
      </c>
      <c r="N66" s="50"/>
      <c r="O66" s="237"/>
      <c r="P66" s="237"/>
    </row>
    <row r="67" hidden="1" spans="1:16">
      <c r="A67" s="38">
        <f t="shared" si="15"/>
        <v>4</v>
      </c>
      <c r="B67" s="246" t="s">
        <v>142</v>
      </c>
      <c r="C67" s="246" t="s">
        <v>143</v>
      </c>
      <c r="D67" s="50"/>
      <c r="E67" s="50"/>
      <c r="F67" s="50"/>
      <c r="G67" s="247">
        <v>3000</v>
      </c>
      <c r="H67" s="247"/>
      <c r="I67" s="257">
        <v>750</v>
      </c>
      <c r="J67" s="257">
        <v>750</v>
      </c>
      <c r="K67" s="257">
        <v>750</v>
      </c>
      <c r="L67" s="257">
        <v>750</v>
      </c>
      <c r="M67" s="47">
        <f t="shared" si="14"/>
        <v>0</v>
      </c>
      <c r="N67" s="50"/>
      <c r="O67" s="237"/>
      <c r="P67" s="237"/>
    </row>
    <row r="68" hidden="1" spans="1:16">
      <c r="A68" s="38">
        <f t="shared" si="15"/>
        <v>5</v>
      </c>
      <c r="B68" s="246" t="s">
        <v>144</v>
      </c>
      <c r="C68" s="246" t="s">
        <v>145</v>
      </c>
      <c r="D68" s="50"/>
      <c r="E68" s="50"/>
      <c r="F68" s="50"/>
      <c r="G68" s="247">
        <v>5000</v>
      </c>
      <c r="H68" s="247"/>
      <c r="I68" s="257">
        <v>1250</v>
      </c>
      <c r="J68" s="257">
        <v>1250</v>
      </c>
      <c r="K68" s="257">
        <v>1250</v>
      </c>
      <c r="L68" s="257">
        <v>1250</v>
      </c>
      <c r="M68" s="47">
        <f t="shared" si="14"/>
        <v>0</v>
      </c>
      <c r="N68" s="50"/>
      <c r="O68" s="237"/>
      <c r="P68" s="237"/>
    </row>
    <row r="69" spans="1:15">
      <c r="A69" s="38">
        <f t="shared" si="15"/>
        <v>6</v>
      </c>
      <c r="B69" s="246" t="s">
        <v>146</v>
      </c>
      <c r="C69" s="246" t="s">
        <v>147</v>
      </c>
      <c r="D69" s="50"/>
      <c r="E69" s="50"/>
      <c r="F69" s="50"/>
      <c r="G69" s="247">
        <v>5000</v>
      </c>
      <c r="H69" s="247">
        <v>1745.58</v>
      </c>
      <c r="I69" s="257"/>
      <c r="J69" s="257"/>
      <c r="K69" s="257">
        <v>0</v>
      </c>
      <c r="L69" s="257">
        <f>4055+400+400+500</f>
        <v>5355</v>
      </c>
      <c r="M69" s="47">
        <f>G69-I69-J69-K69-L69+H69</f>
        <v>1390.58</v>
      </c>
      <c r="N69" s="258"/>
      <c r="O69" s="1" t="s">
        <v>148</v>
      </c>
    </row>
    <row r="70" spans="1:16">
      <c r="A70" s="38">
        <f t="shared" si="15"/>
        <v>7</v>
      </c>
      <c r="B70" s="264" t="s">
        <v>149</v>
      </c>
      <c r="C70" s="264" t="s">
        <v>92</v>
      </c>
      <c r="D70" s="45"/>
      <c r="E70" s="45"/>
      <c r="F70" s="45"/>
      <c r="G70" s="265">
        <v>5000</v>
      </c>
      <c r="H70" s="265">
        <v>2304.85</v>
      </c>
      <c r="I70" s="276"/>
      <c r="J70" s="276"/>
      <c r="K70" s="276"/>
      <c r="L70" s="276">
        <v>6700</v>
      </c>
      <c r="M70" s="97">
        <f t="shared" ref="M70:M75" si="16">G70-I70-J70-K70-L70+H70</f>
        <v>604.85</v>
      </c>
      <c r="N70" s="62">
        <v>0</v>
      </c>
      <c r="O70" s="277" t="s">
        <v>150</v>
      </c>
      <c r="P70" s="277"/>
    </row>
    <row r="71" hidden="1" spans="1:14">
      <c r="A71" s="38">
        <f t="shared" si="15"/>
        <v>8</v>
      </c>
      <c r="B71" s="246" t="s">
        <v>104</v>
      </c>
      <c r="C71" s="246" t="s">
        <v>105</v>
      </c>
      <c r="D71" s="50"/>
      <c r="E71" s="50"/>
      <c r="F71" s="50"/>
      <c r="G71" s="247">
        <v>5000</v>
      </c>
      <c r="H71" s="247"/>
      <c r="I71" s="257">
        <v>1250</v>
      </c>
      <c r="J71" s="257">
        <v>1250</v>
      </c>
      <c r="K71" s="257">
        <v>1250</v>
      </c>
      <c r="L71" s="257">
        <v>1250</v>
      </c>
      <c r="M71" s="47">
        <f t="shared" si="16"/>
        <v>0</v>
      </c>
      <c r="N71" s="50"/>
    </row>
    <row r="72" hidden="1" spans="1:16">
      <c r="A72" s="38">
        <f t="shared" si="15"/>
        <v>9</v>
      </c>
      <c r="B72" s="246" t="s">
        <v>110</v>
      </c>
      <c r="C72" s="246" t="s">
        <v>151</v>
      </c>
      <c r="D72" s="50"/>
      <c r="E72" s="50"/>
      <c r="F72" s="50"/>
      <c r="G72" s="247">
        <v>4000</v>
      </c>
      <c r="H72" s="247"/>
      <c r="I72" s="257">
        <v>1000</v>
      </c>
      <c r="J72" s="257">
        <v>1000</v>
      </c>
      <c r="K72" s="257">
        <v>1000</v>
      </c>
      <c r="L72" s="257">
        <v>1000</v>
      </c>
      <c r="M72" s="47">
        <f t="shared" si="16"/>
        <v>0</v>
      </c>
      <c r="N72" s="50"/>
      <c r="O72" s="237"/>
      <c r="P72" s="237"/>
    </row>
    <row r="73" spans="1:17">
      <c r="A73" s="38">
        <f t="shared" si="15"/>
        <v>10</v>
      </c>
      <c r="B73" s="264" t="s">
        <v>124</v>
      </c>
      <c r="C73" s="264" t="s">
        <v>125</v>
      </c>
      <c r="D73" s="45"/>
      <c r="E73" s="45"/>
      <c r="F73" s="45"/>
      <c r="G73" s="265">
        <v>2200</v>
      </c>
      <c r="H73" s="265">
        <f>3327.35-G73</f>
        <v>1127.35</v>
      </c>
      <c r="I73" s="97"/>
      <c r="J73" s="97"/>
      <c r="K73" s="97"/>
      <c r="L73" s="97">
        <f>SUM([4]Sheet1!$L$454:$L$456)</f>
        <v>2100</v>
      </c>
      <c r="M73" s="97">
        <f t="shared" si="16"/>
        <v>1227.35</v>
      </c>
      <c r="N73" s="45">
        <v>922</v>
      </c>
      <c r="O73" s="237" t="s">
        <v>152</v>
      </c>
      <c r="P73" s="237"/>
      <c r="Q73" s="42"/>
    </row>
    <row r="74" hidden="1" spans="1:15">
      <c r="A74" s="38">
        <f t="shared" si="15"/>
        <v>11</v>
      </c>
      <c r="B74" s="246" t="s">
        <v>89</v>
      </c>
      <c r="C74" s="246" t="s">
        <v>90</v>
      </c>
      <c r="D74" s="38"/>
      <c r="E74" s="38"/>
      <c r="F74" s="38"/>
      <c r="G74" s="247">
        <v>3000</v>
      </c>
      <c r="H74" s="247"/>
      <c r="I74" s="54"/>
      <c r="J74" s="54"/>
      <c r="K74" s="54"/>
      <c r="L74" s="54">
        <v>3000</v>
      </c>
      <c r="M74" s="47">
        <f t="shared" si="16"/>
        <v>0</v>
      </c>
      <c r="N74" s="38"/>
      <c r="O74" s="1" t="s">
        <v>153</v>
      </c>
    </row>
    <row r="75" spans="1:15">
      <c r="A75" s="38">
        <f t="shared" si="15"/>
        <v>12</v>
      </c>
      <c r="B75" s="264" t="s">
        <v>154</v>
      </c>
      <c r="C75" s="264" t="s">
        <v>155</v>
      </c>
      <c r="D75" s="45"/>
      <c r="E75" s="45"/>
      <c r="F75" s="45"/>
      <c r="G75" s="265">
        <v>2500</v>
      </c>
      <c r="H75" s="265">
        <f>4094.62-G75</f>
        <v>1594.62</v>
      </c>
      <c r="I75" s="97"/>
      <c r="J75" s="97"/>
      <c r="K75" s="97"/>
      <c r="L75" s="97">
        <v>3700</v>
      </c>
      <c r="M75" s="47">
        <f t="shared" si="16"/>
        <v>394.62</v>
      </c>
      <c r="N75" s="38">
        <v>296</v>
      </c>
      <c r="O75" s="1" t="s">
        <v>156</v>
      </c>
    </row>
    <row r="76" ht="17.25" spans="7:16">
      <c r="G76" s="100">
        <f>SUM(G64:G75)</f>
        <v>43700</v>
      </c>
      <c r="H76" s="100">
        <f>SUM(H64:H75)</f>
        <v>6772.4</v>
      </c>
      <c r="I76" s="100">
        <f t="shared" ref="I76:M76" si="17">SUM(I64:I75)</f>
        <v>5250</v>
      </c>
      <c r="J76" s="100">
        <f t="shared" si="17"/>
        <v>5250</v>
      </c>
      <c r="K76" s="100">
        <f t="shared" si="17"/>
        <v>5250</v>
      </c>
      <c r="L76" s="100">
        <f t="shared" si="17"/>
        <v>31105</v>
      </c>
      <c r="M76" s="100">
        <f t="shared" si="17"/>
        <v>3617.4</v>
      </c>
      <c r="P76" s="7">
        <f>SUM(I76:L76)/(G76+H76)</f>
        <v>0.928329146226452</v>
      </c>
    </row>
    <row r="77" ht="17.25" spans="1:1">
      <c r="A77" s="1" t="s">
        <v>157</v>
      </c>
    </row>
    <row r="78" spans="1:16">
      <c r="A78" s="4" t="str">
        <f>+[3]LUMUMBA!A5</f>
        <v>SN</v>
      </c>
      <c r="B78" s="4" t="str">
        <f>+[3]LUMUMBA!B5</f>
        <v>FIRST NAME</v>
      </c>
      <c r="C78" s="4" t="str">
        <f>+[3]LUMUMBA!C5</f>
        <v>LAST NAME</v>
      </c>
      <c r="D78" s="4" t="str">
        <f>+[3]LUMUMBA!D5</f>
        <v>N.R.C #</v>
      </c>
      <c r="E78" s="4"/>
      <c r="F78" s="4" t="str">
        <f>+[3]LUMUMBA!E5</f>
        <v>PHONE</v>
      </c>
      <c r="G78" s="53" t="str">
        <f>+[3]LUMUMBA!F5</f>
        <v>AMOUNT DISBURSED</v>
      </c>
      <c r="H78" s="53" t="str">
        <f>+H63</f>
        <v>Default Interest</v>
      </c>
      <c r="I78" s="53" t="s">
        <v>158</v>
      </c>
      <c r="J78" s="53" t="s">
        <v>159</v>
      </c>
      <c r="K78" s="53" t="s">
        <v>160</v>
      </c>
      <c r="L78" s="53" t="s">
        <v>161</v>
      </c>
      <c r="M78" s="53" t="s">
        <v>85</v>
      </c>
      <c r="N78" s="53" t="str">
        <f>+[3]LUMUMBA!L5</f>
        <v>RECEIPT NO.</v>
      </c>
      <c r="O78" s="255" t="s">
        <v>86</v>
      </c>
      <c r="P78" s="256" t="e">
        <f>+'HEAD OFFICE'!#REF!</f>
        <v>#REF!</v>
      </c>
    </row>
    <row r="79" hidden="1" spans="1:14">
      <c r="A79" s="38">
        <v>1</v>
      </c>
      <c r="B79" s="50" t="s">
        <v>112</v>
      </c>
      <c r="C79" s="50" t="s">
        <v>113</v>
      </c>
      <c r="D79" s="50"/>
      <c r="E79" s="50"/>
      <c r="F79" s="50"/>
      <c r="G79" s="47">
        <v>2000</v>
      </c>
      <c r="H79" s="47"/>
      <c r="I79" s="257">
        <v>500</v>
      </c>
      <c r="J79" s="257">
        <v>500</v>
      </c>
      <c r="K79" s="257"/>
      <c r="L79" s="257">
        <v>1000</v>
      </c>
      <c r="M79" s="47">
        <f>G79-I79-J79-K79-L79</f>
        <v>0</v>
      </c>
      <c r="N79" s="258">
        <v>262</v>
      </c>
    </row>
    <row r="80" hidden="1" spans="1:17">
      <c r="A80" s="38">
        <f t="shared" ref="A80:A85" si="18">+A79+1</f>
        <v>2</v>
      </c>
      <c r="B80" s="266" t="s">
        <v>162</v>
      </c>
      <c r="C80" s="266" t="s">
        <v>120</v>
      </c>
      <c r="D80" s="266"/>
      <c r="E80" s="266"/>
      <c r="F80" s="266"/>
      <c r="G80" s="267">
        <v>5000</v>
      </c>
      <c r="H80" s="267"/>
      <c r="I80" s="278">
        <v>0</v>
      </c>
      <c r="J80" s="278">
        <v>2500</v>
      </c>
      <c r="K80" s="278"/>
      <c r="L80" s="278">
        <v>2500</v>
      </c>
      <c r="M80" s="267">
        <f t="shared" ref="M80:M83" si="19">G80-I80-J80-K80-L80</f>
        <v>0</v>
      </c>
      <c r="N80" s="38"/>
      <c r="Q80" s="117"/>
    </row>
    <row r="81" s="237" customFormat="1" hidden="1" spans="1:17">
      <c r="A81" s="38">
        <f t="shared" si="18"/>
        <v>3</v>
      </c>
      <c r="B81" s="45" t="s">
        <v>163</v>
      </c>
      <c r="C81" s="45" t="s">
        <v>164</v>
      </c>
      <c r="D81" s="45"/>
      <c r="E81" s="45"/>
      <c r="F81" s="45"/>
      <c r="G81" s="97">
        <v>3000</v>
      </c>
      <c r="H81" s="97"/>
      <c r="I81" s="279">
        <v>750</v>
      </c>
      <c r="J81" s="279">
        <v>750</v>
      </c>
      <c r="K81" s="279"/>
      <c r="L81" s="280">
        <v>1500</v>
      </c>
      <c r="M81" s="47">
        <f t="shared" si="19"/>
        <v>0</v>
      </c>
      <c r="N81" s="45">
        <v>261</v>
      </c>
      <c r="Q81" s="284"/>
    </row>
    <row r="82" hidden="1" spans="1:14">
      <c r="A82" s="38">
        <f t="shared" si="18"/>
        <v>4</v>
      </c>
      <c r="B82" s="38" t="s">
        <v>121</v>
      </c>
      <c r="C82" s="38" t="s">
        <v>122</v>
      </c>
      <c r="D82" s="38"/>
      <c r="E82" s="38"/>
      <c r="F82" s="38"/>
      <c r="G82" s="54">
        <v>2000</v>
      </c>
      <c r="H82" s="54"/>
      <c r="I82" s="257">
        <v>400</v>
      </c>
      <c r="J82" s="257">
        <v>500</v>
      </c>
      <c r="K82" s="257">
        <v>600</v>
      </c>
      <c r="L82" s="280">
        <v>500</v>
      </c>
      <c r="M82" s="47">
        <f t="shared" si="19"/>
        <v>0</v>
      </c>
      <c r="N82" s="258">
        <v>198</v>
      </c>
    </row>
    <row r="83" hidden="1" spans="1:14">
      <c r="A83" s="38">
        <f t="shared" si="18"/>
        <v>5</v>
      </c>
      <c r="B83" s="38" t="s">
        <v>165</v>
      </c>
      <c r="C83" s="38" t="s">
        <v>166</v>
      </c>
      <c r="D83" s="38"/>
      <c r="E83" s="38"/>
      <c r="F83" s="38"/>
      <c r="G83" s="54">
        <v>3500</v>
      </c>
      <c r="H83" s="54"/>
      <c r="I83" s="280">
        <v>0</v>
      </c>
      <c r="J83" s="280"/>
      <c r="K83" s="280"/>
      <c r="L83" s="280">
        <v>3500</v>
      </c>
      <c r="M83" s="47">
        <f t="shared" si="19"/>
        <v>0</v>
      </c>
      <c r="N83" s="38"/>
    </row>
    <row r="84" spans="1:14">
      <c r="A84" s="38">
        <f t="shared" si="18"/>
        <v>6</v>
      </c>
      <c r="B84" s="50" t="s">
        <v>167</v>
      </c>
      <c r="C84" s="50" t="s">
        <v>168</v>
      </c>
      <c r="D84" s="50"/>
      <c r="E84" s="50"/>
      <c r="F84" s="50"/>
      <c r="G84" s="47">
        <v>5000</v>
      </c>
      <c r="H84" s="47">
        <f>6119-G84</f>
        <v>1119</v>
      </c>
      <c r="I84" s="257"/>
      <c r="J84" s="257"/>
      <c r="K84" s="257"/>
      <c r="L84" s="281">
        <v>5300</v>
      </c>
      <c r="M84" s="47">
        <f t="shared" ref="M84:M85" si="20">G84-I84-J84-K84-L84+H84</f>
        <v>819</v>
      </c>
      <c r="N84" s="50"/>
    </row>
    <row r="85" s="237" customFormat="1" spans="1:14">
      <c r="A85" s="38">
        <f t="shared" si="18"/>
        <v>7</v>
      </c>
      <c r="B85" s="50" t="s">
        <v>169</v>
      </c>
      <c r="C85" s="50" t="s">
        <v>170</v>
      </c>
      <c r="D85" s="50"/>
      <c r="E85" s="50"/>
      <c r="F85" s="50"/>
      <c r="G85" s="47">
        <v>5000</v>
      </c>
      <c r="H85" s="47">
        <f>6313-G85</f>
        <v>1313</v>
      </c>
      <c r="I85" s="257"/>
      <c r="J85" s="257"/>
      <c r="K85" s="257"/>
      <c r="L85" s="281">
        <f>4359+450</f>
        <v>4809</v>
      </c>
      <c r="M85" s="47">
        <f t="shared" si="20"/>
        <v>1504</v>
      </c>
      <c r="N85" s="50"/>
    </row>
    <row r="86" s="237" customFormat="1" spans="1:14">
      <c r="A86" s="238"/>
      <c r="B86" s="252"/>
      <c r="C86" s="252"/>
      <c r="D86" s="252"/>
      <c r="E86" s="252"/>
      <c r="F86" s="252"/>
      <c r="G86" s="253"/>
      <c r="H86" s="253"/>
      <c r="I86" s="253"/>
      <c r="J86" s="253"/>
      <c r="K86" s="253"/>
      <c r="L86" s="253"/>
      <c r="M86" s="253"/>
      <c r="N86" s="252"/>
    </row>
    <row r="87" ht="17.25" spans="1:17">
      <c r="A87" s="238"/>
      <c r="B87" s="238"/>
      <c r="C87" s="238"/>
      <c r="D87" s="238"/>
      <c r="E87" s="238"/>
      <c r="F87" s="238"/>
      <c r="G87" s="51">
        <f>SUM(G79:G85)</f>
        <v>25500</v>
      </c>
      <c r="H87" s="51">
        <f>SUM(H79:H85)</f>
        <v>2432</v>
      </c>
      <c r="I87" s="51">
        <f>SUM(I79:I86)</f>
        <v>1650</v>
      </c>
      <c r="J87" s="51">
        <f t="shared" ref="J87:M87" si="21">SUM(J79:J86)</f>
        <v>4250</v>
      </c>
      <c r="K87" s="51">
        <f t="shared" si="21"/>
        <v>600</v>
      </c>
      <c r="L87" s="51">
        <f t="shared" si="21"/>
        <v>19109</v>
      </c>
      <c r="M87" s="51">
        <f t="shared" si="21"/>
        <v>2323</v>
      </c>
      <c r="N87" s="238"/>
      <c r="P87" s="7">
        <f>SUM(I87:L87)/(G87+H87)</f>
        <v>0.916833739080624</v>
      </c>
      <c r="Q87" s="285"/>
    </row>
    <row r="88" ht="17.25" spans="7:8">
      <c r="G88" s="268"/>
      <c r="H88" s="268"/>
    </row>
    <row r="90" spans="1:1">
      <c r="A90" s="1" t="s">
        <v>171</v>
      </c>
    </row>
    <row r="91" ht="33" spans="1:15">
      <c r="A91" s="38">
        <v>1</v>
      </c>
      <c r="B91" s="4" t="s">
        <v>77</v>
      </c>
      <c r="C91" s="4" t="s">
        <v>78</v>
      </c>
      <c r="D91" s="4" t="s">
        <v>79</v>
      </c>
      <c r="E91" s="4"/>
      <c r="F91" s="4" t="s">
        <v>80</v>
      </c>
      <c r="G91" s="15" t="s">
        <v>81</v>
      </c>
      <c r="H91" s="269" t="str">
        <f>+H78</f>
        <v>Default Interest</v>
      </c>
      <c r="I91" s="53" t="s">
        <v>159</v>
      </c>
      <c r="J91" s="4" t="s">
        <v>82</v>
      </c>
      <c r="K91" s="4" t="s">
        <v>83</v>
      </c>
      <c r="L91" s="4" t="s">
        <v>84</v>
      </c>
      <c r="M91" s="4" t="s">
        <v>85</v>
      </c>
      <c r="N91" s="4" t="s">
        <v>172</v>
      </c>
      <c r="O91" s="53" t="s">
        <v>86</v>
      </c>
    </row>
    <row r="92" hidden="1" spans="1:15">
      <c r="A92" s="38">
        <f>+A91+1</f>
        <v>2</v>
      </c>
      <c r="B92" s="45" t="s">
        <v>106</v>
      </c>
      <c r="C92" s="96" t="s">
        <v>173</v>
      </c>
      <c r="D92" s="38"/>
      <c r="E92" s="38"/>
      <c r="F92" s="45"/>
      <c r="G92" s="97">
        <v>3000</v>
      </c>
      <c r="H92" s="97"/>
      <c r="I92" s="54">
        <v>0</v>
      </c>
      <c r="J92" s="54">
        <v>0</v>
      </c>
      <c r="K92" s="54">
        <v>0</v>
      </c>
      <c r="L92" s="54">
        <v>3000</v>
      </c>
      <c r="M92" s="47">
        <f>G92-I92-J92-K92-L92</f>
        <v>0</v>
      </c>
      <c r="N92" s="38"/>
      <c r="O92" s="38">
        <f>+O83</f>
        <v>0</v>
      </c>
    </row>
    <row r="93" hidden="1" spans="1:15">
      <c r="A93" s="38">
        <f t="shared" ref="A93:A98" si="22">+A92+1</f>
        <v>3</v>
      </c>
      <c r="B93" s="45" t="s">
        <v>174</v>
      </c>
      <c r="C93" s="96" t="s">
        <v>175</v>
      </c>
      <c r="D93" s="38"/>
      <c r="E93" s="38"/>
      <c r="F93" s="45"/>
      <c r="G93" s="97">
        <v>5000</v>
      </c>
      <c r="H93" s="97"/>
      <c r="I93" s="54">
        <v>1000</v>
      </c>
      <c r="J93" s="54">
        <v>900</v>
      </c>
      <c r="K93" s="54">
        <f>750+890</f>
        <v>1640</v>
      </c>
      <c r="L93" s="54">
        <v>1460</v>
      </c>
      <c r="M93" s="47">
        <f t="shared" ref="M93:M98" si="23">G93-I93-J93-K93-L93</f>
        <v>0</v>
      </c>
      <c r="N93" s="38"/>
      <c r="O93" s="38"/>
    </row>
    <row r="94" hidden="1" spans="1:15">
      <c r="A94" s="38">
        <f t="shared" si="22"/>
        <v>4</v>
      </c>
      <c r="B94" s="266" t="s">
        <v>176</v>
      </c>
      <c r="C94" s="270" t="s">
        <v>177</v>
      </c>
      <c r="D94" s="266"/>
      <c r="E94" s="266"/>
      <c r="F94" s="266"/>
      <c r="G94" s="267">
        <v>2000</v>
      </c>
      <c r="H94" s="267"/>
      <c r="I94" s="267">
        <v>0</v>
      </c>
      <c r="J94" s="267">
        <v>200</v>
      </c>
      <c r="K94" s="267">
        <v>450</v>
      </c>
      <c r="L94" s="267">
        <v>1350</v>
      </c>
      <c r="M94" s="267">
        <f t="shared" si="23"/>
        <v>0</v>
      </c>
      <c r="N94" s="38"/>
      <c r="O94" s="38"/>
    </row>
    <row r="95" hidden="1" spans="1:15">
      <c r="A95" s="38">
        <f t="shared" si="22"/>
        <v>5</v>
      </c>
      <c r="B95" s="266" t="s">
        <v>178</v>
      </c>
      <c r="C95" s="270" t="s">
        <v>179</v>
      </c>
      <c r="D95" s="266"/>
      <c r="E95" s="266"/>
      <c r="F95" s="266"/>
      <c r="G95" s="267">
        <v>2500</v>
      </c>
      <c r="H95" s="267"/>
      <c r="I95" s="267">
        <v>250</v>
      </c>
      <c r="J95" s="267">
        <v>0</v>
      </c>
      <c r="K95" s="267">
        <v>200</v>
      </c>
      <c r="L95" s="267">
        <v>2050</v>
      </c>
      <c r="M95" s="267">
        <f t="shared" si="23"/>
        <v>0</v>
      </c>
      <c r="N95" s="38"/>
      <c r="O95" s="38"/>
    </row>
    <row r="96" hidden="1" spans="1:15">
      <c r="A96" s="38">
        <f t="shared" si="22"/>
        <v>6</v>
      </c>
      <c r="B96" s="266" t="s">
        <v>180</v>
      </c>
      <c r="C96" s="270" t="s">
        <v>181</v>
      </c>
      <c r="D96" s="266"/>
      <c r="E96" s="266"/>
      <c r="F96" s="266"/>
      <c r="G96" s="267">
        <v>3000</v>
      </c>
      <c r="H96" s="267"/>
      <c r="I96" s="267">
        <v>0</v>
      </c>
      <c r="J96" s="267">
        <v>195</v>
      </c>
      <c r="K96" s="267">
        <f>400+100</f>
        <v>500</v>
      </c>
      <c r="L96" s="267">
        <v>2305</v>
      </c>
      <c r="M96" s="267">
        <f t="shared" si="23"/>
        <v>0</v>
      </c>
      <c r="N96" s="38"/>
      <c r="O96" s="38"/>
    </row>
    <row r="97" hidden="1" spans="1:15">
      <c r="A97" s="38">
        <f t="shared" si="22"/>
        <v>7</v>
      </c>
      <c r="B97" s="45" t="s">
        <v>182</v>
      </c>
      <c r="C97" s="96" t="s">
        <v>183</v>
      </c>
      <c r="D97" s="38"/>
      <c r="E97" s="38"/>
      <c r="F97" s="45"/>
      <c r="G97" s="97">
        <v>2000</v>
      </c>
      <c r="H97" s="97"/>
      <c r="I97" s="54">
        <v>200</v>
      </c>
      <c r="J97" s="54">
        <v>0</v>
      </c>
      <c r="K97" s="54">
        <v>300</v>
      </c>
      <c r="L97" s="54">
        <v>1500</v>
      </c>
      <c r="M97" s="47">
        <f t="shared" si="23"/>
        <v>0</v>
      </c>
      <c r="N97" s="38"/>
      <c r="O97" s="38"/>
    </row>
    <row r="98" hidden="1" spans="1:15">
      <c r="A98" s="38">
        <f t="shared" si="22"/>
        <v>8</v>
      </c>
      <c r="B98" s="266" t="s">
        <v>184</v>
      </c>
      <c r="C98" s="270" t="s">
        <v>155</v>
      </c>
      <c r="D98" s="266"/>
      <c r="E98" s="266"/>
      <c r="F98" s="266"/>
      <c r="G98" s="267">
        <v>2000</v>
      </c>
      <c r="H98" s="267"/>
      <c r="I98" s="267">
        <v>0</v>
      </c>
      <c r="J98" s="267">
        <v>400</v>
      </c>
      <c r="K98" s="267">
        <v>300</v>
      </c>
      <c r="L98" s="267">
        <v>1300</v>
      </c>
      <c r="M98" s="267">
        <f t="shared" si="23"/>
        <v>0</v>
      </c>
      <c r="N98" s="38"/>
      <c r="O98" s="282"/>
    </row>
    <row r="99" s="238" customFormat="1" spans="2:8">
      <c r="B99" s="252"/>
      <c r="C99" s="271"/>
      <c r="F99" s="252"/>
      <c r="G99" s="252"/>
      <c r="H99" s="252"/>
    </row>
    <row r="100" s="238" customFormat="1" ht="17.25" spans="2:16">
      <c r="B100" s="272"/>
      <c r="C100" s="273"/>
      <c r="F100" s="272"/>
      <c r="G100" s="51">
        <f>SUM(G92:G98)</f>
        <v>19500</v>
      </c>
      <c r="H100" s="51"/>
      <c r="I100" s="51">
        <f>SUM(I92:I99)</f>
        <v>1450</v>
      </c>
      <c r="J100" s="51">
        <f>SUM(J92:J99)</f>
        <v>1695</v>
      </c>
      <c r="K100" s="51">
        <f>SUM(K92:K99)</f>
        <v>3390</v>
      </c>
      <c r="L100" s="51">
        <f>SUM(L92:L99)</f>
        <v>12965</v>
      </c>
      <c r="M100" s="51">
        <f>SUM(M92:M99)</f>
        <v>0</v>
      </c>
      <c r="P100" s="7">
        <f>SUM(I100:L100)/(G100+H100)</f>
        <v>1</v>
      </c>
    </row>
    <row r="101" ht="17.25" spans="16:16">
      <c r="P101" s="42"/>
    </row>
    <row r="102" hidden="1"/>
    <row r="103" hidden="1" spans="2:13">
      <c r="B103" s="274"/>
      <c r="D103" s="1" t="s">
        <v>185</v>
      </c>
      <c r="M103" s="42">
        <f>+M80+M84+M85+M94+M95+M96+M98</f>
        <v>2323</v>
      </c>
    </row>
    <row r="104" hidden="1" spans="4:13">
      <c r="D104" s="1" t="s">
        <v>186</v>
      </c>
      <c r="M104" s="42">
        <f>+M81+M83+M92+M93+M97</f>
        <v>0</v>
      </c>
    </row>
    <row r="105" hidden="1"/>
    <row r="106" hidden="1"/>
    <row r="107" hidden="1"/>
    <row r="109" spans="1:1">
      <c r="A109" s="1" t="s">
        <v>187</v>
      </c>
    </row>
    <row r="110" ht="33" spans="1:13">
      <c r="A110" s="38">
        <v>1</v>
      </c>
      <c r="B110" s="4" t="s">
        <v>77</v>
      </c>
      <c r="C110" s="4" t="s">
        <v>78</v>
      </c>
      <c r="D110" s="4" t="s">
        <v>79</v>
      </c>
      <c r="E110" s="4"/>
      <c r="F110" s="4" t="s">
        <v>80</v>
      </c>
      <c r="G110" s="15" t="s">
        <v>81</v>
      </c>
      <c r="H110" s="5" t="str">
        <f>+H91</f>
        <v>Default Interest</v>
      </c>
      <c r="I110" s="4" t="s">
        <v>188</v>
      </c>
      <c r="J110" s="4" t="s">
        <v>82</v>
      </c>
      <c r="K110" s="4" t="s">
        <v>83</v>
      </c>
      <c r="L110" s="4" t="s">
        <v>189</v>
      </c>
      <c r="M110" s="4" t="s">
        <v>85</v>
      </c>
    </row>
    <row r="111" hidden="1" spans="1:16">
      <c r="A111" s="38">
        <f>+A110+1</f>
        <v>2</v>
      </c>
      <c r="B111" s="38" t="s">
        <v>190</v>
      </c>
      <c r="C111" s="96" t="s">
        <v>191</v>
      </c>
      <c r="D111" s="38"/>
      <c r="E111" s="38"/>
      <c r="F111" s="45"/>
      <c r="G111" s="54">
        <v>5000</v>
      </c>
      <c r="H111" s="54"/>
      <c r="I111" s="54">
        <v>1100</v>
      </c>
      <c r="J111" s="54"/>
      <c r="K111" s="54"/>
      <c r="L111" s="54">
        <v>3900</v>
      </c>
      <c r="M111" s="47">
        <f>G111-I111-J111-K111-L111</f>
        <v>0</v>
      </c>
      <c r="P111" s="1" t="s">
        <v>192</v>
      </c>
    </row>
    <row r="112" hidden="1" spans="1:16">
      <c r="A112" s="38">
        <f t="shared" ref="A112:A117" si="24">+A111+1</f>
        <v>3</v>
      </c>
      <c r="B112" s="38" t="s">
        <v>193</v>
      </c>
      <c r="C112" s="96" t="s">
        <v>194</v>
      </c>
      <c r="D112" s="38"/>
      <c r="E112" s="38"/>
      <c r="F112" s="45"/>
      <c r="G112" s="54">
        <v>3000</v>
      </c>
      <c r="H112" s="54">
        <v>0</v>
      </c>
      <c r="I112" s="54">
        <v>2000</v>
      </c>
      <c r="J112" s="54">
        <v>0</v>
      </c>
      <c r="K112" s="54">
        <v>0</v>
      </c>
      <c r="L112" s="49">
        <v>1000</v>
      </c>
      <c r="M112" s="47">
        <f t="shared" ref="M112:M117" si="25">G112-I112-J112-K112-L112+H112</f>
        <v>0</v>
      </c>
      <c r="P112" s="1" t="str">
        <f>+P111</f>
        <v>Salary</v>
      </c>
    </row>
    <row r="113" s="239" customFormat="1" hidden="1" spans="1:13">
      <c r="A113" s="38">
        <f t="shared" si="24"/>
        <v>4</v>
      </c>
      <c r="B113" s="50" t="s">
        <v>108</v>
      </c>
      <c r="C113" s="101" t="s">
        <v>195</v>
      </c>
      <c r="D113" s="50"/>
      <c r="E113" s="50"/>
      <c r="F113" s="50"/>
      <c r="G113" s="47">
        <v>3000</v>
      </c>
      <c r="H113" s="47">
        <v>0</v>
      </c>
      <c r="I113" s="47">
        <v>500</v>
      </c>
      <c r="J113" s="47">
        <v>500</v>
      </c>
      <c r="K113" s="47">
        <v>1000</v>
      </c>
      <c r="L113" s="49">
        <f>500+500</f>
        <v>1000</v>
      </c>
      <c r="M113" s="47">
        <f t="shared" si="25"/>
        <v>0</v>
      </c>
    </row>
    <row r="114" s="239" customFormat="1" hidden="1" spans="1:16">
      <c r="A114" s="38">
        <f t="shared" si="24"/>
        <v>5</v>
      </c>
      <c r="B114" s="50" t="s">
        <v>196</v>
      </c>
      <c r="C114" s="101" t="s">
        <v>197</v>
      </c>
      <c r="D114" s="50"/>
      <c r="E114" s="50"/>
      <c r="F114" s="50"/>
      <c r="G114" s="47">
        <v>2000</v>
      </c>
      <c r="H114" s="47"/>
      <c r="I114" s="47"/>
      <c r="J114" s="47"/>
      <c r="K114" s="47"/>
      <c r="L114" s="47">
        <v>2000</v>
      </c>
      <c r="M114" s="47">
        <f t="shared" si="25"/>
        <v>0</v>
      </c>
      <c r="P114" s="239" t="str">
        <f>+P112</f>
        <v>Salary</v>
      </c>
    </row>
    <row r="115" s="239" customFormat="1" hidden="1" spans="1:16">
      <c r="A115" s="38">
        <f t="shared" si="24"/>
        <v>6</v>
      </c>
      <c r="B115" s="50" t="s">
        <v>198</v>
      </c>
      <c r="C115" s="101" t="s">
        <v>199</v>
      </c>
      <c r="D115" s="50"/>
      <c r="E115" s="50"/>
      <c r="F115" s="50"/>
      <c r="G115" s="47">
        <v>3000</v>
      </c>
      <c r="H115" s="47"/>
      <c r="I115" s="47"/>
      <c r="J115" s="47"/>
      <c r="K115" s="47"/>
      <c r="L115" s="47">
        <v>3000</v>
      </c>
      <c r="M115" s="47">
        <f t="shared" si="25"/>
        <v>0</v>
      </c>
      <c r="P115" s="239" t="str">
        <f>+P114</f>
        <v>Salary</v>
      </c>
    </row>
    <row r="116" s="239" customFormat="1" hidden="1" spans="1:16">
      <c r="A116" s="38">
        <f t="shared" si="24"/>
        <v>7</v>
      </c>
      <c r="B116" s="50" t="s">
        <v>140</v>
      </c>
      <c r="C116" s="101" t="s">
        <v>141</v>
      </c>
      <c r="D116" s="50"/>
      <c r="E116" s="50"/>
      <c r="F116" s="50"/>
      <c r="G116" s="47">
        <v>3500</v>
      </c>
      <c r="H116" s="47">
        <v>0</v>
      </c>
      <c r="I116" s="47">
        <v>0</v>
      </c>
      <c r="J116" s="47">
        <v>0</v>
      </c>
      <c r="K116" s="49">
        <v>3300</v>
      </c>
      <c r="L116" s="239">
        <v>200</v>
      </c>
      <c r="M116" s="47">
        <f t="shared" si="25"/>
        <v>0</v>
      </c>
      <c r="P116" s="239" t="str">
        <f>+P115</f>
        <v>Salary</v>
      </c>
    </row>
    <row r="117" s="239" customFormat="1" spans="1:16">
      <c r="A117" s="38">
        <f t="shared" si="24"/>
        <v>8</v>
      </c>
      <c r="B117" s="50" t="s">
        <v>119</v>
      </c>
      <c r="C117" s="101" t="s">
        <v>200</v>
      </c>
      <c r="D117" s="50"/>
      <c r="E117" s="50"/>
      <c r="F117" s="50"/>
      <c r="G117" s="47">
        <v>3500</v>
      </c>
      <c r="H117" s="47">
        <f>3681.5-G117</f>
        <v>181.5</v>
      </c>
      <c r="I117" s="47">
        <v>500</v>
      </c>
      <c r="J117" s="47">
        <v>1500</v>
      </c>
      <c r="K117" s="47">
        <v>500</v>
      </c>
      <c r="L117" s="49">
        <v>1000</v>
      </c>
      <c r="M117" s="47">
        <f t="shared" si="25"/>
        <v>181.5</v>
      </c>
      <c r="O117" s="239">
        <f>+O85</f>
        <v>0</v>
      </c>
      <c r="P117" s="239" t="str">
        <f>+P115</f>
        <v>Salary</v>
      </c>
    </row>
    <row r="118" spans="1:13">
      <c r="A118" s="238"/>
      <c r="B118" s="252"/>
      <c r="C118" s="271"/>
      <c r="D118" s="238"/>
      <c r="E118" s="238"/>
      <c r="F118" s="252"/>
      <c r="G118" s="252"/>
      <c r="H118" s="252"/>
      <c r="I118" s="238"/>
      <c r="J118" s="238"/>
      <c r="K118" s="238"/>
      <c r="L118" s="238"/>
      <c r="M118" s="238"/>
    </row>
    <row r="119" ht="17.25" spans="1:16">
      <c r="A119" s="238"/>
      <c r="B119" s="272"/>
      <c r="C119" s="273"/>
      <c r="D119" s="238"/>
      <c r="E119" s="238"/>
      <c r="F119" s="272"/>
      <c r="G119" s="51">
        <f>SUM(G111:G117)</f>
        <v>23000</v>
      </c>
      <c r="H119" s="51">
        <f>SUM(H111:H117)</f>
        <v>181.5</v>
      </c>
      <c r="I119" s="51">
        <f>SUM(I111:I118)</f>
        <v>4100</v>
      </c>
      <c r="J119" s="51">
        <f>SUM(J111:J118)</f>
        <v>2000</v>
      </c>
      <c r="K119" s="51">
        <f>SUM(K111:K118)</f>
        <v>4800</v>
      </c>
      <c r="L119" s="51">
        <f>SUM(L111:L118)</f>
        <v>12100</v>
      </c>
      <c r="M119" s="51">
        <f>SUM(M111:M118)</f>
        <v>181.5</v>
      </c>
      <c r="P119" s="7">
        <f>SUM(I119:L119)/(G119+H119)</f>
        <v>0.992170480771305</v>
      </c>
    </row>
    <row r="123" spans="1:1">
      <c r="A123" s="1" t="s">
        <v>201</v>
      </c>
    </row>
    <row r="124" ht="33" spans="1:13">
      <c r="A124" s="38"/>
      <c r="B124" s="4" t="s">
        <v>77</v>
      </c>
      <c r="C124" s="4" t="s">
        <v>78</v>
      </c>
      <c r="D124" s="4" t="s">
        <v>79</v>
      </c>
      <c r="E124" s="4"/>
      <c r="F124" s="4" t="s">
        <v>80</v>
      </c>
      <c r="G124" s="15" t="s">
        <v>81</v>
      </c>
      <c r="H124" s="5" t="str">
        <f>+H110</f>
        <v>Default Interest</v>
      </c>
      <c r="I124" s="4" t="s">
        <v>188</v>
      </c>
      <c r="J124" s="4" t="s">
        <v>82</v>
      </c>
      <c r="K124" s="4" t="s">
        <v>83</v>
      </c>
      <c r="L124" s="4" t="s">
        <v>202</v>
      </c>
      <c r="M124" s="4" t="s">
        <v>85</v>
      </c>
    </row>
    <row r="125" spans="1:13">
      <c r="A125" s="38">
        <v>1</v>
      </c>
      <c r="B125" s="38" t="s">
        <v>203</v>
      </c>
      <c r="C125" s="96" t="s">
        <v>204</v>
      </c>
      <c r="D125" s="38"/>
      <c r="E125" s="38"/>
      <c r="F125" s="45"/>
      <c r="G125" s="54">
        <v>5000</v>
      </c>
      <c r="H125" s="54"/>
      <c r="I125" s="54"/>
      <c r="J125" s="54"/>
      <c r="K125" s="54">
        <v>0</v>
      </c>
      <c r="L125" s="54">
        <v>5000</v>
      </c>
      <c r="M125" s="47">
        <f>G125-I125-J125-K125-L125</f>
        <v>0</v>
      </c>
    </row>
    <row r="126" spans="1:13">
      <c r="A126" s="38">
        <v>2</v>
      </c>
      <c r="B126" s="38" t="s">
        <v>205</v>
      </c>
      <c r="C126" s="96" t="s">
        <v>206</v>
      </c>
      <c r="D126" s="38"/>
      <c r="E126" s="38"/>
      <c r="F126" s="45"/>
      <c r="G126" s="54">
        <v>8000</v>
      </c>
      <c r="H126" s="54"/>
      <c r="I126" s="54"/>
      <c r="J126" s="54">
        <v>4000</v>
      </c>
      <c r="K126" s="54"/>
      <c r="L126" s="54">
        <v>4000</v>
      </c>
      <c r="M126" s="47">
        <f>G126-I126-J126-K126-L126</f>
        <v>0</v>
      </c>
    </row>
    <row r="127" spans="1:13">
      <c r="A127" s="238"/>
      <c r="B127" s="252"/>
      <c r="C127" s="271"/>
      <c r="D127" s="238"/>
      <c r="E127" s="238"/>
      <c r="F127" s="252"/>
      <c r="G127" s="253"/>
      <c r="H127" s="253"/>
      <c r="I127" s="283"/>
      <c r="J127" s="283"/>
      <c r="K127" s="283"/>
      <c r="L127" s="283"/>
      <c r="M127" s="283"/>
    </row>
    <row r="128" ht="17.25" spans="1:16">
      <c r="A128" s="238"/>
      <c r="B128" s="272"/>
      <c r="C128" s="273"/>
      <c r="D128" s="238"/>
      <c r="E128" s="238"/>
      <c r="F128" s="272"/>
      <c r="G128" s="51">
        <f>SUM(G125:G126)</f>
        <v>13000</v>
      </c>
      <c r="H128" s="51"/>
      <c r="I128" s="51">
        <f>SUM(I125:I127)</f>
        <v>0</v>
      </c>
      <c r="J128" s="51">
        <f>SUM(J125:J127)</f>
        <v>4000</v>
      </c>
      <c r="K128" s="51">
        <f>SUM(K125:K127)</f>
        <v>0</v>
      </c>
      <c r="L128" s="51">
        <f>SUM(L125:L127)</f>
        <v>9000</v>
      </c>
      <c r="M128" s="51">
        <f>SUM(M125:M127)</f>
        <v>0</v>
      </c>
      <c r="P128" s="7">
        <f>SUM(I128:L128)/(G128+H128)</f>
        <v>1</v>
      </c>
    </row>
    <row r="131" spans="1:1">
      <c r="A131" s="1" t="s">
        <v>207</v>
      </c>
    </row>
    <row r="132" ht="33" spans="1:13">
      <c r="A132" s="38">
        <v>1</v>
      </c>
      <c r="B132" s="4" t="s">
        <v>77</v>
      </c>
      <c r="C132" s="4" t="s">
        <v>78</v>
      </c>
      <c r="D132" s="4" t="s">
        <v>79</v>
      </c>
      <c r="E132" s="4"/>
      <c r="F132" s="4" t="s">
        <v>80</v>
      </c>
      <c r="G132" s="15" t="s">
        <v>81</v>
      </c>
      <c r="H132" s="5" t="str">
        <f>+H124</f>
        <v>Default Interest</v>
      </c>
      <c r="I132" s="4" t="s">
        <v>188</v>
      </c>
      <c r="J132" s="4" t="s">
        <v>82</v>
      </c>
      <c r="K132" s="4" t="s">
        <v>83</v>
      </c>
      <c r="L132" s="4" t="s">
        <v>208</v>
      </c>
      <c r="M132" s="4" t="s">
        <v>85</v>
      </c>
    </row>
    <row r="133" spans="1:15">
      <c r="A133" s="38">
        <f>+A132+1</f>
        <v>2</v>
      </c>
      <c r="B133" s="50" t="s">
        <v>106</v>
      </c>
      <c r="C133" s="50" t="s">
        <v>107</v>
      </c>
      <c r="D133" s="38"/>
      <c r="E133" s="38"/>
      <c r="F133" s="45"/>
      <c r="G133" s="54">
        <f>+[5]CAIRO!$C$2</f>
        <v>7000</v>
      </c>
      <c r="H133" s="54">
        <f>7691.5-G133</f>
        <v>691.5</v>
      </c>
      <c r="I133" s="54"/>
      <c r="J133" s="54"/>
      <c r="K133" s="54"/>
      <c r="L133" s="54">
        <v>5695</v>
      </c>
      <c r="M133" s="47">
        <f t="shared" ref="M133:M138" si="26">G133-I133-J133-K133-L133+H133</f>
        <v>1996.5</v>
      </c>
      <c r="O133" s="1" t="s">
        <v>209</v>
      </c>
    </row>
    <row r="134" spans="1:15">
      <c r="A134" s="38">
        <f t="shared" ref="A134:A137" si="27">+A133+1</f>
        <v>3</v>
      </c>
      <c r="B134" s="45" t="s">
        <v>210</v>
      </c>
      <c r="C134" s="45" t="s">
        <v>211</v>
      </c>
      <c r="D134" s="38"/>
      <c r="E134" s="38"/>
      <c r="F134" s="45"/>
      <c r="G134" s="54">
        <f>+[5]CAIRO!$C$3</f>
        <v>5000</v>
      </c>
      <c r="H134" s="54">
        <v>0</v>
      </c>
      <c r="I134" s="54">
        <v>0</v>
      </c>
      <c r="J134" s="54">
        <v>0</v>
      </c>
      <c r="K134" s="54">
        <v>0</v>
      </c>
      <c r="L134" s="54">
        <v>5000</v>
      </c>
      <c r="M134" s="47">
        <f t="shared" si="26"/>
        <v>0</v>
      </c>
      <c r="O134" s="1" t="s">
        <v>212</v>
      </c>
    </row>
    <row r="135" spans="1:14">
      <c r="A135" s="38">
        <f t="shared" si="27"/>
        <v>4</v>
      </c>
      <c r="B135" s="45" t="s">
        <v>213</v>
      </c>
      <c r="C135" s="45" t="s">
        <v>214</v>
      </c>
      <c r="D135" s="50"/>
      <c r="E135" s="50"/>
      <c r="F135" s="50"/>
      <c r="G135" s="54">
        <f>+[5]CAIRO!$C$4</f>
        <v>3000</v>
      </c>
      <c r="H135" s="54">
        <v>113.5</v>
      </c>
      <c r="I135" s="47"/>
      <c r="J135" s="47"/>
      <c r="K135" s="47">
        <v>113</v>
      </c>
      <c r="L135" s="47">
        <v>3000</v>
      </c>
      <c r="M135" s="47">
        <f t="shared" si="26"/>
        <v>0.5</v>
      </c>
      <c r="N135" s="1" t="s">
        <v>215</v>
      </c>
    </row>
    <row r="136" spans="1:15">
      <c r="A136" s="38">
        <f t="shared" si="27"/>
        <v>5</v>
      </c>
      <c r="B136" s="45" t="s">
        <v>216</v>
      </c>
      <c r="C136" s="45" t="s">
        <v>217</v>
      </c>
      <c r="D136" s="50"/>
      <c r="E136" s="50"/>
      <c r="F136" s="50"/>
      <c r="G136" s="54">
        <f>+[5]CAIRO!$C$6</f>
        <v>4000</v>
      </c>
      <c r="H136" s="54">
        <v>391.5</v>
      </c>
      <c r="I136" s="47">
        <v>1000</v>
      </c>
      <c r="J136" s="47"/>
      <c r="K136" s="47"/>
      <c r="L136" s="47">
        <f>500+1000+500</f>
        <v>2000</v>
      </c>
      <c r="M136" s="47">
        <f t="shared" si="26"/>
        <v>1391.5</v>
      </c>
      <c r="O136" s="1" t="s">
        <v>186</v>
      </c>
    </row>
    <row r="137" spans="1:13">
      <c r="A137" s="38">
        <f t="shared" si="27"/>
        <v>6</v>
      </c>
      <c r="B137" s="45" t="s">
        <v>218</v>
      </c>
      <c r="C137" s="45" t="s">
        <v>219</v>
      </c>
      <c r="D137" s="50"/>
      <c r="E137" s="50"/>
      <c r="F137" s="50"/>
      <c r="G137" s="54">
        <f>+[5]CAIRO!$C$7</f>
        <v>3000</v>
      </c>
      <c r="H137" s="54">
        <v>423.85</v>
      </c>
      <c r="I137" s="47">
        <v>295</v>
      </c>
      <c r="J137" s="47">
        <v>500</v>
      </c>
      <c r="K137" s="47">
        <f>1100+490</f>
        <v>1590</v>
      </c>
      <c r="L137" s="47">
        <v>700</v>
      </c>
      <c r="M137" s="47">
        <f t="shared" si="26"/>
        <v>338.85</v>
      </c>
    </row>
    <row r="138" spans="1:13">
      <c r="A138" s="50"/>
      <c r="B138" s="50"/>
      <c r="C138" s="101"/>
      <c r="D138" s="50"/>
      <c r="E138" s="50"/>
      <c r="F138" s="50"/>
      <c r="G138" s="54"/>
      <c r="H138" s="54"/>
      <c r="I138" s="47"/>
      <c r="J138" s="47"/>
      <c r="K138" s="47"/>
      <c r="L138" s="47"/>
      <c r="M138" s="47">
        <f t="shared" si="26"/>
        <v>0</v>
      </c>
    </row>
    <row r="139" spans="1:13">
      <c r="A139" s="238"/>
      <c r="B139" s="252"/>
      <c r="C139" s="271"/>
      <c r="D139" s="238"/>
      <c r="E139" s="238"/>
      <c r="F139" s="252"/>
      <c r="G139" s="253"/>
      <c r="H139" s="253"/>
      <c r="I139" s="283"/>
      <c r="J139" s="283"/>
      <c r="K139" s="283"/>
      <c r="L139" s="283"/>
      <c r="M139" s="283"/>
    </row>
    <row r="140" ht="17.25" spans="1:16">
      <c r="A140" s="238"/>
      <c r="B140" s="272"/>
      <c r="C140" s="273"/>
      <c r="D140" s="238"/>
      <c r="E140" s="238"/>
      <c r="F140" s="272"/>
      <c r="G140" s="51">
        <f>SUM(G133:G138)</f>
        <v>22000</v>
      </c>
      <c r="H140" s="51">
        <f>SUM(H133:H138)</f>
        <v>1620.35</v>
      </c>
      <c r="I140" s="51">
        <f>SUM(I133:I139)</f>
        <v>1295</v>
      </c>
      <c r="J140" s="51">
        <f>SUM(J133:J139)</f>
        <v>500</v>
      </c>
      <c r="K140" s="51">
        <f>SUM(K133:K139)</f>
        <v>1703</v>
      </c>
      <c r="L140" s="51">
        <f>SUM(L133:L139)</f>
        <v>16395</v>
      </c>
      <c r="M140" s="51">
        <f>SUM(M133:M139)</f>
        <v>3727.35</v>
      </c>
      <c r="P140" s="7">
        <f>SUM(I140:L140)/(G140+H140)</f>
        <v>0.842197511891229</v>
      </c>
    </row>
    <row r="143" spans="1:1">
      <c r="A143" s="1" t="s">
        <v>220</v>
      </c>
    </row>
    <row r="144" ht="33" spans="1:13">
      <c r="A144" s="38"/>
      <c r="B144" s="4" t="s">
        <v>77</v>
      </c>
      <c r="C144" s="4" t="s">
        <v>78</v>
      </c>
      <c r="D144" s="4" t="s">
        <v>79</v>
      </c>
      <c r="E144" s="4"/>
      <c r="F144" s="4" t="s">
        <v>80</v>
      </c>
      <c r="G144" s="15" t="s">
        <v>81</v>
      </c>
      <c r="H144" s="5" t="str">
        <f>+H132</f>
        <v>Default Interest</v>
      </c>
      <c r="I144" s="4" t="s">
        <v>188</v>
      </c>
      <c r="J144" s="4" t="s">
        <v>82</v>
      </c>
      <c r="K144" s="4" t="s">
        <v>83</v>
      </c>
      <c r="L144" s="4" t="s">
        <v>202</v>
      </c>
      <c r="M144" s="4" t="s">
        <v>85</v>
      </c>
    </row>
    <row r="145" spans="1:13">
      <c r="A145" s="38">
        <v>1</v>
      </c>
      <c r="B145" s="38" t="s">
        <v>203</v>
      </c>
      <c r="C145" s="96" t="s">
        <v>204</v>
      </c>
      <c r="D145" s="38"/>
      <c r="E145" s="38"/>
      <c r="F145" s="45">
        <v>977533873</v>
      </c>
      <c r="G145" s="54">
        <v>10000</v>
      </c>
      <c r="H145" s="54"/>
      <c r="I145" s="54"/>
      <c r="J145" s="54"/>
      <c r="K145" s="54"/>
      <c r="L145" s="54">
        <f>2000+8000</f>
        <v>10000</v>
      </c>
      <c r="M145" s="47">
        <f>G145-I145-J145-K145-L145</f>
        <v>0</v>
      </c>
    </row>
    <row r="146" spans="1:13">
      <c r="A146" s="38">
        <f>+A145+1</f>
        <v>2</v>
      </c>
      <c r="B146" s="38" t="s">
        <v>205</v>
      </c>
      <c r="C146" s="96" t="s">
        <v>206</v>
      </c>
      <c r="D146" s="38"/>
      <c r="E146" s="38"/>
      <c r="F146" s="45">
        <v>977386128</v>
      </c>
      <c r="G146" s="54">
        <v>8000</v>
      </c>
      <c r="H146" s="54"/>
      <c r="I146" s="54"/>
      <c r="J146" s="54">
        <v>0</v>
      </c>
      <c r="K146" s="54"/>
      <c r="L146" s="54">
        <f>2000+5000+1000</f>
        <v>8000</v>
      </c>
      <c r="M146" s="47">
        <f>G146-I146-J146-K146-L146</f>
        <v>0</v>
      </c>
    </row>
    <row r="147" spans="1:13">
      <c r="A147" s="38">
        <f>+A146+1</f>
        <v>3</v>
      </c>
      <c r="B147" s="38" t="s">
        <v>221</v>
      </c>
      <c r="C147" s="96" t="s">
        <v>222</v>
      </c>
      <c r="D147" s="38"/>
      <c r="E147" s="38"/>
      <c r="F147" s="45">
        <v>974093310</v>
      </c>
      <c r="G147" s="54">
        <v>5000</v>
      </c>
      <c r="H147" s="54">
        <v>840</v>
      </c>
      <c r="I147" s="54"/>
      <c r="J147" s="54"/>
      <c r="K147" s="54"/>
      <c r="L147" s="54">
        <v>1000</v>
      </c>
      <c r="M147" s="47">
        <f>G147-I147-J147-K147-L147+H147</f>
        <v>4840</v>
      </c>
    </row>
    <row r="148" spans="1:13">
      <c r="A148" s="238"/>
      <c r="B148" s="252"/>
      <c r="C148" s="271"/>
      <c r="D148" s="238"/>
      <c r="E148" s="238"/>
      <c r="F148" s="252"/>
      <c r="G148" s="253"/>
      <c r="H148" s="253"/>
      <c r="I148" s="283"/>
      <c r="J148" s="283"/>
      <c r="K148" s="283"/>
      <c r="L148" s="283"/>
      <c r="M148" s="283"/>
    </row>
    <row r="149" ht="17.25" spans="1:13">
      <c r="A149" s="238"/>
      <c r="B149" s="272"/>
      <c r="C149" s="273"/>
      <c r="D149" s="238"/>
      <c r="E149" s="238"/>
      <c r="F149" s="272"/>
      <c r="G149" s="51">
        <f>SUM(G145:G147)</f>
        <v>23000</v>
      </c>
      <c r="H149" s="51">
        <f t="shared" ref="H149:M149" si="28">SUM(H145:H147)</f>
        <v>840</v>
      </c>
      <c r="I149" s="51">
        <f t="shared" si="28"/>
        <v>0</v>
      </c>
      <c r="J149" s="51">
        <f t="shared" si="28"/>
        <v>0</v>
      </c>
      <c r="K149" s="51">
        <f t="shared" si="28"/>
        <v>0</v>
      </c>
      <c r="L149" s="51">
        <f t="shared" si="28"/>
        <v>19000</v>
      </c>
      <c r="M149" s="51">
        <f t="shared" si="28"/>
        <v>4840</v>
      </c>
    </row>
    <row r="152" spans="3:6">
      <c r="C152" s="286"/>
      <c r="D152" s="287"/>
      <c r="E152" s="287"/>
      <c r="F152" s="286"/>
    </row>
    <row r="153" spans="3:6">
      <c r="C153" s="286"/>
      <c r="D153" s="287"/>
      <c r="E153" s="287"/>
      <c r="F153" s="288"/>
    </row>
  </sheetData>
  <pageMargins left="0.7" right="0.7" top="0.75" bottom="0.75" header="0.3" footer="0.3"/>
  <pageSetup paperSize="9" orientation="portrait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75"/>
  <sheetViews>
    <sheetView workbookViewId="0">
      <selection activeCell="F74" sqref="F74"/>
    </sheetView>
  </sheetViews>
  <sheetFormatPr defaultColWidth="9.14285714285714" defaultRowHeight="14.25"/>
  <cols>
    <col min="1" max="1" width="15.2857142857143" style="28" customWidth="1"/>
    <col min="2" max="2" width="20.1428571428571" style="28" customWidth="1"/>
    <col min="3" max="3" width="18.2857142857143" style="28" customWidth="1"/>
    <col min="4" max="4" width="10.7142857142857" style="28" customWidth="1"/>
    <col min="5" max="5" width="12.5714285714286" style="28" customWidth="1"/>
    <col min="6" max="6" width="15.7142857142857" style="28" customWidth="1"/>
    <col min="7" max="7" width="11.7142857142857" style="28" customWidth="1"/>
    <col min="8" max="10" width="14.7142857142857" style="28" customWidth="1"/>
    <col min="11" max="11" width="10.5714285714286" style="28" customWidth="1"/>
    <col min="12" max="12" width="11.7142857142857" style="28" customWidth="1"/>
    <col min="13" max="13" width="12.4285714285714" style="28" customWidth="1"/>
    <col min="14" max="14" width="9.71428571428571" style="188" customWidth="1"/>
    <col min="15" max="15" width="10.5714285714286" style="28" customWidth="1"/>
    <col min="16" max="16384" width="9.14285714285714" style="28"/>
  </cols>
  <sheetData>
    <row r="1" spans="1:1">
      <c r="A1" s="28" t="str">
        <f>+[3]LUMUMBA!A1</f>
        <v>LAXMI CAPITAL SOLUTIONS LIMITED</v>
      </c>
    </row>
    <row r="2" spans="1:1">
      <c r="A2" s="28" t="str">
        <f>+[3]LUMUMBA!A2</f>
        <v>LOAN DISBURSEMENT SUMMARY</v>
      </c>
    </row>
    <row r="3" spans="1:2">
      <c r="A3" s="28" t="s">
        <v>65</v>
      </c>
      <c r="B3" s="28" t="s">
        <v>62</v>
      </c>
    </row>
    <row r="4" spans="1:1">
      <c r="A4" s="28" t="s">
        <v>66</v>
      </c>
    </row>
    <row r="5" spans="1:1">
      <c r="A5" s="28" t="s">
        <v>67</v>
      </c>
    </row>
    <row r="6" spans="14:15">
      <c r="N6" s="28"/>
      <c r="O6" s="188"/>
    </row>
    <row r="7" ht="56.25" spans="2:9">
      <c r="B7" s="22" t="str">
        <f>+CAIRO!B7</f>
        <v>Frequency of loans</v>
      </c>
      <c r="C7" s="22" t="str">
        <f>+CAIRO!C7</f>
        <v>Number of Clients</v>
      </c>
      <c r="D7" s="189" t="s">
        <v>69</v>
      </c>
      <c r="E7" s="190" t="s">
        <v>223</v>
      </c>
      <c r="F7" s="189" t="str">
        <f>+CAIRO!F7</f>
        <v>Outstanding Actual Balance</v>
      </c>
      <c r="G7" s="189" t="s">
        <v>72</v>
      </c>
      <c r="H7" s="191" t="str">
        <f>+CAIRO!H7</f>
        <v>Default Interest Oustanding</v>
      </c>
      <c r="I7" s="219" t="str">
        <f>+CAIRO!I7</f>
        <v>Total Actual Plus Default</v>
      </c>
    </row>
    <row r="8" ht="15" spans="2:11">
      <c r="B8" s="28" t="str">
        <f>+'HEAD OFFICE'!A7</f>
        <v>March Batch Summary</v>
      </c>
      <c r="C8" s="28">
        <f>+A30</f>
        <v>14</v>
      </c>
      <c r="D8" s="29">
        <f>+F32</f>
        <v>29000</v>
      </c>
      <c r="E8" s="30">
        <f>SUM(H32:K32)</f>
        <v>29060</v>
      </c>
      <c r="F8" s="30">
        <f>+D8-E8</f>
        <v>-60</v>
      </c>
      <c r="G8" s="192">
        <f>+E8/D8</f>
        <v>1.00206896551724</v>
      </c>
      <c r="H8" s="193">
        <f>+G32</f>
        <v>60</v>
      </c>
      <c r="I8" s="193">
        <f>+F8+H8</f>
        <v>0</v>
      </c>
      <c r="K8" s="196"/>
    </row>
    <row r="9" spans="2:9">
      <c r="B9" s="28" t="e">
        <f>+'HEAD OFFICE'!#REF!</f>
        <v>#REF!</v>
      </c>
      <c r="C9" s="28">
        <f>+A42</f>
        <v>7</v>
      </c>
      <c r="D9" s="29">
        <f>+F44</f>
        <v>7500</v>
      </c>
      <c r="E9" s="30">
        <f>SUM(H44:K44)</f>
        <v>7200</v>
      </c>
      <c r="F9" s="30">
        <f t="shared" ref="F9:F11" si="0">+D9-E9</f>
        <v>300</v>
      </c>
      <c r="G9" s="194">
        <f>+E9/D9</f>
        <v>0.96</v>
      </c>
      <c r="H9" s="193">
        <f>+G44</f>
        <v>450.25</v>
      </c>
      <c r="I9" s="193">
        <f t="shared" ref="I9:I11" si="1">+F9+H9</f>
        <v>750.25</v>
      </c>
    </row>
    <row r="10" spans="2:11">
      <c r="B10" s="28" t="e">
        <f>+'HEAD OFFICE'!#REF!</f>
        <v>#REF!</v>
      </c>
      <c r="C10" s="28">
        <f>+A54</f>
        <v>6</v>
      </c>
      <c r="D10" s="29">
        <f>+F60</f>
        <v>15500</v>
      </c>
      <c r="E10" s="30">
        <f>SUM(H60:K60)</f>
        <v>15815</v>
      </c>
      <c r="F10" s="30">
        <f t="shared" si="0"/>
        <v>-315</v>
      </c>
      <c r="G10" s="194">
        <f>+E10/D10</f>
        <v>1.02032258064516</v>
      </c>
      <c r="H10" s="193">
        <f>+G60</f>
        <v>616.09</v>
      </c>
      <c r="I10" s="193">
        <f t="shared" si="1"/>
        <v>301.09</v>
      </c>
      <c r="K10" s="196"/>
    </row>
    <row r="11" spans="2:11">
      <c r="B11" s="28" t="e">
        <f>+'HEAD OFFICE'!#REF!</f>
        <v>#REF!</v>
      </c>
      <c r="C11" s="28">
        <f>+A70</f>
        <v>7</v>
      </c>
      <c r="D11" s="29">
        <f>+F74</f>
        <v>28500</v>
      </c>
      <c r="E11" s="30">
        <f>SUM(H74:K74)</f>
        <v>31475</v>
      </c>
      <c r="F11" s="30">
        <f t="shared" si="0"/>
        <v>-2975</v>
      </c>
      <c r="G11" s="194">
        <f>+E11/D11</f>
        <v>1.10438596491228</v>
      </c>
      <c r="H11" s="193">
        <f>+G74</f>
        <v>7687.23</v>
      </c>
      <c r="I11" s="193">
        <f t="shared" si="1"/>
        <v>4712.23</v>
      </c>
      <c r="K11" s="196"/>
    </row>
    <row r="12" ht="15" spans="3:9">
      <c r="C12" s="32">
        <f>SUM(C8:C11)</f>
        <v>34</v>
      </c>
      <c r="D12" s="32">
        <f>SUM(D8:D11)</f>
        <v>80500</v>
      </c>
      <c r="E12" s="32">
        <f>SUM(E8:E11)</f>
        <v>83550</v>
      </c>
      <c r="F12" s="32">
        <f>SUM(F8:F11)</f>
        <v>-3050</v>
      </c>
      <c r="G12" s="195">
        <f>+E12/D12</f>
        <v>1.03788819875776</v>
      </c>
      <c r="H12" s="32">
        <f>SUM(H8:H11)</f>
        <v>8813.57</v>
      </c>
      <c r="I12" s="32">
        <f>SUM(I8:I11)</f>
        <v>5763.57</v>
      </c>
    </row>
    <row r="14" spans="3:10">
      <c r="C14" s="196"/>
      <c r="H14" s="28">
        <f>+'HEAD OFFICE'!L15</f>
        <v>0</v>
      </c>
      <c r="I14" s="220">
        <v>6664</v>
      </c>
      <c r="J14" s="220">
        <f>I12-I14</f>
        <v>-900.429999999999</v>
      </c>
    </row>
    <row r="15" spans="1:1">
      <c r="A15" s="28" t="s">
        <v>75</v>
      </c>
    </row>
    <row r="16" ht="28.5" spans="1:15">
      <c r="A16" s="22" t="s">
        <v>76</v>
      </c>
      <c r="B16" s="22" t="s">
        <v>77</v>
      </c>
      <c r="C16" s="22" t="s">
        <v>78</v>
      </c>
      <c r="D16" s="22" t="s">
        <v>79</v>
      </c>
      <c r="E16" s="22" t="s">
        <v>80</v>
      </c>
      <c r="F16" s="197" t="s">
        <v>81</v>
      </c>
      <c r="G16" s="191" t="str">
        <f>+CAIRO!H132</f>
        <v>Default Interest</v>
      </c>
      <c r="H16" s="197" t="s">
        <v>224</v>
      </c>
      <c r="I16" s="197" t="s">
        <v>82</v>
      </c>
      <c r="J16" s="197" t="s">
        <v>83</v>
      </c>
      <c r="K16" s="197" t="s">
        <v>84</v>
      </c>
      <c r="L16" s="197" t="s">
        <v>85</v>
      </c>
      <c r="M16" s="197" t="e">
        <f>+'HEAD OFFICE'!#REF!</f>
        <v>#REF!</v>
      </c>
      <c r="N16" s="221" t="s">
        <v>86</v>
      </c>
      <c r="O16" s="222"/>
    </row>
    <row r="17" ht="15" spans="1:15">
      <c r="A17" s="198">
        <v>1</v>
      </c>
      <c r="B17" s="199" t="s">
        <v>225</v>
      </c>
      <c r="C17" s="198"/>
      <c r="D17" s="200"/>
      <c r="E17" s="200"/>
      <c r="F17" s="199">
        <v>2500</v>
      </c>
      <c r="G17" s="199">
        <v>60</v>
      </c>
      <c r="H17" s="201">
        <f t="shared" ref="H17:H30" si="2">+F17/4</f>
        <v>625</v>
      </c>
      <c r="I17" s="201">
        <v>625</v>
      </c>
      <c r="J17" s="201">
        <v>625</v>
      </c>
      <c r="K17" s="201">
        <f>625+60</f>
        <v>685</v>
      </c>
      <c r="L17" s="223">
        <f>F17-H17-I17-J17-K17+G17</f>
        <v>0</v>
      </c>
      <c r="M17" s="224"/>
      <c r="N17" s="198"/>
      <c r="O17" s="188"/>
    </row>
    <row r="18" ht="15" spans="1:15">
      <c r="A18" s="198">
        <f>+A17+1</f>
        <v>2</v>
      </c>
      <c r="B18" s="199" t="s">
        <v>226</v>
      </c>
      <c r="C18" s="198"/>
      <c r="D18" s="200"/>
      <c r="E18" s="200"/>
      <c r="F18" s="199">
        <v>2000</v>
      </c>
      <c r="G18" s="199">
        <v>0</v>
      </c>
      <c r="H18" s="201">
        <f t="shared" si="2"/>
        <v>500</v>
      </c>
      <c r="I18" s="201">
        <v>500</v>
      </c>
      <c r="J18" s="201">
        <v>500</v>
      </c>
      <c r="K18" s="201">
        <v>500</v>
      </c>
      <c r="L18" s="223">
        <f>F18-H18-I18-J18-K18+G18</f>
        <v>0</v>
      </c>
      <c r="M18" s="224"/>
      <c r="N18" s="198"/>
      <c r="O18" s="188"/>
    </row>
    <row r="19" ht="15" spans="1:15">
      <c r="A19" s="198">
        <f t="shared" ref="A19:A23" si="3">+A18+1</f>
        <v>3</v>
      </c>
      <c r="B19" s="199" t="s">
        <v>227</v>
      </c>
      <c r="C19" s="198"/>
      <c r="D19" s="200"/>
      <c r="E19" s="200"/>
      <c r="F19" s="199">
        <v>4000</v>
      </c>
      <c r="G19" s="199"/>
      <c r="H19" s="201">
        <f t="shared" si="2"/>
        <v>1000</v>
      </c>
      <c r="I19" s="201">
        <v>1000</v>
      </c>
      <c r="J19" s="201">
        <v>1000</v>
      </c>
      <c r="K19" s="201">
        <v>1000</v>
      </c>
      <c r="L19" s="223"/>
      <c r="M19" s="224"/>
      <c r="N19" s="198"/>
      <c r="O19" s="188"/>
    </row>
    <row r="20" ht="15" spans="1:15">
      <c r="A20" s="198">
        <f t="shared" si="3"/>
        <v>4</v>
      </c>
      <c r="B20" s="202" t="s">
        <v>228</v>
      </c>
      <c r="C20" s="198"/>
      <c r="D20" s="200"/>
      <c r="E20" s="200"/>
      <c r="F20" s="202">
        <v>2000</v>
      </c>
      <c r="G20" s="202"/>
      <c r="H20" s="201">
        <f t="shared" si="2"/>
        <v>500</v>
      </c>
      <c r="I20" s="201">
        <v>500</v>
      </c>
      <c r="J20" s="201">
        <v>500</v>
      </c>
      <c r="K20" s="201">
        <v>500</v>
      </c>
      <c r="L20" s="223"/>
      <c r="M20" s="224"/>
      <c r="N20" s="198"/>
      <c r="O20" s="188"/>
    </row>
    <row r="21" ht="15" spans="1:15">
      <c r="A21" s="198">
        <f t="shared" si="3"/>
        <v>5</v>
      </c>
      <c r="B21" s="199" t="s">
        <v>229</v>
      </c>
      <c r="C21" s="198"/>
      <c r="D21" s="200"/>
      <c r="E21" s="200"/>
      <c r="F21" s="199">
        <v>2000</v>
      </c>
      <c r="G21" s="199"/>
      <c r="H21" s="201">
        <f t="shared" si="2"/>
        <v>500</v>
      </c>
      <c r="I21" s="201">
        <v>500</v>
      </c>
      <c r="J21" s="201">
        <v>500</v>
      </c>
      <c r="K21" s="201">
        <v>500</v>
      </c>
      <c r="L21" s="223"/>
      <c r="M21" s="224"/>
      <c r="N21" s="198"/>
      <c r="O21" s="188"/>
    </row>
    <row r="22" ht="15" spans="1:15">
      <c r="A22" s="198">
        <f t="shared" si="3"/>
        <v>6</v>
      </c>
      <c r="B22" s="199" t="s">
        <v>230</v>
      </c>
      <c r="C22" s="198"/>
      <c r="D22" s="200"/>
      <c r="E22" s="200"/>
      <c r="F22" s="199">
        <v>1000</v>
      </c>
      <c r="G22" s="199"/>
      <c r="H22" s="201">
        <f t="shared" si="2"/>
        <v>250</v>
      </c>
      <c r="I22" s="201">
        <v>250</v>
      </c>
      <c r="J22" s="201">
        <v>250</v>
      </c>
      <c r="K22" s="201">
        <v>250</v>
      </c>
      <c r="L22" s="223"/>
      <c r="M22" s="224"/>
      <c r="N22" s="198"/>
      <c r="O22" s="188"/>
    </row>
    <row r="23" ht="15" spans="1:15">
      <c r="A23" s="198">
        <f t="shared" si="3"/>
        <v>7</v>
      </c>
      <c r="B23" s="199" t="s">
        <v>231</v>
      </c>
      <c r="C23" s="198"/>
      <c r="D23" s="200"/>
      <c r="E23" s="200"/>
      <c r="F23" s="199">
        <v>2500</v>
      </c>
      <c r="G23" s="199"/>
      <c r="H23" s="201">
        <f t="shared" si="2"/>
        <v>625</v>
      </c>
      <c r="I23" s="201">
        <v>625</v>
      </c>
      <c r="J23" s="201">
        <v>625</v>
      </c>
      <c r="K23" s="201">
        <v>625</v>
      </c>
      <c r="L23" s="223">
        <f>F23-H23-I23-J23-K23</f>
        <v>0</v>
      </c>
      <c r="M23" s="200"/>
      <c r="N23" s="198"/>
      <c r="O23" s="188"/>
    </row>
    <row r="24" ht="15" spans="1:15">
      <c r="A24" s="198">
        <f t="shared" ref="A24:A30" si="4">+A23+1</f>
        <v>8</v>
      </c>
      <c r="B24" s="199" t="s">
        <v>232</v>
      </c>
      <c r="C24" s="198"/>
      <c r="D24" s="200"/>
      <c r="E24" s="200"/>
      <c r="F24" s="199">
        <v>3000</v>
      </c>
      <c r="G24" s="199"/>
      <c r="H24" s="201">
        <f t="shared" si="2"/>
        <v>750</v>
      </c>
      <c r="I24" s="201">
        <v>750</v>
      </c>
      <c r="J24" s="201">
        <v>750</v>
      </c>
      <c r="K24" s="201">
        <v>750</v>
      </c>
      <c r="L24" s="223">
        <f>F24-H24-I24-J24-K24</f>
        <v>0</v>
      </c>
      <c r="M24" s="200"/>
      <c r="N24" s="225"/>
      <c r="O24" s="188"/>
    </row>
    <row r="25" ht="15" spans="1:15">
      <c r="A25" s="198">
        <f t="shared" si="4"/>
        <v>9</v>
      </c>
      <c r="B25" s="199" t="s">
        <v>233</v>
      </c>
      <c r="C25" s="203"/>
      <c r="D25" s="203"/>
      <c r="E25" s="203"/>
      <c r="F25" s="199">
        <v>1500</v>
      </c>
      <c r="G25" s="199"/>
      <c r="H25" s="201">
        <f t="shared" si="2"/>
        <v>375</v>
      </c>
      <c r="I25" s="201">
        <v>375</v>
      </c>
      <c r="J25" s="201">
        <v>375</v>
      </c>
      <c r="K25" s="201">
        <v>375</v>
      </c>
      <c r="L25" s="226">
        <f>F25-H25-I25-J25-K25</f>
        <v>0</v>
      </c>
      <c r="M25" s="227"/>
      <c r="N25" s="198"/>
      <c r="O25" s="188"/>
    </row>
    <row r="26" ht="15" spans="1:15">
      <c r="A26" s="198">
        <f t="shared" si="4"/>
        <v>10</v>
      </c>
      <c r="B26" s="199" t="s">
        <v>234</v>
      </c>
      <c r="C26" s="198"/>
      <c r="D26" s="200"/>
      <c r="E26" s="200"/>
      <c r="F26" s="199">
        <v>1000</v>
      </c>
      <c r="G26" s="199"/>
      <c r="H26" s="201">
        <f t="shared" si="2"/>
        <v>250</v>
      </c>
      <c r="I26" s="201">
        <v>250</v>
      </c>
      <c r="J26" s="201">
        <v>250</v>
      </c>
      <c r="K26" s="201">
        <v>250</v>
      </c>
      <c r="L26" s="223">
        <f>F26-H26-I26-J26-K26</f>
        <v>0</v>
      </c>
      <c r="M26" s="200"/>
      <c r="N26" s="198"/>
      <c r="O26" s="188"/>
    </row>
    <row r="27" ht="15" spans="1:15">
      <c r="A27" s="198">
        <f t="shared" si="4"/>
        <v>11</v>
      </c>
      <c r="B27" s="199" t="s">
        <v>235</v>
      </c>
      <c r="C27" s="198"/>
      <c r="D27" s="200"/>
      <c r="E27" s="200"/>
      <c r="F27" s="199">
        <v>1000</v>
      </c>
      <c r="G27" s="199"/>
      <c r="H27" s="201">
        <f t="shared" si="2"/>
        <v>250</v>
      </c>
      <c r="I27" s="201">
        <v>250</v>
      </c>
      <c r="J27" s="201">
        <v>250</v>
      </c>
      <c r="K27" s="201">
        <v>250</v>
      </c>
      <c r="L27" s="223">
        <v>0</v>
      </c>
      <c r="M27" s="200"/>
      <c r="N27" s="198"/>
      <c r="O27" s="188"/>
    </row>
    <row r="28" ht="15" spans="1:15">
      <c r="A28" s="198">
        <f t="shared" si="4"/>
        <v>12</v>
      </c>
      <c r="B28" s="199" t="s">
        <v>236</v>
      </c>
      <c r="C28" s="203"/>
      <c r="D28" s="203"/>
      <c r="E28" s="203"/>
      <c r="F28" s="199">
        <v>2000</v>
      </c>
      <c r="G28" s="199"/>
      <c r="H28" s="201">
        <f t="shared" si="2"/>
        <v>500</v>
      </c>
      <c r="I28" s="201">
        <v>500</v>
      </c>
      <c r="J28" s="201">
        <v>500</v>
      </c>
      <c r="K28" s="201">
        <v>500</v>
      </c>
      <c r="L28" s="226">
        <f>F28-H28-I28-J28-K28</f>
        <v>0</v>
      </c>
      <c r="M28" s="203"/>
      <c r="N28" s="225"/>
      <c r="O28" s="188"/>
    </row>
    <row r="29" ht="15" spans="1:15">
      <c r="A29" s="198">
        <f t="shared" si="4"/>
        <v>13</v>
      </c>
      <c r="B29" s="199" t="s">
        <v>237</v>
      </c>
      <c r="C29" s="204"/>
      <c r="D29" s="204"/>
      <c r="E29" s="204"/>
      <c r="F29" s="199">
        <v>2000</v>
      </c>
      <c r="G29" s="199"/>
      <c r="H29" s="201">
        <f t="shared" si="2"/>
        <v>500</v>
      </c>
      <c r="I29" s="201">
        <v>500</v>
      </c>
      <c r="J29" s="201">
        <v>500</v>
      </c>
      <c r="K29" s="201">
        <v>500</v>
      </c>
      <c r="L29" s="210"/>
      <c r="M29" s="204"/>
      <c r="N29" s="228"/>
      <c r="O29" s="188"/>
    </row>
    <row r="30" ht="15" spans="1:15">
      <c r="A30" s="198">
        <f t="shared" si="4"/>
        <v>14</v>
      </c>
      <c r="B30" s="199" t="s">
        <v>238</v>
      </c>
      <c r="C30" s="205"/>
      <c r="D30" s="205"/>
      <c r="E30" s="205"/>
      <c r="F30" s="199">
        <v>2500</v>
      </c>
      <c r="G30" s="199"/>
      <c r="H30" s="201">
        <f t="shared" si="2"/>
        <v>625</v>
      </c>
      <c r="I30" s="201">
        <v>625</v>
      </c>
      <c r="J30" s="201">
        <v>625</v>
      </c>
      <c r="K30" s="201">
        <v>625</v>
      </c>
      <c r="M30" s="205"/>
      <c r="N30" s="28"/>
      <c r="O30" s="229">
        <f>SUM(H32:K32)/F32</f>
        <v>1.00206896551724</v>
      </c>
    </row>
    <row r="31" spans="14:15">
      <c r="N31" s="28"/>
      <c r="O31" s="188"/>
    </row>
    <row r="32" ht="15" spans="6:15">
      <c r="F32" s="206">
        <f>SUM(F17:F30)</f>
        <v>29000</v>
      </c>
      <c r="G32" s="206">
        <f>SUM(G17:G30)</f>
        <v>60</v>
      </c>
      <c r="H32" s="206">
        <f t="shared" ref="H32:L32" si="5">SUM(H17:H30)</f>
        <v>7250</v>
      </c>
      <c r="I32" s="206">
        <f t="shared" si="5"/>
        <v>7250</v>
      </c>
      <c r="J32" s="206">
        <f t="shared" si="5"/>
        <v>7250</v>
      </c>
      <c r="K32" s="206">
        <f t="shared" si="5"/>
        <v>7310</v>
      </c>
      <c r="L32" s="206">
        <f t="shared" si="5"/>
        <v>0</v>
      </c>
      <c r="N32" s="28"/>
      <c r="O32" s="188"/>
    </row>
    <row r="33" ht="15" spans="14:15">
      <c r="N33" s="28"/>
      <c r="O33" s="188"/>
    </row>
    <row r="34" spans="1:15">
      <c r="A34" s="28" t="s">
        <v>101</v>
      </c>
      <c r="N34" s="28"/>
      <c r="O34" s="188"/>
    </row>
    <row r="35" ht="28.5" spans="1:15">
      <c r="A35" s="22" t="s">
        <v>76</v>
      </c>
      <c r="B35" s="22" t="s">
        <v>77</v>
      </c>
      <c r="C35" s="22" t="s">
        <v>78</v>
      </c>
      <c r="D35" s="22" t="s">
        <v>79</v>
      </c>
      <c r="E35" s="22" t="s">
        <v>80</v>
      </c>
      <c r="F35" s="197" t="s">
        <v>81</v>
      </c>
      <c r="G35" s="191" t="str">
        <f>+G16</f>
        <v>Default Interest</v>
      </c>
      <c r="H35" s="197" t="str">
        <f>+H16</f>
        <v>First Week</v>
      </c>
      <c r="I35" s="197" t="s">
        <v>82</v>
      </c>
      <c r="J35" s="197" t="s">
        <v>83</v>
      </c>
      <c r="K35" s="197" t="s">
        <v>84</v>
      </c>
      <c r="L35" s="197" t="s">
        <v>85</v>
      </c>
      <c r="M35" s="197" t="e">
        <f>+M16</f>
        <v>#REF!</v>
      </c>
      <c r="N35" s="197" t="s">
        <v>86</v>
      </c>
      <c r="O35" s="188"/>
    </row>
    <row r="36" ht="15" hidden="1" spans="1:15">
      <c r="A36" s="198">
        <v>1</v>
      </c>
      <c r="B36" s="199" t="s">
        <v>239</v>
      </c>
      <c r="C36" s="198"/>
      <c r="D36" s="200"/>
      <c r="E36" s="200"/>
      <c r="F36" s="199">
        <v>1000</v>
      </c>
      <c r="G36" s="199"/>
      <c r="H36" s="201">
        <v>250</v>
      </c>
      <c r="I36" s="201">
        <v>250</v>
      </c>
      <c r="J36" s="201">
        <v>250</v>
      </c>
      <c r="K36" s="201">
        <v>250</v>
      </c>
      <c r="L36" s="223">
        <f t="shared" ref="L36:L41" si="6">F36-H36-I36-J36-K36</f>
        <v>0</v>
      </c>
      <c r="M36" s="224"/>
      <c r="N36" s="198"/>
      <c r="O36" s="188"/>
    </row>
    <row r="37" ht="15" hidden="1" spans="1:15">
      <c r="A37" s="198">
        <f t="shared" ref="A37:A42" si="7">+A36+1</f>
        <v>2</v>
      </c>
      <c r="B37" s="199" t="s">
        <v>240</v>
      </c>
      <c r="C37" s="198"/>
      <c r="D37" s="200"/>
      <c r="E37" s="200"/>
      <c r="F37" s="199">
        <v>1000</v>
      </c>
      <c r="G37" s="199"/>
      <c r="H37" s="201">
        <v>250</v>
      </c>
      <c r="I37" s="201">
        <v>250</v>
      </c>
      <c r="J37" s="201">
        <v>250</v>
      </c>
      <c r="K37" s="201">
        <v>250</v>
      </c>
      <c r="L37" s="223">
        <f t="shared" si="6"/>
        <v>0</v>
      </c>
      <c r="M37" s="200"/>
      <c r="N37" s="198"/>
      <c r="O37" s="188"/>
    </row>
    <row r="38" ht="15" hidden="1" spans="1:15">
      <c r="A38" s="198">
        <f t="shared" si="7"/>
        <v>3</v>
      </c>
      <c r="B38" s="199" t="s">
        <v>241</v>
      </c>
      <c r="C38" s="198"/>
      <c r="D38" s="200"/>
      <c r="E38" s="200"/>
      <c r="F38" s="199">
        <v>1500</v>
      </c>
      <c r="G38" s="199"/>
      <c r="H38" s="201">
        <v>375</v>
      </c>
      <c r="I38" s="201">
        <v>375</v>
      </c>
      <c r="J38" s="201">
        <v>375</v>
      </c>
      <c r="K38" s="201">
        <v>375</v>
      </c>
      <c r="L38" s="223">
        <f t="shared" si="6"/>
        <v>0</v>
      </c>
      <c r="M38" s="200"/>
      <c r="N38" s="225"/>
      <c r="O38" s="188"/>
    </row>
    <row r="39" ht="15" hidden="1" spans="1:15">
      <c r="A39" s="198">
        <f t="shared" si="7"/>
        <v>4</v>
      </c>
      <c r="B39" s="199" t="s">
        <v>242</v>
      </c>
      <c r="C39" s="198"/>
      <c r="D39" s="200"/>
      <c r="E39" s="200"/>
      <c r="F39" s="199">
        <v>1000</v>
      </c>
      <c r="G39" s="199"/>
      <c r="H39" s="201">
        <v>250</v>
      </c>
      <c r="I39" s="201">
        <v>250</v>
      </c>
      <c r="J39" s="201">
        <v>250</v>
      </c>
      <c r="K39" s="201">
        <v>250</v>
      </c>
      <c r="L39" s="223">
        <f t="shared" si="6"/>
        <v>0</v>
      </c>
      <c r="M39" s="224"/>
      <c r="N39" s="198"/>
      <c r="O39" s="188"/>
    </row>
    <row r="40" ht="15" hidden="1" spans="1:15">
      <c r="A40" s="198">
        <f t="shared" si="7"/>
        <v>5</v>
      </c>
      <c r="B40" s="199" t="s">
        <v>243</v>
      </c>
      <c r="C40" s="198"/>
      <c r="D40" s="200"/>
      <c r="E40" s="200"/>
      <c r="F40" s="199">
        <v>1000</v>
      </c>
      <c r="G40" s="199"/>
      <c r="H40" s="201">
        <v>250</v>
      </c>
      <c r="I40" s="201">
        <v>250</v>
      </c>
      <c r="J40" s="201">
        <v>250</v>
      </c>
      <c r="K40" s="201">
        <v>250</v>
      </c>
      <c r="L40" s="223">
        <f t="shared" si="6"/>
        <v>0</v>
      </c>
      <c r="M40" s="200"/>
      <c r="N40" s="198"/>
      <c r="O40" s="188"/>
    </row>
    <row r="41" ht="15" hidden="1" spans="1:15">
      <c r="A41" s="198">
        <f t="shared" si="7"/>
        <v>6</v>
      </c>
      <c r="B41" s="199" t="s">
        <v>244</v>
      </c>
      <c r="C41" s="198"/>
      <c r="D41" s="200"/>
      <c r="E41" s="200"/>
      <c r="F41" s="199">
        <v>1000</v>
      </c>
      <c r="G41" s="199"/>
      <c r="H41" s="201">
        <v>250</v>
      </c>
      <c r="I41" s="201">
        <v>250</v>
      </c>
      <c r="J41" s="201">
        <v>250</v>
      </c>
      <c r="K41" s="201">
        <v>250</v>
      </c>
      <c r="L41" s="223">
        <f t="shared" si="6"/>
        <v>0</v>
      </c>
      <c r="M41" s="200"/>
      <c r="N41" s="198"/>
      <c r="O41" s="188"/>
    </row>
    <row r="42" ht="71.25" spans="1:15">
      <c r="A42" s="198">
        <f t="shared" si="7"/>
        <v>7</v>
      </c>
      <c r="B42" s="207" t="s">
        <v>245</v>
      </c>
      <c r="C42" s="198"/>
      <c r="D42" s="200"/>
      <c r="E42" s="200"/>
      <c r="F42" s="208">
        <v>1000</v>
      </c>
      <c r="G42" s="209">
        <v>450.25</v>
      </c>
      <c r="H42" s="201"/>
      <c r="I42" s="213"/>
      <c r="J42" s="213">
        <v>0</v>
      </c>
      <c r="K42" s="213">
        <f>+[6]Sheet1!$E$29</f>
        <v>700</v>
      </c>
      <c r="L42" s="223">
        <f t="shared" ref="L42" si="8">F42-H42-I42-J42-K42+G42</f>
        <v>750.25</v>
      </c>
      <c r="M42" s="200"/>
      <c r="N42" s="230" t="s">
        <v>246</v>
      </c>
      <c r="O42" s="188"/>
    </row>
    <row r="43" spans="1:15">
      <c r="A43" s="205"/>
      <c r="B43" s="204"/>
      <c r="C43" s="204"/>
      <c r="D43" s="204"/>
      <c r="E43" s="204"/>
      <c r="F43" s="210"/>
      <c r="G43" s="210"/>
      <c r="H43" s="210"/>
      <c r="I43" s="210"/>
      <c r="J43" s="210"/>
      <c r="K43" s="210"/>
      <c r="L43" s="210"/>
      <c r="M43" s="204"/>
      <c r="N43" s="228"/>
      <c r="O43" s="188"/>
    </row>
    <row r="44" ht="15" spans="1:15">
      <c r="A44" s="205"/>
      <c r="B44" s="205"/>
      <c r="C44" s="205"/>
      <c r="D44" s="205"/>
      <c r="E44" s="205"/>
      <c r="F44" s="206">
        <f>SUM(F36:F42)</f>
        <v>7500</v>
      </c>
      <c r="G44" s="211">
        <f>SUM(G36:G42)</f>
        <v>450.25</v>
      </c>
      <c r="H44" s="206">
        <f>SUM(H36:H43)</f>
        <v>1625</v>
      </c>
      <c r="I44" s="206">
        <f>SUM(I36:I43)</f>
        <v>1625</v>
      </c>
      <c r="J44" s="206">
        <f>SUM(J36:J43)</f>
        <v>1625</v>
      </c>
      <c r="K44" s="206">
        <f>SUM(K36:K43)</f>
        <v>2325</v>
      </c>
      <c r="L44" s="206">
        <f>SUM(L36:L43)</f>
        <v>750.25</v>
      </c>
      <c r="M44" s="205"/>
      <c r="N44" s="28"/>
      <c r="O44" s="231">
        <f>SUM(H44:K44)/(F44+G44)</f>
        <v>0.905631898367976</v>
      </c>
    </row>
    <row r="45" ht="15" spans="14:15">
      <c r="N45" s="28"/>
      <c r="O45" s="188"/>
    </row>
    <row r="46" spans="14:15">
      <c r="N46" s="28"/>
      <c r="O46" s="188"/>
    </row>
    <row r="47" spans="1:15">
      <c r="A47" s="28" t="s">
        <v>116</v>
      </c>
      <c r="N47" s="28"/>
      <c r="O47" s="188"/>
    </row>
    <row r="48" ht="28.5" spans="1:15">
      <c r="A48" s="22" t="s">
        <v>76</v>
      </c>
      <c r="B48" s="22" t="s">
        <v>77</v>
      </c>
      <c r="C48" s="22" t="s">
        <v>78</v>
      </c>
      <c r="D48" s="22" t="s">
        <v>79</v>
      </c>
      <c r="E48" s="22" t="s">
        <v>80</v>
      </c>
      <c r="F48" s="197" t="s">
        <v>81</v>
      </c>
      <c r="G48" s="191" t="str">
        <f>+G35</f>
        <v>Default Interest</v>
      </c>
      <c r="H48" s="197" t="str">
        <f>+H35</f>
        <v>First Week</v>
      </c>
      <c r="I48" s="197" t="s">
        <v>82</v>
      </c>
      <c r="J48" s="197" t="s">
        <v>83</v>
      </c>
      <c r="K48" s="197" t="s">
        <v>84</v>
      </c>
      <c r="L48" s="197" t="s">
        <v>85</v>
      </c>
      <c r="M48" s="197" t="e">
        <f>+M35</f>
        <v>#REF!</v>
      </c>
      <c r="N48" s="197" t="str">
        <f>+N35</f>
        <v>COMMENT</v>
      </c>
      <c r="O48" s="188"/>
    </row>
    <row r="49" ht="15" hidden="1" spans="1:15">
      <c r="A49" s="198">
        <v>1</v>
      </c>
      <c r="B49" s="199" t="s">
        <v>247</v>
      </c>
      <c r="C49" s="198"/>
      <c r="D49" s="200"/>
      <c r="E49" s="200"/>
      <c r="F49" s="199">
        <v>1500</v>
      </c>
      <c r="G49" s="199"/>
      <c r="H49" s="201">
        <v>375</v>
      </c>
      <c r="I49" s="201">
        <v>375</v>
      </c>
      <c r="J49" s="201">
        <v>375</v>
      </c>
      <c r="K49" s="201">
        <v>375</v>
      </c>
      <c r="L49" s="223">
        <f>F49-H49-I49-J49-K49</f>
        <v>0</v>
      </c>
      <c r="M49" s="224"/>
      <c r="N49" s="198"/>
      <c r="O49" s="188"/>
    </row>
    <row r="50" ht="15" hidden="1" spans="1:15">
      <c r="A50" s="198">
        <f t="shared" ref="A50:A58" si="9">+A49+1</f>
        <v>2</v>
      </c>
      <c r="B50" s="199" t="s">
        <v>248</v>
      </c>
      <c r="C50" s="198"/>
      <c r="D50" s="200"/>
      <c r="E50" s="200"/>
      <c r="F50" s="199">
        <v>2000</v>
      </c>
      <c r="G50" s="199"/>
      <c r="H50" s="201">
        <v>500</v>
      </c>
      <c r="I50" s="201">
        <v>500</v>
      </c>
      <c r="J50" s="201">
        <v>500</v>
      </c>
      <c r="K50" s="201">
        <v>500</v>
      </c>
      <c r="L50" s="223">
        <f>F50-H50-I50-J50-K50</f>
        <v>0</v>
      </c>
      <c r="M50" s="200"/>
      <c r="N50" s="198"/>
      <c r="O50" s="188"/>
    </row>
    <row r="51" ht="15" hidden="1" spans="1:15">
      <c r="A51" s="198">
        <f t="shared" si="9"/>
        <v>3</v>
      </c>
      <c r="B51" s="199" t="s">
        <v>249</v>
      </c>
      <c r="C51" s="198"/>
      <c r="D51" s="200"/>
      <c r="E51" s="200"/>
      <c r="F51" s="199">
        <v>2000</v>
      </c>
      <c r="G51" s="199"/>
      <c r="H51" s="201">
        <v>500</v>
      </c>
      <c r="I51" s="201">
        <v>500</v>
      </c>
      <c r="J51" s="201">
        <v>500</v>
      </c>
      <c r="K51" s="201">
        <v>500</v>
      </c>
      <c r="L51" s="223">
        <f>F51-H51-I51-J51-K51</f>
        <v>0</v>
      </c>
      <c r="M51" s="200"/>
      <c r="N51" s="198"/>
      <c r="O51" s="188"/>
    </row>
    <row r="52" ht="15" hidden="1" spans="1:15">
      <c r="A52" s="198">
        <f t="shared" si="9"/>
        <v>4</v>
      </c>
      <c r="B52" s="199" t="s">
        <v>250</v>
      </c>
      <c r="C52" s="198"/>
      <c r="D52" s="200"/>
      <c r="E52" s="200"/>
      <c r="F52" s="199">
        <v>2000</v>
      </c>
      <c r="G52" s="199"/>
      <c r="H52" s="201">
        <v>500</v>
      </c>
      <c r="I52" s="201">
        <v>500</v>
      </c>
      <c r="J52" s="201">
        <v>500</v>
      </c>
      <c r="K52" s="201">
        <v>500</v>
      </c>
      <c r="L52" s="223">
        <f>F52-H52-I52-J52-K52</f>
        <v>0</v>
      </c>
      <c r="M52" s="224"/>
      <c r="N52" s="198"/>
      <c r="O52" s="188"/>
    </row>
    <row r="53" hidden="1" spans="1:15">
      <c r="A53" s="198">
        <f t="shared" si="9"/>
        <v>5</v>
      </c>
      <c r="B53" s="207" t="s">
        <v>251</v>
      </c>
      <c r="C53" s="198"/>
      <c r="D53" s="200"/>
      <c r="E53" s="200"/>
      <c r="F53" s="208">
        <v>1000</v>
      </c>
      <c r="G53" s="208"/>
      <c r="H53" s="201">
        <v>750</v>
      </c>
      <c r="I53" s="201"/>
      <c r="J53" s="201"/>
      <c r="K53" s="201">
        <v>250</v>
      </c>
      <c r="L53" s="223">
        <f>F53-H53-I53-J53-K53</f>
        <v>0</v>
      </c>
      <c r="M53" s="200"/>
      <c r="N53" s="232"/>
      <c r="O53" s="188"/>
    </row>
    <row r="54" ht="71.25" spans="1:15">
      <c r="A54" s="198">
        <f t="shared" si="9"/>
        <v>6</v>
      </c>
      <c r="B54" s="207" t="s">
        <v>252</v>
      </c>
      <c r="C54" s="198"/>
      <c r="D54" s="200"/>
      <c r="E54" s="200"/>
      <c r="F54" s="208">
        <v>1500</v>
      </c>
      <c r="G54" s="209">
        <v>616.09</v>
      </c>
      <c r="H54" s="201">
        <v>1815</v>
      </c>
      <c r="I54" s="201"/>
      <c r="J54" s="201"/>
      <c r="K54" s="201"/>
      <c r="L54" s="223">
        <f t="shared" ref="L54" si="10">F54-H54-I54-J54-K54+G54</f>
        <v>301.09</v>
      </c>
      <c r="M54" s="200"/>
      <c r="N54" s="232" t="s">
        <v>253</v>
      </c>
      <c r="O54" s="188"/>
    </row>
    <row r="55" ht="15" hidden="1" spans="1:15">
      <c r="A55" s="198">
        <f t="shared" si="9"/>
        <v>7</v>
      </c>
      <c r="B55" s="199" t="s">
        <v>254</v>
      </c>
      <c r="C55" s="198"/>
      <c r="D55" s="200"/>
      <c r="E55" s="200"/>
      <c r="F55" s="212">
        <v>1000</v>
      </c>
      <c r="G55" s="212"/>
      <c r="H55" s="213">
        <v>250</v>
      </c>
      <c r="I55" s="213">
        <v>250</v>
      </c>
      <c r="J55" s="213">
        <v>250</v>
      </c>
      <c r="K55" s="213">
        <v>250</v>
      </c>
      <c r="L55" s="233">
        <f>F55-H55-I55-J55-K55</f>
        <v>0</v>
      </c>
      <c r="M55" s="200"/>
      <c r="N55" s="198"/>
      <c r="O55" s="188"/>
    </row>
    <row r="56" ht="15" hidden="1" spans="1:15">
      <c r="A56" s="198">
        <f t="shared" si="9"/>
        <v>8</v>
      </c>
      <c r="B56" s="199" t="s">
        <v>255</v>
      </c>
      <c r="C56" s="204"/>
      <c r="D56" s="204"/>
      <c r="E56" s="204"/>
      <c r="F56" s="212">
        <v>2000</v>
      </c>
      <c r="G56" s="214"/>
      <c r="H56" s="215">
        <v>500</v>
      </c>
      <c r="I56" s="215">
        <v>500</v>
      </c>
      <c r="J56" s="215">
        <v>500</v>
      </c>
      <c r="K56" s="215">
        <v>500</v>
      </c>
      <c r="L56" s="215">
        <f>F56-H56-I56-J56-K56</f>
        <v>0</v>
      </c>
      <c r="M56" s="204"/>
      <c r="N56" s="28"/>
      <c r="O56" s="188"/>
    </row>
    <row r="57" ht="15" hidden="1" spans="1:15">
      <c r="A57" s="198">
        <f t="shared" si="9"/>
        <v>9</v>
      </c>
      <c r="B57" s="199" t="s">
        <v>256</v>
      </c>
      <c r="C57" s="205"/>
      <c r="D57" s="205"/>
      <c r="E57" s="205"/>
      <c r="F57" s="212">
        <v>1500</v>
      </c>
      <c r="G57" s="214"/>
      <c r="H57" s="216">
        <v>375</v>
      </c>
      <c r="I57" s="216">
        <v>375</v>
      </c>
      <c r="J57" s="216">
        <v>375</v>
      </c>
      <c r="K57" s="216">
        <v>375</v>
      </c>
      <c r="L57" s="216">
        <f>F57-H57-I57-J57-K57</f>
        <v>0</v>
      </c>
      <c r="M57" s="205"/>
      <c r="N57" s="28"/>
      <c r="O57" s="188"/>
    </row>
    <row r="58" ht="15" hidden="1" spans="1:15">
      <c r="A58" s="198">
        <f t="shared" si="9"/>
        <v>10</v>
      </c>
      <c r="B58" s="199" t="s">
        <v>257</v>
      </c>
      <c r="F58" s="212">
        <v>1000</v>
      </c>
      <c r="G58" s="214"/>
      <c r="H58" s="216">
        <v>250</v>
      </c>
      <c r="I58" s="216">
        <v>250</v>
      </c>
      <c r="J58" s="216">
        <v>250</v>
      </c>
      <c r="K58" s="216">
        <v>250</v>
      </c>
      <c r="L58" s="216">
        <f>F58-H58-I58-J58-K58</f>
        <v>0</v>
      </c>
      <c r="N58" s="28"/>
      <c r="O58" s="188"/>
    </row>
    <row r="59" spans="6:15">
      <c r="F59" s="216"/>
      <c r="G59" s="216"/>
      <c r="H59" s="216"/>
      <c r="I59" s="216"/>
      <c r="J59" s="216"/>
      <c r="K59" s="216"/>
      <c r="L59" s="216"/>
      <c r="N59" s="28"/>
      <c r="O59" s="188"/>
    </row>
    <row r="60" ht="15" spans="6:15">
      <c r="F60" s="206">
        <f>SUM(F49:F58)</f>
        <v>15500</v>
      </c>
      <c r="G60" s="206">
        <f>SUM(G49:G58)</f>
        <v>616.09</v>
      </c>
      <c r="H60" s="206">
        <f t="shared" ref="H60:L60" si="11">SUM(H49:H58)</f>
        <v>5815</v>
      </c>
      <c r="I60" s="206">
        <f t="shared" si="11"/>
        <v>3250</v>
      </c>
      <c r="J60" s="206">
        <f t="shared" si="11"/>
        <v>3250</v>
      </c>
      <c r="K60" s="206">
        <f t="shared" si="11"/>
        <v>3500</v>
      </c>
      <c r="L60" s="206">
        <f t="shared" si="11"/>
        <v>301.09</v>
      </c>
      <c r="N60" s="28"/>
      <c r="O60" s="231">
        <f>SUM(H60:K60)/(F60+G60)</f>
        <v>0.981317428731162</v>
      </c>
    </row>
    <row r="61" ht="15" spans="14:15">
      <c r="N61" s="28"/>
      <c r="O61" s="188"/>
    </row>
    <row r="62" spans="1:15">
      <c r="A62" s="28" t="s">
        <v>134</v>
      </c>
      <c r="N62" s="28"/>
      <c r="O62" s="188"/>
    </row>
    <row r="63" ht="28.5" spans="1:15">
      <c r="A63" s="22" t="s">
        <v>76</v>
      </c>
      <c r="B63" s="22" t="s">
        <v>77</v>
      </c>
      <c r="C63" s="22" t="s">
        <v>78</v>
      </c>
      <c r="D63" s="22" t="s">
        <v>79</v>
      </c>
      <c r="E63" s="22" t="s">
        <v>80</v>
      </c>
      <c r="F63" s="197" t="s">
        <v>81</v>
      </c>
      <c r="G63" s="191" t="str">
        <f>+G48</f>
        <v>Default Interest</v>
      </c>
      <c r="H63" s="197" t="str">
        <f>+H48</f>
        <v>First Week</v>
      </c>
      <c r="I63" s="197" t="s">
        <v>82</v>
      </c>
      <c r="J63" s="197" t="s">
        <v>83</v>
      </c>
      <c r="K63" s="197" t="s">
        <v>84</v>
      </c>
      <c r="L63" s="197" t="s">
        <v>85</v>
      </c>
      <c r="M63" s="197" t="e">
        <f>+M48</f>
        <v>#REF!</v>
      </c>
      <c r="N63" s="22" t="str">
        <f>+N48</f>
        <v>COMMENT</v>
      </c>
      <c r="O63" s="188"/>
    </row>
    <row r="64" spans="1:15">
      <c r="A64" s="198">
        <v>1</v>
      </c>
      <c r="B64" s="217" t="s">
        <v>258</v>
      </c>
      <c r="C64" s="198"/>
      <c r="D64" s="200"/>
      <c r="E64" s="200"/>
      <c r="F64" s="218">
        <v>3000</v>
      </c>
      <c r="G64" s="218">
        <v>1189.08</v>
      </c>
      <c r="H64" s="218"/>
      <c r="I64" s="201"/>
      <c r="J64" s="201"/>
      <c r="K64" s="201">
        <f>+[7]Sheet1!$E$53+170</f>
        <v>3000</v>
      </c>
      <c r="L64" s="223">
        <f>F64-H64-I64-J64-K64+G64</f>
        <v>1189.08</v>
      </c>
      <c r="M64" s="224"/>
      <c r="N64" s="198" t="s">
        <v>259</v>
      </c>
      <c r="O64" s="188"/>
    </row>
    <row r="65" spans="1:15">
      <c r="A65" s="198">
        <f>+A64+1</f>
        <v>2</v>
      </c>
      <c r="B65" s="217" t="s">
        <v>260</v>
      </c>
      <c r="C65" s="198"/>
      <c r="D65" s="200"/>
      <c r="E65" s="200"/>
      <c r="F65" s="218">
        <v>3500</v>
      </c>
      <c r="G65" s="218">
        <f>5009.78-F65+10</f>
        <v>1519.78</v>
      </c>
      <c r="H65" s="218"/>
      <c r="I65" s="201"/>
      <c r="J65" s="201"/>
      <c r="K65" s="201">
        <v>4448</v>
      </c>
      <c r="L65" s="223">
        <f t="shared" ref="L65:L70" si="12">F65-H65-I65-J65-K65+G65</f>
        <v>571.78</v>
      </c>
      <c r="M65" s="224"/>
      <c r="N65" s="198" t="s">
        <v>261</v>
      </c>
      <c r="O65" s="188"/>
    </row>
    <row r="66" spans="1:15">
      <c r="A66" s="198">
        <f t="shared" ref="A66:A72" si="13">+A65+1</f>
        <v>3</v>
      </c>
      <c r="B66" s="217" t="s">
        <v>262</v>
      </c>
      <c r="C66" s="198"/>
      <c r="D66" s="200"/>
      <c r="E66" s="200"/>
      <c r="F66" s="218">
        <v>3000</v>
      </c>
      <c r="G66" s="218">
        <v>1965.9</v>
      </c>
      <c r="H66" s="218"/>
      <c r="I66" s="201"/>
      <c r="J66" s="201"/>
      <c r="K66" s="201">
        <v>4500</v>
      </c>
      <c r="L66" s="223">
        <f t="shared" si="12"/>
        <v>465.9</v>
      </c>
      <c r="M66" s="224"/>
      <c r="N66" s="198" t="str">
        <f>+N65</f>
        <v>Police visit</v>
      </c>
      <c r="O66" s="188"/>
    </row>
    <row r="67" spans="1:15">
      <c r="A67" s="198">
        <f t="shared" si="13"/>
        <v>4</v>
      </c>
      <c r="B67" s="234" t="s">
        <v>229</v>
      </c>
      <c r="C67" s="198"/>
      <c r="D67" s="200"/>
      <c r="E67" s="200"/>
      <c r="F67" s="235">
        <v>3500</v>
      </c>
      <c r="G67" s="235"/>
      <c r="H67" s="235"/>
      <c r="I67" s="201"/>
      <c r="J67" s="201"/>
      <c r="K67" s="201">
        <v>3500</v>
      </c>
      <c r="L67" s="223">
        <f t="shared" si="12"/>
        <v>0</v>
      </c>
      <c r="M67" s="224"/>
      <c r="N67" s="198"/>
      <c r="O67" s="188"/>
    </row>
    <row r="68" spans="1:15">
      <c r="A68" s="198">
        <f t="shared" si="13"/>
        <v>5</v>
      </c>
      <c r="B68" s="234" t="s">
        <v>263</v>
      </c>
      <c r="C68" s="198"/>
      <c r="D68" s="200"/>
      <c r="E68" s="200"/>
      <c r="F68" s="235">
        <v>2000</v>
      </c>
      <c r="G68" s="235"/>
      <c r="H68" s="235"/>
      <c r="I68" s="201"/>
      <c r="J68" s="201"/>
      <c r="K68" s="201">
        <v>2000</v>
      </c>
      <c r="L68" s="223">
        <f t="shared" si="12"/>
        <v>0</v>
      </c>
      <c r="M68" s="224"/>
      <c r="N68" s="198"/>
      <c r="O68" s="188"/>
    </row>
    <row r="69" spans="1:15">
      <c r="A69" s="198">
        <f t="shared" si="13"/>
        <v>6</v>
      </c>
      <c r="B69" s="217" t="s">
        <v>264</v>
      </c>
      <c r="C69" s="198"/>
      <c r="D69" s="200"/>
      <c r="E69" s="200"/>
      <c r="F69" s="218">
        <v>3000</v>
      </c>
      <c r="G69" s="218">
        <v>1687.67</v>
      </c>
      <c r="H69" s="218"/>
      <c r="I69" s="201"/>
      <c r="J69" s="201"/>
      <c r="K69" s="201">
        <v>3780</v>
      </c>
      <c r="L69" s="223">
        <f t="shared" si="12"/>
        <v>907.67</v>
      </c>
      <c r="M69" s="224"/>
      <c r="N69" s="236" t="s">
        <v>265</v>
      </c>
      <c r="O69" s="188"/>
    </row>
    <row r="70" spans="1:15">
      <c r="A70" s="198">
        <f t="shared" si="13"/>
        <v>7</v>
      </c>
      <c r="B70" s="217" t="s">
        <v>243</v>
      </c>
      <c r="C70" s="198"/>
      <c r="D70" s="200"/>
      <c r="E70" s="200"/>
      <c r="F70" s="218">
        <v>3500</v>
      </c>
      <c r="G70" s="218">
        <v>1324.8</v>
      </c>
      <c r="H70" s="218">
        <v>0</v>
      </c>
      <c r="I70" s="201"/>
      <c r="J70" s="201"/>
      <c r="K70" s="201">
        <f>+[7]Sheet1!$E$59+200+300</f>
        <v>3247</v>
      </c>
      <c r="L70" s="223">
        <f t="shared" si="12"/>
        <v>1577.8</v>
      </c>
      <c r="M70" s="200"/>
      <c r="N70" s="198" t="s">
        <v>266</v>
      </c>
      <c r="O70" s="188"/>
    </row>
    <row r="71" ht="15" spans="1:15">
      <c r="A71" s="198">
        <f t="shared" si="13"/>
        <v>8</v>
      </c>
      <c r="B71" s="199" t="s">
        <v>237</v>
      </c>
      <c r="C71" s="198" t="s">
        <v>107</v>
      </c>
      <c r="D71" s="200"/>
      <c r="E71" s="200"/>
      <c r="F71" s="199">
        <v>3000</v>
      </c>
      <c r="G71" s="199"/>
      <c r="H71" s="199">
        <v>0</v>
      </c>
      <c r="I71" s="201"/>
      <c r="J71" s="201"/>
      <c r="K71" s="201">
        <v>3000</v>
      </c>
      <c r="L71" s="223">
        <f>F71-H71-I71-J71-K71</f>
        <v>0</v>
      </c>
      <c r="M71" s="200"/>
      <c r="N71" s="198"/>
      <c r="O71" s="188"/>
    </row>
    <row r="72" ht="15" spans="1:15">
      <c r="A72" s="198">
        <f t="shared" si="13"/>
        <v>9</v>
      </c>
      <c r="B72" s="199" t="s">
        <v>267</v>
      </c>
      <c r="C72" s="198" t="s">
        <v>109</v>
      </c>
      <c r="D72" s="200"/>
      <c r="E72" s="200"/>
      <c r="F72" s="199">
        <v>2000</v>
      </c>
      <c r="G72" s="199"/>
      <c r="H72" s="199">
        <v>0</v>
      </c>
      <c r="I72" s="201"/>
      <c r="J72" s="201"/>
      <c r="K72" s="201">
        <v>2000</v>
      </c>
      <c r="L72" s="223">
        <f>F72-H72-I72-J72-K72</f>
        <v>0</v>
      </c>
      <c r="M72" s="224"/>
      <c r="N72" s="198"/>
      <c r="O72" s="188"/>
    </row>
    <row r="73" spans="1:15">
      <c r="A73" s="205">
        <v>10</v>
      </c>
      <c r="B73" s="204" t="s">
        <v>268</v>
      </c>
      <c r="C73" s="204"/>
      <c r="D73" s="204"/>
      <c r="E73" s="204"/>
      <c r="F73" s="210">
        <v>2000</v>
      </c>
      <c r="G73" s="210"/>
      <c r="H73" s="210"/>
      <c r="I73" s="210"/>
      <c r="J73" s="210"/>
      <c r="K73" s="210">
        <v>2000</v>
      </c>
      <c r="L73" s="210"/>
      <c r="M73" s="204"/>
      <c r="N73" s="28"/>
      <c r="O73" s="188"/>
    </row>
    <row r="74" ht="15" spans="1:15">
      <c r="A74" s="205"/>
      <c r="B74" s="205"/>
      <c r="C74" s="205"/>
      <c r="D74" s="205"/>
      <c r="E74" s="205"/>
      <c r="F74" s="206">
        <f>SUM(F64:F73)</f>
        <v>28500</v>
      </c>
      <c r="G74" s="206">
        <f t="shared" ref="G74:L74" si="14">SUM(G64:G73)</f>
        <v>7687.23</v>
      </c>
      <c r="H74" s="206">
        <f t="shared" si="14"/>
        <v>0</v>
      </c>
      <c r="I74" s="206">
        <f t="shared" si="14"/>
        <v>0</v>
      </c>
      <c r="J74" s="206">
        <f t="shared" si="14"/>
        <v>0</v>
      </c>
      <c r="K74" s="206">
        <f t="shared" si="14"/>
        <v>31475</v>
      </c>
      <c r="L74" s="206">
        <f t="shared" si="14"/>
        <v>4712.23</v>
      </c>
      <c r="M74" s="205"/>
      <c r="N74" s="28"/>
      <c r="O74" s="231">
        <f>SUM(H74:K74)/(F74+G74)</f>
        <v>0.869781964521739</v>
      </c>
    </row>
    <row r="75" ht="15"/>
  </sheetData>
  <pageMargins left="0.7" right="0.7" top="0.75" bottom="0.75" header="0.3" footer="0.3"/>
  <pageSetup paperSize="1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64"/>
  <sheetViews>
    <sheetView tabSelected="1" topLeftCell="B1" workbookViewId="0">
      <selection activeCell="E49" sqref="E49"/>
    </sheetView>
  </sheetViews>
  <sheetFormatPr defaultColWidth="9" defaultRowHeight="15.75"/>
  <cols>
    <col min="1" max="1" width="20.7142857142857" style="122" customWidth="1"/>
    <col min="2" max="2" width="18.8571428571429" style="122" customWidth="1"/>
    <col min="3" max="4" width="15.4285714285714" style="122" customWidth="1"/>
    <col min="5" max="5" width="15.7142857142857" style="122" customWidth="1"/>
    <col min="6" max="6" width="15" style="122" customWidth="1"/>
    <col min="7" max="7" width="12.5714285714286" style="122" customWidth="1"/>
    <col min="8" max="8" width="10.7142857142857" style="122" customWidth="1"/>
    <col min="9" max="9" width="11.5714285714286" style="122" customWidth="1"/>
    <col min="10" max="10" width="13.8571428571429" style="122" customWidth="1"/>
    <col min="11" max="11" width="11.5714285714286" style="122" customWidth="1"/>
    <col min="12" max="12" width="12.1428571428571" style="122" customWidth="1"/>
    <col min="13" max="16361" width="9.14285714285714" style="122"/>
    <col min="16362" max="16384" width="9" style="122"/>
  </cols>
  <sheetData>
    <row r="1" spans="1:1">
      <c r="A1" s="122" t="str">
        <f>+[3]SUMMARY!A1</f>
        <v>LAXMI CAPITAL SOLUTIONS LIMITED</v>
      </c>
    </row>
    <row r="2" spans="1:1">
      <c r="A2" s="122" t="str">
        <f>+[3]SUMMARY!A2</f>
        <v>LOAN DISBURSEMENT SUMMARY</v>
      </c>
    </row>
    <row r="3" spans="1:2">
      <c r="A3" s="122" t="s">
        <v>65</v>
      </c>
      <c r="B3" s="122" t="s">
        <v>269</v>
      </c>
    </row>
    <row r="4" spans="1:2">
      <c r="A4" s="122" t="s">
        <v>66</v>
      </c>
      <c r="B4" s="122" t="s">
        <v>270</v>
      </c>
    </row>
    <row r="6" ht="31.5" spans="1:11">
      <c r="A6" s="123" t="str">
        <f>+CHAZANGA!B7</f>
        <v>Frequency of loans</v>
      </c>
      <c r="B6" s="124" t="s">
        <v>271</v>
      </c>
      <c r="C6" s="125" t="s">
        <v>69</v>
      </c>
      <c r="D6" s="125" t="s">
        <v>272</v>
      </c>
      <c r="E6" s="124" t="s">
        <v>273</v>
      </c>
      <c r="F6" s="126" t="s">
        <v>274</v>
      </c>
      <c r="G6" s="126" t="s">
        <v>275</v>
      </c>
      <c r="H6" s="124" t="s">
        <v>276</v>
      </c>
      <c r="I6" s="169" t="s">
        <v>72</v>
      </c>
      <c r="J6" s="170" t="str">
        <f>+CHAZANGA!H7</f>
        <v>Default Interest Oustanding</v>
      </c>
      <c r="K6" s="170" t="str">
        <f>+CHAZANGA!I7</f>
        <v>Total Actual Plus Default</v>
      </c>
    </row>
    <row r="7" spans="1:11">
      <c r="A7" s="127" t="s">
        <v>277</v>
      </c>
      <c r="B7" s="128">
        <v>21</v>
      </c>
      <c r="C7" s="129">
        <f>+E27+E35+E50</f>
        <v>106500</v>
      </c>
      <c r="D7" s="129">
        <f>+C7*28/100</f>
        <v>29820</v>
      </c>
      <c r="E7" s="130">
        <f>21*300</f>
        <v>6300</v>
      </c>
      <c r="F7" s="129">
        <f>+F27+F35+F50</f>
        <v>82300</v>
      </c>
      <c r="G7" s="131">
        <v>0</v>
      </c>
      <c r="H7" s="130">
        <f>+C7-F7-G7</f>
        <v>24200</v>
      </c>
      <c r="I7" s="171">
        <f>+F7/C7</f>
        <v>0.772769953051643</v>
      </c>
      <c r="J7" s="172">
        <v>0</v>
      </c>
      <c r="K7" s="173">
        <f>+H7+G7</f>
        <v>24200</v>
      </c>
    </row>
    <row r="8" hidden="1" spans="1:11">
      <c r="A8" s="132"/>
      <c r="B8" s="121"/>
      <c r="C8" s="121"/>
      <c r="D8" s="121"/>
      <c r="E8" s="133">
        <f>+[8]Sheet1!$C$24</f>
        <v>373750</v>
      </c>
      <c r="F8" s="133"/>
      <c r="G8" s="133"/>
      <c r="H8" s="121"/>
      <c r="I8" s="166"/>
      <c r="J8" s="121"/>
      <c r="K8" s="121"/>
    </row>
    <row r="9" hidden="1" spans="1:11">
      <c r="A9" s="132"/>
      <c r="B9" s="121"/>
      <c r="C9" s="121"/>
      <c r="D9" s="121"/>
      <c r="E9" s="133" t="e">
        <f>+#REF!-E8</f>
        <v>#REF!</v>
      </c>
      <c r="F9" s="133"/>
      <c r="G9" s="133"/>
      <c r="H9" s="121"/>
      <c r="I9" s="166"/>
      <c r="J9" s="121"/>
      <c r="K9" s="121"/>
    </row>
    <row r="10" spans="1:11">
      <c r="A10" s="127" t="s">
        <v>278</v>
      </c>
      <c r="B10" s="121">
        <v>8</v>
      </c>
      <c r="C10" s="134">
        <f>+E64</f>
        <v>31500</v>
      </c>
      <c r="D10" s="135">
        <f>+C10*28/100</f>
        <v>8820</v>
      </c>
      <c r="E10" s="134">
        <f>+K64</f>
        <v>2700</v>
      </c>
      <c r="F10" s="134">
        <f>+F64</f>
        <v>1500</v>
      </c>
      <c r="G10" s="135">
        <v>0</v>
      </c>
      <c r="H10" s="136">
        <f>C10-F10</f>
        <v>30000</v>
      </c>
      <c r="I10" s="171">
        <f>F10/C10</f>
        <v>0.0476190476190476</v>
      </c>
      <c r="J10" s="173">
        <v>0</v>
      </c>
      <c r="K10" s="174">
        <f>+L64</f>
        <v>30000</v>
      </c>
    </row>
    <row r="11" spans="1:11">
      <c r="A11" s="127"/>
      <c r="B11" s="121"/>
      <c r="C11" s="134"/>
      <c r="D11" s="135"/>
      <c r="E11" s="135"/>
      <c r="F11" s="134"/>
      <c r="G11" s="135"/>
      <c r="H11" s="136"/>
      <c r="I11" s="171"/>
      <c r="J11" s="173"/>
      <c r="K11" s="175"/>
    </row>
    <row r="12" ht="16.5" spans="1:11">
      <c r="A12" s="127" t="s">
        <v>279</v>
      </c>
      <c r="B12" s="137">
        <f>+B7+B10</f>
        <v>29</v>
      </c>
      <c r="C12" s="138">
        <f>+C7+C10</f>
        <v>138000</v>
      </c>
      <c r="D12" s="139">
        <f>+C12*28/100</f>
        <v>38640</v>
      </c>
      <c r="E12" s="139">
        <f>+E7+E10</f>
        <v>9000</v>
      </c>
      <c r="F12" s="139">
        <f>+F7+F10</f>
        <v>83800</v>
      </c>
      <c r="G12" s="140">
        <f>+G5+G8+G9</f>
        <v>0</v>
      </c>
      <c r="H12" s="139">
        <f>+H7+H10</f>
        <v>54200</v>
      </c>
      <c r="I12" s="176">
        <f>+F12/C12</f>
        <v>0.607246376811594</v>
      </c>
      <c r="J12" s="140">
        <f>+J5+J8+J9</f>
        <v>0</v>
      </c>
      <c r="K12" s="139">
        <f>+K7+K10</f>
        <v>54200</v>
      </c>
    </row>
    <row r="13" ht="16.5" spans="1:11">
      <c r="A13" s="132"/>
      <c r="B13" s="141"/>
      <c r="C13" s="142"/>
      <c r="D13" s="143"/>
      <c r="E13" s="143"/>
      <c r="F13" s="143"/>
      <c r="G13" s="144"/>
      <c r="H13" s="143"/>
      <c r="I13" s="177"/>
      <c r="J13" s="144"/>
      <c r="K13" s="143"/>
    </row>
    <row r="14" spans="1:11">
      <c r="A14" s="132"/>
      <c r="B14" s="145"/>
      <c r="C14" s="146"/>
      <c r="D14" s="147"/>
      <c r="E14" s="147"/>
      <c r="F14" s="147"/>
      <c r="G14" s="148"/>
      <c r="H14" s="147"/>
      <c r="I14" s="178"/>
      <c r="J14" s="148"/>
      <c r="K14" s="147"/>
    </row>
    <row r="16" spans="1:5">
      <c r="A16" s="127" t="s">
        <v>280</v>
      </c>
      <c r="E16" s="132" t="s">
        <v>281</v>
      </c>
    </row>
    <row r="17" ht="31.5" spans="1:12">
      <c r="A17" s="123" t="s">
        <v>76</v>
      </c>
      <c r="B17" s="123" t="s">
        <v>282</v>
      </c>
      <c r="C17" s="123" t="s">
        <v>283</v>
      </c>
      <c r="D17" s="123" t="s">
        <v>284</v>
      </c>
      <c r="E17" s="149" t="s">
        <v>69</v>
      </c>
      <c r="F17" s="150" t="s">
        <v>274</v>
      </c>
      <c r="G17" s="123" t="s">
        <v>72</v>
      </c>
      <c r="H17" s="150" t="s">
        <v>285</v>
      </c>
      <c r="I17" s="150" t="s">
        <v>275</v>
      </c>
      <c r="J17" s="179" t="s">
        <v>272</v>
      </c>
      <c r="K17" s="123" t="s">
        <v>273</v>
      </c>
      <c r="L17" s="149" t="s">
        <v>276</v>
      </c>
    </row>
    <row r="19" spans="1:12">
      <c r="A19" s="122">
        <v>1</v>
      </c>
      <c r="B19" s="122" t="s">
        <v>286</v>
      </c>
      <c r="C19" s="122" t="s">
        <v>287</v>
      </c>
      <c r="D19" s="335" t="s">
        <v>288</v>
      </c>
      <c r="E19" s="151">
        <v>5000</v>
      </c>
      <c r="F19" s="151">
        <v>5000</v>
      </c>
      <c r="G19" s="152">
        <f t="shared" ref="G19:G27" si="0">+F19/(E19)</f>
        <v>1</v>
      </c>
      <c r="H19" s="151">
        <v>0</v>
      </c>
      <c r="I19" s="151">
        <v>0</v>
      </c>
      <c r="J19" s="180">
        <f>+E19*0.28</f>
        <v>1400</v>
      </c>
      <c r="K19" s="151">
        <v>300</v>
      </c>
      <c r="L19" s="181">
        <f t="shared" ref="L19:L26" si="1">E19-F19+H19+I19</f>
        <v>0</v>
      </c>
    </row>
    <row r="20" spans="1:12">
      <c r="A20" s="122">
        <f>+A19+1</f>
        <v>2</v>
      </c>
      <c r="B20" s="122" t="s">
        <v>289</v>
      </c>
      <c r="C20" s="122" t="s">
        <v>290</v>
      </c>
      <c r="D20" s="335" t="s">
        <v>291</v>
      </c>
      <c r="E20" s="151">
        <v>5000</v>
      </c>
      <c r="F20" s="151">
        <v>5000</v>
      </c>
      <c r="G20" s="152">
        <f t="shared" si="0"/>
        <v>1</v>
      </c>
      <c r="H20" s="151">
        <v>0</v>
      </c>
      <c r="I20" s="151">
        <v>0</v>
      </c>
      <c r="J20" s="151">
        <f t="shared" ref="J19:J26" si="2">+E20*0.28</f>
        <v>1400</v>
      </c>
      <c r="K20" s="151">
        <v>300</v>
      </c>
      <c r="L20" s="181">
        <f t="shared" si="1"/>
        <v>0</v>
      </c>
    </row>
    <row r="21" spans="1:12">
      <c r="A21" s="122">
        <f t="shared" ref="A21:A26" si="3">+A20+1</f>
        <v>3</v>
      </c>
      <c r="B21" s="122" t="s">
        <v>292</v>
      </c>
      <c r="C21" s="122" t="s">
        <v>293</v>
      </c>
      <c r="D21" s="335" t="s">
        <v>294</v>
      </c>
      <c r="E21" s="151">
        <v>10000</v>
      </c>
      <c r="F21" s="151">
        <v>10000</v>
      </c>
      <c r="G21" s="152">
        <f t="shared" si="0"/>
        <v>1</v>
      </c>
      <c r="H21" s="151">
        <v>0</v>
      </c>
      <c r="I21" s="151">
        <v>0</v>
      </c>
      <c r="J21" s="151">
        <f t="shared" si="2"/>
        <v>2800</v>
      </c>
      <c r="K21" s="151">
        <v>300</v>
      </c>
      <c r="L21" s="181">
        <f t="shared" si="1"/>
        <v>0</v>
      </c>
    </row>
    <row r="22" spans="1:12">
      <c r="A22" s="122">
        <f t="shared" si="3"/>
        <v>4</v>
      </c>
      <c r="B22" s="122" t="s">
        <v>295</v>
      </c>
      <c r="C22" s="122" t="s">
        <v>296</v>
      </c>
      <c r="D22" s="335" t="s">
        <v>297</v>
      </c>
      <c r="E22" s="151">
        <v>10000</v>
      </c>
      <c r="F22" s="151">
        <v>10000</v>
      </c>
      <c r="G22" s="152">
        <f t="shared" si="0"/>
        <v>1</v>
      </c>
      <c r="H22" s="151">
        <v>0</v>
      </c>
      <c r="I22" s="151">
        <v>0</v>
      </c>
      <c r="J22" s="151">
        <f t="shared" si="2"/>
        <v>2800</v>
      </c>
      <c r="K22" s="151">
        <v>300</v>
      </c>
      <c r="L22" s="181">
        <f t="shared" si="1"/>
        <v>0</v>
      </c>
    </row>
    <row r="23" spans="1:12">
      <c r="A23" s="122">
        <f t="shared" si="3"/>
        <v>5</v>
      </c>
      <c r="B23" s="122" t="s">
        <v>298</v>
      </c>
      <c r="C23" s="122" t="s">
        <v>299</v>
      </c>
      <c r="D23" s="335" t="s">
        <v>300</v>
      </c>
      <c r="E23" s="151">
        <v>5000</v>
      </c>
      <c r="F23" s="151">
        <v>5000</v>
      </c>
      <c r="G23" s="152">
        <f t="shared" si="0"/>
        <v>1</v>
      </c>
      <c r="H23" s="151">
        <v>0</v>
      </c>
      <c r="I23" s="151">
        <v>0</v>
      </c>
      <c r="J23" s="151">
        <f t="shared" si="2"/>
        <v>1400</v>
      </c>
      <c r="K23" s="151">
        <v>300</v>
      </c>
      <c r="L23" s="181">
        <f t="shared" si="1"/>
        <v>0</v>
      </c>
    </row>
    <row r="24" spans="1:12">
      <c r="A24" s="122">
        <f t="shared" si="3"/>
        <v>6</v>
      </c>
      <c r="B24" s="122" t="s">
        <v>301</v>
      </c>
      <c r="C24" s="122" t="s">
        <v>302</v>
      </c>
      <c r="D24" s="335" t="s">
        <v>303</v>
      </c>
      <c r="E24" s="151">
        <v>3000</v>
      </c>
      <c r="F24" s="151">
        <v>3000</v>
      </c>
      <c r="G24" s="152">
        <f t="shared" si="0"/>
        <v>1</v>
      </c>
      <c r="H24" s="151">
        <v>0</v>
      </c>
      <c r="I24" s="151">
        <v>0</v>
      </c>
      <c r="J24" s="151">
        <f t="shared" si="2"/>
        <v>840</v>
      </c>
      <c r="K24" s="151">
        <v>300</v>
      </c>
      <c r="L24" s="181">
        <f t="shared" si="1"/>
        <v>0</v>
      </c>
    </row>
    <row r="25" spans="1:12">
      <c r="A25" s="122">
        <f t="shared" si="3"/>
        <v>7</v>
      </c>
      <c r="B25" s="122" t="s">
        <v>304</v>
      </c>
      <c r="C25" s="122" t="s">
        <v>305</v>
      </c>
      <c r="D25" s="335" t="s">
        <v>306</v>
      </c>
      <c r="E25" s="151">
        <v>3000</v>
      </c>
      <c r="F25" s="151">
        <v>3000</v>
      </c>
      <c r="G25" s="152">
        <f t="shared" si="0"/>
        <v>1</v>
      </c>
      <c r="H25" s="151">
        <v>0</v>
      </c>
      <c r="I25" s="151">
        <v>0</v>
      </c>
      <c r="J25" s="151">
        <f t="shared" si="2"/>
        <v>840</v>
      </c>
      <c r="K25" s="151">
        <v>300</v>
      </c>
      <c r="L25" s="181">
        <f t="shared" si="1"/>
        <v>0</v>
      </c>
    </row>
    <row r="26" spans="1:12">
      <c r="A26" s="122">
        <f t="shared" si="3"/>
        <v>8</v>
      </c>
      <c r="B26" s="122" t="s">
        <v>307</v>
      </c>
      <c r="C26" s="122" t="s">
        <v>308</v>
      </c>
      <c r="D26" s="335" t="s">
        <v>309</v>
      </c>
      <c r="E26" s="151">
        <v>10000</v>
      </c>
      <c r="F26" s="151">
        <v>4600</v>
      </c>
      <c r="G26" s="152">
        <f t="shared" si="0"/>
        <v>0.46</v>
      </c>
      <c r="H26" s="151">
        <v>0</v>
      </c>
      <c r="I26" s="151">
        <v>0</v>
      </c>
      <c r="J26" s="151">
        <f t="shared" si="2"/>
        <v>2800</v>
      </c>
      <c r="K26" s="151">
        <v>300</v>
      </c>
      <c r="L26" s="181">
        <f t="shared" si="1"/>
        <v>5400</v>
      </c>
    </row>
    <row r="27" s="121" customFormat="1" ht="16.5" spans="5:12">
      <c r="E27" s="153">
        <f t="shared" ref="E27:L27" si="4">SUM(E19:E26)</f>
        <v>51000</v>
      </c>
      <c r="F27" s="153">
        <f t="shared" si="4"/>
        <v>45600</v>
      </c>
      <c r="G27" s="154">
        <f>F27/E27</f>
        <v>0.894117647058824</v>
      </c>
      <c r="H27" s="153">
        <f t="shared" si="4"/>
        <v>0</v>
      </c>
      <c r="I27" s="153">
        <f t="shared" si="4"/>
        <v>0</v>
      </c>
      <c r="J27" s="182">
        <f t="shared" si="4"/>
        <v>14280</v>
      </c>
      <c r="K27" s="182">
        <f t="shared" si="4"/>
        <v>2400</v>
      </c>
      <c r="L27" s="182">
        <f t="shared" si="4"/>
        <v>5400</v>
      </c>
    </row>
    <row r="28" s="121" customFormat="1" ht="16.5" spans="2:12">
      <c r="B28" s="155"/>
      <c r="C28" s="155"/>
      <c r="D28" s="155"/>
      <c r="E28" s="130"/>
      <c r="F28" s="130"/>
      <c r="G28" s="130"/>
      <c r="H28" s="130"/>
      <c r="I28" s="130"/>
      <c r="J28" s="130"/>
      <c r="K28" s="130"/>
      <c r="L28" s="130"/>
    </row>
    <row r="29" s="121" customFormat="1" spans="1:12">
      <c r="A29" s="127" t="s">
        <v>310</v>
      </c>
      <c r="E29" s="156" t="s">
        <v>311</v>
      </c>
      <c r="F29" s="135"/>
      <c r="G29" s="135"/>
      <c r="H29" s="135"/>
      <c r="I29" s="135"/>
      <c r="J29" s="135"/>
      <c r="K29" s="135"/>
      <c r="L29" s="135"/>
    </row>
    <row r="30" ht="31.5" spans="1:12">
      <c r="A30" s="123" t="s">
        <v>76</v>
      </c>
      <c r="B30" s="123" t="s">
        <v>282</v>
      </c>
      <c r="C30" s="123" t="s">
        <v>283</v>
      </c>
      <c r="D30" s="123" t="s">
        <v>284</v>
      </c>
      <c r="E30" s="157" t="s">
        <v>69</v>
      </c>
      <c r="F30" s="157" t="s">
        <v>274</v>
      </c>
      <c r="G30" s="158" t="s">
        <v>72</v>
      </c>
      <c r="H30" s="157" t="s">
        <v>285</v>
      </c>
      <c r="I30" s="157" t="s">
        <v>275</v>
      </c>
      <c r="J30" s="183" t="s">
        <v>272</v>
      </c>
      <c r="K30" s="158" t="s">
        <v>273</v>
      </c>
      <c r="L30" s="157" t="s">
        <v>276</v>
      </c>
    </row>
    <row r="31" spans="5:12">
      <c r="E31" s="151"/>
      <c r="F31" s="151"/>
      <c r="G31" s="152"/>
      <c r="H31" s="151"/>
      <c r="I31" s="151"/>
      <c r="J31" s="151"/>
      <c r="K31" s="151"/>
      <c r="L31" s="151"/>
    </row>
    <row r="32" spans="1:12">
      <c r="A32" s="122">
        <v>1</v>
      </c>
      <c r="B32" s="122" t="s">
        <v>312</v>
      </c>
      <c r="C32" s="122" t="s">
        <v>313</v>
      </c>
      <c r="D32" s="335" t="s">
        <v>314</v>
      </c>
      <c r="E32" s="151">
        <v>3000</v>
      </c>
      <c r="F32" s="151">
        <v>3000</v>
      </c>
      <c r="G32" s="152">
        <f>+F32/E32</f>
        <v>1</v>
      </c>
      <c r="H32" s="151">
        <v>0</v>
      </c>
      <c r="I32" s="151">
        <v>0</v>
      </c>
      <c r="J32" s="151">
        <f>+E32*0.28</f>
        <v>840</v>
      </c>
      <c r="K32" s="151">
        <v>300</v>
      </c>
      <c r="L32" s="151">
        <f>+E32-F32</f>
        <v>0</v>
      </c>
    </row>
    <row r="33" spans="1:12">
      <c r="A33" s="122">
        <v>2</v>
      </c>
      <c r="B33" s="122" t="s">
        <v>315</v>
      </c>
      <c r="C33" s="122" t="s">
        <v>316</v>
      </c>
      <c r="D33" s="335" t="s">
        <v>317</v>
      </c>
      <c r="E33" s="151">
        <v>3000</v>
      </c>
      <c r="F33" s="151">
        <v>0</v>
      </c>
      <c r="G33" s="152">
        <f>+F33/E33</f>
        <v>0</v>
      </c>
      <c r="H33" s="151">
        <v>0</v>
      </c>
      <c r="I33" s="151">
        <v>0</v>
      </c>
      <c r="J33" s="151">
        <f>+E33*0.28</f>
        <v>840</v>
      </c>
      <c r="K33" s="151">
        <v>300</v>
      </c>
      <c r="L33" s="151">
        <f>+E33-F33</f>
        <v>3000</v>
      </c>
    </row>
    <row r="34" spans="1:12">
      <c r="A34" s="122">
        <v>3</v>
      </c>
      <c r="B34" s="122" t="s">
        <v>318</v>
      </c>
      <c r="C34" s="122" t="s">
        <v>319</v>
      </c>
      <c r="D34" s="335" t="s">
        <v>320</v>
      </c>
      <c r="E34" s="159">
        <v>1500</v>
      </c>
      <c r="F34" s="135">
        <v>1500</v>
      </c>
      <c r="G34" s="160">
        <f>+F34/E34</f>
        <v>1</v>
      </c>
      <c r="H34" s="135">
        <v>0</v>
      </c>
      <c r="I34" s="159">
        <v>0</v>
      </c>
      <c r="J34" s="159">
        <v>420</v>
      </c>
      <c r="K34" s="159">
        <v>300</v>
      </c>
      <c r="L34" s="159">
        <f>+E34-F34</f>
        <v>0</v>
      </c>
    </row>
    <row r="35" ht="16.5" spans="5:12">
      <c r="E35" s="161">
        <v>7500</v>
      </c>
      <c r="F35" s="162">
        <f>F32+F33+F34</f>
        <v>4500</v>
      </c>
      <c r="G35" s="154">
        <f>F35/E35</f>
        <v>0.6</v>
      </c>
      <c r="H35" s="153">
        <v>0</v>
      </c>
      <c r="I35" s="153">
        <v>0</v>
      </c>
      <c r="J35" s="184">
        <v>2100</v>
      </c>
      <c r="K35" s="185">
        <v>900</v>
      </c>
      <c r="L35" s="186">
        <f>+L32+L33+L34</f>
        <v>3000</v>
      </c>
    </row>
    <row r="37" spans="1:12">
      <c r="A37" s="127" t="s">
        <v>321</v>
      </c>
      <c r="B37" s="121"/>
      <c r="C37" s="121"/>
      <c r="D37" s="121"/>
      <c r="E37" s="156" t="s">
        <v>322</v>
      </c>
      <c r="F37" s="135"/>
      <c r="G37" s="135"/>
      <c r="H37" s="135"/>
      <c r="I37" s="135"/>
      <c r="J37" s="135"/>
      <c r="K37" s="135"/>
      <c r="L37" s="135"/>
    </row>
    <row r="38" ht="31.5" spans="1:12">
      <c r="A38" s="123" t="s">
        <v>76</v>
      </c>
      <c r="B38" s="123" t="s">
        <v>282</v>
      </c>
      <c r="C38" s="123" t="s">
        <v>283</v>
      </c>
      <c r="D38" s="123" t="s">
        <v>284</v>
      </c>
      <c r="E38" s="157" t="s">
        <v>69</v>
      </c>
      <c r="F38" s="157" t="s">
        <v>274</v>
      </c>
      <c r="G38" s="158" t="s">
        <v>72</v>
      </c>
      <c r="H38" s="157" t="s">
        <v>285</v>
      </c>
      <c r="I38" s="157" t="s">
        <v>275</v>
      </c>
      <c r="J38" s="183" t="s">
        <v>272</v>
      </c>
      <c r="K38" s="158" t="s">
        <v>273</v>
      </c>
      <c r="L38" s="157" t="s">
        <v>276</v>
      </c>
    </row>
    <row r="40" spans="1:12">
      <c r="A40" s="122">
        <v>1</v>
      </c>
      <c r="B40" s="163" t="s">
        <v>323</v>
      </c>
      <c r="C40" s="122" t="s">
        <v>290</v>
      </c>
      <c r="D40" s="335" t="s">
        <v>291</v>
      </c>
      <c r="E40" s="151">
        <v>5000</v>
      </c>
      <c r="F40" s="151">
        <v>3750</v>
      </c>
      <c r="G40" s="152">
        <f t="shared" ref="G40:G49" si="5">F40/E40</f>
        <v>0.75</v>
      </c>
      <c r="H40" s="151">
        <v>0</v>
      </c>
      <c r="I40" s="151">
        <v>0</v>
      </c>
      <c r="J40" s="151">
        <f t="shared" ref="J40:J45" si="6">+E40*28/100</f>
        <v>1400</v>
      </c>
      <c r="K40" s="151">
        <v>300</v>
      </c>
      <c r="L40" s="151">
        <f t="shared" ref="L40:L45" si="7">+E40-F40</f>
        <v>1250</v>
      </c>
    </row>
    <row r="41" spans="1:12">
      <c r="A41" s="122">
        <f>+A40+1</f>
        <v>2</v>
      </c>
      <c r="B41" s="163" t="s">
        <v>324</v>
      </c>
      <c r="C41" s="163" t="s">
        <v>302</v>
      </c>
      <c r="D41" s="163" t="s">
        <v>303</v>
      </c>
      <c r="E41" s="164">
        <v>3000</v>
      </c>
      <c r="F41" s="151">
        <v>3000</v>
      </c>
      <c r="G41" s="152">
        <f t="shared" si="5"/>
        <v>1</v>
      </c>
      <c r="H41" s="151">
        <v>0</v>
      </c>
      <c r="I41" s="151">
        <v>0</v>
      </c>
      <c r="J41" s="151">
        <f t="shared" si="6"/>
        <v>840</v>
      </c>
      <c r="K41" s="151">
        <v>300</v>
      </c>
      <c r="L41" s="151">
        <f t="shared" si="7"/>
        <v>0</v>
      </c>
    </row>
    <row r="42" spans="1:12">
      <c r="A42" s="122">
        <f t="shared" ref="A42:A48" si="8">+A41+1</f>
        <v>3</v>
      </c>
      <c r="B42" s="122" t="s">
        <v>304</v>
      </c>
      <c r="C42" s="122" t="s">
        <v>305</v>
      </c>
      <c r="D42" s="335" t="s">
        <v>306</v>
      </c>
      <c r="E42" s="151">
        <v>3000</v>
      </c>
      <c r="F42" s="151">
        <v>0</v>
      </c>
      <c r="G42" s="152">
        <f t="shared" si="5"/>
        <v>0</v>
      </c>
      <c r="H42" s="151">
        <v>0</v>
      </c>
      <c r="I42" s="151">
        <v>0</v>
      </c>
      <c r="J42" s="180">
        <f t="shared" si="6"/>
        <v>840</v>
      </c>
      <c r="K42" s="151">
        <v>300</v>
      </c>
      <c r="L42" s="180">
        <f t="shared" si="7"/>
        <v>3000</v>
      </c>
    </row>
    <row r="43" spans="1:12">
      <c r="A43" s="122">
        <f t="shared" si="8"/>
        <v>4</v>
      </c>
      <c r="B43" s="122" t="s">
        <v>292</v>
      </c>
      <c r="C43" s="122" t="s">
        <v>293</v>
      </c>
      <c r="D43" s="335" t="s">
        <v>294</v>
      </c>
      <c r="E43" s="151">
        <v>10000</v>
      </c>
      <c r="F43" s="151">
        <v>10000</v>
      </c>
      <c r="G43" s="152">
        <f t="shared" si="5"/>
        <v>1</v>
      </c>
      <c r="H43" s="151">
        <v>0</v>
      </c>
      <c r="I43" s="151">
        <v>0</v>
      </c>
      <c r="J43" s="180">
        <f t="shared" si="6"/>
        <v>2800</v>
      </c>
      <c r="K43" s="151">
        <v>300</v>
      </c>
      <c r="L43" s="180">
        <f t="shared" si="7"/>
        <v>0</v>
      </c>
    </row>
    <row r="44" spans="1:12">
      <c r="A44" s="122">
        <f t="shared" si="8"/>
        <v>5</v>
      </c>
      <c r="B44" s="122" t="s">
        <v>295</v>
      </c>
      <c r="C44" s="122" t="s">
        <v>296</v>
      </c>
      <c r="D44" s="335" t="s">
        <v>297</v>
      </c>
      <c r="E44" s="151">
        <v>10000</v>
      </c>
      <c r="F44" s="151">
        <v>10000</v>
      </c>
      <c r="G44" s="152">
        <f t="shared" si="5"/>
        <v>1</v>
      </c>
      <c r="H44" s="151">
        <v>0</v>
      </c>
      <c r="I44" s="151">
        <v>0</v>
      </c>
      <c r="J44" s="180">
        <f t="shared" si="6"/>
        <v>2800</v>
      </c>
      <c r="K44" s="151">
        <v>300</v>
      </c>
      <c r="L44" s="180">
        <f t="shared" si="7"/>
        <v>0</v>
      </c>
    </row>
    <row r="45" spans="1:12">
      <c r="A45" s="122">
        <f t="shared" si="8"/>
        <v>6</v>
      </c>
      <c r="B45" s="122" t="s">
        <v>298</v>
      </c>
      <c r="C45" s="122" t="s">
        <v>299</v>
      </c>
      <c r="D45" s="335" t="s">
        <v>300</v>
      </c>
      <c r="E45" s="151">
        <v>5000</v>
      </c>
      <c r="F45" s="151">
        <v>2500</v>
      </c>
      <c r="G45" s="152">
        <f t="shared" si="5"/>
        <v>0.5</v>
      </c>
      <c r="H45" s="151">
        <v>0</v>
      </c>
      <c r="I45" s="151">
        <v>0</v>
      </c>
      <c r="J45" s="180">
        <f t="shared" si="6"/>
        <v>1400</v>
      </c>
      <c r="K45" s="151">
        <v>300</v>
      </c>
      <c r="L45" s="180">
        <f t="shared" si="7"/>
        <v>2500</v>
      </c>
    </row>
    <row r="46" spans="1:12">
      <c r="A46" s="122">
        <f t="shared" si="8"/>
        <v>7</v>
      </c>
      <c r="B46" s="163" t="s">
        <v>325</v>
      </c>
      <c r="C46" s="163" t="s">
        <v>326</v>
      </c>
      <c r="D46" s="335" t="s">
        <v>327</v>
      </c>
      <c r="E46" s="151">
        <v>2000</v>
      </c>
      <c r="F46" s="151">
        <v>700</v>
      </c>
      <c r="G46" s="152">
        <f t="shared" si="5"/>
        <v>0.35</v>
      </c>
      <c r="H46" s="151">
        <v>0</v>
      </c>
      <c r="I46" s="151">
        <v>0</v>
      </c>
      <c r="J46" s="151">
        <f>E46*28/100</f>
        <v>560</v>
      </c>
      <c r="K46" s="151">
        <v>300</v>
      </c>
      <c r="L46" s="151">
        <f>E46-F46</f>
        <v>1300</v>
      </c>
    </row>
    <row r="47" spans="1:12">
      <c r="A47" s="122">
        <f t="shared" si="8"/>
        <v>8</v>
      </c>
      <c r="B47" s="163" t="s">
        <v>328</v>
      </c>
      <c r="C47" s="163" t="s">
        <v>329</v>
      </c>
      <c r="D47" s="335" t="s">
        <v>330</v>
      </c>
      <c r="E47" s="151">
        <v>3000</v>
      </c>
      <c r="F47" s="151">
        <v>2250</v>
      </c>
      <c r="G47" s="152">
        <f t="shared" si="5"/>
        <v>0.75</v>
      </c>
      <c r="H47" s="151">
        <v>0</v>
      </c>
      <c r="I47" s="151">
        <v>0</v>
      </c>
      <c r="J47" s="151">
        <f>E47*28/100</f>
        <v>840</v>
      </c>
      <c r="K47" s="151">
        <v>300</v>
      </c>
      <c r="L47" s="151">
        <f>E47-F47</f>
        <v>750</v>
      </c>
    </row>
    <row r="48" spans="1:12">
      <c r="A48" s="122">
        <f t="shared" si="8"/>
        <v>9</v>
      </c>
      <c r="B48" s="122" t="s">
        <v>331</v>
      </c>
      <c r="C48" s="122" t="s">
        <v>332</v>
      </c>
      <c r="D48" s="335" t="s">
        <v>333</v>
      </c>
      <c r="E48" s="151">
        <v>2000</v>
      </c>
      <c r="F48" s="151">
        <v>0</v>
      </c>
      <c r="G48" s="152">
        <f t="shared" si="5"/>
        <v>0</v>
      </c>
      <c r="H48" s="151">
        <v>0</v>
      </c>
      <c r="I48" s="151">
        <v>0</v>
      </c>
      <c r="J48" s="151">
        <f>E48*28/100</f>
        <v>560</v>
      </c>
      <c r="K48" s="151">
        <v>300</v>
      </c>
      <c r="L48" s="151">
        <f>E48-F48</f>
        <v>2000</v>
      </c>
    </row>
    <row r="49" spans="1:12">
      <c r="A49" s="122">
        <v>10</v>
      </c>
      <c r="B49" s="122" t="s">
        <v>286</v>
      </c>
      <c r="C49" s="122" t="s">
        <v>287</v>
      </c>
      <c r="D49" s="335" t="s">
        <v>288</v>
      </c>
      <c r="E49" s="151">
        <v>5000</v>
      </c>
      <c r="F49" s="151">
        <v>0</v>
      </c>
      <c r="G49" s="165">
        <v>0</v>
      </c>
      <c r="H49" s="151">
        <v>0</v>
      </c>
      <c r="I49" s="151">
        <v>0</v>
      </c>
      <c r="J49" s="180">
        <f>E49*28/100</f>
        <v>1400</v>
      </c>
      <c r="K49" s="151">
        <v>300</v>
      </c>
      <c r="L49" s="180">
        <f>E49-F49</f>
        <v>5000</v>
      </c>
    </row>
    <row r="50" ht="16.5" spans="5:12">
      <c r="E50" s="162">
        <f>E40+E41+E42+E43+E44+E45+E46+E47+E48+E49</f>
        <v>48000</v>
      </c>
      <c r="F50" s="162">
        <f>F48+F47+F46+F45+F44+F43+F42+F41+F40</f>
        <v>32200</v>
      </c>
      <c r="G50" s="154">
        <f>F50/E50</f>
        <v>0.670833333333333</v>
      </c>
      <c r="H50" s="153">
        <v>0</v>
      </c>
      <c r="I50" s="153">
        <v>0</v>
      </c>
      <c r="J50" s="187">
        <f>J40+J41+J42+J43+J44+J45+J46+J47+J48+J49</f>
        <v>13440</v>
      </c>
      <c r="K50" s="187">
        <f>K40+K41+K42+K43+K44+K45+K46+K47+K48+K49</f>
        <v>3000</v>
      </c>
      <c r="L50" s="187">
        <f>L40+L41+L42+L43+L44+L45+L46+L47+L48+L49</f>
        <v>15800</v>
      </c>
    </row>
    <row r="52" spans="1:12">
      <c r="A52" s="127" t="s">
        <v>334</v>
      </c>
      <c r="B52" s="166"/>
      <c r="C52" s="121"/>
      <c r="D52" s="121"/>
      <c r="E52" s="156" t="s">
        <v>335</v>
      </c>
      <c r="F52" s="135"/>
      <c r="G52" s="135"/>
      <c r="H52" s="135"/>
      <c r="I52" s="135"/>
      <c r="J52" s="135"/>
      <c r="K52" s="135"/>
      <c r="L52" s="135"/>
    </row>
    <row r="53" ht="31.5" spans="1:12">
      <c r="A53" s="123" t="s">
        <v>76</v>
      </c>
      <c r="B53" s="123" t="s">
        <v>282</v>
      </c>
      <c r="C53" s="123" t="s">
        <v>283</v>
      </c>
      <c r="D53" s="123" t="s">
        <v>284</v>
      </c>
      <c r="E53" s="157" t="s">
        <v>69</v>
      </c>
      <c r="F53" s="157" t="s">
        <v>274</v>
      </c>
      <c r="G53" s="158" t="s">
        <v>72</v>
      </c>
      <c r="H53" s="157" t="s">
        <v>285</v>
      </c>
      <c r="I53" s="157" t="s">
        <v>275</v>
      </c>
      <c r="J53" s="183" t="s">
        <v>272</v>
      </c>
      <c r="K53" s="158" t="s">
        <v>273</v>
      </c>
      <c r="L53" s="157" t="s">
        <v>276</v>
      </c>
    </row>
    <row r="55" spans="1:12">
      <c r="A55" s="122">
        <v>1</v>
      </c>
      <c r="B55" s="122" t="s">
        <v>312</v>
      </c>
      <c r="C55" s="122" t="s">
        <v>313</v>
      </c>
      <c r="D55" s="335" t="s">
        <v>314</v>
      </c>
      <c r="E55" s="151">
        <v>3500</v>
      </c>
      <c r="F55" s="151">
        <v>0</v>
      </c>
      <c r="G55" s="152">
        <f t="shared" ref="G55:G64" si="9">+F55/E55</f>
        <v>0</v>
      </c>
      <c r="H55" s="151">
        <v>0</v>
      </c>
      <c r="I55" s="151">
        <v>0</v>
      </c>
      <c r="J55" s="151">
        <f t="shared" ref="J55:J63" si="10">+E55*28/100</f>
        <v>980</v>
      </c>
      <c r="K55" s="151">
        <v>300</v>
      </c>
      <c r="L55" s="151">
        <f t="shared" ref="L55:L63" si="11">+E55-F55</f>
        <v>3500</v>
      </c>
    </row>
    <row r="56" spans="1:12">
      <c r="A56" s="122">
        <v>2</v>
      </c>
      <c r="B56" s="122" t="s">
        <v>336</v>
      </c>
      <c r="C56" s="122" t="s">
        <v>337</v>
      </c>
      <c r="D56" s="335" t="s">
        <v>338</v>
      </c>
      <c r="E56" s="151">
        <v>5000</v>
      </c>
      <c r="F56" s="151">
        <v>0</v>
      </c>
      <c r="G56" s="152">
        <f t="shared" si="9"/>
        <v>0</v>
      </c>
      <c r="H56" s="151">
        <v>0</v>
      </c>
      <c r="I56" s="151">
        <v>0</v>
      </c>
      <c r="J56" s="151">
        <f t="shared" si="10"/>
        <v>1400</v>
      </c>
      <c r="K56" s="151">
        <v>300</v>
      </c>
      <c r="L56" s="151">
        <f t="shared" si="11"/>
        <v>5000</v>
      </c>
    </row>
    <row r="57" spans="1:12">
      <c r="A57" s="122">
        <v>3</v>
      </c>
      <c r="B57" s="122" t="s">
        <v>339</v>
      </c>
      <c r="C57" s="122" t="s">
        <v>340</v>
      </c>
      <c r="D57" s="335" t="s">
        <v>341</v>
      </c>
      <c r="E57" s="151">
        <v>3000</v>
      </c>
      <c r="F57" s="151">
        <v>750</v>
      </c>
      <c r="G57" s="152">
        <f t="shared" si="9"/>
        <v>0.25</v>
      </c>
      <c r="H57" s="151">
        <v>0</v>
      </c>
      <c r="I57" s="151">
        <v>0</v>
      </c>
      <c r="J57" s="180">
        <f t="shared" si="10"/>
        <v>840</v>
      </c>
      <c r="K57" s="151">
        <v>300</v>
      </c>
      <c r="L57" s="180">
        <f t="shared" si="11"/>
        <v>2250</v>
      </c>
    </row>
    <row r="58" spans="1:12">
      <c r="A58" s="122">
        <v>4</v>
      </c>
      <c r="B58" s="122" t="s">
        <v>342</v>
      </c>
      <c r="C58" s="167" t="s">
        <v>343</v>
      </c>
      <c r="D58" s="335" t="s">
        <v>344</v>
      </c>
      <c r="E58" s="151">
        <v>3000</v>
      </c>
      <c r="F58" s="151">
        <v>750</v>
      </c>
      <c r="G58" s="152">
        <f t="shared" si="9"/>
        <v>0.25</v>
      </c>
      <c r="H58" s="151">
        <v>0</v>
      </c>
      <c r="I58" s="151">
        <v>0</v>
      </c>
      <c r="J58" s="180">
        <f t="shared" si="10"/>
        <v>840</v>
      </c>
      <c r="K58" s="151">
        <v>300</v>
      </c>
      <c r="L58" s="180">
        <f t="shared" si="11"/>
        <v>2250</v>
      </c>
    </row>
    <row r="59" spans="1:12">
      <c r="A59" s="122">
        <v>5</v>
      </c>
      <c r="B59" s="163" t="s">
        <v>324</v>
      </c>
      <c r="C59" s="163" t="s">
        <v>302</v>
      </c>
      <c r="D59" s="163" t="s">
        <v>303</v>
      </c>
      <c r="E59" s="164">
        <v>4000</v>
      </c>
      <c r="F59" s="151">
        <v>0</v>
      </c>
      <c r="G59" s="168">
        <f t="shared" si="9"/>
        <v>0</v>
      </c>
      <c r="H59" s="151">
        <v>0</v>
      </c>
      <c r="I59" s="151">
        <v>0</v>
      </c>
      <c r="J59" s="180">
        <f t="shared" si="10"/>
        <v>1120</v>
      </c>
      <c r="K59" s="151">
        <v>300</v>
      </c>
      <c r="L59" s="180">
        <f t="shared" si="11"/>
        <v>4000</v>
      </c>
    </row>
    <row r="60" spans="1:12">
      <c r="A60" s="122">
        <v>6</v>
      </c>
      <c r="B60" s="122" t="s">
        <v>345</v>
      </c>
      <c r="C60" s="167" t="s">
        <v>346</v>
      </c>
      <c r="D60" s="335" t="s">
        <v>347</v>
      </c>
      <c r="E60" s="151">
        <v>3000</v>
      </c>
      <c r="F60" s="151">
        <v>0</v>
      </c>
      <c r="G60" s="168">
        <f t="shared" si="9"/>
        <v>0</v>
      </c>
      <c r="H60" s="151">
        <v>0</v>
      </c>
      <c r="I60" s="151">
        <v>0</v>
      </c>
      <c r="J60" s="180">
        <f t="shared" si="10"/>
        <v>840</v>
      </c>
      <c r="K60" s="151">
        <v>300</v>
      </c>
      <c r="L60" s="180">
        <f t="shared" si="11"/>
        <v>3000</v>
      </c>
    </row>
    <row r="61" spans="1:12">
      <c r="A61" s="122">
        <v>7</v>
      </c>
      <c r="B61" s="122" t="s">
        <v>348</v>
      </c>
      <c r="C61" s="167" t="s">
        <v>343</v>
      </c>
      <c r="D61" s="335" t="s">
        <v>349</v>
      </c>
      <c r="E61" s="151">
        <v>3000</v>
      </c>
      <c r="F61" s="151">
        <v>0</v>
      </c>
      <c r="G61" s="168">
        <f t="shared" si="9"/>
        <v>0</v>
      </c>
      <c r="H61" s="151">
        <v>0</v>
      </c>
      <c r="I61" s="151">
        <v>0</v>
      </c>
      <c r="J61" s="180">
        <f t="shared" si="10"/>
        <v>840</v>
      </c>
      <c r="K61" s="151">
        <v>300</v>
      </c>
      <c r="L61" s="180">
        <f t="shared" si="11"/>
        <v>3000</v>
      </c>
    </row>
    <row r="62" spans="1:12">
      <c r="A62" s="122">
        <v>8</v>
      </c>
      <c r="B62" s="122" t="s">
        <v>350</v>
      </c>
      <c r="C62" s="167" t="s">
        <v>351</v>
      </c>
      <c r="D62" s="335" t="s">
        <v>352</v>
      </c>
      <c r="E62" s="151">
        <v>2000</v>
      </c>
      <c r="F62" s="151">
        <v>0</v>
      </c>
      <c r="G62" s="168">
        <f t="shared" si="9"/>
        <v>0</v>
      </c>
      <c r="H62" s="151">
        <v>0</v>
      </c>
      <c r="I62" s="151">
        <v>0</v>
      </c>
      <c r="J62" s="180">
        <f t="shared" si="10"/>
        <v>560</v>
      </c>
      <c r="K62" s="151">
        <v>300</v>
      </c>
      <c r="L62" s="180">
        <f t="shared" si="11"/>
        <v>2000</v>
      </c>
    </row>
    <row r="63" spans="1:12">
      <c r="A63" s="122">
        <v>9</v>
      </c>
      <c r="B63" s="122" t="s">
        <v>353</v>
      </c>
      <c r="C63" s="167"/>
      <c r="D63" s="335" t="s">
        <v>354</v>
      </c>
      <c r="E63" s="151">
        <v>5000</v>
      </c>
      <c r="F63" s="151">
        <v>0</v>
      </c>
      <c r="G63" s="168">
        <f t="shared" si="9"/>
        <v>0</v>
      </c>
      <c r="H63" s="151">
        <v>0</v>
      </c>
      <c r="I63" s="151">
        <v>0</v>
      </c>
      <c r="J63" s="180">
        <f t="shared" si="10"/>
        <v>1400</v>
      </c>
      <c r="K63" s="151">
        <v>300</v>
      </c>
      <c r="L63" s="180">
        <f t="shared" si="11"/>
        <v>5000</v>
      </c>
    </row>
    <row r="64" ht="16.5" spans="5:12">
      <c r="E64" s="162">
        <f>+E55+E56+E57+E58+E59+E60+E61+E62+E63</f>
        <v>31500</v>
      </c>
      <c r="F64" s="162">
        <f>+F55+F56+F57+F58+F59+F60+F61+F62+F63</f>
        <v>1500</v>
      </c>
      <c r="G64" s="154">
        <f t="shared" si="9"/>
        <v>0.0476190476190476</v>
      </c>
      <c r="H64" s="153">
        <v>0</v>
      </c>
      <c r="I64" s="153">
        <v>0</v>
      </c>
      <c r="J64" s="187">
        <f>+J55+J56+J57+J58+J59+J60+J61+J62+J63</f>
        <v>8820</v>
      </c>
      <c r="K64" s="187">
        <f>+K55+K56+K57+K58+K59+K60+K61+K62+K63</f>
        <v>2700</v>
      </c>
      <c r="L64" s="187">
        <f>+L55+L56+L57+L58+L59+L60+L61+L62+L63</f>
        <v>30000</v>
      </c>
    </row>
  </sheetData>
  <pageMargins left="0.7" right="0.7" top="0.75" bottom="0.75" header="0.3" footer="0.3"/>
  <pageSetup paperSize="9" orientation="portrait"/>
  <headerFooter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289"/>
  <sheetViews>
    <sheetView topLeftCell="A204" workbookViewId="0">
      <selection activeCell="G267" sqref="G267:J267"/>
    </sheetView>
  </sheetViews>
  <sheetFormatPr defaultColWidth="9.14285714285714" defaultRowHeight="16.5"/>
  <cols>
    <col min="1" max="1" width="9.85714285714286" style="1" customWidth="1"/>
    <col min="2" max="2" width="18.8571428571429" style="1" customWidth="1"/>
    <col min="3" max="3" width="11.5714285714286" style="1" customWidth="1"/>
    <col min="4" max="4" width="15.8571428571429" style="1" customWidth="1"/>
    <col min="5" max="5" width="17.1428571428571" style="1" customWidth="1"/>
    <col min="6" max="6" width="14.4285714285714" style="1" customWidth="1"/>
    <col min="7" max="7" width="13" style="1" customWidth="1"/>
    <col min="8" max="9" width="15.1428571428571" style="1" customWidth="1"/>
    <col min="10" max="10" width="10.4285714285714" style="1" customWidth="1"/>
    <col min="11" max="11" width="11.8571428571429" style="1" customWidth="1"/>
    <col min="12" max="12" width="14" style="1" hidden="1" customWidth="1"/>
    <col min="13" max="13" width="55.5714285714286" style="1" customWidth="1"/>
    <col min="14" max="14" width="9.14285714285714" style="1"/>
    <col min="15" max="15" width="11.1428571428571" style="1" hidden="1" customWidth="1"/>
    <col min="16" max="21" width="9" style="1" hidden="1" customWidth="1"/>
    <col min="22" max="22" width="11.7142857142857" style="1" customWidth="1"/>
    <col min="23" max="16384" width="9.14285714285714" style="1"/>
  </cols>
  <sheetData>
    <row r="1" spans="1:1">
      <c r="A1" s="1" t="str">
        <f>+[3]SUMMARY!A1</f>
        <v>LAXMI CAPITAL SOLUTIONS LIMITED</v>
      </c>
    </row>
    <row r="2" spans="1:1">
      <c r="A2" s="1" t="str">
        <f>+[3]SUMMARY!A2</f>
        <v>LOAN DISBURSEMENT SUMMARY</v>
      </c>
    </row>
    <row r="3" spans="1:2">
      <c r="A3" s="1" t="s">
        <v>65</v>
      </c>
      <c r="B3" s="1" t="s">
        <v>59</v>
      </c>
    </row>
    <row r="4" spans="1:3">
      <c r="A4" s="1" t="str">
        <f>+'HEAD OFFICE'!A4</f>
        <v>MANAGER</v>
      </c>
      <c r="C4" s="1" t="s">
        <v>270</v>
      </c>
    </row>
    <row r="5" spans="1:5">
      <c r="A5" s="1" t="s">
        <v>355</v>
      </c>
      <c r="C5" s="1" t="s">
        <v>356</v>
      </c>
      <c r="D5" s="39"/>
      <c r="E5" s="40" t="s">
        <v>51</v>
      </c>
    </row>
    <row r="6" spans="1:3">
      <c r="A6" s="1" t="s">
        <v>67</v>
      </c>
      <c r="C6" s="1" t="s">
        <v>357</v>
      </c>
    </row>
    <row r="9" ht="33" spans="2:9">
      <c r="B9" s="4" t="str">
        <f>+'HEAD OFFICE'!A6</f>
        <v>Frequency of loans</v>
      </c>
      <c r="C9" s="15" t="s">
        <v>271</v>
      </c>
      <c r="D9" s="15" t="s">
        <v>69</v>
      </c>
      <c r="E9" s="3" t="s">
        <v>358</v>
      </c>
      <c r="F9" s="15" t="s">
        <v>276</v>
      </c>
      <c r="G9" s="4" t="s">
        <v>72</v>
      </c>
      <c r="H9" s="5" t="str">
        <f>+'HEAD OFFICE'!J6</f>
        <v>Default Interest Oustanding</v>
      </c>
      <c r="I9" s="5" t="str">
        <f>+'HEAD OFFICE'!K6</f>
        <v>Total Actual Plus Default</v>
      </c>
    </row>
    <row r="10" spans="2:9">
      <c r="B10" s="1" t="s">
        <v>359</v>
      </c>
      <c r="C10" s="1">
        <f>+A58</f>
        <v>34</v>
      </c>
      <c r="D10" s="41">
        <f>+E60</f>
        <v>78300</v>
      </c>
      <c r="E10" s="6">
        <f>+G60</f>
        <v>71834</v>
      </c>
      <c r="F10" s="6">
        <f>+D10-E10</f>
        <v>6466</v>
      </c>
      <c r="G10" s="7">
        <f>+E10/(D10)</f>
        <v>0.917420178799489</v>
      </c>
      <c r="H10" s="42">
        <f>+F60</f>
        <v>8712.69</v>
      </c>
      <c r="I10" s="42">
        <f>+F10+H10</f>
        <v>15178.69</v>
      </c>
    </row>
    <row r="11" spans="2:9">
      <c r="B11" s="1" t="s">
        <v>360</v>
      </c>
      <c r="C11" s="1">
        <f>+A87</f>
        <v>22</v>
      </c>
      <c r="D11" s="41">
        <f>+E89</f>
        <v>50250</v>
      </c>
      <c r="E11" s="6">
        <f>+G89</f>
        <v>45890</v>
      </c>
      <c r="F11" s="6">
        <f t="shared" ref="F11:F18" si="0">+D11-E11</f>
        <v>4360</v>
      </c>
      <c r="G11" s="7">
        <f t="shared" ref="G11:G20" si="1">+E11/(D11)</f>
        <v>0.913233830845771</v>
      </c>
      <c r="H11" s="42">
        <f>+F89</f>
        <v>7461.13</v>
      </c>
      <c r="I11" s="42">
        <f t="shared" ref="I11:I19" si="2">+F11+H11</f>
        <v>11821.13</v>
      </c>
    </row>
    <row r="12" spans="2:9">
      <c r="B12" s="1" t="s">
        <v>361</v>
      </c>
      <c r="C12" s="1">
        <f>+A114</f>
        <v>21</v>
      </c>
      <c r="D12" s="41">
        <f>+E120</f>
        <v>48500</v>
      </c>
      <c r="E12" s="6">
        <f>+G120</f>
        <v>40798</v>
      </c>
      <c r="F12" s="6">
        <f t="shared" si="0"/>
        <v>7702</v>
      </c>
      <c r="G12" s="7">
        <f t="shared" si="1"/>
        <v>0.84119587628866</v>
      </c>
      <c r="H12" s="42">
        <f>+F120</f>
        <v>5729.69</v>
      </c>
      <c r="I12" s="42">
        <f t="shared" si="2"/>
        <v>13431.69</v>
      </c>
    </row>
    <row r="13" spans="2:9">
      <c r="B13" s="1" t="s">
        <v>362</v>
      </c>
      <c r="C13" s="1">
        <f>+A177</f>
        <v>54</v>
      </c>
      <c r="D13" s="41">
        <f>+E181</f>
        <v>155000</v>
      </c>
      <c r="E13" s="6">
        <f>+G181</f>
        <v>132303</v>
      </c>
      <c r="F13" s="6">
        <f t="shared" si="0"/>
        <v>22697</v>
      </c>
      <c r="G13" s="7">
        <f t="shared" si="1"/>
        <v>0.853567741935484</v>
      </c>
      <c r="H13" s="42">
        <f>+F181</f>
        <v>0</v>
      </c>
      <c r="I13" s="42">
        <f t="shared" si="2"/>
        <v>22697</v>
      </c>
    </row>
    <row r="14" spans="2:9">
      <c r="B14" s="1" t="s">
        <v>363</v>
      </c>
      <c r="C14" s="1">
        <f>+A205</f>
        <v>19</v>
      </c>
      <c r="D14" s="6">
        <f>+E207</f>
        <v>82000</v>
      </c>
      <c r="E14" s="6">
        <f>SUM(G207:J207)</f>
        <v>65100</v>
      </c>
      <c r="F14" s="6">
        <f t="shared" si="0"/>
        <v>16900</v>
      </c>
      <c r="G14" s="7">
        <f t="shared" si="1"/>
        <v>0.79390243902439</v>
      </c>
      <c r="H14" s="42">
        <f>+F207</f>
        <v>4908.91</v>
      </c>
      <c r="I14" s="42">
        <f t="shared" si="2"/>
        <v>21808.91</v>
      </c>
    </row>
    <row r="15" spans="2:9">
      <c r="B15" s="1" t="s">
        <v>364</v>
      </c>
      <c r="C15" s="1">
        <f>+A221</f>
        <v>10</v>
      </c>
      <c r="D15" s="6">
        <f>+E223</f>
        <v>34000</v>
      </c>
      <c r="E15" s="6">
        <f>SUM(G223:J223)</f>
        <v>34456</v>
      </c>
      <c r="F15" s="6">
        <f t="shared" si="0"/>
        <v>-456</v>
      </c>
      <c r="G15" s="7">
        <f t="shared" si="1"/>
        <v>1.01341176470588</v>
      </c>
      <c r="H15" s="42">
        <f>+F223</f>
        <v>984.47</v>
      </c>
      <c r="I15" s="42">
        <f t="shared" si="2"/>
        <v>528.47</v>
      </c>
    </row>
    <row r="16" spans="2:9">
      <c r="B16" s="1" t="s">
        <v>365</v>
      </c>
      <c r="C16" s="1">
        <f>+A233</f>
        <v>4</v>
      </c>
      <c r="D16" s="6">
        <f>+E235</f>
        <v>20000</v>
      </c>
      <c r="E16" s="6">
        <f>SUM(G235:J235)</f>
        <v>20378</v>
      </c>
      <c r="F16" s="6">
        <f t="shared" si="0"/>
        <v>-378</v>
      </c>
      <c r="G16" s="7">
        <f t="shared" si="1"/>
        <v>1.0189</v>
      </c>
      <c r="H16" s="42">
        <f>+F235</f>
        <v>377.5</v>
      </c>
      <c r="I16" s="42">
        <f t="shared" si="2"/>
        <v>-0.5</v>
      </c>
    </row>
    <row r="17" spans="2:9">
      <c r="B17" s="1" t="s">
        <v>366</v>
      </c>
      <c r="C17" s="1">
        <f>+A248</f>
        <v>7</v>
      </c>
      <c r="D17" s="6">
        <f>+E250</f>
        <v>50000</v>
      </c>
      <c r="E17" s="6">
        <f>SUM(G250:J250)</f>
        <v>46767</v>
      </c>
      <c r="F17" s="6">
        <f t="shared" si="0"/>
        <v>3233</v>
      </c>
      <c r="G17" s="7">
        <f t="shared" si="1"/>
        <v>0.93534</v>
      </c>
      <c r="H17" s="42">
        <f>+F267</f>
        <v>1453.5</v>
      </c>
      <c r="I17" s="42">
        <f t="shared" si="2"/>
        <v>4686.5</v>
      </c>
    </row>
    <row r="18" spans="2:10">
      <c r="B18" s="1" t="s">
        <v>367</v>
      </c>
      <c r="C18" s="1">
        <f>+A265</f>
        <v>9</v>
      </c>
      <c r="D18" s="6">
        <f>+E267</f>
        <v>42000</v>
      </c>
      <c r="E18" s="6">
        <f>SUM(G267:J267)</f>
        <v>35550</v>
      </c>
      <c r="F18" s="6">
        <f t="shared" si="0"/>
        <v>6450</v>
      </c>
      <c r="G18" s="7">
        <f t="shared" si="1"/>
        <v>0.846428571428571</v>
      </c>
      <c r="H18" s="42">
        <f>+F267</f>
        <v>1453.5</v>
      </c>
      <c r="I18" s="42">
        <f t="shared" si="2"/>
        <v>7903.5</v>
      </c>
      <c r="J18" s="1" t="s">
        <v>368</v>
      </c>
    </row>
    <row r="19" ht="17.25" spans="3:9">
      <c r="C19" s="21">
        <f>SUM(C10:C18)</f>
        <v>180</v>
      </c>
      <c r="D19" s="21">
        <f>SUM(D10:D18)</f>
        <v>560050</v>
      </c>
      <c r="E19" s="21">
        <f>SUM(E10:E18)</f>
        <v>493076</v>
      </c>
      <c r="F19" s="21">
        <f>SUM(F10:F18)</f>
        <v>66974</v>
      </c>
      <c r="G19" s="33">
        <f t="shared" si="1"/>
        <v>0.880414248727792</v>
      </c>
      <c r="H19" s="21">
        <f>SUM(H10:H18)</f>
        <v>31081.39</v>
      </c>
      <c r="I19" s="52">
        <f t="shared" si="2"/>
        <v>98055.39</v>
      </c>
    </row>
    <row r="20" hidden="1" spans="4:9">
      <c r="D20" s="43">
        <f>+D19-[8]Sheet1!$C$12</f>
        <v>46500</v>
      </c>
      <c r="G20" s="7">
        <f t="shared" si="1"/>
        <v>0</v>
      </c>
      <c r="H20" s="7">
        <f t="shared" ref="H20" si="3">+F20/(D20+E20)</f>
        <v>0</v>
      </c>
      <c r="I20" s="42"/>
    </row>
    <row r="21" spans="4:10">
      <c r="D21" s="43"/>
      <c r="G21" s="44"/>
      <c r="H21" s="1" t="s">
        <v>369</v>
      </c>
      <c r="I21" s="42">
        <v>132017</v>
      </c>
      <c r="J21" s="6">
        <f>+I19-I21</f>
        <v>-33961.61</v>
      </c>
    </row>
    <row r="22" spans="1:15">
      <c r="A22" s="1" t="str">
        <f>+'HEAD OFFICE'!A16</f>
        <v>March Batch(02/03-02/04)</v>
      </c>
      <c r="O22" s="1" t="s">
        <v>370</v>
      </c>
    </row>
    <row r="23" ht="33" spans="1:23">
      <c r="A23" s="4" t="s">
        <v>76</v>
      </c>
      <c r="B23" s="4" t="s">
        <v>77</v>
      </c>
      <c r="C23" s="4" t="s">
        <v>78</v>
      </c>
      <c r="D23" s="4" t="str">
        <f>+'HEAD OFFICE'!H17</f>
        <v>Default Payable</v>
      </c>
      <c r="E23" s="15" t="s">
        <v>81</v>
      </c>
      <c r="F23" s="3" t="s">
        <v>135</v>
      </c>
      <c r="G23" s="4" t="s">
        <v>224</v>
      </c>
      <c r="H23" s="4" t="s">
        <v>371</v>
      </c>
      <c r="I23" s="4" t="s">
        <v>83</v>
      </c>
      <c r="J23" s="4" t="s">
        <v>84</v>
      </c>
      <c r="K23" s="4" t="s">
        <v>85</v>
      </c>
      <c r="L23" s="4" t="s">
        <v>172</v>
      </c>
      <c r="M23" s="53" t="e">
        <f>+[3]CAIRO!#REF!</f>
        <v>#REF!</v>
      </c>
      <c r="N23" s="38"/>
      <c r="O23" s="54"/>
      <c r="P23" s="38"/>
      <c r="Q23" s="38"/>
      <c r="R23" s="38"/>
      <c r="S23" s="38"/>
      <c r="T23" s="38"/>
      <c r="U23" s="38"/>
      <c r="V23" s="38" t="s">
        <v>72</v>
      </c>
      <c r="W23" s="1" t="s">
        <v>372</v>
      </c>
    </row>
    <row r="24" spans="1:23">
      <c r="A24" s="38">
        <v>1</v>
      </c>
      <c r="B24" s="45" t="s">
        <v>373</v>
      </c>
      <c r="C24" s="45" t="s">
        <v>175</v>
      </c>
      <c r="D24" s="45" t="s">
        <v>374</v>
      </c>
      <c r="E24" s="46">
        <v>4000</v>
      </c>
      <c r="F24" s="47">
        <f>8574.35-E24</f>
        <v>4574.35</v>
      </c>
      <c r="G24" s="46">
        <v>0</v>
      </c>
      <c r="H24" s="47"/>
      <c r="I24" s="55">
        <v>0</v>
      </c>
      <c r="J24" s="55"/>
      <c r="K24" s="47">
        <f>E24-G24-H24-I24-J24+F24</f>
        <v>8574.35</v>
      </c>
      <c r="L24" s="38"/>
      <c r="M24" s="38" t="s">
        <v>375</v>
      </c>
      <c r="N24" s="38"/>
      <c r="O24" s="54"/>
      <c r="P24" s="38"/>
      <c r="Q24" s="38"/>
      <c r="R24" s="38"/>
      <c r="S24" s="38"/>
      <c r="T24" s="38"/>
      <c r="U24" s="38"/>
      <c r="V24" s="38" t="s">
        <v>376</v>
      </c>
      <c r="W24" s="1" t="s">
        <v>377</v>
      </c>
    </row>
    <row r="25" spans="1:22">
      <c r="A25" s="38">
        <f>+A24+1</f>
        <v>2</v>
      </c>
      <c r="B25" s="45" t="s">
        <v>378</v>
      </c>
      <c r="C25" s="45" t="s">
        <v>379</v>
      </c>
      <c r="D25" s="45" t="s">
        <v>380</v>
      </c>
      <c r="E25" s="46">
        <v>1300</v>
      </c>
      <c r="F25" s="47">
        <v>584.46</v>
      </c>
      <c r="G25" s="46">
        <v>1080</v>
      </c>
      <c r="H25" s="47"/>
      <c r="I25" s="55"/>
      <c r="J25" s="55">
        <v>0</v>
      </c>
      <c r="K25" s="47">
        <f t="shared" ref="K25:K57" si="4">E25-G25-H25-I25-J25+F25</f>
        <v>804.46</v>
      </c>
      <c r="L25" s="38">
        <v>936</v>
      </c>
      <c r="M25" s="38" t="s">
        <v>381</v>
      </c>
      <c r="N25" s="38"/>
      <c r="O25" s="54"/>
      <c r="P25" s="38"/>
      <c r="Q25" s="38"/>
      <c r="R25" s="38"/>
      <c r="S25" s="38"/>
      <c r="T25" s="38"/>
      <c r="U25" s="38"/>
      <c r="V25" s="38"/>
    </row>
    <row r="26" spans="1:22">
      <c r="A26" s="38">
        <f t="shared" ref="A26:A57" si="5">+A25+1</f>
        <v>3</v>
      </c>
      <c r="B26" s="45" t="s">
        <v>382</v>
      </c>
      <c r="C26" s="45" t="s">
        <v>383</v>
      </c>
      <c r="D26" s="45" t="s">
        <v>384</v>
      </c>
      <c r="E26" s="46">
        <v>4000</v>
      </c>
      <c r="F26" s="47"/>
      <c r="G26" s="46">
        <v>4000</v>
      </c>
      <c r="H26" s="47"/>
      <c r="I26" s="55"/>
      <c r="J26" s="55"/>
      <c r="K26" s="47">
        <f t="shared" si="4"/>
        <v>0</v>
      </c>
      <c r="L26" s="38"/>
      <c r="M26" s="38"/>
      <c r="N26" s="38"/>
      <c r="O26" s="54"/>
      <c r="P26" s="38"/>
      <c r="Q26" s="38"/>
      <c r="R26" s="38"/>
      <c r="S26" s="38"/>
      <c r="T26" s="38"/>
      <c r="U26" s="38"/>
      <c r="V26" s="38"/>
    </row>
    <row r="27" spans="1:22">
      <c r="A27" s="38">
        <f t="shared" si="5"/>
        <v>4</v>
      </c>
      <c r="B27" s="45" t="s">
        <v>385</v>
      </c>
      <c r="C27" s="45" t="s">
        <v>386</v>
      </c>
      <c r="D27" s="45" t="s">
        <v>387</v>
      </c>
      <c r="E27" s="46">
        <v>1500</v>
      </c>
      <c r="F27" s="47">
        <f>1718.74-E27</f>
        <v>218.74</v>
      </c>
      <c r="G27" s="46">
        <v>1329</v>
      </c>
      <c r="H27" s="47"/>
      <c r="I27" s="55"/>
      <c r="J27" s="55"/>
      <c r="K27" s="47">
        <f t="shared" si="4"/>
        <v>389.74</v>
      </c>
      <c r="L27" s="38"/>
      <c r="M27" s="38"/>
      <c r="N27" s="38"/>
      <c r="O27" s="54"/>
      <c r="P27" s="38"/>
      <c r="Q27" s="38"/>
      <c r="R27" s="38"/>
      <c r="S27" s="38"/>
      <c r="T27" s="38"/>
      <c r="U27" s="38"/>
      <c r="V27" s="38"/>
    </row>
    <row r="28" spans="1:22">
      <c r="A28" s="38">
        <f t="shared" si="5"/>
        <v>5</v>
      </c>
      <c r="B28" s="45" t="s">
        <v>388</v>
      </c>
      <c r="C28" s="45" t="s">
        <v>175</v>
      </c>
      <c r="D28" s="45" t="s">
        <v>389</v>
      </c>
      <c r="E28" s="46">
        <v>3000</v>
      </c>
      <c r="F28" s="47"/>
      <c r="G28" s="46">
        <v>3000</v>
      </c>
      <c r="H28" s="47"/>
      <c r="I28" s="55"/>
      <c r="J28" s="55"/>
      <c r="K28" s="47">
        <f t="shared" si="4"/>
        <v>0</v>
      </c>
      <c r="L28" s="38"/>
      <c r="M28" s="38"/>
      <c r="N28" s="38"/>
      <c r="O28" s="54"/>
      <c r="P28" s="38"/>
      <c r="Q28" s="38"/>
      <c r="R28" s="38"/>
      <c r="S28" s="38"/>
      <c r="T28" s="38"/>
      <c r="U28" s="38"/>
      <c r="V28" s="38"/>
    </row>
    <row r="29" spans="1:23">
      <c r="A29" s="38">
        <f t="shared" si="5"/>
        <v>6</v>
      </c>
      <c r="B29" s="45" t="s">
        <v>390</v>
      </c>
      <c r="C29" s="45" t="s">
        <v>391</v>
      </c>
      <c r="D29" s="45" t="s">
        <v>392</v>
      </c>
      <c r="E29" s="46">
        <v>3500</v>
      </c>
      <c r="F29" s="47">
        <v>8.85</v>
      </c>
      <c r="G29" s="46">
        <v>3650</v>
      </c>
      <c r="H29" s="47"/>
      <c r="I29" s="55"/>
      <c r="J29" s="55"/>
      <c r="K29" s="47">
        <f t="shared" si="4"/>
        <v>-141.15</v>
      </c>
      <c r="L29" s="38"/>
      <c r="M29" s="38"/>
      <c r="N29" s="38"/>
      <c r="O29" s="54"/>
      <c r="P29" s="38"/>
      <c r="Q29" s="38"/>
      <c r="R29" s="38"/>
      <c r="S29" s="38"/>
      <c r="T29" s="38"/>
      <c r="U29" s="38"/>
      <c r="V29" s="38"/>
      <c r="W29" s="42"/>
    </row>
    <row r="30" spans="1:22">
      <c r="A30" s="38">
        <f t="shared" si="5"/>
        <v>7</v>
      </c>
      <c r="B30" s="45" t="s">
        <v>393</v>
      </c>
      <c r="C30" s="45" t="s">
        <v>173</v>
      </c>
      <c r="D30" s="45" t="s">
        <v>394</v>
      </c>
      <c r="E30" s="46">
        <v>2000</v>
      </c>
      <c r="F30" s="47"/>
      <c r="G30" s="46">
        <v>2000</v>
      </c>
      <c r="H30" s="47"/>
      <c r="I30" s="55"/>
      <c r="J30" s="55"/>
      <c r="K30" s="47">
        <f t="shared" si="4"/>
        <v>0</v>
      </c>
      <c r="L30" s="38"/>
      <c r="M30" s="38"/>
      <c r="N30" s="38"/>
      <c r="O30" s="54"/>
      <c r="P30" s="38"/>
      <c r="Q30" s="38"/>
      <c r="R30" s="38"/>
      <c r="S30" s="38"/>
      <c r="T30" s="38"/>
      <c r="U30" s="38"/>
      <c r="V30" s="38"/>
    </row>
    <row r="31" spans="1:22">
      <c r="A31" s="38">
        <f t="shared" si="5"/>
        <v>8</v>
      </c>
      <c r="B31" s="45" t="s">
        <v>395</v>
      </c>
      <c r="C31" s="45" t="s">
        <v>396</v>
      </c>
      <c r="D31" s="45" t="s">
        <v>397</v>
      </c>
      <c r="E31" s="46">
        <v>2500</v>
      </c>
      <c r="F31" s="47"/>
      <c r="G31" s="46">
        <v>2500</v>
      </c>
      <c r="H31" s="47"/>
      <c r="I31" s="55"/>
      <c r="J31" s="55"/>
      <c r="K31" s="47">
        <f t="shared" si="4"/>
        <v>0</v>
      </c>
      <c r="L31" s="38"/>
      <c r="M31" s="38"/>
      <c r="N31" s="38"/>
      <c r="O31" s="54"/>
      <c r="P31" s="38"/>
      <c r="Q31" s="38"/>
      <c r="R31" s="38"/>
      <c r="S31" s="38"/>
      <c r="T31" s="38"/>
      <c r="U31" s="38"/>
      <c r="V31" s="38"/>
    </row>
    <row r="32" spans="1:22">
      <c r="A32" s="38">
        <f t="shared" si="5"/>
        <v>9</v>
      </c>
      <c r="B32" s="45" t="s">
        <v>398</v>
      </c>
      <c r="C32" s="45" t="s">
        <v>399</v>
      </c>
      <c r="D32" s="45" t="s">
        <v>400</v>
      </c>
      <c r="E32" s="46">
        <v>1000</v>
      </c>
      <c r="F32" s="47"/>
      <c r="G32" s="46">
        <v>1000</v>
      </c>
      <c r="H32" s="47"/>
      <c r="I32" s="55"/>
      <c r="J32" s="55"/>
      <c r="K32" s="47">
        <f t="shared" si="4"/>
        <v>0</v>
      </c>
      <c r="L32" s="38"/>
      <c r="M32" s="38"/>
      <c r="N32" s="38"/>
      <c r="O32" s="54"/>
      <c r="P32" s="38"/>
      <c r="Q32" s="38"/>
      <c r="R32" s="38"/>
      <c r="S32" s="38"/>
      <c r="T32" s="38"/>
      <c r="U32" s="38"/>
      <c r="V32" s="38"/>
    </row>
    <row r="33" spans="1:22">
      <c r="A33" s="38">
        <f t="shared" si="5"/>
        <v>10</v>
      </c>
      <c r="B33" s="45" t="s">
        <v>401</v>
      </c>
      <c r="C33" s="45" t="s">
        <v>402</v>
      </c>
      <c r="D33" s="45" t="s">
        <v>403</v>
      </c>
      <c r="E33" s="46">
        <v>1000</v>
      </c>
      <c r="F33" s="47">
        <v>38.97</v>
      </c>
      <c r="G33" s="46">
        <v>1030</v>
      </c>
      <c r="H33" s="47"/>
      <c r="I33" s="55"/>
      <c r="J33" s="55"/>
      <c r="K33" s="47">
        <f t="shared" si="4"/>
        <v>8.97</v>
      </c>
      <c r="L33" s="38"/>
      <c r="M33" s="38"/>
      <c r="N33" s="38"/>
      <c r="O33" s="54"/>
      <c r="P33" s="38"/>
      <c r="Q33" s="38"/>
      <c r="R33" s="38"/>
      <c r="S33" s="38"/>
      <c r="T33" s="38"/>
      <c r="U33" s="38"/>
      <c r="V33" s="38"/>
    </row>
    <row r="34" spans="1:22">
      <c r="A34" s="38">
        <f t="shared" si="5"/>
        <v>11</v>
      </c>
      <c r="B34" s="45" t="s">
        <v>404</v>
      </c>
      <c r="C34" s="45" t="s">
        <v>402</v>
      </c>
      <c r="D34" s="45" t="s">
        <v>405</v>
      </c>
      <c r="E34" s="46">
        <v>1000</v>
      </c>
      <c r="F34" s="47"/>
      <c r="G34" s="46">
        <v>1000</v>
      </c>
      <c r="H34" s="47"/>
      <c r="I34" s="55"/>
      <c r="J34" s="55"/>
      <c r="K34" s="47">
        <f t="shared" si="4"/>
        <v>0</v>
      </c>
      <c r="L34" s="38"/>
      <c r="M34" s="38"/>
      <c r="N34" s="38"/>
      <c r="O34" s="54"/>
      <c r="P34" s="38"/>
      <c r="Q34" s="38"/>
      <c r="R34" s="38"/>
      <c r="S34" s="38"/>
      <c r="T34" s="38"/>
      <c r="U34" s="38"/>
      <c r="V34" s="38"/>
    </row>
    <row r="35" spans="1:22">
      <c r="A35" s="38">
        <f t="shared" si="5"/>
        <v>12</v>
      </c>
      <c r="B35" s="45" t="s">
        <v>178</v>
      </c>
      <c r="C35" s="45" t="s">
        <v>406</v>
      </c>
      <c r="D35" s="45" t="s">
        <v>407</v>
      </c>
      <c r="E35" s="46">
        <v>3000</v>
      </c>
      <c r="F35" s="47">
        <v>708.62</v>
      </c>
      <c r="G35" s="46">
        <v>3200</v>
      </c>
      <c r="H35" s="47"/>
      <c r="I35" s="55"/>
      <c r="J35" s="55"/>
      <c r="K35" s="47">
        <f t="shared" si="4"/>
        <v>508.62</v>
      </c>
      <c r="L35" s="38"/>
      <c r="M35" s="38"/>
      <c r="N35" s="38"/>
      <c r="O35" s="54"/>
      <c r="P35" s="38"/>
      <c r="Q35" s="38"/>
      <c r="R35" s="38"/>
      <c r="S35" s="38"/>
      <c r="T35" s="38"/>
      <c r="U35" s="38"/>
      <c r="V35" s="38"/>
    </row>
    <row r="36" spans="1:22">
      <c r="A36" s="38">
        <f t="shared" si="5"/>
        <v>13</v>
      </c>
      <c r="B36" s="45" t="s">
        <v>393</v>
      </c>
      <c r="C36" s="45" t="s">
        <v>197</v>
      </c>
      <c r="D36" s="45" t="s">
        <v>308</v>
      </c>
      <c r="E36" s="46">
        <v>2500</v>
      </c>
      <c r="F36" s="47"/>
      <c r="G36" s="46">
        <v>2500</v>
      </c>
      <c r="H36" s="47"/>
      <c r="I36" s="55"/>
      <c r="J36" s="55"/>
      <c r="K36" s="47">
        <f t="shared" si="4"/>
        <v>0</v>
      </c>
      <c r="L36" s="38"/>
      <c r="M36" s="38"/>
      <c r="N36" s="38"/>
      <c r="O36" s="54"/>
      <c r="P36" s="38"/>
      <c r="Q36" s="38"/>
      <c r="R36" s="38"/>
      <c r="S36" s="38"/>
      <c r="T36" s="38"/>
      <c r="U36" s="38"/>
      <c r="V36" s="38"/>
    </row>
    <row r="37" spans="1:22">
      <c r="A37" s="38">
        <f t="shared" si="5"/>
        <v>14</v>
      </c>
      <c r="B37" s="45" t="s">
        <v>408</v>
      </c>
      <c r="C37" s="45" t="s">
        <v>409</v>
      </c>
      <c r="D37" s="45" t="s">
        <v>410</v>
      </c>
      <c r="E37" s="46">
        <v>1000</v>
      </c>
      <c r="F37" s="47"/>
      <c r="G37" s="46">
        <v>1000</v>
      </c>
      <c r="H37" s="47"/>
      <c r="I37" s="55"/>
      <c r="J37" s="55"/>
      <c r="K37" s="47">
        <f t="shared" si="4"/>
        <v>0</v>
      </c>
      <c r="L37" s="38"/>
      <c r="M37" s="38"/>
      <c r="N37" s="38"/>
      <c r="O37" s="54"/>
      <c r="P37" s="38"/>
      <c r="Q37" s="38"/>
      <c r="R37" s="38"/>
      <c r="S37" s="38"/>
      <c r="T37" s="38"/>
      <c r="U37" s="38"/>
      <c r="V37" s="38"/>
    </row>
    <row r="38" spans="1:22">
      <c r="A38" s="38">
        <f t="shared" si="5"/>
        <v>15</v>
      </c>
      <c r="B38" s="45" t="s">
        <v>411</v>
      </c>
      <c r="C38" s="45" t="s">
        <v>173</v>
      </c>
      <c r="D38" s="45" t="s">
        <v>412</v>
      </c>
      <c r="E38" s="46">
        <v>2000</v>
      </c>
      <c r="F38" s="47"/>
      <c r="G38" s="46">
        <v>2000</v>
      </c>
      <c r="H38" s="47"/>
      <c r="I38" s="55"/>
      <c r="J38" s="55"/>
      <c r="K38" s="47">
        <f t="shared" si="4"/>
        <v>0</v>
      </c>
      <c r="L38" s="38"/>
      <c r="M38" s="38"/>
      <c r="N38" s="38"/>
      <c r="O38" s="54"/>
      <c r="P38" s="38"/>
      <c r="Q38" s="38"/>
      <c r="R38" s="38"/>
      <c r="S38" s="38"/>
      <c r="T38" s="38"/>
      <c r="U38" s="38"/>
      <c r="V38" s="38"/>
    </row>
    <row r="39" spans="1:22">
      <c r="A39" s="38">
        <f t="shared" si="5"/>
        <v>16</v>
      </c>
      <c r="B39" s="45" t="s">
        <v>382</v>
      </c>
      <c r="C39" s="45" t="s">
        <v>197</v>
      </c>
      <c r="D39" s="45" t="s">
        <v>413</v>
      </c>
      <c r="E39" s="46">
        <v>2000</v>
      </c>
      <c r="F39" s="47"/>
      <c r="G39" s="46">
        <v>2000</v>
      </c>
      <c r="H39" s="47"/>
      <c r="I39" s="55"/>
      <c r="J39" s="55"/>
      <c r="K39" s="47">
        <f t="shared" si="4"/>
        <v>0</v>
      </c>
      <c r="L39" s="38"/>
      <c r="M39" s="38"/>
      <c r="N39" s="38"/>
      <c r="O39" s="54"/>
      <c r="P39" s="38"/>
      <c r="Q39" s="38"/>
      <c r="R39" s="38"/>
      <c r="S39" s="38"/>
      <c r="T39" s="38"/>
      <c r="U39" s="38"/>
      <c r="V39" s="38"/>
    </row>
    <row r="40" spans="1:22">
      <c r="A40" s="38">
        <f t="shared" si="5"/>
        <v>17</v>
      </c>
      <c r="B40" s="45" t="s">
        <v>414</v>
      </c>
      <c r="C40" s="45" t="s">
        <v>415</v>
      </c>
      <c r="D40" s="45" t="s">
        <v>416</v>
      </c>
      <c r="E40" s="46">
        <v>2500</v>
      </c>
      <c r="F40" s="47"/>
      <c r="G40" s="46">
        <v>2500</v>
      </c>
      <c r="H40" s="47"/>
      <c r="I40" s="55"/>
      <c r="J40" s="55"/>
      <c r="K40" s="47">
        <f t="shared" si="4"/>
        <v>0</v>
      </c>
      <c r="L40" s="38"/>
      <c r="M40" s="38"/>
      <c r="N40" s="38"/>
      <c r="O40" s="54"/>
      <c r="P40" s="38"/>
      <c r="Q40" s="38"/>
      <c r="R40" s="38"/>
      <c r="S40" s="38"/>
      <c r="T40" s="38"/>
      <c r="U40" s="38"/>
      <c r="V40" s="38"/>
    </row>
    <row r="41" spans="1:22">
      <c r="A41" s="38">
        <f t="shared" si="5"/>
        <v>18</v>
      </c>
      <c r="B41" s="45" t="s">
        <v>417</v>
      </c>
      <c r="C41" s="45" t="s">
        <v>418</v>
      </c>
      <c r="D41" s="45" t="s">
        <v>419</v>
      </c>
      <c r="E41" s="46">
        <v>3000</v>
      </c>
      <c r="F41" s="47"/>
      <c r="G41" s="46">
        <v>3000</v>
      </c>
      <c r="H41" s="47"/>
      <c r="I41" s="55"/>
      <c r="J41" s="55"/>
      <c r="K41" s="47">
        <f t="shared" si="4"/>
        <v>0</v>
      </c>
      <c r="L41" s="38"/>
      <c r="M41" s="38"/>
      <c r="N41" s="38"/>
      <c r="O41" s="54"/>
      <c r="P41" s="38"/>
      <c r="Q41" s="38"/>
      <c r="R41" s="38"/>
      <c r="S41" s="38"/>
      <c r="T41" s="38"/>
      <c r="U41" s="38"/>
      <c r="V41" s="38"/>
    </row>
    <row r="42" spans="1:22">
      <c r="A42" s="38">
        <f t="shared" si="5"/>
        <v>19</v>
      </c>
      <c r="B42" s="45" t="s">
        <v>420</v>
      </c>
      <c r="C42" s="45" t="s">
        <v>421</v>
      </c>
      <c r="D42" s="45" t="s">
        <v>422</v>
      </c>
      <c r="E42" s="46">
        <v>2000</v>
      </c>
      <c r="F42" s="47">
        <v>291.92</v>
      </c>
      <c r="G42" s="46">
        <v>1795</v>
      </c>
      <c r="H42" s="47"/>
      <c r="I42" s="55"/>
      <c r="J42" s="55"/>
      <c r="K42" s="47">
        <f t="shared" si="4"/>
        <v>496.92</v>
      </c>
      <c r="L42" s="38"/>
      <c r="M42" s="38"/>
      <c r="N42" s="38"/>
      <c r="O42" s="54"/>
      <c r="P42" s="38"/>
      <c r="Q42" s="38"/>
      <c r="R42" s="38"/>
      <c r="S42" s="38"/>
      <c r="T42" s="38"/>
      <c r="U42" s="38"/>
      <c r="V42" s="38"/>
    </row>
    <row r="43" spans="1:22">
      <c r="A43" s="38">
        <f t="shared" si="5"/>
        <v>20</v>
      </c>
      <c r="B43" s="45" t="s">
        <v>423</v>
      </c>
      <c r="C43" s="45" t="s">
        <v>424</v>
      </c>
      <c r="D43" s="45" t="s">
        <v>425</v>
      </c>
      <c r="E43" s="46">
        <v>2500</v>
      </c>
      <c r="F43" s="47"/>
      <c r="G43" s="46">
        <v>2500</v>
      </c>
      <c r="H43" s="47"/>
      <c r="I43" s="55"/>
      <c r="J43" s="55"/>
      <c r="K43" s="47">
        <f t="shared" si="4"/>
        <v>0</v>
      </c>
      <c r="L43" s="38"/>
      <c r="M43" s="38"/>
      <c r="N43" s="38"/>
      <c r="O43" s="54"/>
      <c r="P43" s="38"/>
      <c r="Q43" s="38"/>
      <c r="R43" s="38"/>
      <c r="S43" s="38"/>
      <c r="T43" s="38"/>
      <c r="U43" s="38"/>
      <c r="V43" s="38"/>
    </row>
    <row r="44" spans="1:22">
      <c r="A44" s="38">
        <f t="shared" si="5"/>
        <v>21</v>
      </c>
      <c r="B44" s="45" t="s">
        <v>178</v>
      </c>
      <c r="C44" s="45" t="s">
        <v>426</v>
      </c>
      <c r="D44" s="45" t="s">
        <v>427</v>
      </c>
      <c r="E44" s="46">
        <v>2500</v>
      </c>
      <c r="F44" s="47"/>
      <c r="G44" s="46">
        <v>2500</v>
      </c>
      <c r="H44" s="47"/>
      <c r="I44" s="55"/>
      <c r="J44" s="55"/>
      <c r="K44" s="47">
        <f t="shared" si="4"/>
        <v>0</v>
      </c>
      <c r="L44" s="38"/>
      <c r="M44" s="38"/>
      <c r="N44" s="38"/>
      <c r="O44" s="54"/>
      <c r="P44" s="38"/>
      <c r="Q44" s="38"/>
      <c r="R44" s="38"/>
      <c r="S44" s="38"/>
      <c r="T44" s="38"/>
      <c r="U44" s="38"/>
      <c r="V44" s="38"/>
    </row>
    <row r="45" spans="1:22">
      <c r="A45" s="38">
        <f t="shared" si="5"/>
        <v>22</v>
      </c>
      <c r="B45" s="45" t="s">
        <v>428</v>
      </c>
      <c r="C45" s="45" t="s">
        <v>429</v>
      </c>
      <c r="D45" s="45" t="s">
        <v>430</v>
      </c>
      <c r="E45" s="46">
        <v>3000</v>
      </c>
      <c r="F45" s="47"/>
      <c r="G45" s="46">
        <v>3000</v>
      </c>
      <c r="H45" s="47"/>
      <c r="I45" s="55"/>
      <c r="J45" s="55"/>
      <c r="K45" s="47">
        <f t="shared" si="4"/>
        <v>0</v>
      </c>
      <c r="L45" s="38"/>
      <c r="M45" s="38"/>
      <c r="N45" s="38"/>
      <c r="O45" s="54"/>
      <c r="P45" s="38"/>
      <c r="Q45" s="38"/>
      <c r="R45" s="38"/>
      <c r="S45" s="38"/>
      <c r="T45" s="38"/>
      <c r="U45" s="38"/>
      <c r="V45" s="38"/>
    </row>
    <row r="46" spans="1:22">
      <c r="A46" s="38">
        <f t="shared" si="5"/>
        <v>23</v>
      </c>
      <c r="B46" s="45" t="s">
        <v>431</v>
      </c>
      <c r="C46" s="45" t="s">
        <v>432</v>
      </c>
      <c r="D46" s="45" t="s">
        <v>433</v>
      </c>
      <c r="E46" s="46">
        <v>2000</v>
      </c>
      <c r="F46" s="47"/>
      <c r="G46" s="46">
        <v>2000</v>
      </c>
      <c r="H46" s="47"/>
      <c r="I46" s="55"/>
      <c r="J46" s="55"/>
      <c r="K46" s="47">
        <f t="shared" si="4"/>
        <v>0</v>
      </c>
      <c r="L46" s="38"/>
      <c r="M46" s="38"/>
      <c r="N46" s="38"/>
      <c r="O46" s="54"/>
      <c r="P46" s="38"/>
      <c r="Q46" s="38"/>
      <c r="R46" s="38"/>
      <c r="S46" s="38"/>
      <c r="T46" s="38"/>
      <c r="U46" s="38"/>
      <c r="V46" s="38"/>
    </row>
    <row r="47" spans="1:22">
      <c r="A47" s="38">
        <f t="shared" si="5"/>
        <v>24</v>
      </c>
      <c r="B47" s="45" t="s">
        <v>434</v>
      </c>
      <c r="C47" s="45" t="s">
        <v>435</v>
      </c>
      <c r="D47" s="45" t="s">
        <v>436</v>
      </c>
      <c r="E47" s="46">
        <v>2500</v>
      </c>
      <c r="F47" s="47"/>
      <c r="G47" s="46">
        <v>2500</v>
      </c>
      <c r="H47" s="47"/>
      <c r="I47" s="55"/>
      <c r="J47" s="55"/>
      <c r="K47" s="47">
        <f t="shared" si="4"/>
        <v>0</v>
      </c>
      <c r="L47" s="38"/>
      <c r="M47" s="38"/>
      <c r="N47" s="38"/>
      <c r="O47" s="54"/>
      <c r="P47" s="38"/>
      <c r="Q47" s="38"/>
      <c r="R47" s="38"/>
      <c r="S47" s="38"/>
      <c r="T47" s="38"/>
      <c r="U47" s="38"/>
      <c r="V47" s="38"/>
    </row>
    <row r="48" spans="1:22">
      <c r="A48" s="38">
        <f t="shared" si="5"/>
        <v>25</v>
      </c>
      <c r="B48" s="45" t="s">
        <v>437</v>
      </c>
      <c r="C48" s="45" t="s">
        <v>438</v>
      </c>
      <c r="D48" s="45" t="s">
        <v>439</v>
      </c>
      <c r="E48" s="46">
        <v>3000</v>
      </c>
      <c r="F48" s="47"/>
      <c r="G48" s="46">
        <v>3000</v>
      </c>
      <c r="H48" s="47"/>
      <c r="I48" s="55"/>
      <c r="J48" s="55"/>
      <c r="K48" s="47">
        <f t="shared" si="4"/>
        <v>0</v>
      </c>
      <c r="L48" s="38"/>
      <c r="M48" s="38" t="s">
        <v>440</v>
      </c>
      <c r="N48" s="38"/>
      <c r="O48" s="54"/>
      <c r="P48" s="38"/>
      <c r="Q48" s="38"/>
      <c r="R48" s="38"/>
      <c r="S48" s="38"/>
      <c r="T48" s="38"/>
      <c r="U48" s="38"/>
      <c r="V48" s="38"/>
    </row>
    <row r="49" spans="1:22">
      <c r="A49" s="38">
        <f t="shared" si="5"/>
        <v>26</v>
      </c>
      <c r="B49" s="45" t="s">
        <v>441</v>
      </c>
      <c r="C49" s="45" t="s">
        <v>442</v>
      </c>
      <c r="D49" s="45" t="s">
        <v>443</v>
      </c>
      <c r="E49" s="46">
        <v>3000</v>
      </c>
      <c r="F49" s="47"/>
      <c r="G49" s="46">
        <v>3000</v>
      </c>
      <c r="H49" s="47"/>
      <c r="I49" s="55"/>
      <c r="J49" s="55"/>
      <c r="K49" s="47">
        <f t="shared" si="4"/>
        <v>0</v>
      </c>
      <c r="L49" s="38">
        <v>938</v>
      </c>
      <c r="M49" s="38" t="s">
        <v>444</v>
      </c>
      <c r="N49" s="38"/>
      <c r="O49" s="54"/>
      <c r="P49" s="38"/>
      <c r="Q49" s="38"/>
      <c r="R49" s="38"/>
      <c r="S49" s="38"/>
      <c r="T49" s="38"/>
      <c r="U49" s="38"/>
      <c r="V49" s="38"/>
    </row>
    <row r="50" spans="1:22">
      <c r="A50" s="38">
        <f t="shared" si="5"/>
        <v>27</v>
      </c>
      <c r="B50" s="45" t="s">
        <v>445</v>
      </c>
      <c r="C50" s="45" t="s">
        <v>446</v>
      </c>
      <c r="D50" s="45" t="s">
        <v>447</v>
      </c>
      <c r="E50" s="46">
        <v>4000</v>
      </c>
      <c r="F50" s="47"/>
      <c r="G50" s="46">
        <v>4000</v>
      </c>
      <c r="H50" s="47"/>
      <c r="I50" s="55"/>
      <c r="J50" s="55"/>
      <c r="K50" s="47">
        <f t="shared" si="4"/>
        <v>0</v>
      </c>
      <c r="L50" s="38">
        <v>940</v>
      </c>
      <c r="M50" s="38" t="s">
        <v>448</v>
      </c>
      <c r="N50" s="38"/>
      <c r="O50" s="54">
        <v>8000</v>
      </c>
      <c r="P50" s="38"/>
      <c r="Q50" s="38"/>
      <c r="R50" s="38"/>
      <c r="S50" s="38"/>
      <c r="T50" s="38"/>
      <c r="U50" s="38"/>
      <c r="V50" s="38"/>
    </row>
    <row r="51" spans="1:22">
      <c r="A51" s="38">
        <f t="shared" si="5"/>
        <v>28</v>
      </c>
      <c r="B51" s="45" t="s">
        <v>449</v>
      </c>
      <c r="C51" s="45" t="s">
        <v>426</v>
      </c>
      <c r="D51" s="45" t="s">
        <v>450</v>
      </c>
      <c r="E51" s="48">
        <v>2000</v>
      </c>
      <c r="F51" s="49"/>
      <c r="G51" s="46">
        <v>2000</v>
      </c>
      <c r="H51" s="47"/>
      <c r="I51" s="55"/>
      <c r="J51" s="55"/>
      <c r="K51" s="47">
        <f t="shared" si="4"/>
        <v>0</v>
      </c>
      <c r="L51" s="38">
        <v>884</v>
      </c>
      <c r="M51" s="38" t="s">
        <v>451</v>
      </c>
      <c r="N51" s="38"/>
      <c r="O51" s="54">
        <v>5000</v>
      </c>
      <c r="P51" s="38"/>
      <c r="Q51" s="38"/>
      <c r="R51" s="38"/>
      <c r="S51" s="38"/>
      <c r="T51" s="38"/>
      <c r="U51" s="38"/>
      <c r="V51" s="38"/>
    </row>
    <row r="52" spans="1:22">
      <c r="A52" s="38">
        <f t="shared" si="5"/>
        <v>29</v>
      </c>
      <c r="B52" s="45" t="s">
        <v>452</v>
      </c>
      <c r="C52" s="45" t="s">
        <v>453</v>
      </c>
      <c r="D52" s="45" t="s">
        <v>454</v>
      </c>
      <c r="E52" s="46">
        <v>3000</v>
      </c>
      <c r="F52" s="47"/>
      <c r="G52" s="46">
        <v>3000</v>
      </c>
      <c r="H52" s="47"/>
      <c r="I52" s="55"/>
      <c r="J52" s="55"/>
      <c r="K52" s="47">
        <f t="shared" si="4"/>
        <v>0</v>
      </c>
      <c r="L52" s="38">
        <v>942</v>
      </c>
      <c r="M52" s="38" t="s">
        <v>381</v>
      </c>
      <c r="N52" s="38"/>
      <c r="O52" s="54">
        <v>8000</v>
      </c>
      <c r="P52" s="38"/>
      <c r="Q52" s="38"/>
      <c r="R52" s="38"/>
      <c r="S52" s="38"/>
      <c r="T52" s="38"/>
      <c r="U52" s="38"/>
      <c r="V52" s="38"/>
    </row>
    <row r="53" spans="1:22">
      <c r="A53" s="38">
        <f t="shared" si="5"/>
        <v>30</v>
      </c>
      <c r="B53" s="45" t="s">
        <v>455</v>
      </c>
      <c r="C53" s="45" t="s">
        <v>133</v>
      </c>
      <c r="D53" s="45" t="s">
        <v>456</v>
      </c>
      <c r="E53" s="46">
        <v>1000</v>
      </c>
      <c r="F53" s="47"/>
      <c r="G53" s="46">
        <v>1000</v>
      </c>
      <c r="H53" s="47"/>
      <c r="I53" s="55"/>
      <c r="J53" s="55"/>
      <c r="K53" s="47">
        <f t="shared" si="4"/>
        <v>0</v>
      </c>
      <c r="L53" s="56" t="s">
        <v>457</v>
      </c>
      <c r="M53" s="38" t="s">
        <v>381</v>
      </c>
      <c r="N53" s="38"/>
      <c r="O53" s="54"/>
      <c r="P53" s="38"/>
      <c r="Q53" s="38"/>
      <c r="R53" s="38"/>
      <c r="S53" s="38"/>
      <c r="T53" s="38"/>
      <c r="U53" s="38"/>
      <c r="V53" s="38"/>
    </row>
    <row r="54" spans="1:23">
      <c r="A54" s="38">
        <f t="shared" si="5"/>
        <v>31</v>
      </c>
      <c r="B54" s="45" t="s">
        <v>458</v>
      </c>
      <c r="C54" s="45" t="s">
        <v>459</v>
      </c>
      <c r="D54" s="45" t="s">
        <v>460</v>
      </c>
      <c r="E54" s="46">
        <v>2500</v>
      </c>
      <c r="F54" s="47">
        <f>4272.56-2500</f>
        <v>1772.56</v>
      </c>
      <c r="G54" s="46">
        <v>950</v>
      </c>
      <c r="H54" s="47"/>
      <c r="I54" s="55"/>
      <c r="J54" s="55"/>
      <c r="K54" s="47">
        <f t="shared" si="4"/>
        <v>3322.56</v>
      </c>
      <c r="L54" s="38"/>
      <c r="M54" s="38" t="s">
        <v>461</v>
      </c>
      <c r="N54" s="38"/>
      <c r="O54" s="54"/>
      <c r="P54" s="38"/>
      <c r="Q54" s="38"/>
      <c r="R54" s="38"/>
      <c r="S54" s="38"/>
      <c r="T54" s="38"/>
      <c r="U54" s="38"/>
      <c r="V54" s="38"/>
      <c r="W54" s="1" t="s">
        <v>462</v>
      </c>
    </row>
    <row r="55" spans="1:23">
      <c r="A55" s="38">
        <f t="shared" si="5"/>
        <v>32</v>
      </c>
      <c r="B55" s="45" t="s">
        <v>463</v>
      </c>
      <c r="C55" s="45" t="s">
        <v>464</v>
      </c>
      <c r="D55" s="45" t="s">
        <v>465</v>
      </c>
      <c r="E55" s="46">
        <v>2000</v>
      </c>
      <c r="F55" s="47">
        <v>305.38</v>
      </c>
      <c r="G55" s="46">
        <v>1750</v>
      </c>
      <c r="H55" s="47"/>
      <c r="I55" s="55"/>
      <c r="J55" s="55"/>
      <c r="K55" s="47">
        <f t="shared" si="4"/>
        <v>555.38</v>
      </c>
      <c r="L55" s="56" t="s">
        <v>466</v>
      </c>
      <c r="M55" s="38" t="s">
        <v>467</v>
      </c>
      <c r="N55" s="38"/>
      <c r="O55" s="54"/>
      <c r="P55" s="38"/>
      <c r="Q55" s="38"/>
      <c r="R55" s="38"/>
      <c r="S55" s="38"/>
      <c r="T55" s="38"/>
      <c r="U55" s="38"/>
      <c r="V55" s="38"/>
      <c r="W55" s="1" t="str">
        <f>+W54</f>
        <v> Recover</v>
      </c>
    </row>
    <row r="56" spans="1:22">
      <c r="A56" s="38">
        <f t="shared" si="5"/>
        <v>33</v>
      </c>
      <c r="B56" s="45" t="s">
        <v>468</v>
      </c>
      <c r="C56" s="45" t="s">
        <v>469</v>
      </c>
      <c r="D56" s="45" t="s">
        <v>470</v>
      </c>
      <c r="E56" s="46">
        <v>1500</v>
      </c>
      <c r="F56" s="47"/>
      <c r="G56" s="46">
        <v>1500</v>
      </c>
      <c r="H56" s="47"/>
      <c r="I56" s="55"/>
      <c r="J56" s="55"/>
      <c r="K56" s="47">
        <f t="shared" si="4"/>
        <v>0</v>
      </c>
      <c r="L56" s="38">
        <v>220</v>
      </c>
      <c r="M56" s="38" t="s">
        <v>471</v>
      </c>
      <c r="N56" s="38"/>
      <c r="O56" s="54"/>
      <c r="P56" s="38"/>
      <c r="Q56" s="38"/>
      <c r="R56" s="38"/>
      <c r="S56" s="38"/>
      <c r="T56" s="38"/>
      <c r="U56" s="38"/>
      <c r="V56" s="38"/>
    </row>
    <row r="57" spans="1:23">
      <c r="A57" s="38">
        <f t="shared" si="5"/>
        <v>34</v>
      </c>
      <c r="B57" s="45" t="s">
        <v>472</v>
      </c>
      <c r="C57" s="45" t="s">
        <v>473</v>
      </c>
      <c r="D57" s="45" t="s">
        <v>474</v>
      </c>
      <c r="E57" s="46">
        <v>1000</v>
      </c>
      <c r="F57" s="47">
        <v>208.84</v>
      </c>
      <c r="G57" s="46">
        <f>SUM([9]Sheet1!$L$4002:$L$4005)</f>
        <v>550</v>
      </c>
      <c r="H57" s="47"/>
      <c r="I57" s="55"/>
      <c r="J57" s="55"/>
      <c r="K57" s="47">
        <f t="shared" si="4"/>
        <v>658.84</v>
      </c>
      <c r="L57" s="38">
        <v>941</v>
      </c>
      <c r="M57" s="38" t="s">
        <v>381</v>
      </c>
      <c r="N57" s="38"/>
      <c r="O57" s="54"/>
      <c r="P57" s="38"/>
      <c r="Q57" s="38"/>
      <c r="R57" s="38"/>
      <c r="S57" s="38"/>
      <c r="T57" s="38"/>
      <c r="U57" s="38"/>
      <c r="V57" s="38"/>
      <c r="W57" s="1" t="str">
        <f>+W55</f>
        <v> Recover</v>
      </c>
    </row>
    <row r="58" spans="1:22">
      <c r="A58" s="38">
        <f>+A57</f>
        <v>34</v>
      </c>
      <c r="B58" s="38"/>
      <c r="C58" s="38"/>
      <c r="D58" s="38"/>
      <c r="E58" s="47"/>
      <c r="F58" s="47"/>
      <c r="G58" s="50"/>
      <c r="H58" s="50"/>
      <c r="I58" s="57"/>
      <c r="J58" s="55"/>
      <c r="K58" s="47">
        <f t="shared" ref="K58" si="6">E58-G58-H58-I58-J58</f>
        <v>0</v>
      </c>
      <c r="L58" s="38">
        <v>880</v>
      </c>
      <c r="M58" s="38" t="s">
        <v>381</v>
      </c>
      <c r="N58" s="38"/>
      <c r="O58" s="54"/>
      <c r="P58" s="38"/>
      <c r="Q58" s="38"/>
      <c r="R58" s="38"/>
      <c r="S58" s="38"/>
      <c r="T58" s="38"/>
      <c r="U58" s="38"/>
      <c r="V58" s="38"/>
    </row>
    <row r="59" spans="5:15">
      <c r="E59" s="6" t="s">
        <v>475</v>
      </c>
      <c r="F59" s="6"/>
      <c r="G59" s="6"/>
      <c r="H59" s="6"/>
      <c r="I59" s="6"/>
      <c r="J59" s="58"/>
      <c r="O59" s="6"/>
    </row>
    <row r="60" ht="17.25" spans="2:22">
      <c r="B60" s="1" t="s">
        <v>476</v>
      </c>
      <c r="E60" s="51">
        <f>SUM(E24:E58)</f>
        <v>78300</v>
      </c>
      <c r="F60" s="51">
        <f>SUM(F24:F58)</f>
        <v>8712.69</v>
      </c>
      <c r="G60" s="51">
        <f>SUM(G24:G58)</f>
        <v>71834</v>
      </c>
      <c r="H60" s="51">
        <f t="shared" ref="H60:K60" si="7">SUM(H24:H58)</f>
        <v>0</v>
      </c>
      <c r="I60" s="51">
        <f t="shared" si="7"/>
        <v>0</v>
      </c>
      <c r="J60" s="51">
        <f t="shared" si="7"/>
        <v>0</v>
      </c>
      <c r="K60" s="51">
        <f t="shared" si="7"/>
        <v>15178.69</v>
      </c>
      <c r="L60" s="12"/>
      <c r="M60" s="12"/>
      <c r="N60" s="7"/>
      <c r="V60" s="7">
        <f>SUM(G60:J60)/(E60+F60)</f>
        <v>0.825557743359043</v>
      </c>
    </row>
    <row r="61" ht="17.25" spans="4:9">
      <c r="D61" s="43"/>
      <c r="I61" s="42"/>
    </row>
    <row r="62" spans="4:11">
      <c r="D62" s="43"/>
      <c r="I62" s="42"/>
      <c r="K62" s="1">
        <f>+K60-15179</f>
        <v>-0.309999999999491</v>
      </c>
    </row>
    <row r="63" spans="1:15">
      <c r="A63" s="1" t="str">
        <f>+CAIRO!A35</f>
        <v>2nd Batch Disbursement</v>
      </c>
      <c r="O63" s="1" t="s">
        <v>370</v>
      </c>
    </row>
    <row r="64" ht="33" spans="1:22">
      <c r="A64" s="4" t="s">
        <v>76</v>
      </c>
      <c r="B64" s="4" t="s">
        <v>77</v>
      </c>
      <c r="C64" s="4" t="s">
        <v>78</v>
      </c>
      <c r="D64" s="4" t="str">
        <f>+D23</f>
        <v>Default Payable</v>
      </c>
      <c r="E64" s="15" t="s">
        <v>81</v>
      </c>
      <c r="F64" s="3" t="str">
        <f>+F23</f>
        <v>Default Interest</v>
      </c>
      <c r="G64" s="4" t="s">
        <v>224</v>
      </c>
      <c r="H64" s="4" t="s">
        <v>371</v>
      </c>
      <c r="I64" s="4" t="s">
        <v>83</v>
      </c>
      <c r="J64" s="4" t="s">
        <v>84</v>
      </c>
      <c r="K64" s="4" t="s">
        <v>85</v>
      </c>
      <c r="L64" s="4" t="s">
        <v>172</v>
      </c>
      <c r="M64" s="53" t="e">
        <f>+[3]CAIRO!#REF!</f>
        <v>#REF!</v>
      </c>
      <c r="N64" s="38"/>
      <c r="O64" s="54"/>
      <c r="P64" s="38"/>
      <c r="Q64" s="38"/>
      <c r="R64" s="38"/>
      <c r="S64" s="38"/>
      <c r="T64" s="38"/>
      <c r="U64" s="38"/>
      <c r="V64" s="38" t="s">
        <v>72</v>
      </c>
    </row>
    <row r="65" spans="1:22">
      <c r="A65" s="38">
        <v>1</v>
      </c>
      <c r="B65" s="45" t="s">
        <v>477</v>
      </c>
      <c r="C65" s="45" t="s">
        <v>478</v>
      </c>
      <c r="D65" s="45" t="s">
        <v>374</v>
      </c>
      <c r="E65" s="59">
        <v>3000</v>
      </c>
      <c r="F65" s="59"/>
      <c r="G65" s="59">
        <v>3000</v>
      </c>
      <c r="H65" s="60"/>
      <c r="I65" s="69">
        <v>0</v>
      </c>
      <c r="J65" s="69"/>
      <c r="K65" s="60">
        <f>E65-G65-H65-I65-J65+F65</f>
        <v>0</v>
      </c>
      <c r="L65" s="38"/>
      <c r="M65" s="38" t="s">
        <v>375</v>
      </c>
      <c r="N65" s="38"/>
      <c r="O65" s="54"/>
      <c r="P65" s="38"/>
      <c r="Q65" s="38"/>
      <c r="R65" s="38"/>
      <c r="S65" s="38"/>
      <c r="T65" s="38"/>
      <c r="U65" s="38"/>
      <c r="V65" s="38"/>
    </row>
    <row r="66" spans="1:22">
      <c r="A66" s="38">
        <f>+A65+1</f>
        <v>2</v>
      </c>
      <c r="B66" s="45" t="s">
        <v>479</v>
      </c>
      <c r="C66" s="45" t="s">
        <v>480</v>
      </c>
      <c r="D66" s="45" t="s">
        <v>380</v>
      </c>
      <c r="E66" s="59">
        <v>3000</v>
      </c>
      <c r="F66" s="59"/>
      <c r="G66" s="59">
        <v>3000</v>
      </c>
      <c r="H66" s="54"/>
      <c r="I66" s="70"/>
      <c r="J66" s="70">
        <v>0</v>
      </c>
      <c r="K66" s="60">
        <f t="shared" ref="K66:K87" si="8">E66-G66-H66-I66-J66+F66</f>
        <v>0</v>
      </c>
      <c r="L66" s="38">
        <v>936</v>
      </c>
      <c r="M66" s="38" t="s">
        <v>381</v>
      </c>
      <c r="N66" s="38"/>
      <c r="O66" s="54"/>
      <c r="P66" s="38"/>
      <c r="Q66" s="38"/>
      <c r="R66" s="38"/>
      <c r="S66" s="38"/>
      <c r="T66" s="38"/>
      <c r="U66" s="38"/>
      <c r="V66" s="38"/>
    </row>
    <row r="67" spans="1:22">
      <c r="A67" s="38">
        <f t="shared" ref="A67:A86" si="9">+A66+1</f>
        <v>3</v>
      </c>
      <c r="B67" s="45" t="s">
        <v>481</v>
      </c>
      <c r="C67" s="45" t="s">
        <v>482</v>
      </c>
      <c r="D67" s="45" t="s">
        <v>384</v>
      </c>
      <c r="E67" s="59">
        <v>1000</v>
      </c>
      <c r="F67" s="59"/>
      <c r="G67" s="59">
        <v>1000</v>
      </c>
      <c r="H67" s="54"/>
      <c r="I67" s="70"/>
      <c r="J67" s="70"/>
      <c r="K67" s="60">
        <f t="shared" si="8"/>
        <v>0</v>
      </c>
      <c r="L67" s="38"/>
      <c r="M67" s="38"/>
      <c r="N67" s="38"/>
      <c r="O67" s="54"/>
      <c r="P67" s="38"/>
      <c r="Q67" s="38"/>
      <c r="R67" s="38"/>
      <c r="S67" s="38"/>
      <c r="T67" s="38"/>
      <c r="U67" s="38"/>
      <c r="V67" s="38"/>
    </row>
    <row r="68" spans="1:22">
      <c r="A68" s="38">
        <f t="shared" si="9"/>
        <v>4</v>
      </c>
      <c r="B68" s="45" t="s">
        <v>483</v>
      </c>
      <c r="C68" s="45" t="s">
        <v>484</v>
      </c>
      <c r="D68" s="45" t="s">
        <v>387</v>
      </c>
      <c r="E68" s="59">
        <v>1250</v>
      </c>
      <c r="F68" s="59"/>
      <c r="G68" s="59">
        <v>1250</v>
      </c>
      <c r="H68" s="54"/>
      <c r="I68" s="70"/>
      <c r="J68" s="70"/>
      <c r="K68" s="60">
        <f t="shared" si="8"/>
        <v>0</v>
      </c>
      <c r="L68" s="38"/>
      <c r="M68" s="38"/>
      <c r="N68" s="38"/>
      <c r="O68" s="54"/>
      <c r="P68" s="38"/>
      <c r="Q68" s="38"/>
      <c r="R68" s="38"/>
      <c r="S68" s="38"/>
      <c r="T68" s="38"/>
      <c r="U68" s="38"/>
      <c r="V68" s="38"/>
    </row>
    <row r="69" spans="1:22">
      <c r="A69" s="38">
        <f t="shared" si="9"/>
        <v>5</v>
      </c>
      <c r="B69" s="45" t="s">
        <v>485</v>
      </c>
      <c r="C69" s="45" t="s">
        <v>173</v>
      </c>
      <c r="D69" s="45" t="s">
        <v>389</v>
      </c>
      <c r="E69" s="59">
        <v>1000</v>
      </c>
      <c r="F69" s="59"/>
      <c r="G69" s="59">
        <v>1000</v>
      </c>
      <c r="H69" s="54"/>
      <c r="I69" s="70"/>
      <c r="J69" s="70"/>
      <c r="K69" s="60">
        <f t="shared" si="8"/>
        <v>0</v>
      </c>
      <c r="L69" s="38"/>
      <c r="M69" s="38"/>
      <c r="N69" s="38"/>
      <c r="O69" s="54"/>
      <c r="P69" s="38"/>
      <c r="Q69" s="38"/>
      <c r="R69" s="38"/>
      <c r="S69" s="38"/>
      <c r="T69" s="38"/>
      <c r="U69" s="38"/>
      <c r="V69" s="38"/>
    </row>
    <row r="70" spans="1:22">
      <c r="A70" s="38">
        <f t="shared" si="9"/>
        <v>6</v>
      </c>
      <c r="B70" s="45" t="s">
        <v>486</v>
      </c>
      <c r="C70" s="45" t="s">
        <v>487</v>
      </c>
      <c r="D70" s="45" t="s">
        <v>392</v>
      </c>
      <c r="E70" s="59">
        <v>2000</v>
      </c>
      <c r="F70" s="59"/>
      <c r="G70" s="59">
        <v>2000</v>
      </c>
      <c r="H70" s="54"/>
      <c r="I70" s="70"/>
      <c r="J70" s="70"/>
      <c r="K70" s="60">
        <f t="shared" si="8"/>
        <v>0</v>
      </c>
      <c r="L70" s="38"/>
      <c r="M70" s="38"/>
      <c r="N70" s="38"/>
      <c r="O70" s="54"/>
      <c r="P70" s="38"/>
      <c r="Q70" s="38"/>
      <c r="R70" s="38"/>
      <c r="S70" s="38"/>
      <c r="T70" s="38"/>
      <c r="U70" s="38"/>
      <c r="V70" s="38"/>
    </row>
    <row r="71" spans="1:22">
      <c r="A71" s="38">
        <f t="shared" si="9"/>
        <v>7</v>
      </c>
      <c r="B71" s="45" t="s">
        <v>488</v>
      </c>
      <c r="C71" s="45" t="s">
        <v>489</v>
      </c>
      <c r="D71" s="45" t="s">
        <v>394</v>
      </c>
      <c r="E71" s="59">
        <v>1500</v>
      </c>
      <c r="F71" s="59"/>
      <c r="G71" s="59">
        <v>1500</v>
      </c>
      <c r="H71" s="54"/>
      <c r="I71" s="70"/>
      <c r="J71" s="70"/>
      <c r="K71" s="60">
        <f t="shared" si="8"/>
        <v>0</v>
      </c>
      <c r="L71" s="38"/>
      <c r="M71" s="38"/>
      <c r="N71" s="38"/>
      <c r="O71" s="54"/>
      <c r="P71" s="38"/>
      <c r="Q71" s="38"/>
      <c r="R71" s="38"/>
      <c r="S71" s="38"/>
      <c r="T71" s="38"/>
      <c r="U71" s="38"/>
      <c r="V71" s="38"/>
    </row>
    <row r="72" spans="1:11">
      <c r="A72" s="1">
        <v>8</v>
      </c>
      <c r="B72" s="1" t="s">
        <v>490</v>
      </c>
      <c r="C72" s="1" t="s">
        <v>491</v>
      </c>
      <c r="E72" s="1">
        <v>4000</v>
      </c>
      <c r="F72" s="1">
        <f>+[10]Sheet2!$H$10</f>
        <v>930.06</v>
      </c>
      <c r="G72" s="1">
        <v>4250</v>
      </c>
      <c r="K72" s="60">
        <f t="shared" si="8"/>
        <v>680.06</v>
      </c>
    </row>
    <row r="73" spans="1:22">
      <c r="A73" s="38">
        <f>+A275+1</f>
        <v>9</v>
      </c>
      <c r="B73" s="45" t="s">
        <v>492</v>
      </c>
      <c r="C73" s="45" t="s">
        <v>493</v>
      </c>
      <c r="D73" s="45" t="s">
        <v>400</v>
      </c>
      <c r="E73" s="59">
        <v>2000</v>
      </c>
      <c r="F73" s="59"/>
      <c r="G73" s="59">
        <v>2000</v>
      </c>
      <c r="H73" s="54"/>
      <c r="I73" s="55"/>
      <c r="J73" s="55"/>
      <c r="K73" s="60">
        <f t="shared" si="8"/>
        <v>0</v>
      </c>
      <c r="L73" s="38"/>
      <c r="M73" s="38"/>
      <c r="N73" s="38"/>
      <c r="O73" s="54"/>
      <c r="P73" s="38"/>
      <c r="Q73" s="38"/>
      <c r="R73" s="38"/>
      <c r="S73" s="38"/>
      <c r="T73" s="38"/>
      <c r="U73" s="38"/>
      <c r="V73" s="38"/>
    </row>
    <row r="74" spans="1:22">
      <c r="A74" s="38">
        <f t="shared" si="9"/>
        <v>10</v>
      </c>
      <c r="B74" s="45" t="s">
        <v>494</v>
      </c>
      <c r="C74" s="45" t="s">
        <v>495</v>
      </c>
      <c r="D74" s="45" t="s">
        <v>403</v>
      </c>
      <c r="E74" s="59">
        <v>2000</v>
      </c>
      <c r="F74" s="59"/>
      <c r="G74" s="59">
        <v>2000</v>
      </c>
      <c r="H74" s="54"/>
      <c r="I74" s="55"/>
      <c r="J74" s="55"/>
      <c r="K74" s="60">
        <f t="shared" si="8"/>
        <v>0</v>
      </c>
      <c r="L74" s="38"/>
      <c r="M74" s="38"/>
      <c r="N74" s="38"/>
      <c r="O74" s="54"/>
      <c r="P74" s="38"/>
      <c r="Q74" s="38"/>
      <c r="R74" s="38"/>
      <c r="S74" s="38"/>
      <c r="T74" s="38"/>
      <c r="U74" s="38"/>
      <c r="V74" s="38"/>
    </row>
    <row r="75" spans="1:22">
      <c r="A75" s="38">
        <f t="shared" si="9"/>
        <v>11</v>
      </c>
      <c r="B75" s="45" t="s">
        <v>496</v>
      </c>
      <c r="C75" s="45" t="s">
        <v>497</v>
      </c>
      <c r="D75" s="45" t="s">
        <v>405</v>
      </c>
      <c r="E75" s="59">
        <v>4000</v>
      </c>
      <c r="F75" s="59"/>
      <c r="G75" s="59">
        <v>4000</v>
      </c>
      <c r="H75" s="54"/>
      <c r="I75" s="55"/>
      <c r="J75" s="55"/>
      <c r="K75" s="60">
        <f t="shared" si="8"/>
        <v>0</v>
      </c>
      <c r="L75" s="38"/>
      <c r="M75" s="38"/>
      <c r="N75" s="38"/>
      <c r="O75" s="54"/>
      <c r="P75" s="38"/>
      <c r="Q75" s="38"/>
      <c r="R75" s="38"/>
      <c r="S75" s="38"/>
      <c r="T75" s="38"/>
      <c r="U75" s="38"/>
      <c r="V75" s="38"/>
    </row>
    <row r="76" spans="1:23">
      <c r="A76" s="38">
        <f t="shared" si="9"/>
        <v>12</v>
      </c>
      <c r="B76" s="45" t="s">
        <v>498</v>
      </c>
      <c r="C76" s="45" t="s">
        <v>499</v>
      </c>
      <c r="D76" s="45" t="s">
        <v>407</v>
      </c>
      <c r="E76" s="59">
        <v>1500</v>
      </c>
      <c r="F76" s="59">
        <f>3215.36-E76</f>
        <v>1715.36</v>
      </c>
      <c r="G76" s="59">
        <v>0</v>
      </c>
      <c r="H76" s="54"/>
      <c r="I76" s="55"/>
      <c r="J76" s="55"/>
      <c r="K76" s="60">
        <f t="shared" si="8"/>
        <v>3215.36</v>
      </c>
      <c r="L76" s="38"/>
      <c r="M76" s="38"/>
      <c r="N76" s="38"/>
      <c r="O76" s="54"/>
      <c r="P76" s="38"/>
      <c r="Q76" s="38"/>
      <c r="R76" s="38"/>
      <c r="S76" s="38"/>
      <c r="T76" s="38"/>
      <c r="U76" s="38"/>
      <c r="V76" s="38"/>
      <c r="W76" s="1" t="s">
        <v>500</v>
      </c>
    </row>
    <row r="77" spans="1:22">
      <c r="A77" s="38">
        <f t="shared" si="9"/>
        <v>13</v>
      </c>
      <c r="B77" s="45" t="s">
        <v>501</v>
      </c>
      <c r="C77" s="45" t="s">
        <v>502</v>
      </c>
      <c r="D77" s="45" t="s">
        <v>308</v>
      </c>
      <c r="E77" s="59">
        <v>1500</v>
      </c>
      <c r="F77" s="59">
        <v>0</v>
      </c>
      <c r="G77" s="59">
        <v>1500</v>
      </c>
      <c r="H77" s="54"/>
      <c r="I77" s="55"/>
      <c r="J77" s="55"/>
      <c r="K77" s="60">
        <f t="shared" si="8"/>
        <v>0</v>
      </c>
      <c r="L77" s="38"/>
      <c r="M77" s="38"/>
      <c r="N77" s="38"/>
      <c r="O77" s="54"/>
      <c r="P77" s="38"/>
      <c r="Q77" s="38"/>
      <c r="R77" s="38"/>
      <c r="S77" s="38"/>
      <c r="T77" s="38"/>
      <c r="U77" s="38"/>
      <c r="V77" s="38"/>
    </row>
    <row r="78" spans="1:23">
      <c r="A78" s="38">
        <f t="shared" si="9"/>
        <v>14</v>
      </c>
      <c r="B78" s="45" t="s">
        <v>501</v>
      </c>
      <c r="C78" s="45" t="s">
        <v>402</v>
      </c>
      <c r="D78" s="45" t="s">
        <v>410</v>
      </c>
      <c r="E78" s="59">
        <v>1500</v>
      </c>
      <c r="F78" s="59">
        <f>+[10]Sheet2!$H$16</f>
        <v>1286.53</v>
      </c>
      <c r="G78" s="59">
        <v>375</v>
      </c>
      <c r="H78" s="54"/>
      <c r="I78" s="55"/>
      <c r="J78" s="55"/>
      <c r="K78" s="60">
        <f t="shared" si="8"/>
        <v>2411.53</v>
      </c>
      <c r="L78" s="38"/>
      <c r="M78" s="38"/>
      <c r="N78" s="38"/>
      <c r="O78" s="54"/>
      <c r="P78" s="38"/>
      <c r="Q78" s="38"/>
      <c r="R78" s="38"/>
      <c r="S78" s="38"/>
      <c r="T78" s="38"/>
      <c r="U78" s="38"/>
      <c r="V78" s="38"/>
      <c r="W78" s="1" t="str">
        <f>+W76</f>
        <v>Recover</v>
      </c>
    </row>
    <row r="79" spans="1:23">
      <c r="A79" s="38">
        <f t="shared" si="9"/>
        <v>15</v>
      </c>
      <c r="B79" s="45" t="s">
        <v>503</v>
      </c>
      <c r="C79" s="45" t="s">
        <v>197</v>
      </c>
      <c r="D79" s="61" t="s">
        <v>504</v>
      </c>
      <c r="E79" s="59">
        <v>1500</v>
      </c>
      <c r="F79" s="59">
        <f>1754.23-E79</f>
        <v>254.23</v>
      </c>
      <c r="G79" s="59">
        <v>1345</v>
      </c>
      <c r="H79" s="54"/>
      <c r="I79" s="55"/>
      <c r="J79" s="55"/>
      <c r="K79" s="60">
        <f t="shared" si="8"/>
        <v>409.23</v>
      </c>
      <c r="L79" s="38"/>
      <c r="M79" s="38"/>
      <c r="N79" s="38" t="s">
        <v>505</v>
      </c>
      <c r="O79" s="54"/>
      <c r="P79" s="38"/>
      <c r="Q79" s="38"/>
      <c r="R79" s="38"/>
      <c r="S79" s="38"/>
      <c r="T79" s="38"/>
      <c r="U79" s="38"/>
      <c r="V79" s="38"/>
      <c r="W79" s="1" t="str">
        <f>+W78</f>
        <v>Recover</v>
      </c>
    </row>
    <row r="80" spans="1:22">
      <c r="A80" s="38">
        <f t="shared" si="9"/>
        <v>16</v>
      </c>
      <c r="B80" s="45" t="s">
        <v>506</v>
      </c>
      <c r="C80" s="45" t="s">
        <v>507</v>
      </c>
      <c r="D80" s="45" t="s">
        <v>413</v>
      </c>
      <c r="E80" s="59">
        <v>2500</v>
      </c>
      <c r="F80" s="59">
        <f>+[10]Sheet2!$H$18</f>
        <v>1021.79</v>
      </c>
      <c r="G80" s="59">
        <v>1950</v>
      </c>
      <c r="H80" s="54"/>
      <c r="I80" s="55"/>
      <c r="J80" s="55"/>
      <c r="K80" s="60">
        <f t="shared" si="8"/>
        <v>1571.79</v>
      </c>
      <c r="L80" s="38"/>
      <c r="M80" s="38"/>
      <c r="N80" s="38"/>
      <c r="O80" s="54"/>
      <c r="P80" s="38"/>
      <c r="Q80" s="38"/>
      <c r="R80" s="38"/>
      <c r="S80" s="38"/>
      <c r="T80" s="38"/>
      <c r="U80" s="38"/>
      <c r="V80" s="38"/>
    </row>
    <row r="81" spans="1:22">
      <c r="A81" s="38">
        <f t="shared" si="9"/>
        <v>17</v>
      </c>
      <c r="B81" s="45" t="s">
        <v>508</v>
      </c>
      <c r="C81" s="45" t="s">
        <v>509</v>
      </c>
      <c r="D81" s="45" t="s">
        <v>416</v>
      </c>
      <c r="E81" s="59">
        <v>1000</v>
      </c>
      <c r="F81" s="59"/>
      <c r="G81" s="59">
        <v>1000</v>
      </c>
      <c r="H81" s="54"/>
      <c r="I81" s="55"/>
      <c r="J81" s="55"/>
      <c r="K81" s="60">
        <f t="shared" si="8"/>
        <v>0</v>
      </c>
      <c r="L81" s="38"/>
      <c r="M81" s="38"/>
      <c r="N81" s="38"/>
      <c r="O81" s="54"/>
      <c r="P81" s="38"/>
      <c r="Q81" s="38"/>
      <c r="R81" s="38"/>
      <c r="S81" s="38"/>
      <c r="T81" s="38"/>
      <c r="U81" s="38"/>
      <c r="V81" s="38"/>
    </row>
    <row r="82" spans="1:22">
      <c r="A82" s="38">
        <f t="shared" si="9"/>
        <v>18</v>
      </c>
      <c r="B82" s="45" t="s">
        <v>510</v>
      </c>
      <c r="C82" s="45" t="s">
        <v>511</v>
      </c>
      <c r="D82" s="45" t="s">
        <v>419</v>
      </c>
      <c r="E82" s="59">
        <v>1000</v>
      </c>
      <c r="F82" s="59"/>
      <c r="G82" s="59">
        <v>1000</v>
      </c>
      <c r="H82" s="54"/>
      <c r="I82" s="55"/>
      <c r="J82" s="55"/>
      <c r="K82" s="60">
        <f t="shared" si="8"/>
        <v>0</v>
      </c>
      <c r="L82" s="38"/>
      <c r="M82" s="38"/>
      <c r="N82" s="38"/>
      <c r="O82" s="54"/>
      <c r="P82" s="38"/>
      <c r="Q82" s="38"/>
      <c r="R82" s="38"/>
      <c r="S82" s="38"/>
      <c r="T82" s="38"/>
      <c r="U82" s="38"/>
      <c r="V82" s="38"/>
    </row>
    <row r="83" spans="1:23">
      <c r="A83" s="38">
        <f t="shared" si="9"/>
        <v>19</v>
      </c>
      <c r="B83" s="45" t="s">
        <v>512</v>
      </c>
      <c r="C83" s="45" t="s">
        <v>513</v>
      </c>
      <c r="D83" s="45" t="s">
        <v>422</v>
      </c>
      <c r="E83" s="59">
        <v>4000</v>
      </c>
      <c r="F83" s="59">
        <f>5052.36-E83</f>
        <v>1052.36</v>
      </c>
      <c r="G83" s="59">
        <v>2880</v>
      </c>
      <c r="H83" s="54"/>
      <c r="I83" s="55"/>
      <c r="J83" s="55">
        <v>100</v>
      </c>
      <c r="K83" s="60">
        <f t="shared" si="8"/>
        <v>2072.36</v>
      </c>
      <c r="L83" s="38"/>
      <c r="M83" s="38"/>
      <c r="N83" s="38"/>
      <c r="O83" s="54"/>
      <c r="P83" s="38"/>
      <c r="Q83" s="38"/>
      <c r="R83" s="38"/>
      <c r="S83" s="38"/>
      <c r="T83" s="38"/>
      <c r="U83" s="38"/>
      <c r="V83" s="38"/>
      <c r="W83" s="1" t="str">
        <f>+W79</f>
        <v>Recover</v>
      </c>
    </row>
    <row r="84" spans="1:22">
      <c r="A84" s="38">
        <f t="shared" si="9"/>
        <v>20</v>
      </c>
      <c r="B84" s="45" t="s">
        <v>401</v>
      </c>
      <c r="C84" s="45" t="s">
        <v>514</v>
      </c>
      <c r="D84" s="45" t="s">
        <v>425</v>
      </c>
      <c r="E84" s="59">
        <v>5000</v>
      </c>
      <c r="F84" s="59"/>
      <c r="G84" s="59">
        <v>5000</v>
      </c>
      <c r="H84" s="54"/>
      <c r="I84" s="55"/>
      <c r="J84" s="55"/>
      <c r="K84" s="60">
        <f t="shared" si="8"/>
        <v>0</v>
      </c>
      <c r="L84" s="38"/>
      <c r="M84" s="38"/>
      <c r="N84" s="38"/>
      <c r="O84" s="54"/>
      <c r="P84" s="38"/>
      <c r="Q84" s="38"/>
      <c r="R84" s="38"/>
      <c r="S84" s="38"/>
      <c r="T84" s="38"/>
      <c r="U84" s="38"/>
      <c r="V84" s="38"/>
    </row>
    <row r="85" spans="1:23">
      <c r="A85" s="38">
        <f t="shared" si="9"/>
        <v>21</v>
      </c>
      <c r="B85" s="45" t="s">
        <v>515</v>
      </c>
      <c r="C85" s="45" t="s">
        <v>197</v>
      </c>
      <c r="D85" s="45" t="s">
        <v>427</v>
      </c>
      <c r="E85" s="59">
        <v>5000</v>
      </c>
      <c r="F85" s="59">
        <f>6200.8-E85</f>
        <v>1200.8</v>
      </c>
      <c r="G85" s="59">
        <v>4840</v>
      </c>
      <c r="H85" s="54"/>
      <c r="I85" s="55"/>
      <c r="J85" s="55"/>
      <c r="K85" s="60">
        <f t="shared" si="8"/>
        <v>1360.8</v>
      </c>
      <c r="L85" s="38"/>
      <c r="M85" s="38"/>
      <c r="N85" s="38"/>
      <c r="O85" s="54"/>
      <c r="P85" s="38"/>
      <c r="Q85" s="38"/>
      <c r="R85" s="38"/>
      <c r="S85" s="38"/>
      <c r="T85" s="38"/>
      <c r="U85" s="38"/>
      <c r="V85" s="38"/>
      <c r="W85" s="1" t="str">
        <f>+W83</f>
        <v>Recover</v>
      </c>
    </row>
    <row r="86" spans="1:22">
      <c r="A86" s="38">
        <f t="shared" si="9"/>
        <v>22</v>
      </c>
      <c r="B86" s="45" t="s">
        <v>516</v>
      </c>
      <c r="C86" s="45" t="s">
        <v>517</v>
      </c>
      <c r="D86" s="45" t="s">
        <v>430</v>
      </c>
      <c r="E86" s="59">
        <v>1000</v>
      </c>
      <c r="F86" s="59">
        <v>0</v>
      </c>
      <c r="G86" s="59">
        <v>1000</v>
      </c>
      <c r="H86" s="54"/>
      <c r="I86" s="55"/>
      <c r="J86" s="55"/>
      <c r="K86" s="60">
        <f t="shared" si="8"/>
        <v>0</v>
      </c>
      <c r="L86" s="38"/>
      <c r="M86" s="38"/>
      <c r="N86" s="38"/>
      <c r="O86" s="54"/>
      <c r="P86" s="38"/>
      <c r="Q86" s="38"/>
      <c r="R86" s="38"/>
      <c r="S86" s="38"/>
      <c r="T86" s="38"/>
      <c r="U86" s="38"/>
      <c r="V86" s="38"/>
    </row>
    <row r="87" spans="1:22">
      <c r="A87" s="38">
        <f>+A86</f>
        <v>22</v>
      </c>
      <c r="B87" s="38"/>
      <c r="C87" s="38"/>
      <c r="D87" s="38"/>
      <c r="E87" s="54"/>
      <c r="F87" s="54"/>
      <c r="G87" s="38"/>
      <c r="H87" s="38"/>
      <c r="I87" s="57"/>
      <c r="J87" s="55"/>
      <c r="K87" s="60">
        <f t="shared" si="8"/>
        <v>0</v>
      </c>
      <c r="L87" s="38">
        <v>880</v>
      </c>
      <c r="M87" s="38" t="s">
        <v>381</v>
      </c>
      <c r="N87" s="38"/>
      <c r="O87" s="54"/>
      <c r="P87" s="38"/>
      <c r="Q87" s="38"/>
      <c r="R87" s="38"/>
      <c r="S87" s="38"/>
      <c r="T87" s="38"/>
      <c r="U87" s="38"/>
      <c r="V87" s="38"/>
    </row>
    <row r="88" spans="5:15">
      <c r="E88" s="6" t="s">
        <v>475</v>
      </c>
      <c r="F88" s="6"/>
      <c r="G88" s="6"/>
      <c r="H88" s="6"/>
      <c r="I88" s="6"/>
      <c r="J88" s="58"/>
      <c r="O88" s="6"/>
    </row>
    <row r="89" ht="17.25" spans="2:22">
      <c r="B89" s="1" t="s">
        <v>476</v>
      </c>
      <c r="E89" s="51">
        <f t="shared" ref="E89:K89" si="10">SUM(E65:E87)</f>
        <v>50250</v>
      </c>
      <c r="F89" s="51">
        <f t="shared" si="10"/>
        <v>7461.13</v>
      </c>
      <c r="G89" s="51">
        <f t="shared" si="10"/>
        <v>45890</v>
      </c>
      <c r="H89" s="51">
        <f t="shared" si="10"/>
        <v>0</v>
      </c>
      <c r="I89" s="51">
        <f t="shared" si="10"/>
        <v>0</v>
      </c>
      <c r="J89" s="51">
        <f t="shared" si="10"/>
        <v>100</v>
      </c>
      <c r="K89" s="51">
        <f t="shared" si="10"/>
        <v>11721.13</v>
      </c>
      <c r="L89" s="12"/>
      <c r="M89" s="12"/>
      <c r="N89" s="7"/>
      <c r="V89" s="7">
        <f>SUM(G89:J89)/(E89+F89)</f>
        <v>0.796900008715823</v>
      </c>
    </row>
    <row r="90" ht="17.25" spans="4:9">
      <c r="D90" s="43"/>
      <c r="I90" s="42"/>
    </row>
    <row r="91" spans="4:9">
      <c r="D91" s="43"/>
      <c r="I91" s="42"/>
    </row>
    <row r="92" spans="1:15">
      <c r="A92" s="1" t="str">
        <f>+CAIRO!A48</f>
        <v>3rd Batch Disbursement</v>
      </c>
      <c r="O92" s="1" t="s">
        <v>370</v>
      </c>
    </row>
    <row r="93" ht="33" spans="1:22">
      <c r="A93" s="4" t="s">
        <v>76</v>
      </c>
      <c r="B93" s="4" t="s">
        <v>77</v>
      </c>
      <c r="C93" s="4" t="s">
        <v>78</v>
      </c>
      <c r="D93" s="4" t="str">
        <f>+D64</f>
        <v>Default Payable</v>
      </c>
      <c r="E93" s="15" t="s">
        <v>81</v>
      </c>
      <c r="F93" s="3" t="str">
        <f>+F64</f>
        <v>Default Interest</v>
      </c>
      <c r="G93" s="4" t="s">
        <v>224</v>
      </c>
      <c r="H93" s="4" t="s">
        <v>371</v>
      </c>
      <c r="I93" s="4" t="s">
        <v>83</v>
      </c>
      <c r="J93" s="4" t="s">
        <v>84</v>
      </c>
      <c r="K93" s="4" t="s">
        <v>85</v>
      </c>
      <c r="L93" s="4" t="s">
        <v>172</v>
      </c>
      <c r="M93" s="53" t="e">
        <f>+[3]CAIRO!#REF!</f>
        <v>#REF!</v>
      </c>
      <c r="N93" s="38"/>
      <c r="O93" s="54"/>
      <c r="P93" s="38"/>
      <c r="Q93" s="38"/>
      <c r="R93" s="38"/>
      <c r="S93" s="38"/>
      <c r="T93" s="38"/>
      <c r="U93" s="38"/>
      <c r="V93" s="38" t="s">
        <v>72</v>
      </c>
    </row>
    <row r="94" spans="1:22">
      <c r="A94" s="38">
        <v>1</v>
      </c>
      <c r="B94" s="45" t="s">
        <v>518</v>
      </c>
      <c r="C94" s="45" t="s">
        <v>519</v>
      </c>
      <c r="D94" s="45" t="s">
        <v>520</v>
      </c>
      <c r="E94" s="59">
        <v>1000</v>
      </c>
      <c r="F94" s="59"/>
      <c r="G94" s="59">
        <v>1000</v>
      </c>
      <c r="H94" s="38"/>
      <c r="I94" s="69">
        <v>0</v>
      </c>
      <c r="J94" s="69"/>
      <c r="K94" s="60">
        <f t="shared" ref="K94:K114" si="11">E94-G94-H94-I94-J94+F94</f>
        <v>0</v>
      </c>
      <c r="L94" s="38"/>
      <c r="M94" s="38" t="s">
        <v>375</v>
      </c>
      <c r="N94" s="38"/>
      <c r="O94" s="54"/>
      <c r="P94" s="38"/>
      <c r="Q94" s="38"/>
      <c r="R94" s="38"/>
      <c r="S94" s="38"/>
      <c r="T94" s="38"/>
      <c r="U94" s="38"/>
      <c r="V94" s="38"/>
    </row>
    <row r="95" spans="1:22">
      <c r="A95" s="38">
        <f>+A94+1</f>
        <v>2</v>
      </c>
      <c r="B95" s="45" t="s">
        <v>521</v>
      </c>
      <c r="C95" s="45" t="s">
        <v>522</v>
      </c>
      <c r="D95" s="45" t="s">
        <v>523</v>
      </c>
      <c r="E95" s="59">
        <v>1000</v>
      </c>
      <c r="F95" s="59"/>
      <c r="G95" s="59">
        <v>1000</v>
      </c>
      <c r="H95" s="38"/>
      <c r="I95" s="69"/>
      <c r="J95" s="69"/>
      <c r="K95" s="60">
        <f t="shared" si="11"/>
        <v>0</v>
      </c>
      <c r="L95" s="38"/>
      <c r="M95" s="38"/>
      <c r="N95" s="38"/>
      <c r="O95" s="54"/>
      <c r="P95" s="38"/>
      <c r="Q95" s="38"/>
      <c r="R95" s="38"/>
      <c r="S95" s="38"/>
      <c r="T95" s="38"/>
      <c r="U95" s="38"/>
      <c r="V95" s="38"/>
    </row>
    <row r="96" spans="1:22">
      <c r="A96" s="38">
        <f t="shared" ref="A96:A116" si="12">+A95+1</f>
        <v>3</v>
      </c>
      <c r="B96" s="45" t="s">
        <v>524</v>
      </c>
      <c r="C96" s="45" t="s">
        <v>525</v>
      </c>
      <c r="D96" s="45" t="s">
        <v>526</v>
      </c>
      <c r="E96" s="59">
        <v>1500</v>
      </c>
      <c r="F96" s="59"/>
      <c r="G96" s="59">
        <v>1500</v>
      </c>
      <c r="H96" s="38"/>
      <c r="I96" s="69"/>
      <c r="J96" s="69"/>
      <c r="K96" s="60">
        <f t="shared" si="11"/>
        <v>0</v>
      </c>
      <c r="L96" s="38"/>
      <c r="M96" s="38"/>
      <c r="N96" s="38"/>
      <c r="O96" s="54"/>
      <c r="P96" s="38"/>
      <c r="Q96" s="38"/>
      <c r="R96" s="38"/>
      <c r="S96" s="38"/>
      <c r="T96" s="38"/>
      <c r="U96" s="38"/>
      <c r="V96" s="38"/>
    </row>
    <row r="97" spans="1:22">
      <c r="A97" s="38">
        <f t="shared" si="12"/>
        <v>4</v>
      </c>
      <c r="B97" s="45" t="s">
        <v>527</v>
      </c>
      <c r="C97" s="45" t="s">
        <v>528</v>
      </c>
      <c r="D97" s="45" t="s">
        <v>529</v>
      </c>
      <c r="E97" s="59">
        <v>1000</v>
      </c>
      <c r="F97" s="59"/>
      <c r="G97" s="59">
        <v>1000</v>
      </c>
      <c r="H97" s="38"/>
      <c r="I97" s="69"/>
      <c r="J97" s="69"/>
      <c r="K97" s="60">
        <f t="shared" si="11"/>
        <v>0</v>
      </c>
      <c r="L97" s="38"/>
      <c r="M97" s="38"/>
      <c r="N97" s="38"/>
      <c r="O97" s="54"/>
      <c r="P97" s="38"/>
      <c r="Q97" s="38"/>
      <c r="R97" s="38"/>
      <c r="S97" s="38"/>
      <c r="T97" s="38"/>
      <c r="U97" s="38"/>
      <c r="V97" s="38"/>
    </row>
    <row r="98" spans="1:22">
      <c r="A98" s="38">
        <f t="shared" si="12"/>
        <v>5</v>
      </c>
      <c r="B98" s="45" t="s">
        <v>530</v>
      </c>
      <c r="C98" s="45" t="s">
        <v>409</v>
      </c>
      <c r="D98" s="45" t="s">
        <v>531</v>
      </c>
      <c r="E98" s="59">
        <v>2000</v>
      </c>
      <c r="F98" s="59"/>
      <c r="G98" s="59">
        <v>2000</v>
      </c>
      <c r="H98" s="38"/>
      <c r="I98" s="69"/>
      <c r="J98" s="69"/>
      <c r="K98" s="60">
        <f t="shared" si="11"/>
        <v>0</v>
      </c>
      <c r="L98" s="38"/>
      <c r="M98" s="38"/>
      <c r="N98" s="38"/>
      <c r="O98" s="54"/>
      <c r="P98" s="38"/>
      <c r="Q98" s="38"/>
      <c r="R98" s="38"/>
      <c r="S98" s="38"/>
      <c r="T98" s="38"/>
      <c r="U98" s="38"/>
      <c r="V98" s="38"/>
    </row>
    <row r="99" spans="1:23">
      <c r="A99" s="38">
        <f t="shared" si="12"/>
        <v>6</v>
      </c>
      <c r="B99" s="45" t="s">
        <v>532</v>
      </c>
      <c r="C99" s="45" t="s">
        <v>509</v>
      </c>
      <c r="D99" s="45" t="s">
        <v>533</v>
      </c>
      <c r="E99" s="59">
        <v>4000</v>
      </c>
      <c r="F99" s="59">
        <v>2770.25</v>
      </c>
      <c r="G99" s="59">
        <f>500+580</f>
        <v>1080</v>
      </c>
      <c r="H99" s="38">
        <v>500</v>
      </c>
      <c r="I99" s="55"/>
      <c r="J99" s="55"/>
      <c r="K99" s="47">
        <f t="shared" si="11"/>
        <v>5190.25</v>
      </c>
      <c r="L99" s="38"/>
      <c r="M99" s="38"/>
      <c r="N99" s="38"/>
      <c r="O99" s="54"/>
      <c r="P99" s="38"/>
      <c r="Q99" s="38"/>
      <c r="R99" s="38"/>
      <c r="S99" s="38"/>
      <c r="T99" s="38"/>
      <c r="U99" s="38"/>
      <c r="V99" s="38" t="s">
        <v>534</v>
      </c>
      <c r="W99" s="1" t="s">
        <v>535</v>
      </c>
    </row>
    <row r="100" spans="1:23">
      <c r="A100" s="38">
        <f t="shared" si="12"/>
        <v>7</v>
      </c>
      <c r="B100" s="45" t="s">
        <v>536</v>
      </c>
      <c r="C100" s="45" t="s">
        <v>537</v>
      </c>
      <c r="D100" s="45" t="s">
        <v>538</v>
      </c>
      <c r="E100" s="59">
        <v>1000</v>
      </c>
      <c r="F100" s="59">
        <f>+'[11]NOVEMBER 2019'!$K$9</f>
        <v>628.97</v>
      </c>
      <c r="G100" s="59">
        <f>+'[11]NOVEMBER 2019'!$I$9</f>
        <v>450</v>
      </c>
      <c r="H100" s="38"/>
      <c r="I100" s="55"/>
      <c r="J100" s="55"/>
      <c r="K100" s="47">
        <f t="shared" si="11"/>
        <v>1178.97</v>
      </c>
      <c r="L100" s="38"/>
      <c r="M100" s="38"/>
      <c r="N100" s="38"/>
      <c r="O100" s="54"/>
      <c r="P100" s="38"/>
      <c r="Q100" s="38"/>
      <c r="R100" s="38"/>
      <c r="S100" s="38"/>
      <c r="T100" s="38"/>
      <c r="U100" s="38"/>
      <c r="V100" s="38" t="str">
        <f>+V99</f>
        <v>No trace</v>
      </c>
      <c r="W100" s="1" t="str">
        <f>+W99</f>
        <v>Regina to follow up</v>
      </c>
    </row>
    <row r="101" spans="1:22">
      <c r="A101" s="38">
        <f t="shared" si="12"/>
        <v>8</v>
      </c>
      <c r="B101" s="45" t="s">
        <v>539</v>
      </c>
      <c r="C101" s="45" t="s">
        <v>540</v>
      </c>
      <c r="D101" s="45" t="s">
        <v>541</v>
      </c>
      <c r="E101" s="59">
        <v>1000</v>
      </c>
      <c r="F101" s="59"/>
      <c r="G101" s="59">
        <v>1000</v>
      </c>
      <c r="H101" s="38"/>
      <c r="I101" s="55"/>
      <c r="J101" s="55"/>
      <c r="K101" s="47">
        <f t="shared" si="11"/>
        <v>0</v>
      </c>
      <c r="L101" s="38"/>
      <c r="M101" s="38"/>
      <c r="N101" s="38"/>
      <c r="O101" s="54"/>
      <c r="P101" s="38"/>
      <c r="Q101" s="38"/>
      <c r="R101" s="38"/>
      <c r="S101" s="38"/>
      <c r="T101" s="38"/>
      <c r="U101" s="38"/>
      <c r="V101" s="38"/>
    </row>
    <row r="102" spans="1:22">
      <c r="A102" s="38">
        <f t="shared" si="12"/>
        <v>9</v>
      </c>
      <c r="B102" s="45" t="s">
        <v>542</v>
      </c>
      <c r="C102" s="45" t="s">
        <v>543</v>
      </c>
      <c r="D102" s="45" t="s">
        <v>544</v>
      </c>
      <c r="E102" s="59">
        <v>1000</v>
      </c>
      <c r="F102" s="59"/>
      <c r="G102" s="59">
        <v>1000</v>
      </c>
      <c r="H102" s="38"/>
      <c r="I102" s="55"/>
      <c r="J102" s="55"/>
      <c r="K102" s="47">
        <f t="shared" si="11"/>
        <v>0</v>
      </c>
      <c r="L102" s="38"/>
      <c r="M102" s="38"/>
      <c r="N102" s="38"/>
      <c r="O102" s="54"/>
      <c r="P102" s="38"/>
      <c r="Q102" s="38"/>
      <c r="R102" s="38"/>
      <c r="S102" s="38"/>
      <c r="T102" s="38"/>
      <c r="U102" s="38"/>
      <c r="V102" s="38"/>
    </row>
    <row r="103" spans="1:22">
      <c r="A103" s="38">
        <f t="shared" si="12"/>
        <v>10</v>
      </c>
      <c r="B103" s="45" t="s">
        <v>545</v>
      </c>
      <c r="C103" s="45" t="s">
        <v>546</v>
      </c>
      <c r="D103" s="45" t="s">
        <v>547</v>
      </c>
      <c r="E103" s="59">
        <v>2000</v>
      </c>
      <c r="F103" s="59">
        <f>+'[11]NOVEMBER 2019'!$K$12</f>
        <v>2287.17</v>
      </c>
      <c r="G103" s="59">
        <v>0</v>
      </c>
      <c r="H103" s="38"/>
      <c r="I103" s="55"/>
      <c r="J103" s="55"/>
      <c r="K103" s="47">
        <f t="shared" si="11"/>
        <v>4287.17</v>
      </c>
      <c r="L103" s="38"/>
      <c r="M103" s="38"/>
      <c r="N103" s="38"/>
      <c r="O103" s="54"/>
      <c r="P103" s="38"/>
      <c r="Q103" s="38"/>
      <c r="R103" s="38"/>
      <c r="S103" s="38"/>
      <c r="T103" s="38"/>
      <c r="U103" s="38"/>
      <c r="V103" s="38"/>
    </row>
    <row r="104" spans="1:23">
      <c r="A104" s="50">
        <f t="shared" si="12"/>
        <v>11</v>
      </c>
      <c r="B104" s="50" t="s">
        <v>548</v>
      </c>
      <c r="C104" s="50" t="s">
        <v>549</v>
      </c>
      <c r="D104" s="50" t="s">
        <v>550</v>
      </c>
      <c r="E104" s="46">
        <v>3000</v>
      </c>
      <c r="F104" s="46">
        <v>0</v>
      </c>
      <c r="G104" s="46">
        <v>0</v>
      </c>
      <c r="H104" s="50"/>
      <c r="I104" s="55"/>
      <c r="J104" s="55">
        <v>3000</v>
      </c>
      <c r="K104" s="47">
        <f t="shared" si="11"/>
        <v>0</v>
      </c>
      <c r="L104" s="38"/>
      <c r="M104" s="38"/>
      <c r="N104" s="38"/>
      <c r="O104" s="54"/>
      <c r="P104" s="38"/>
      <c r="Q104" s="38"/>
      <c r="R104" s="38"/>
      <c r="S104" s="38"/>
      <c r="T104" s="38"/>
      <c r="U104" s="38"/>
      <c r="V104" s="38"/>
      <c r="W104" s="1" t="s">
        <v>551</v>
      </c>
    </row>
    <row r="105" spans="1:22">
      <c r="A105" s="38">
        <f t="shared" si="12"/>
        <v>12</v>
      </c>
      <c r="B105" s="45" t="s">
        <v>552</v>
      </c>
      <c r="C105" s="45" t="s">
        <v>173</v>
      </c>
      <c r="D105" s="45" t="s">
        <v>553</v>
      </c>
      <c r="E105" s="59">
        <v>2000</v>
      </c>
      <c r="F105" s="59"/>
      <c r="G105" s="59">
        <v>2000</v>
      </c>
      <c r="H105" s="38"/>
      <c r="I105" s="55"/>
      <c r="J105" s="55"/>
      <c r="K105" s="47">
        <f t="shared" si="11"/>
        <v>0</v>
      </c>
      <c r="L105" s="38"/>
      <c r="M105" s="38"/>
      <c r="N105" s="38"/>
      <c r="O105" s="54"/>
      <c r="P105" s="38"/>
      <c r="Q105" s="38"/>
      <c r="R105" s="38"/>
      <c r="S105" s="38"/>
      <c r="T105" s="38"/>
      <c r="U105" s="38"/>
      <c r="V105" s="38"/>
    </row>
    <row r="106" spans="1:23">
      <c r="A106" s="38">
        <f t="shared" si="12"/>
        <v>13</v>
      </c>
      <c r="B106" s="45" t="s">
        <v>554</v>
      </c>
      <c r="C106" s="45" t="s">
        <v>173</v>
      </c>
      <c r="D106" s="45" t="s">
        <v>555</v>
      </c>
      <c r="E106" s="59">
        <v>1500</v>
      </c>
      <c r="F106" s="59">
        <f>+'[11]NOVEMBER 2019'!$K$15</f>
        <v>0</v>
      </c>
      <c r="G106" s="59">
        <v>2278</v>
      </c>
      <c r="H106" s="38"/>
      <c r="I106" s="55"/>
      <c r="J106" s="55">
        <v>0</v>
      </c>
      <c r="K106" s="47">
        <f t="shared" si="11"/>
        <v>-778</v>
      </c>
      <c r="L106" s="38"/>
      <c r="M106" s="38"/>
      <c r="N106" s="38"/>
      <c r="O106" s="54"/>
      <c r="P106" s="38"/>
      <c r="Q106" s="38"/>
      <c r="R106" s="38"/>
      <c r="S106" s="38"/>
      <c r="T106" s="38"/>
      <c r="U106" s="38"/>
      <c r="V106" s="38"/>
      <c r="W106" s="1">
        <f>+W103</f>
        <v>0</v>
      </c>
    </row>
    <row r="107" spans="1:22">
      <c r="A107" s="38">
        <f t="shared" si="12"/>
        <v>14</v>
      </c>
      <c r="B107" s="45" t="s">
        <v>393</v>
      </c>
      <c r="C107" s="45" t="s">
        <v>197</v>
      </c>
      <c r="D107" s="45" t="s">
        <v>308</v>
      </c>
      <c r="E107" s="59">
        <v>5000</v>
      </c>
      <c r="F107" s="59"/>
      <c r="G107" s="59">
        <v>5000</v>
      </c>
      <c r="H107" s="38"/>
      <c r="I107" s="55"/>
      <c r="J107" s="55"/>
      <c r="K107" s="60">
        <f t="shared" si="11"/>
        <v>0</v>
      </c>
      <c r="L107" s="38"/>
      <c r="M107" s="38"/>
      <c r="N107" s="38"/>
      <c r="O107" s="54"/>
      <c r="P107" s="38"/>
      <c r="Q107" s="38"/>
      <c r="R107" s="38"/>
      <c r="S107" s="38"/>
      <c r="T107" s="38"/>
      <c r="U107" s="38"/>
      <c r="V107" s="38"/>
    </row>
    <row r="108" spans="1:22">
      <c r="A108" s="38">
        <f t="shared" si="12"/>
        <v>15</v>
      </c>
      <c r="B108" s="45" t="s">
        <v>556</v>
      </c>
      <c r="C108" s="45" t="s">
        <v>557</v>
      </c>
      <c r="D108" s="45" t="s">
        <v>558</v>
      </c>
      <c r="E108" s="59">
        <v>2500</v>
      </c>
      <c r="F108" s="59"/>
      <c r="G108" s="59">
        <v>2500</v>
      </c>
      <c r="H108" s="38"/>
      <c r="I108" s="55"/>
      <c r="J108" s="55"/>
      <c r="K108" s="60">
        <f t="shared" si="11"/>
        <v>0</v>
      </c>
      <c r="L108" s="38"/>
      <c r="M108" s="38"/>
      <c r="N108" s="38"/>
      <c r="O108" s="54"/>
      <c r="P108" s="38"/>
      <c r="Q108" s="38"/>
      <c r="R108" s="38"/>
      <c r="S108" s="38"/>
      <c r="T108" s="38"/>
      <c r="U108" s="38"/>
      <c r="V108" s="38"/>
    </row>
    <row r="109" spans="1:22">
      <c r="A109" s="38">
        <f t="shared" si="12"/>
        <v>16</v>
      </c>
      <c r="B109" s="45" t="s">
        <v>559</v>
      </c>
      <c r="C109" s="45" t="s">
        <v>560</v>
      </c>
      <c r="D109" s="45" t="s">
        <v>561</v>
      </c>
      <c r="E109" s="59">
        <v>3000</v>
      </c>
      <c r="F109" s="59"/>
      <c r="G109" s="59">
        <v>3000</v>
      </c>
      <c r="H109" s="38"/>
      <c r="I109" s="55"/>
      <c r="J109" s="55"/>
      <c r="K109" s="60">
        <f t="shared" si="11"/>
        <v>0</v>
      </c>
      <c r="L109" s="38"/>
      <c r="M109" s="38"/>
      <c r="N109" s="38"/>
      <c r="O109" s="54"/>
      <c r="P109" s="38"/>
      <c r="Q109" s="38"/>
      <c r="R109" s="38"/>
      <c r="S109" s="38"/>
      <c r="T109" s="38"/>
      <c r="U109" s="38"/>
      <c r="V109" s="38"/>
    </row>
    <row r="110" spans="1:22">
      <c r="A110" s="38">
        <f t="shared" si="12"/>
        <v>17</v>
      </c>
      <c r="B110" s="45" t="s">
        <v>562</v>
      </c>
      <c r="C110" s="45" t="s">
        <v>563</v>
      </c>
      <c r="D110" s="45" t="s">
        <v>564</v>
      </c>
      <c r="E110" s="59">
        <v>4000</v>
      </c>
      <c r="F110" s="59"/>
      <c r="G110" s="59">
        <v>4000</v>
      </c>
      <c r="H110" s="38"/>
      <c r="I110" s="55"/>
      <c r="J110" s="55"/>
      <c r="K110" s="60">
        <f t="shared" si="11"/>
        <v>0</v>
      </c>
      <c r="L110" s="38"/>
      <c r="M110" s="38"/>
      <c r="N110" s="38"/>
      <c r="O110" s="54"/>
      <c r="P110" s="38"/>
      <c r="Q110" s="38"/>
      <c r="R110" s="38"/>
      <c r="S110" s="38"/>
      <c r="T110" s="38"/>
      <c r="U110" s="38"/>
      <c r="V110" s="38"/>
    </row>
    <row r="111" spans="1:22">
      <c r="A111" s="38">
        <f t="shared" si="12"/>
        <v>18</v>
      </c>
      <c r="B111" s="45" t="s">
        <v>485</v>
      </c>
      <c r="C111" s="45" t="s">
        <v>173</v>
      </c>
      <c r="D111" s="45" t="s">
        <v>565</v>
      </c>
      <c r="E111" s="59">
        <v>1500</v>
      </c>
      <c r="F111" s="59"/>
      <c r="G111" s="59">
        <v>1500</v>
      </c>
      <c r="H111" s="38"/>
      <c r="I111" s="55"/>
      <c r="J111" s="55"/>
      <c r="K111" s="60">
        <f t="shared" si="11"/>
        <v>0</v>
      </c>
      <c r="L111" s="38"/>
      <c r="M111" s="38"/>
      <c r="N111" s="38"/>
      <c r="O111" s="54"/>
      <c r="P111" s="38"/>
      <c r="Q111" s="38"/>
      <c r="R111" s="38"/>
      <c r="S111" s="38"/>
      <c r="T111" s="38"/>
      <c r="U111" s="38"/>
      <c r="V111" s="38"/>
    </row>
    <row r="112" spans="1:22">
      <c r="A112" s="38">
        <f t="shared" si="12"/>
        <v>19</v>
      </c>
      <c r="B112" s="45" t="s">
        <v>566</v>
      </c>
      <c r="C112" s="45" t="s">
        <v>567</v>
      </c>
      <c r="D112" s="45" t="s">
        <v>568</v>
      </c>
      <c r="E112" s="59">
        <v>2000</v>
      </c>
      <c r="F112" s="59"/>
      <c r="G112" s="59">
        <v>2000</v>
      </c>
      <c r="H112" s="38"/>
      <c r="I112" s="55"/>
      <c r="J112" s="55"/>
      <c r="K112" s="60">
        <f t="shared" si="11"/>
        <v>0</v>
      </c>
      <c r="L112" s="38"/>
      <c r="M112" s="38"/>
      <c r="N112" s="38"/>
      <c r="O112" s="54"/>
      <c r="P112" s="38"/>
      <c r="Q112" s="38"/>
      <c r="R112" s="38"/>
      <c r="S112" s="38"/>
      <c r="T112" s="38"/>
      <c r="U112" s="38"/>
      <c r="V112" s="38"/>
    </row>
    <row r="113" spans="1:22">
      <c r="A113" s="38">
        <f t="shared" si="12"/>
        <v>20</v>
      </c>
      <c r="B113" s="45" t="s">
        <v>569</v>
      </c>
      <c r="C113" s="45" t="s">
        <v>570</v>
      </c>
      <c r="D113" s="45"/>
      <c r="E113" s="59">
        <v>3500</v>
      </c>
      <c r="F113" s="59"/>
      <c r="G113" s="59">
        <v>3500</v>
      </c>
      <c r="H113" s="38"/>
      <c r="I113" s="55"/>
      <c r="J113" s="55"/>
      <c r="K113" s="60">
        <f t="shared" si="11"/>
        <v>0</v>
      </c>
      <c r="L113" s="38"/>
      <c r="M113" s="38"/>
      <c r="N113" s="38"/>
      <c r="O113" s="54"/>
      <c r="P113" s="38"/>
      <c r="Q113" s="38"/>
      <c r="R113" s="38"/>
      <c r="S113" s="38"/>
      <c r="T113" s="38"/>
      <c r="U113" s="38"/>
      <c r="V113" s="38"/>
    </row>
    <row r="114" spans="1:23">
      <c r="A114" s="38">
        <f t="shared" si="12"/>
        <v>21</v>
      </c>
      <c r="B114" s="62" t="s">
        <v>506</v>
      </c>
      <c r="C114" s="62" t="s">
        <v>571</v>
      </c>
      <c r="D114" s="62" t="s">
        <v>572</v>
      </c>
      <c r="E114" s="63">
        <v>2000</v>
      </c>
      <c r="F114" s="63">
        <f>43.3</f>
        <v>43.3</v>
      </c>
      <c r="G114" s="63">
        <f>+'[11]NOVEMBER 2019'!$I$23</f>
        <v>1990</v>
      </c>
      <c r="H114" s="62"/>
      <c r="I114" s="71"/>
      <c r="J114" s="71"/>
      <c r="K114" s="72">
        <f t="shared" si="11"/>
        <v>53.3</v>
      </c>
      <c r="L114" s="62"/>
      <c r="M114" s="62"/>
      <c r="N114" s="62"/>
      <c r="O114" s="72"/>
      <c r="P114" s="62"/>
      <c r="Q114" s="62"/>
      <c r="R114" s="62"/>
      <c r="S114" s="62"/>
      <c r="T114" s="62"/>
      <c r="U114" s="62"/>
      <c r="V114" s="62"/>
      <c r="W114" s="1" t="s">
        <v>573</v>
      </c>
    </row>
    <row r="115" hidden="1" spans="1:22">
      <c r="A115" s="38" t="e">
        <f>+#REF!+1</f>
        <v>#REF!</v>
      </c>
      <c r="B115" s="45" t="s">
        <v>574</v>
      </c>
      <c r="C115" s="45" t="s">
        <v>575</v>
      </c>
      <c r="D115" s="45"/>
      <c r="E115" s="59">
        <v>2000</v>
      </c>
      <c r="F115" s="59"/>
      <c r="G115" s="59">
        <v>2000</v>
      </c>
      <c r="H115" s="38"/>
      <c r="I115" s="73"/>
      <c r="J115" s="38"/>
      <c r="K115" s="73">
        <f>F115-G115-H115-I115-J115</f>
        <v>-2000</v>
      </c>
      <c r="L115" s="38"/>
      <c r="M115" s="38"/>
      <c r="N115" s="38"/>
      <c r="O115" s="38"/>
      <c r="P115" s="38"/>
      <c r="Q115" s="38"/>
      <c r="R115" s="38"/>
      <c r="S115" s="38"/>
      <c r="T115" s="38"/>
      <c r="U115" s="38"/>
      <c r="V115" s="38"/>
    </row>
    <row r="116" hidden="1" spans="1:22">
      <c r="A116" s="38" t="e">
        <f t="shared" si="12"/>
        <v>#REF!</v>
      </c>
      <c r="B116" s="45" t="s">
        <v>576</v>
      </c>
      <c r="C116" s="45" t="s">
        <v>577</v>
      </c>
      <c r="D116" s="45"/>
      <c r="E116" s="59">
        <v>1000</v>
      </c>
      <c r="F116" s="59"/>
      <c r="G116" s="64">
        <v>1000</v>
      </c>
      <c r="H116" s="38"/>
      <c r="I116" s="73"/>
      <c r="J116" s="38"/>
      <c r="K116" s="73">
        <f>F116-G116-H116-I116-J116</f>
        <v>-1000</v>
      </c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</row>
    <row r="117" hidden="1" spans="4:9">
      <c r="D117" s="43"/>
      <c r="I117" s="42"/>
    </row>
    <row r="118" spans="4:9">
      <c r="D118" s="43"/>
      <c r="I118" s="42"/>
    </row>
    <row r="119" spans="4:9">
      <c r="D119" s="43"/>
      <c r="I119" s="42"/>
    </row>
    <row r="120" ht="17.25" spans="4:22">
      <c r="D120" s="43"/>
      <c r="E120" s="51">
        <f>SUM(E94:E116)</f>
        <v>48500</v>
      </c>
      <c r="F120" s="51">
        <f>SUM(F94:F116)</f>
        <v>5729.69</v>
      </c>
      <c r="G120" s="51">
        <f>SUM(G94:G116)</f>
        <v>40798</v>
      </c>
      <c r="H120" s="51">
        <f t="shared" ref="H120:K120" si="13">SUM(H94:H116)</f>
        <v>500</v>
      </c>
      <c r="I120" s="51">
        <f t="shared" si="13"/>
        <v>0</v>
      </c>
      <c r="J120" s="51">
        <f t="shared" si="13"/>
        <v>3000</v>
      </c>
      <c r="K120" s="51">
        <f t="shared" si="13"/>
        <v>6931.69</v>
      </c>
      <c r="L120" s="12"/>
      <c r="M120" s="12"/>
      <c r="N120" s="7"/>
      <c r="V120" s="7">
        <f>SUM(G120:J120)/(E120+F120)</f>
        <v>0.816858809261126</v>
      </c>
    </row>
    <row r="121" ht="17.25" spans="4:9">
      <c r="D121" s="43"/>
      <c r="G121" s="7"/>
      <c r="I121" s="42"/>
    </row>
    <row r="122" spans="1:15">
      <c r="A122" s="1" t="str">
        <f>+CHAZANGA!A62</f>
        <v>4th Batch Disbursement</v>
      </c>
      <c r="O122" s="1" t="s">
        <v>370</v>
      </c>
    </row>
    <row r="123" ht="33" spans="1:22">
      <c r="A123" s="4" t="s">
        <v>76</v>
      </c>
      <c r="B123" s="4" t="s">
        <v>77</v>
      </c>
      <c r="C123" s="4" t="s">
        <v>78</v>
      </c>
      <c r="D123" s="4" t="str">
        <f>+D53</f>
        <v>169288/42/1</v>
      </c>
      <c r="E123" s="15" t="s">
        <v>81</v>
      </c>
      <c r="F123" s="15" t="str">
        <f>+F93</f>
        <v>Default Interest</v>
      </c>
      <c r="G123" s="4" t="s">
        <v>224</v>
      </c>
      <c r="H123" s="4" t="s">
        <v>371</v>
      </c>
      <c r="I123" s="4" t="s">
        <v>83</v>
      </c>
      <c r="J123" s="4" t="s">
        <v>84</v>
      </c>
      <c r="K123" s="4" t="s">
        <v>85</v>
      </c>
      <c r="L123" s="4" t="s">
        <v>172</v>
      </c>
      <c r="M123" s="53" t="e">
        <f>+[3]CAIRO!#REF!</f>
        <v>#REF!</v>
      </c>
      <c r="N123" s="38"/>
      <c r="O123" s="54"/>
      <c r="P123" s="38"/>
      <c r="Q123" s="38"/>
      <c r="R123" s="38"/>
      <c r="S123" s="38"/>
      <c r="T123" s="38"/>
      <c r="U123" s="38"/>
      <c r="V123" s="38" t="s">
        <v>72</v>
      </c>
    </row>
    <row r="124" spans="1:22">
      <c r="A124" s="38">
        <v>1</v>
      </c>
      <c r="B124" s="65" t="s">
        <v>578</v>
      </c>
      <c r="C124" s="65"/>
      <c r="D124" s="45" t="s">
        <v>416</v>
      </c>
      <c r="E124" s="66">
        <v>2000</v>
      </c>
      <c r="F124" s="67"/>
      <c r="G124" s="66">
        <v>1920</v>
      </c>
      <c r="H124" s="47"/>
      <c r="I124" s="55"/>
      <c r="J124" s="55"/>
      <c r="K124" s="47">
        <f>E124-G124-H124-I124-J124+F124</f>
        <v>80</v>
      </c>
      <c r="L124" s="38"/>
      <c r="M124" s="74" t="s">
        <v>579</v>
      </c>
      <c r="N124" s="38" t="s">
        <v>580</v>
      </c>
      <c r="O124" s="54"/>
      <c r="P124" s="38"/>
      <c r="Q124" s="38"/>
      <c r="R124" s="38"/>
      <c r="S124" s="38"/>
      <c r="T124" s="38"/>
      <c r="U124" s="38"/>
      <c r="V124" s="38"/>
    </row>
    <row r="125" hidden="1" spans="1:22">
      <c r="A125" s="38">
        <f>+A124+1</f>
        <v>2</v>
      </c>
      <c r="B125" s="65" t="s">
        <v>581</v>
      </c>
      <c r="C125" s="65"/>
      <c r="D125" s="45" t="s">
        <v>582</v>
      </c>
      <c r="E125" s="66">
        <v>2500</v>
      </c>
      <c r="F125" s="67"/>
      <c r="G125" s="66">
        <v>2500</v>
      </c>
      <c r="H125" s="47"/>
      <c r="I125" s="55"/>
      <c r="J125" s="55"/>
      <c r="K125" s="47">
        <f t="shared" ref="K125:K176" si="14">E125-G125-H125-I125-J125+F125</f>
        <v>0</v>
      </c>
      <c r="L125" s="38"/>
      <c r="M125" s="74" t="s">
        <v>583</v>
      </c>
      <c r="N125" s="38"/>
      <c r="O125" s="54"/>
      <c r="P125" s="38"/>
      <c r="Q125" s="38"/>
      <c r="R125" s="38"/>
      <c r="S125" s="38"/>
      <c r="T125" s="38"/>
      <c r="U125" s="38"/>
      <c r="V125" s="38"/>
    </row>
    <row r="126" spans="1:22">
      <c r="A126" s="38">
        <f t="shared" ref="A126:A177" si="15">+A125+1</f>
        <v>3</v>
      </c>
      <c r="B126" s="65" t="s">
        <v>584</v>
      </c>
      <c r="C126" s="65"/>
      <c r="D126" s="45" t="s">
        <v>430</v>
      </c>
      <c r="E126" s="66">
        <v>2000</v>
      </c>
      <c r="F126" s="67"/>
      <c r="G126" s="66">
        <v>2073</v>
      </c>
      <c r="H126" s="47"/>
      <c r="I126" s="55"/>
      <c r="J126" s="55"/>
      <c r="K126" s="47">
        <f t="shared" si="14"/>
        <v>-73</v>
      </c>
      <c r="L126" s="38"/>
      <c r="M126" s="74" t="s">
        <v>585</v>
      </c>
      <c r="N126" s="38"/>
      <c r="O126" s="54"/>
      <c r="P126" s="38"/>
      <c r="Q126" s="38"/>
      <c r="R126" s="38"/>
      <c r="S126" s="38"/>
      <c r="T126" s="38"/>
      <c r="U126" s="38"/>
      <c r="V126" s="38"/>
    </row>
    <row r="127" spans="1:22">
      <c r="A127" s="38">
        <f t="shared" si="15"/>
        <v>4</v>
      </c>
      <c r="B127" s="65" t="s">
        <v>586</v>
      </c>
      <c r="C127" s="65" t="s">
        <v>469</v>
      </c>
      <c r="D127" s="45" t="s">
        <v>470</v>
      </c>
      <c r="E127" s="66">
        <v>2000</v>
      </c>
      <c r="F127" s="68"/>
      <c r="G127" s="66">
        <v>1270</v>
      </c>
      <c r="H127" s="47"/>
      <c r="I127" s="55"/>
      <c r="J127" s="55"/>
      <c r="K127" s="47">
        <f t="shared" si="14"/>
        <v>730</v>
      </c>
      <c r="L127" s="38"/>
      <c r="M127" s="74" t="s">
        <v>587</v>
      </c>
      <c r="N127" s="38"/>
      <c r="O127" s="54"/>
      <c r="P127" s="38"/>
      <c r="Q127" s="38"/>
      <c r="R127" s="38"/>
      <c r="S127" s="38"/>
      <c r="T127" s="38"/>
      <c r="U127" s="38"/>
      <c r="V127" s="38"/>
    </row>
    <row r="128" hidden="1" spans="1:22">
      <c r="A128" s="38">
        <f t="shared" si="15"/>
        <v>5</v>
      </c>
      <c r="B128" s="65" t="s">
        <v>562</v>
      </c>
      <c r="C128" s="65" t="s">
        <v>563</v>
      </c>
      <c r="D128" s="45" t="s">
        <v>302</v>
      </c>
      <c r="E128" s="66">
        <v>4000</v>
      </c>
      <c r="F128" s="67"/>
      <c r="G128" s="66">
        <v>4000</v>
      </c>
      <c r="H128" s="47"/>
      <c r="I128" s="55"/>
      <c r="J128" s="55"/>
      <c r="K128" s="47">
        <f t="shared" si="14"/>
        <v>0</v>
      </c>
      <c r="L128" s="38"/>
      <c r="M128" s="74" t="s">
        <v>583</v>
      </c>
      <c r="N128" s="38"/>
      <c r="O128" s="54"/>
      <c r="P128" s="38"/>
      <c r="Q128" s="38"/>
      <c r="R128" s="38"/>
      <c r="S128" s="38"/>
      <c r="T128" s="38"/>
      <c r="U128" s="38"/>
      <c r="V128" s="38"/>
    </row>
    <row r="129" hidden="1" spans="1:22">
      <c r="A129" s="38">
        <f t="shared" si="15"/>
        <v>6</v>
      </c>
      <c r="B129" s="65" t="s">
        <v>588</v>
      </c>
      <c r="C129" s="65" t="s">
        <v>589</v>
      </c>
      <c r="D129" s="45" t="s">
        <v>419</v>
      </c>
      <c r="E129" s="66">
        <v>3000</v>
      </c>
      <c r="F129" s="67"/>
      <c r="G129" s="66">
        <v>3000</v>
      </c>
      <c r="H129" s="47"/>
      <c r="I129" s="55"/>
      <c r="J129" s="55"/>
      <c r="K129" s="47">
        <f t="shared" si="14"/>
        <v>0</v>
      </c>
      <c r="L129" s="38"/>
      <c r="M129" s="74" t="s">
        <v>583</v>
      </c>
      <c r="N129" s="38"/>
      <c r="O129" s="54"/>
      <c r="P129" s="38"/>
      <c r="Q129" s="38"/>
      <c r="R129" s="38"/>
      <c r="S129" s="38"/>
      <c r="T129" s="38"/>
      <c r="U129" s="38"/>
      <c r="V129" s="38"/>
    </row>
    <row r="130" hidden="1" spans="1:22">
      <c r="A130" s="38">
        <f t="shared" si="15"/>
        <v>7</v>
      </c>
      <c r="B130" s="65" t="s">
        <v>590</v>
      </c>
      <c r="C130" s="65" t="s">
        <v>591</v>
      </c>
      <c r="D130" s="45" t="s">
        <v>592</v>
      </c>
      <c r="E130" s="66">
        <v>4000</v>
      </c>
      <c r="F130" s="67"/>
      <c r="G130" s="66">
        <v>4000</v>
      </c>
      <c r="H130" s="47"/>
      <c r="I130" s="55"/>
      <c r="J130" s="55"/>
      <c r="K130" s="47">
        <f t="shared" si="14"/>
        <v>0</v>
      </c>
      <c r="L130" s="38"/>
      <c r="M130" s="74" t="s">
        <v>583</v>
      </c>
      <c r="N130" s="38"/>
      <c r="O130" s="54"/>
      <c r="P130" s="38"/>
      <c r="Q130" s="38"/>
      <c r="R130" s="38"/>
      <c r="S130" s="38"/>
      <c r="T130" s="38"/>
      <c r="U130" s="38"/>
      <c r="V130" s="38"/>
    </row>
    <row r="131" spans="1:22">
      <c r="A131" s="38">
        <f t="shared" si="15"/>
        <v>8</v>
      </c>
      <c r="B131" s="65" t="s">
        <v>382</v>
      </c>
      <c r="C131" s="65" t="s">
        <v>197</v>
      </c>
      <c r="D131" s="45" t="s">
        <v>593</v>
      </c>
      <c r="E131" s="66">
        <v>2500</v>
      </c>
      <c r="F131" s="67"/>
      <c r="G131" s="66">
        <v>850</v>
      </c>
      <c r="H131" s="47"/>
      <c r="I131" s="55"/>
      <c r="J131" s="55"/>
      <c r="K131" s="47">
        <f t="shared" si="14"/>
        <v>1650</v>
      </c>
      <c r="L131" s="38"/>
      <c r="M131" s="74" t="s">
        <v>587</v>
      </c>
      <c r="N131" s="38"/>
      <c r="O131" s="54"/>
      <c r="P131" s="38"/>
      <c r="Q131" s="38"/>
      <c r="R131" s="38"/>
      <c r="S131" s="38"/>
      <c r="T131" s="38"/>
      <c r="U131" s="38"/>
      <c r="V131" s="38"/>
    </row>
    <row r="132" hidden="1" spans="1:22">
      <c r="A132" s="38">
        <f t="shared" si="15"/>
        <v>9</v>
      </c>
      <c r="B132" s="65" t="s">
        <v>594</v>
      </c>
      <c r="C132" s="65"/>
      <c r="D132" s="45" t="s">
        <v>595</v>
      </c>
      <c r="E132" s="66">
        <v>1000</v>
      </c>
      <c r="F132" s="67"/>
      <c r="G132" s="66">
        <v>1000</v>
      </c>
      <c r="H132" s="47"/>
      <c r="I132" s="55"/>
      <c r="J132" s="55"/>
      <c r="K132" s="47">
        <f t="shared" si="14"/>
        <v>0</v>
      </c>
      <c r="L132" s="38"/>
      <c r="M132" s="74" t="s">
        <v>583</v>
      </c>
      <c r="N132" s="38"/>
      <c r="O132" s="54"/>
      <c r="P132" s="38"/>
      <c r="Q132" s="38"/>
      <c r="R132" s="38"/>
      <c r="S132" s="38"/>
      <c r="T132" s="38"/>
      <c r="U132" s="38"/>
      <c r="V132" s="38"/>
    </row>
    <row r="133" spans="1:22">
      <c r="A133" s="38">
        <f t="shared" si="15"/>
        <v>10</v>
      </c>
      <c r="B133" s="65" t="s">
        <v>596</v>
      </c>
      <c r="C133" s="65" t="s">
        <v>597</v>
      </c>
      <c r="D133" s="45" t="s">
        <v>456</v>
      </c>
      <c r="E133" s="66">
        <v>2000</v>
      </c>
      <c r="F133" s="67"/>
      <c r="G133" s="66">
        <v>300</v>
      </c>
      <c r="H133" s="47"/>
      <c r="I133" s="55"/>
      <c r="J133" s="55"/>
      <c r="K133" s="47">
        <f t="shared" si="14"/>
        <v>1700</v>
      </c>
      <c r="L133" s="38"/>
      <c r="M133" s="74" t="s">
        <v>598</v>
      </c>
      <c r="N133" s="38"/>
      <c r="O133" s="54"/>
      <c r="P133" s="38"/>
      <c r="Q133" s="38"/>
      <c r="R133" s="38"/>
      <c r="S133" s="38"/>
      <c r="T133" s="38"/>
      <c r="U133" s="38"/>
      <c r="V133" s="38"/>
    </row>
    <row r="134" spans="1:22">
      <c r="A134" s="38">
        <f t="shared" si="15"/>
        <v>11</v>
      </c>
      <c r="B134" s="65" t="s">
        <v>599</v>
      </c>
      <c r="C134" s="65" t="s">
        <v>600</v>
      </c>
      <c r="D134" s="45" t="s">
        <v>601</v>
      </c>
      <c r="E134" s="66">
        <v>5000</v>
      </c>
      <c r="F134" s="67"/>
      <c r="G134" s="66">
        <v>2200</v>
      </c>
      <c r="H134" s="47"/>
      <c r="I134" s="55"/>
      <c r="J134" s="55"/>
      <c r="K134" s="47">
        <f t="shared" si="14"/>
        <v>2800</v>
      </c>
      <c r="L134" s="38"/>
      <c r="M134" s="74" t="s">
        <v>602</v>
      </c>
      <c r="N134" s="38"/>
      <c r="O134" s="54"/>
      <c r="P134" s="38"/>
      <c r="Q134" s="38"/>
      <c r="R134" s="38"/>
      <c r="S134" s="38"/>
      <c r="T134" s="38"/>
      <c r="U134" s="38"/>
      <c r="V134" s="38"/>
    </row>
    <row r="135" spans="1:22">
      <c r="A135" s="38">
        <f t="shared" si="15"/>
        <v>12</v>
      </c>
      <c r="B135" s="65" t="s">
        <v>603</v>
      </c>
      <c r="C135" s="65"/>
      <c r="D135" s="45" t="s">
        <v>450</v>
      </c>
      <c r="E135" s="66">
        <v>4000</v>
      </c>
      <c r="F135" s="67"/>
      <c r="G135" s="66">
        <v>4210</v>
      </c>
      <c r="H135" s="47"/>
      <c r="I135" s="55"/>
      <c r="J135" s="55"/>
      <c r="K135" s="47">
        <f t="shared" si="14"/>
        <v>-210</v>
      </c>
      <c r="L135" s="38"/>
      <c r="M135" s="74" t="s">
        <v>585</v>
      </c>
      <c r="N135" s="38"/>
      <c r="O135" s="54"/>
      <c r="P135" s="38"/>
      <c r="Q135" s="38"/>
      <c r="R135" s="38"/>
      <c r="S135" s="38"/>
      <c r="T135" s="38"/>
      <c r="U135" s="38"/>
      <c r="V135" s="38"/>
    </row>
    <row r="136" spans="1:22">
      <c r="A136" s="38">
        <f t="shared" si="15"/>
        <v>13</v>
      </c>
      <c r="B136" s="65" t="s">
        <v>604</v>
      </c>
      <c r="C136" s="65" t="s">
        <v>605</v>
      </c>
      <c r="D136" s="45" t="s">
        <v>392</v>
      </c>
      <c r="E136" s="66">
        <v>3500</v>
      </c>
      <c r="F136" s="67"/>
      <c r="G136" s="66">
        <v>3650</v>
      </c>
      <c r="H136" s="47"/>
      <c r="I136" s="55"/>
      <c r="J136" s="55"/>
      <c r="K136" s="47">
        <f t="shared" si="14"/>
        <v>-150</v>
      </c>
      <c r="L136" s="38"/>
      <c r="M136" s="74" t="s">
        <v>606</v>
      </c>
      <c r="N136" s="38"/>
      <c r="O136" s="54"/>
      <c r="P136" s="38"/>
      <c r="Q136" s="38"/>
      <c r="R136" s="38"/>
      <c r="S136" s="38"/>
      <c r="T136" s="38"/>
      <c r="U136" s="38"/>
      <c r="V136" s="38"/>
    </row>
    <row r="137" spans="1:22">
      <c r="A137" s="38">
        <f t="shared" si="15"/>
        <v>14</v>
      </c>
      <c r="B137" s="65" t="s">
        <v>607</v>
      </c>
      <c r="C137" s="65"/>
      <c r="D137" s="45" t="s">
        <v>427</v>
      </c>
      <c r="E137" s="66">
        <v>4000</v>
      </c>
      <c r="F137" s="67"/>
      <c r="G137" s="66">
        <v>2490</v>
      </c>
      <c r="H137" s="47"/>
      <c r="I137" s="55"/>
      <c r="J137" s="55"/>
      <c r="K137" s="47">
        <f t="shared" si="14"/>
        <v>1510</v>
      </c>
      <c r="L137" s="38"/>
      <c r="M137" s="74" t="s">
        <v>608</v>
      </c>
      <c r="N137" s="38"/>
      <c r="O137" s="54"/>
      <c r="P137" s="38"/>
      <c r="Q137" s="38"/>
      <c r="R137" s="38"/>
      <c r="S137" s="38"/>
      <c r="T137" s="38"/>
      <c r="U137" s="38"/>
      <c r="V137" s="38"/>
    </row>
    <row r="138" spans="1:22">
      <c r="A138" s="38">
        <f t="shared" si="15"/>
        <v>15</v>
      </c>
      <c r="B138" s="65" t="s">
        <v>494</v>
      </c>
      <c r="C138" s="65" t="s">
        <v>495</v>
      </c>
      <c r="D138" s="45" t="s">
        <v>609</v>
      </c>
      <c r="E138" s="66">
        <v>3000</v>
      </c>
      <c r="F138" s="67"/>
      <c r="G138" s="66">
        <v>3190</v>
      </c>
      <c r="H138" s="47"/>
      <c r="I138" s="55"/>
      <c r="J138" s="55"/>
      <c r="K138" s="47">
        <f t="shared" si="14"/>
        <v>-190</v>
      </c>
      <c r="L138" s="38"/>
      <c r="M138" s="74" t="s">
        <v>585</v>
      </c>
      <c r="N138" s="38"/>
      <c r="O138" s="54"/>
      <c r="P138" s="38"/>
      <c r="Q138" s="38"/>
      <c r="R138" s="38"/>
      <c r="S138" s="38"/>
      <c r="T138" s="38"/>
      <c r="U138" s="38"/>
      <c r="V138" s="38"/>
    </row>
    <row r="139" spans="1:22">
      <c r="A139" s="38">
        <f t="shared" si="15"/>
        <v>16</v>
      </c>
      <c r="B139" s="65" t="s">
        <v>483</v>
      </c>
      <c r="C139" s="65" t="s">
        <v>610</v>
      </c>
      <c r="D139" s="45" t="s">
        <v>611</v>
      </c>
      <c r="E139" s="66">
        <v>2500</v>
      </c>
      <c r="F139" s="67"/>
      <c r="G139" s="66">
        <v>1480</v>
      </c>
      <c r="H139" s="47"/>
      <c r="I139" s="55"/>
      <c r="J139" s="55"/>
      <c r="K139" s="47">
        <f t="shared" si="14"/>
        <v>1020</v>
      </c>
      <c r="L139" s="38"/>
      <c r="M139" s="74" t="s">
        <v>612</v>
      </c>
      <c r="N139" s="38"/>
      <c r="O139" s="54"/>
      <c r="P139" s="38"/>
      <c r="Q139" s="38"/>
      <c r="R139" s="38"/>
      <c r="S139" s="38"/>
      <c r="T139" s="38"/>
      <c r="U139" s="38"/>
      <c r="V139" s="38"/>
    </row>
    <row r="140" spans="1:22">
      <c r="A140" s="38">
        <f t="shared" si="15"/>
        <v>17</v>
      </c>
      <c r="B140" s="65" t="s">
        <v>613</v>
      </c>
      <c r="C140" s="65" t="s">
        <v>396</v>
      </c>
      <c r="D140" s="45" t="s">
        <v>614</v>
      </c>
      <c r="E140" s="66">
        <v>5000</v>
      </c>
      <c r="F140" s="67"/>
      <c r="G140" s="66">
        <v>4895</v>
      </c>
      <c r="H140" s="47"/>
      <c r="I140" s="55"/>
      <c r="J140" s="55"/>
      <c r="K140" s="47">
        <f t="shared" si="14"/>
        <v>105</v>
      </c>
      <c r="L140" s="38"/>
      <c r="M140" s="74" t="s">
        <v>615</v>
      </c>
      <c r="N140" s="38"/>
      <c r="O140" s="54"/>
      <c r="P140" s="38"/>
      <c r="Q140" s="38"/>
      <c r="R140" s="38"/>
      <c r="S140" s="38"/>
      <c r="T140" s="38"/>
      <c r="U140" s="38"/>
      <c r="V140" s="38"/>
    </row>
    <row r="141" hidden="1" spans="1:22">
      <c r="A141" s="38">
        <f t="shared" si="15"/>
        <v>18</v>
      </c>
      <c r="B141" s="65" t="s">
        <v>616</v>
      </c>
      <c r="C141" s="65" t="s">
        <v>424</v>
      </c>
      <c r="D141" s="45" t="s">
        <v>425</v>
      </c>
      <c r="E141" s="66">
        <v>4000</v>
      </c>
      <c r="F141" s="67"/>
      <c r="G141" s="66">
        <v>4000</v>
      </c>
      <c r="H141" s="47"/>
      <c r="I141" s="55"/>
      <c r="J141" s="55"/>
      <c r="K141" s="47">
        <f t="shared" si="14"/>
        <v>0</v>
      </c>
      <c r="L141" s="38"/>
      <c r="M141" s="74" t="s">
        <v>583</v>
      </c>
      <c r="N141" s="38"/>
      <c r="O141" s="54"/>
      <c r="P141" s="38"/>
      <c r="Q141" s="38"/>
      <c r="R141" s="38"/>
      <c r="S141" s="38"/>
      <c r="T141" s="38"/>
      <c r="U141" s="38"/>
      <c r="V141" s="38"/>
    </row>
    <row r="142" spans="1:22">
      <c r="A142" s="38">
        <f t="shared" si="15"/>
        <v>19</v>
      </c>
      <c r="B142" s="65" t="s">
        <v>559</v>
      </c>
      <c r="C142" s="65" t="s">
        <v>617</v>
      </c>
      <c r="D142" s="45" t="s">
        <v>618</v>
      </c>
      <c r="E142" s="66">
        <v>4000</v>
      </c>
      <c r="F142" s="67"/>
      <c r="G142" s="66">
        <v>4350</v>
      </c>
      <c r="H142" s="47"/>
      <c r="I142" s="55"/>
      <c r="J142" s="55"/>
      <c r="K142" s="47">
        <f t="shared" si="14"/>
        <v>-350</v>
      </c>
      <c r="L142" s="38"/>
      <c r="M142" s="74" t="s">
        <v>585</v>
      </c>
      <c r="N142" s="38"/>
      <c r="O142" s="54"/>
      <c r="P142" s="38"/>
      <c r="Q142" s="38"/>
      <c r="R142" s="38"/>
      <c r="S142" s="38"/>
      <c r="T142" s="38"/>
      <c r="U142" s="38"/>
      <c r="V142" s="38"/>
    </row>
    <row r="143" spans="1:22">
      <c r="A143" s="38">
        <f t="shared" si="15"/>
        <v>20</v>
      </c>
      <c r="B143" s="65" t="s">
        <v>619</v>
      </c>
      <c r="C143" s="65" t="s">
        <v>620</v>
      </c>
      <c r="D143" s="45" t="s">
        <v>621</v>
      </c>
      <c r="E143" s="66">
        <v>2500</v>
      </c>
      <c r="F143" s="67"/>
      <c r="G143" s="66">
        <v>450</v>
      </c>
      <c r="H143" s="47"/>
      <c r="I143" s="55"/>
      <c r="J143" s="55"/>
      <c r="K143" s="47">
        <f t="shared" si="14"/>
        <v>2050</v>
      </c>
      <c r="L143" s="38"/>
      <c r="M143" s="74" t="s">
        <v>622</v>
      </c>
      <c r="N143" s="38"/>
      <c r="O143" s="54"/>
      <c r="P143" s="38"/>
      <c r="Q143" s="38"/>
      <c r="R143" s="38"/>
      <c r="S143" s="38"/>
      <c r="T143" s="38"/>
      <c r="U143" s="38"/>
      <c r="V143" s="38"/>
    </row>
    <row r="144" hidden="1" spans="1:22">
      <c r="A144" s="38">
        <f t="shared" si="15"/>
        <v>21</v>
      </c>
      <c r="B144" s="65" t="s">
        <v>401</v>
      </c>
      <c r="C144" s="65" t="s">
        <v>514</v>
      </c>
      <c r="D144" s="45" t="s">
        <v>623</v>
      </c>
      <c r="E144" s="75">
        <v>5000</v>
      </c>
      <c r="F144" s="67"/>
      <c r="G144" s="75">
        <v>5000</v>
      </c>
      <c r="H144" s="47"/>
      <c r="I144" s="55"/>
      <c r="J144" s="55"/>
      <c r="K144" s="47">
        <f t="shared" si="14"/>
        <v>0</v>
      </c>
      <c r="L144" s="38"/>
      <c r="M144" s="74" t="s">
        <v>583</v>
      </c>
      <c r="N144" s="38"/>
      <c r="O144" s="54"/>
      <c r="P144" s="38"/>
      <c r="Q144" s="38"/>
      <c r="R144" s="38"/>
      <c r="S144" s="38"/>
      <c r="T144" s="38"/>
      <c r="U144" s="38"/>
      <c r="V144" s="38"/>
    </row>
    <row r="145" spans="1:22">
      <c r="A145" s="38">
        <f t="shared" si="15"/>
        <v>22</v>
      </c>
      <c r="B145" s="65" t="s">
        <v>404</v>
      </c>
      <c r="C145" s="65" t="s">
        <v>402</v>
      </c>
      <c r="D145" s="45" t="s">
        <v>405</v>
      </c>
      <c r="E145" s="66">
        <v>2000</v>
      </c>
      <c r="F145" s="67"/>
      <c r="G145" s="66">
        <v>800</v>
      </c>
      <c r="H145" s="47"/>
      <c r="I145" s="55"/>
      <c r="J145" s="55"/>
      <c r="K145" s="47">
        <f t="shared" si="14"/>
        <v>1200</v>
      </c>
      <c r="L145" s="38"/>
      <c r="M145" s="74" t="s">
        <v>622</v>
      </c>
      <c r="N145" s="38"/>
      <c r="O145" s="54"/>
      <c r="P145" s="38"/>
      <c r="Q145" s="38"/>
      <c r="R145" s="38"/>
      <c r="S145" s="38"/>
      <c r="T145" s="38"/>
      <c r="U145" s="38"/>
      <c r="V145" s="38"/>
    </row>
    <row r="146" hidden="1" spans="1:22">
      <c r="A146" s="38">
        <f t="shared" si="15"/>
        <v>23</v>
      </c>
      <c r="B146" s="65" t="s">
        <v>624</v>
      </c>
      <c r="C146" s="65" t="s">
        <v>175</v>
      </c>
      <c r="D146" s="45" t="s">
        <v>625</v>
      </c>
      <c r="E146" s="66">
        <v>4000</v>
      </c>
      <c r="F146" s="67"/>
      <c r="G146" s="66">
        <v>4000</v>
      </c>
      <c r="H146" s="47"/>
      <c r="I146" s="55"/>
      <c r="J146" s="55"/>
      <c r="K146" s="47">
        <f t="shared" si="14"/>
        <v>0</v>
      </c>
      <c r="L146" s="38"/>
      <c r="M146" s="74" t="s">
        <v>583</v>
      </c>
      <c r="N146" s="38"/>
      <c r="O146" s="54"/>
      <c r="P146" s="38"/>
      <c r="Q146" s="38"/>
      <c r="R146" s="38"/>
      <c r="S146" s="38"/>
      <c r="T146" s="38"/>
      <c r="U146" s="38"/>
      <c r="V146" s="38"/>
    </row>
    <row r="147" spans="1:22">
      <c r="A147" s="38">
        <f t="shared" si="15"/>
        <v>24</v>
      </c>
      <c r="B147" s="65" t="s">
        <v>437</v>
      </c>
      <c r="C147" s="65" t="s">
        <v>438</v>
      </c>
      <c r="D147" s="45" t="s">
        <v>439</v>
      </c>
      <c r="E147" s="66">
        <v>4000</v>
      </c>
      <c r="F147" s="67"/>
      <c r="G147" s="66">
        <v>1545</v>
      </c>
      <c r="H147" s="47"/>
      <c r="I147" s="55"/>
      <c r="J147" s="55"/>
      <c r="K147" s="47">
        <f t="shared" si="14"/>
        <v>2455</v>
      </c>
      <c r="L147" s="38"/>
      <c r="M147" s="74" t="s">
        <v>626</v>
      </c>
      <c r="N147" s="38"/>
      <c r="O147" s="54"/>
      <c r="P147" s="38"/>
      <c r="Q147" s="38"/>
      <c r="R147" s="38"/>
      <c r="S147" s="38"/>
      <c r="T147" s="38"/>
      <c r="U147" s="38"/>
      <c r="V147" s="38"/>
    </row>
    <row r="148" spans="1:22">
      <c r="A148" s="38">
        <f t="shared" si="15"/>
        <v>25</v>
      </c>
      <c r="B148" s="65" t="s">
        <v>627</v>
      </c>
      <c r="C148" s="65" t="s">
        <v>628</v>
      </c>
      <c r="D148" s="45" t="s">
        <v>629</v>
      </c>
      <c r="E148" s="66">
        <v>2000</v>
      </c>
      <c r="F148" s="67"/>
      <c r="G148" s="66">
        <v>2095</v>
      </c>
      <c r="H148" s="47"/>
      <c r="I148" s="55"/>
      <c r="J148" s="55"/>
      <c r="K148" s="47">
        <f t="shared" si="14"/>
        <v>-95</v>
      </c>
      <c r="L148" s="38"/>
      <c r="M148" s="74" t="s">
        <v>630</v>
      </c>
      <c r="N148" s="38"/>
      <c r="O148" s="54"/>
      <c r="P148" s="38"/>
      <c r="Q148" s="38"/>
      <c r="R148" s="38"/>
      <c r="S148" s="38"/>
      <c r="T148" s="38"/>
      <c r="U148" s="38"/>
      <c r="V148" s="38"/>
    </row>
    <row r="149" hidden="1" spans="1:22">
      <c r="A149" s="38">
        <f t="shared" si="15"/>
        <v>26</v>
      </c>
      <c r="B149" s="65" t="s">
        <v>631</v>
      </c>
      <c r="C149" s="65" t="s">
        <v>175</v>
      </c>
      <c r="D149" s="45"/>
      <c r="E149" s="66">
        <v>1000</v>
      </c>
      <c r="F149" s="67"/>
      <c r="G149" s="66">
        <v>1000</v>
      </c>
      <c r="H149" s="47"/>
      <c r="I149" s="55"/>
      <c r="J149" s="55"/>
      <c r="K149" s="47">
        <f t="shared" si="14"/>
        <v>0</v>
      </c>
      <c r="L149" s="38"/>
      <c r="M149" s="74" t="s">
        <v>583</v>
      </c>
      <c r="N149" s="38"/>
      <c r="O149" s="54"/>
      <c r="P149" s="38"/>
      <c r="Q149" s="38"/>
      <c r="R149" s="38"/>
      <c r="S149" s="38"/>
      <c r="T149" s="38"/>
      <c r="U149" s="38"/>
      <c r="V149" s="38"/>
    </row>
    <row r="150" hidden="1" spans="1:22">
      <c r="A150" s="38">
        <f t="shared" si="15"/>
        <v>27</v>
      </c>
      <c r="B150" s="65" t="s">
        <v>632</v>
      </c>
      <c r="C150" s="65" t="s">
        <v>633</v>
      </c>
      <c r="D150" s="45" t="s">
        <v>634</v>
      </c>
      <c r="E150" s="66">
        <v>2000</v>
      </c>
      <c r="F150" s="67"/>
      <c r="G150" s="66">
        <v>2000</v>
      </c>
      <c r="H150" s="47"/>
      <c r="I150" s="55"/>
      <c r="J150" s="55"/>
      <c r="K150" s="47">
        <f t="shared" si="14"/>
        <v>0</v>
      </c>
      <c r="L150" s="38"/>
      <c r="M150" s="74" t="s">
        <v>583</v>
      </c>
      <c r="N150" s="38"/>
      <c r="O150" s="54"/>
      <c r="P150" s="38"/>
      <c r="Q150" s="38"/>
      <c r="R150" s="38"/>
      <c r="S150" s="38"/>
      <c r="T150" s="38"/>
      <c r="U150" s="38"/>
      <c r="V150" s="38"/>
    </row>
    <row r="151" hidden="1" spans="1:22">
      <c r="A151" s="38">
        <f t="shared" si="15"/>
        <v>28</v>
      </c>
      <c r="B151" s="65" t="s">
        <v>635</v>
      </c>
      <c r="C151" s="65" t="s">
        <v>489</v>
      </c>
      <c r="D151" s="45" t="s">
        <v>636</v>
      </c>
      <c r="E151" s="66">
        <v>2500</v>
      </c>
      <c r="F151" s="67"/>
      <c r="G151" s="66">
        <v>2500</v>
      </c>
      <c r="H151" s="47"/>
      <c r="I151" s="55"/>
      <c r="J151" s="55"/>
      <c r="K151" s="47">
        <f t="shared" si="14"/>
        <v>0</v>
      </c>
      <c r="L151" s="38">
        <v>936</v>
      </c>
      <c r="M151" s="74" t="s">
        <v>583</v>
      </c>
      <c r="N151" s="38"/>
      <c r="O151" s="54"/>
      <c r="P151" s="38"/>
      <c r="Q151" s="38"/>
      <c r="R151" s="38"/>
      <c r="S151" s="38"/>
      <c r="T151" s="38"/>
      <c r="U151" s="38"/>
      <c r="V151" s="38"/>
    </row>
    <row r="152" spans="1:22">
      <c r="A152" s="38">
        <f t="shared" si="15"/>
        <v>29</v>
      </c>
      <c r="B152" s="65" t="s">
        <v>393</v>
      </c>
      <c r="C152" s="65" t="s">
        <v>173</v>
      </c>
      <c r="D152" s="45" t="s">
        <v>394</v>
      </c>
      <c r="E152" s="66">
        <v>3000</v>
      </c>
      <c r="F152" s="67"/>
      <c r="G152" s="66">
        <v>2850</v>
      </c>
      <c r="H152" s="47"/>
      <c r="I152" s="55"/>
      <c r="J152" s="55"/>
      <c r="K152" s="47">
        <f t="shared" si="14"/>
        <v>150</v>
      </c>
      <c r="L152" s="38"/>
      <c r="M152" s="74" t="s">
        <v>637</v>
      </c>
      <c r="N152" s="38" t="s">
        <v>259</v>
      </c>
      <c r="O152" s="54"/>
      <c r="P152" s="38"/>
      <c r="Q152" s="38"/>
      <c r="R152" s="38"/>
      <c r="S152" s="38"/>
      <c r="T152" s="38"/>
      <c r="U152" s="38"/>
      <c r="V152" s="38"/>
    </row>
    <row r="153" spans="1:22">
      <c r="A153" s="38">
        <f t="shared" si="15"/>
        <v>30</v>
      </c>
      <c r="B153" s="65" t="s">
        <v>452</v>
      </c>
      <c r="C153" s="65" t="s">
        <v>638</v>
      </c>
      <c r="D153" s="76" t="s">
        <v>454</v>
      </c>
      <c r="E153" s="66">
        <v>5000</v>
      </c>
      <c r="F153" s="67"/>
      <c r="G153" s="66">
        <v>2585</v>
      </c>
      <c r="H153" s="60"/>
      <c r="I153" s="69"/>
      <c r="J153" s="69"/>
      <c r="K153" s="60">
        <f t="shared" si="14"/>
        <v>2415</v>
      </c>
      <c r="L153" s="76"/>
      <c r="M153" s="74" t="s">
        <v>612</v>
      </c>
      <c r="N153" s="76" t="s">
        <v>639</v>
      </c>
      <c r="O153" s="60"/>
      <c r="P153" s="76"/>
      <c r="Q153" s="76"/>
      <c r="R153" s="76"/>
      <c r="S153" s="76"/>
      <c r="T153" s="76"/>
      <c r="U153" s="76"/>
      <c r="V153" s="76"/>
    </row>
    <row r="154" spans="1:22">
      <c r="A154" s="38">
        <f t="shared" si="15"/>
        <v>31</v>
      </c>
      <c r="B154" s="77" t="s">
        <v>382</v>
      </c>
      <c r="C154" s="77" t="s">
        <v>383</v>
      </c>
      <c r="D154" s="78" t="s">
        <v>384</v>
      </c>
      <c r="E154" s="79">
        <v>5000</v>
      </c>
      <c r="F154" s="80"/>
      <c r="G154" s="79">
        <v>300</v>
      </c>
      <c r="H154" s="81"/>
      <c r="I154" s="88"/>
      <c r="J154" s="88"/>
      <c r="K154" s="81">
        <f t="shared" si="14"/>
        <v>4700</v>
      </c>
      <c r="L154" s="78"/>
      <c r="M154" s="77" t="s">
        <v>640</v>
      </c>
      <c r="N154" s="38" t="str">
        <f>+N157</f>
        <v>Phone off</v>
      </c>
      <c r="O154" s="54"/>
      <c r="P154" s="38"/>
      <c r="Q154" s="38"/>
      <c r="R154" s="38"/>
      <c r="S154" s="38"/>
      <c r="T154" s="38"/>
      <c r="U154" s="38"/>
      <c r="V154" s="38"/>
    </row>
    <row r="155" spans="1:22">
      <c r="A155" s="38">
        <f t="shared" si="15"/>
        <v>32</v>
      </c>
      <c r="B155" s="65" t="s">
        <v>641</v>
      </c>
      <c r="C155" s="65" t="s">
        <v>141</v>
      </c>
      <c r="D155" s="45" t="s">
        <v>642</v>
      </c>
      <c r="E155" s="66">
        <v>2500</v>
      </c>
      <c r="F155" s="67"/>
      <c r="G155" s="66">
        <v>2375</v>
      </c>
      <c r="H155" s="47"/>
      <c r="I155" s="55"/>
      <c r="J155" s="55"/>
      <c r="K155" s="47">
        <f t="shared" si="14"/>
        <v>125</v>
      </c>
      <c r="L155" s="38"/>
      <c r="M155" s="74" t="s">
        <v>643</v>
      </c>
      <c r="N155" s="38" t="s">
        <v>505</v>
      </c>
      <c r="O155" s="54"/>
      <c r="P155" s="38"/>
      <c r="Q155" s="38"/>
      <c r="R155" s="38"/>
      <c r="S155" s="38"/>
      <c r="T155" s="38"/>
      <c r="U155" s="38"/>
      <c r="V155" s="38"/>
    </row>
    <row r="156" hidden="1" spans="1:22">
      <c r="A156" s="38">
        <f t="shared" si="15"/>
        <v>33</v>
      </c>
      <c r="B156" s="65" t="s">
        <v>477</v>
      </c>
      <c r="C156" s="65" t="s">
        <v>478</v>
      </c>
      <c r="D156" s="45" t="s">
        <v>644</v>
      </c>
      <c r="E156" s="66">
        <v>4000</v>
      </c>
      <c r="F156" s="67"/>
      <c r="G156" s="66">
        <v>4000</v>
      </c>
      <c r="H156" s="47"/>
      <c r="I156" s="55"/>
      <c r="J156" s="55"/>
      <c r="K156" s="47">
        <f t="shared" si="14"/>
        <v>0</v>
      </c>
      <c r="L156" s="38"/>
      <c r="M156" s="74" t="s">
        <v>583</v>
      </c>
      <c r="N156" s="38"/>
      <c r="O156" s="54"/>
      <c r="P156" s="38"/>
      <c r="Q156" s="38"/>
      <c r="R156" s="38"/>
      <c r="S156" s="38"/>
      <c r="T156" s="38"/>
      <c r="U156" s="38"/>
      <c r="V156" s="38"/>
    </row>
    <row r="157" spans="1:22">
      <c r="A157" s="38">
        <f t="shared" si="15"/>
        <v>34</v>
      </c>
      <c r="B157" s="65" t="s">
        <v>645</v>
      </c>
      <c r="C157" s="65" t="s">
        <v>646</v>
      </c>
      <c r="D157" s="45" t="s">
        <v>647</v>
      </c>
      <c r="E157" s="66">
        <v>2000</v>
      </c>
      <c r="F157" s="67"/>
      <c r="G157" s="66">
        <v>1400</v>
      </c>
      <c r="H157" s="47"/>
      <c r="I157" s="55"/>
      <c r="J157" s="55"/>
      <c r="K157" s="47">
        <f t="shared" si="14"/>
        <v>600</v>
      </c>
      <c r="L157" s="38"/>
      <c r="M157" s="74" t="s">
        <v>622</v>
      </c>
      <c r="N157" s="38" t="s">
        <v>648</v>
      </c>
      <c r="O157" s="54"/>
      <c r="P157" s="38"/>
      <c r="Q157" s="38"/>
      <c r="R157" s="38"/>
      <c r="S157" s="38"/>
      <c r="T157" s="38"/>
      <c r="U157" s="38"/>
      <c r="V157" s="38"/>
    </row>
    <row r="158" spans="1:22">
      <c r="A158" s="38">
        <f t="shared" si="15"/>
        <v>35</v>
      </c>
      <c r="B158" s="65" t="s">
        <v>566</v>
      </c>
      <c r="C158" s="65" t="s">
        <v>567</v>
      </c>
      <c r="D158" s="45" t="s">
        <v>568</v>
      </c>
      <c r="E158" s="66">
        <v>1500</v>
      </c>
      <c r="F158" s="67"/>
      <c r="G158" s="66">
        <v>980</v>
      </c>
      <c r="H158" s="47"/>
      <c r="I158" s="55"/>
      <c r="J158" s="55"/>
      <c r="K158" s="47">
        <f t="shared" si="14"/>
        <v>520</v>
      </c>
      <c r="L158" s="38"/>
      <c r="M158" s="74" t="s">
        <v>649</v>
      </c>
      <c r="N158" s="38"/>
      <c r="O158" s="54"/>
      <c r="P158" s="38"/>
      <c r="Q158" s="38"/>
      <c r="R158" s="38"/>
      <c r="S158" s="38"/>
      <c r="T158" s="38"/>
      <c r="U158" s="38"/>
      <c r="V158" s="38"/>
    </row>
    <row r="159" hidden="1" spans="1:22">
      <c r="A159" s="38">
        <f t="shared" si="15"/>
        <v>36</v>
      </c>
      <c r="B159" s="65" t="s">
        <v>516</v>
      </c>
      <c r="C159" s="65" t="s">
        <v>517</v>
      </c>
      <c r="D159" s="45" t="s">
        <v>650</v>
      </c>
      <c r="E159" s="66">
        <v>1000</v>
      </c>
      <c r="F159" s="67"/>
      <c r="G159" s="66">
        <v>1000</v>
      </c>
      <c r="H159" s="47"/>
      <c r="I159" s="55"/>
      <c r="J159" s="55"/>
      <c r="K159" s="47">
        <f t="shared" si="14"/>
        <v>0</v>
      </c>
      <c r="L159" s="38"/>
      <c r="M159" s="74"/>
      <c r="N159" s="38"/>
      <c r="O159" s="54"/>
      <c r="P159" s="38"/>
      <c r="Q159" s="38"/>
      <c r="R159" s="38"/>
      <c r="S159" s="38"/>
      <c r="T159" s="38"/>
      <c r="U159" s="38"/>
      <c r="V159" s="38"/>
    </row>
    <row r="160" hidden="1" spans="1:22">
      <c r="A160" s="38">
        <f t="shared" si="15"/>
        <v>37</v>
      </c>
      <c r="B160" s="65" t="s">
        <v>510</v>
      </c>
      <c r="C160" s="65" t="s">
        <v>651</v>
      </c>
      <c r="D160" s="45" t="s">
        <v>652</v>
      </c>
      <c r="E160" s="66">
        <v>2000</v>
      </c>
      <c r="F160" s="67"/>
      <c r="G160" s="66">
        <v>2000</v>
      </c>
      <c r="H160" s="47"/>
      <c r="I160" s="55"/>
      <c r="J160" s="55"/>
      <c r="K160" s="47">
        <f t="shared" si="14"/>
        <v>0</v>
      </c>
      <c r="L160" s="38"/>
      <c r="M160" s="74"/>
      <c r="N160" s="38"/>
      <c r="O160" s="54"/>
      <c r="P160" s="38"/>
      <c r="Q160" s="38"/>
      <c r="R160" s="38"/>
      <c r="S160" s="38"/>
      <c r="T160" s="38"/>
      <c r="U160" s="38"/>
      <c r="V160" s="38"/>
    </row>
    <row r="161" spans="1:22">
      <c r="A161" s="38">
        <f t="shared" si="15"/>
        <v>38</v>
      </c>
      <c r="B161" s="65" t="s">
        <v>576</v>
      </c>
      <c r="C161" s="65" t="s">
        <v>507</v>
      </c>
      <c r="D161" s="45" t="s">
        <v>653</v>
      </c>
      <c r="E161" s="66">
        <v>2500</v>
      </c>
      <c r="F161" s="67"/>
      <c r="G161" s="66">
        <v>1950</v>
      </c>
      <c r="H161" s="47"/>
      <c r="I161" s="55"/>
      <c r="J161" s="55"/>
      <c r="K161" s="47">
        <f t="shared" si="14"/>
        <v>550</v>
      </c>
      <c r="L161" s="38"/>
      <c r="M161" s="74" t="s">
        <v>654</v>
      </c>
      <c r="N161" s="38" t="s">
        <v>505</v>
      </c>
      <c r="O161" s="54"/>
      <c r="P161" s="38"/>
      <c r="Q161" s="38"/>
      <c r="R161" s="38"/>
      <c r="S161" s="38"/>
      <c r="T161" s="38"/>
      <c r="U161" s="38"/>
      <c r="V161" s="38"/>
    </row>
    <row r="162" hidden="1" spans="1:22">
      <c r="A162" s="38">
        <f t="shared" si="15"/>
        <v>39</v>
      </c>
      <c r="B162" s="65" t="s">
        <v>655</v>
      </c>
      <c r="C162" s="65" t="s">
        <v>173</v>
      </c>
      <c r="D162" s="45"/>
      <c r="E162" s="66">
        <v>3000</v>
      </c>
      <c r="F162" s="67"/>
      <c r="G162" s="66">
        <v>3000</v>
      </c>
      <c r="H162" s="47"/>
      <c r="I162" s="55"/>
      <c r="J162" s="55"/>
      <c r="K162" s="47">
        <f t="shared" si="14"/>
        <v>0</v>
      </c>
      <c r="L162" s="38"/>
      <c r="M162" s="74" t="s">
        <v>583</v>
      </c>
      <c r="N162" s="38"/>
      <c r="O162" s="54"/>
      <c r="P162" s="38"/>
      <c r="Q162" s="38"/>
      <c r="R162" s="38"/>
      <c r="S162" s="38"/>
      <c r="T162" s="38"/>
      <c r="U162" s="38"/>
      <c r="V162" s="38"/>
    </row>
    <row r="163" spans="1:22">
      <c r="A163" s="38">
        <f t="shared" si="15"/>
        <v>40</v>
      </c>
      <c r="B163" s="65" t="s">
        <v>656</v>
      </c>
      <c r="C163" s="65" t="s">
        <v>435</v>
      </c>
      <c r="D163" s="45" t="s">
        <v>657</v>
      </c>
      <c r="E163" s="66">
        <v>2500</v>
      </c>
      <c r="F163" s="67"/>
      <c r="G163" s="66">
        <v>2200</v>
      </c>
      <c r="H163" s="47"/>
      <c r="I163" s="55"/>
      <c r="J163" s="55"/>
      <c r="K163" s="47">
        <f t="shared" si="14"/>
        <v>300</v>
      </c>
      <c r="L163" s="38"/>
      <c r="M163" s="74" t="s">
        <v>658</v>
      </c>
      <c r="N163" s="38" t="str">
        <f>+N152</f>
        <v>Next week</v>
      </c>
      <c r="O163" s="54"/>
      <c r="P163" s="38"/>
      <c r="Q163" s="38"/>
      <c r="R163" s="38"/>
      <c r="S163" s="38"/>
      <c r="T163" s="38"/>
      <c r="U163" s="38"/>
      <c r="V163" s="38"/>
    </row>
    <row r="164" hidden="1" spans="1:22">
      <c r="A164" s="38">
        <f t="shared" si="15"/>
        <v>41</v>
      </c>
      <c r="B164" s="65" t="s">
        <v>659</v>
      </c>
      <c r="C164" s="65" t="s">
        <v>442</v>
      </c>
      <c r="D164" s="45"/>
      <c r="E164" s="66">
        <v>3000</v>
      </c>
      <c r="F164" s="67"/>
      <c r="G164" s="66">
        <v>3000</v>
      </c>
      <c r="H164" s="47"/>
      <c r="I164" s="55"/>
      <c r="J164" s="55"/>
      <c r="K164" s="47">
        <f t="shared" si="14"/>
        <v>0</v>
      </c>
      <c r="L164" s="38"/>
      <c r="M164" s="74" t="s">
        <v>583</v>
      </c>
      <c r="N164" s="38"/>
      <c r="O164" s="54"/>
      <c r="P164" s="38"/>
      <c r="Q164" s="38"/>
      <c r="R164" s="38"/>
      <c r="S164" s="38"/>
      <c r="T164" s="38"/>
      <c r="U164" s="38"/>
      <c r="V164" s="38"/>
    </row>
    <row r="165" hidden="1" spans="1:22">
      <c r="A165" s="38">
        <f t="shared" si="15"/>
        <v>42</v>
      </c>
      <c r="B165" s="65" t="s">
        <v>660</v>
      </c>
      <c r="C165" s="65" t="s">
        <v>661</v>
      </c>
      <c r="D165" s="45"/>
      <c r="E165" s="66">
        <v>2500</v>
      </c>
      <c r="F165" s="67"/>
      <c r="G165" s="66">
        <v>2500</v>
      </c>
      <c r="H165" s="47"/>
      <c r="I165" s="55"/>
      <c r="J165" s="55"/>
      <c r="K165" s="47">
        <f t="shared" si="14"/>
        <v>0</v>
      </c>
      <c r="L165" s="38"/>
      <c r="M165" s="74" t="s">
        <v>583</v>
      </c>
      <c r="N165" s="38"/>
      <c r="O165" s="54"/>
      <c r="P165" s="38"/>
      <c r="Q165" s="38"/>
      <c r="R165" s="38"/>
      <c r="S165" s="38"/>
      <c r="T165" s="38"/>
      <c r="U165" s="38"/>
      <c r="V165" s="38"/>
    </row>
    <row r="166" hidden="1" spans="1:22">
      <c r="A166" s="38">
        <f t="shared" si="15"/>
        <v>43</v>
      </c>
      <c r="B166" s="65" t="s">
        <v>662</v>
      </c>
      <c r="C166" s="65" t="s">
        <v>663</v>
      </c>
      <c r="D166" s="45"/>
      <c r="E166" s="66">
        <v>2500</v>
      </c>
      <c r="F166" s="67"/>
      <c r="G166" s="66">
        <v>2500</v>
      </c>
      <c r="H166" s="47"/>
      <c r="I166" s="55"/>
      <c r="J166" s="55"/>
      <c r="K166" s="47">
        <f t="shared" si="14"/>
        <v>0</v>
      </c>
      <c r="L166" s="38"/>
      <c r="M166" s="74" t="s">
        <v>583</v>
      </c>
      <c r="N166" s="38"/>
      <c r="O166" s="54"/>
      <c r="P166" s="38"/>
      <c r="Q166" s="38"/>
      <c r="R166" s="38"/>
      <c r="S166" s="38"/>
      <c r="T166" s="38"/>
      <c r="U166" s="38"/>
      <c r="V166" s="38"/>
    </row>
    <row r="167" spans="1:22">
      <c r="A167" s="38">
        <f t="shared" si="15"/>
        <v>44</v>
      </c>
      <c r="B167" s="65" t="s">
        <v>486</v>
      </c>
      <c r="C167" s="65" t="s">
        <v>487</v>
      </c>
      <c r="D167" s="45"/>
      <c r="E167" s="66">
        <v>3000</v>
      </c>
      <c r="F167" s="67"/>
      <c r="G167" s="66">
        <v>3000</v>
      </c>
      <c r="H167" s="47"/>
      <c r="I167" s="55"/>
      <c r="J167" s="55"/>
      <c r="K167" s="47">
        <f t="shared" si="14"/>
        <v>0</v>
      </c>
      <c r="L167" s="38"/>
      <c r="M167" s="74" t="s">
        <v>585</v>
      </c>
      <c r="N167" s="38"/>
      <c r="O167" s="54"/>
      <c r="P167" s="38"/>
      <c r="Q167" s="38"/>
      <c r="R167" s="38"/>
      <c r="S167" s="38"/>
      <c r="T167" s="38"/>
      <c r="U167" s="38"/>
      <c r="V167" s="38"/>
    </row>
    <row r="168" hidden="1" spans="1:22">
      <c r="A168" s="38">
        <f t="shared" si="15"/>
        <v>45</v>
      </c>
      <c r="B168" s="65" t="s">
        <v>496</v>
      </c>
      <c r="C168" s="65" t="s">
        <v>664</v>
      </c>
      <c r="D168" s="45"/>
      <c r="E168" s="66">
        <v>5000</v>
      </c>
      <c r="F168" s="67"/>
      <c r="G168" s="66">
        <v>5000</v>
      </c>
      <c r="H168" s="47"/>
      <c r="I168" s="55"/>
      <c r="J168" s="55"/>
      <c r="K168" s="47">
        <f t="shared" si="14"/>
        <v>0</v>
      </c>
      <c r="L168" s="38"/>
      <c r="M168" s="74" t="s">
        <v>583</v>
      </c>
      <c r="N168" s="38"/>
      <c r="O168" s="54"/>
      <c r="P168" s="38"/>
      <c r="Q168" s="38"/>
      <c r="R168" s="38"/>
      <c r="S168" s="38"/>
      <c r="T168" s="38"/>
      <c r="U168" s="38"/>
      <c r="V168" s="38"/>
    </row>
    <row r="169" spans="1:22">
      <c r="A169" s="82">
        <f t="shared" si="15"/>
        <v>46</v>
      </c>
      <c r="B169" s="83" t="s">
        <v>398</v>
      </c>
      <c r="C169" s="83" t="s">
        <v>399</v>
      </c>
      <c r="D169" s="84"/>
      <c r="E169" s="85">
        <v>1000</v>
      </c>
      <c r="F169" s="86"/>
      <c r="G169" s="85">
        <v>825</v>
      </c>
      <c r="H169" s="87"/>
      <c r="I169" s="89"/>
      <c r="J169" s="89"/>
      <c r="K169" s="87">
        <f t="shared" si="14"/>
        <v>175</v>
      </c>
      <c r="L169" s="82"/>
      <c r="M169" s="74" t="s">
        <v>665</v>
      </c>
      <c r="N169" s="38" t="s">
        <v>505</v>
      </c>
      <c r="O169" s="54"/>
      <c r="P169" s="38"/>
      <c r="Q169" s="38"/>
      <c r="R169" s="38"/>
      <c r="S169" s="38"/>
      <c r="T169" s="38"/>
      <c r="U169" s="38"/>
      <c r="V169" s="38"/>
    </row>
    <row r="170" hidden="1" spans="1:22">
      <c r="A170" s="38">
        <f t="shared" si="15"/>
        <v>47</v>
      </c>
      <c r="B170" s="65" t="s">
        <v>666</v>
      </c>
      <c r="C170" s="65" t="s">
        <v>667</v>
      </c>
      <c r="D170" s="45"/>
      <c r="E170" s="66">
        <v>2500</v>
      </c>
      <c r="F170" s="67"/>
      <c r="G170" s="66">
        <v>2500</v>
      </c>
      <c r="H170" s="47"/>
      <c r="I170" s="55"/>
      <c r="J170" s="55"/>
      <c r="K170" s="47">
        <f t="shared" si="14"/>
        <v>0</v>
      </c>
      <c r="L170" s="38"/>
      <c r="M170" s="74" t="s">
        <v>583</v>
      </c>
      <c r="N170" s="38"/>
      <c r="O170" s="54"/>
      <c r="P170" s="38"/>
      <c r="Q170" s="38"/>
      <c r="R170" s="38"/>
      <c r="S170" s="38"/>
      <c r="T170" s="38"/>
      <c r="U170" s="38"/>
      <c r="V170" s="38"/>
    </row>
    <row r="171" hidden="1" spans="1:22">
      <c r="A171" s="38">
        <f t="shared" si="15"/>
        <v>48</v>
      </c>
      <c r="B171" s="65" t="s">
        <v>485</v>
      </c>
      <c r="C171" s="65" t="s">
        <v>173</v>
      </c>
      <c r="D171" s="45"/>
      <c r="E171" s="66">
        <v>1500</v>
      </c>
      <c r="F171" s="67"/>
      <c r="G171" s="66">
        <v>1500</v>
      </c>
      <c r="H171" s="47"/>
      <c r="I171" s="55"/>
      <c r="J171" s="55"/>
      <c r="K171" s="47">
        <f t="shared" si="14"/>
        <v>0</v>
      </c>
      <c r="L171" s="38"/>
      <c r="M171" s="74" t="s">
        <v>583</v>
      </c>
      <c r="N171" s="38"/>
      <c r="O171" s="54"/>
      <c r="P171" s="38"/>
      <c r="Q171" s="38"/>
      <c r="R171" s="38"/>
      <c r="S171" s="38"/>
      <c r="T171" s="38"/>
      <c r="U171" s="38"/>
      <c r="V171" s="38"/>
    </row>
    <row r="172" hidden="1" spans="1:22">
      <c r="A172" s="38">
        <f t="shared" si="15"/>
        <v>49</v>
      </c>
      <c r="B172" s="65" t="s">
        <v>668</v>
      </c>
      <c r="C172" s="65" t="s">
        <v>669</v>
      </c>
      <c r="D172" s="38"/>
      <c r="E172" s="66">
        <v>1500</v>
      </c>
      <c r="F172" s="67"/>
      <c r="G172" s="66">
        <v>1500</v>
      </c>
      <c r="H172" s="47"/>
      <c r="I172" s="55"/>
      <c r="J172" s="55"/>
      <c r="K172" s="47">
        <f t="shared" si="14"/>
        <v>0</v>
      </c>
      <c r="L172" s="38">
        <v>880</v>
      </c>
      <c r="M172" s="74" t="s">
        <v>583</v>
      </c>
      <c r="N172" s="38"/>
      <c r="O172" s="54"/>
      <c r="P172" s="38"/>
      <c r="Q172" s="38"/>
      <c r="R172" s="38"/>
      <c r="S172" s="38"/>
      <c r="T172" s="38"/>
      <c r="U172" s="38"/>
      <c r="V172" s="38"/>
    </row>
    <row r="173" spans="1:22">
      <c r="A173" s="38">
        <f t="shared" si="15"/>
        <v>50</v>
      </c>
      <c r="B173" s="65" t="s">
        <v>670</v>
      </c>
      <c r="C173" s="65" t="s">
        <v>671</v>
      </c>
      <c r="D173" s="45"/>
      <c r="E173" s="66">
        <v>4000</v>
      </c>
      <c r="F173" s="67"/>
      <c r="G173" s="66">
        <v>4950</v>
      </c>
      <c r="H173" s="47"/>
      <c r="I173" s="47"/>
      <c r="J173" s="55"/>
      <c r="K173" s="47">
        <f t="shared" si="14"/>
        <v>-950</v>
      </c>
      <c r="L173" s="38"/>
      <c r="M173" s="74" t="s">
        <v>672</v>
      </c>
      <c r="N173" s="38"/>
      <c r="O173" s="54"/>
      <c r="P173" s="38"/>
      <c r="Q173" s="38"/>
      <c r="R173" s="38"/>
      <c r="S173" s="38"/>
      <c r="T173" s="38"/>
      <c r="U173" s="38"/>
      <c r="V173" s="38"/>
    </row>
    <row r="174" hidden="1" spans="1:22">
      <c r="A174" s="38">
        <f t="shared" si="15"/>
        <v>51</v>
      </c>
      <c r="B174" s="65" t="s">
        <v>673</v>
      </c>
      <c r="C174" s="65" t="s">
        <v>674</v>
      </c>
      <c r="D174" s="45"/>
      <c r="E174" s="66">
        <v>4000</v>
      </c>
      <c r="F174" s="67"/>
      <c r="G174" s="66">
        <v>4000</v>
      </c>
      <c r="H174" s="47"/>
      <c r="I174" s="47"/>
      <c r="J174" s="47"/>
      <c r="K174" s="47">
        <f t="shared" si="14"/>
        <v>0</v>
      </c>
      <c r="L174" s="38"/>
      <c r="M174" s="74" t="s">
        <v>583</v>
      </c>
      <c r="N174" s="38"/>
      <c r="O174" s="38"/>
      <c r="P174" s="38"/>
      <c r="Q174" s="38"/>
      <c r="R174" s="38"/>
      <c r="S174" s="38"/>
      <c r="T174" s="38"/>
      <c r="U174" s="38"/>
      <c r="V174" s="38"/>
    </row>
    <row r="175" hidden="1" spans="1:22">
      <c r="A175" s="38">
        <f t="shared" si="15"/>
        <v>52</v>
      </c>
      <c r="B175" s="65" t="s">
        <v>675</v>
      </c>
      <c r="C175" s="65" t="s">
        <v>676</v>
      </c>
      <c r="D175" s="45"/>
      <c r="E175" s="66">
        <v>2500</v>
      </c>
      <c r="F175" s="67"/>
      <c r="G175" s="66">
        <v>2500</v>
      </c>
      <c r="H175" s="47"/>
      <c r="I175" s="47"/>
      <c r="J175" s="47"/>
      <c r="K175" s="47">
        <f t="shared" si="14"/>
        <v>0</v>
      </c>
      <c r="L175" s="38"/>
      <c r="M175" s="74" t="s">
        <v>583</v>
      </c>
      <c r="N175" s="38"/>
      <c r="O175" s="38"/>
      <c r="P175" s="38"/>
      <c r="Q175" s="38"/>
      <c r="R175" s="38"/>
      <c r="S175" s="38"/>
      <c r="T175" s="38"/>
      <c r="U175" s="38"/>
      <c r="V175" s="38"/>
    </row>
    <row r="176" spans="1:22">
      <c r="A176" s="38">
        <f t="shared" si="15"/>
        <v>53</v>
      </c>
      <c r="B176" s="65" t="s">
        <v>574</v>
      </c>
      <c r="C176" s="65" t="s">
        <v>575</v>
      </c>
      <c r="D176" s="45"/>
      <c r="E176" s="66">
        <v>2000</v>
      </c>
      <c r="F176" s="67"/>
      <c r="G176" s="66">
        <v>2120</v>
      </c>
      <c r="H176" s="38"/>
      <c r="I176" s="73"/>
      <c r="J176" s="38"/>
      <c r="K176" s="47">
        <f t="shared" si="14"/>
        <v>-120</v>
      </c>
      <c r="L176" s="38"/>
      <c r="M176" s="74"/>
      <c r="N176" s="38"/>
      <c r="O176" s="38"/>
      <c r="P176" s="38"/>
      <c r="Q176" s="38"/>
      <c r="R176" s="38"/>
      <c r="S176" s="38"/>
      <c r="T176" s="38"/>
      <c r="U176" s="38"/>
      <c r="V176" s="38"/>
    </row>
    <row r="177" hidden="1" spans="1:22">
      <c r="A177" s="38">
        <f t="shared" si="15"/>
        <v>54</v>
      </c>
      <c r="B177" s="65" t="s">
        <v>576</v>
      </c>
      <c r="C177" s="65" t="s">
        <v>577</v>
      </c>
      <c r="D177" s="45"/>
      <c r="E177" s="66">
        <v>1000</v>
      </c>
      <c r="F177" s="67">
        <v>0</v>
      </c>
      <c r="G177" s="66">
        <v>1000</v>
      </c>
      <c r="H177" s="38"/>
      <c r="I177" s="73"/>
      <c r="J177" s="38"/>
      <c r="K177" s="47">
        <f t="shared" ref="K177:K178" si="16">E177-G177-H177-I177-J177+F177</f>
        <v>0</v>
      </c>
      <c r="L177" s="38"/>
      <c r="M177" s="74" t="s">
        <v>583</v>
      </c>
      <c r="N177" s="38"/>
      <c r="O177" s="38"/>
      <c r="P177" s="38"/>
      <c r="Q177" s="38"/>
      <c r="R177" s="38"/>
      <c r="S177" s="38"/>
      <c r="T177" s="38"/>
      <c r="U177" s="38"/>
      <c r="V177" s="38"/>
    </row>
    <row r="178" spans="4:11">
      <c r="D178" s="43"/>
      <c r="I178" s="42"/>
      <c r="K178" s="47">
        <f t="shared" si="16"/>
        <v>0</v>
      </c>
    </row>
    <row r="179" spans="4:9">
      <c r="D179" s="43"/>
      <c r="I179" s="42"/>
    </row>
    <row r="180" spans="4:9">
      <c r="D180" s="43"/>
      <c r="I180" s="42"/>
    </row>
    <row r="181" ht="17.25" spans="4:22">
      <c r="D181" s="43"/>
      <c r="E181" s="51">
        <f>SUM(E124:E177)</f>
        <v>155000</v>
      </c>
      <c r="F181" s="51">
        <f>SUM(F124:F177)</f>
        <v>0</v>
      </c>
      <c r="G181" s="51">
        <f>SUM(G124:G177)</f>
        <v>132303</v>
      </c>
      <c r="H181" s="51">
        <f t="shared" ref="H181:K181" si="17">SUM(H124:H177)</f>
        <v>0</v>
      </c>
      <c r="I181" s="51">
        <f t="shared" si="17"/>
        <v>0</v>
      </c>
      <c r="J181" s="51">
        <f t="shared" si="17"/>
        <v>0</v>
      </c>
      <c r="K181" s="51">
        <f t="shared" si="17"/>
        <v>22697</v>
      </c>
      <c r="L181" s="12"/>
      <c r="M181" s="12"/>
      <c r="N181" s="7"/>
      <c r="V181" s="7">
        <f>SUM(G181:J181)/(E181+F181)</f>
        <v>0.853567741935484</v>
      </c>
    </row>
    <row r="182" ht="17.25" spans="4:9">
      <c r="D182" s="43"/>
      <c r="I182" s="42"/>
    </row>
    <row r="183" spans="4:9">
      <c r="D183" s="43"/>
      <c r="I183" s="42"/>
    </row>
    <row r="184" spans="4:4">
      <c r="D184" s="43"/>
    </row>
    <row r="185" spans="1:15">
      <c r="A185" s="1" t="str">
        <f>+CAIRO!A77</f>
        <v>5th Batch Disbursement 10.7.2020</v>
      </c>
      <c r="O185" s="1" t="s">
        <v>370</v>
      </c>
    </row>
    <row r="186" s="38" customFormat="1" ht="33" spans="1:22">
      <c r="A186" s="4" t="s">
        <v>76</v>
      </c>
      <c r="B186" s="4" t="s">
        <v>77</v>
      </c>
      <c r="C186" s="4" t="s">
        <v>78</v>
      </c>
      <c r="D186" s="4" t="str">
        <f>+[3]LUMUMBA!D5</f>
        <v>N.R.C #</v>
      </c>
      <c r="E186" s="15" t="s">
        <v>81</v>
      </c>
      <c r="F186" s="15" t="str">
        <f>+F123</f>
        <v>Default Interest</v>
      </c>
      <c r="G186" s="4" t="s">
        <v>224</v>
      </c>
      <c r="H186" s="4" t="s">
        <v>371</v>
      </c>
      <c r="I186" s="4" t="s">
        <v>83</v>
      </c>
      <c r="J186" s="4" t="s">
        <v>84</v>
      </c>
      <c r="K186" s="4" t="s">
        <v>85</v>
      </c>
      <c r="L186" s="4" t="s">
        <v>172</v>
      </c>
      <c r="M186" s="53" t="str">
        <f>+[3]CAIRO!M5</f>
        <v>COMMENT</v>
      </c>
      <c r="O186" s="54"/>
      <c r="V186" s="38" t="s">
        <v>72</v>
      </c>
    </row>
    <row r="187" s="38" customFormat="1" spans="1:23">
      <c r="A187" s="38">
        <v>1</v>
      </c>
      <c r="B187" s="50" t="s">
        <v>388</v>
      </c>
      <c r="C187" s="50" t="s">
        <v>175</v>
      </c>
      <c r="D187" s="50"/>
      <c r="E187" s="47">
        <v>6000</v>
      </c>
      <c r="F187" s="47">
        <v>1209</v>
      </c>
      <c r="G187" s="47">
        <v>0</v>
      </c>
      <c r="H187" s="47"/>
      <c r="I187" s="55">
        <v>0</v>
      </c>
      <c r="J187" s="55">
        <f>200+3500</f>
        <v>3700</v>
      </c>
      <c r="K187" s="47">
        <f>E187-G187-H187-I187-J187+F187</f>
        <v>3509</v>
      </c>
      <c r="M187" s="38" t="s">
        <v>375</v>
      </c>
      <c r="O187" s="54"/>
      <c r="W187" s="38" t="s">
        <v>677</v>
      </c>
    </row>
    <row r="188" s="38" customFormat="1" spans="1:15">
      <c r="A188" s="38">
        <v>2</v>
      </c>
      <c r="B188" s="50" t="s">
        <v>632</v>
      </c>
      <c r="C188" s="50" t="s">
        <v>633</v>
      </c>
      <c r="D188" s="50"/>
      <c r="E188" s="47">
        <v>4000</v>
      </c>
      <c r="F188" s="47"/>
      <c r="G188" s="47">
        <v>1000</v>
      </c>
      <c r="H188" s="47">
        <v>1000</v>
      </c>
      <c r="I188" s="55">
        <v>2000</v>
      </c>
      <c r="J188" s="55">
        <v>0</v>
      </c>
      <c r="K188" s="47">
        <f>E188-G188-H188-I188-J188+F188</f>
        <v>0</v>
      </c>
      <c r="L188" s="38">
        <v>936</v>
      </c>
      <c r="M188" s="38" t="s">
        <v>381</v>
      </c>
      <c r="O188" s="54"/>
    </row>
    <row r="189" s="38" customFormat="1" spans="1:15">
      <c r="A189" s="38">
        <v>3</v>
      </c>
      <c r="B189" s="50" t="s">
        <v>635</v>
      </c>
      <c r="C189" s="50" t="s">
        <v>489</v>
      </c>
      <c r="D189" s="50"/>
      <c r="E189" s="47">
        <v>2500</v>
      </c>
      <c r="F189" s="47"/>
      <c r="G189" s="47">
        <v>0</v>
      </c>
      <c r="H189" s="47">
        <v>0</v>
      </c>
      <c r="I189" s="55">
        <v>2000</v>
      </c>
      <c r="J189" s="55">
        <v>500</v>
      </c>
      <c r="K189" s="47">
        <f>E189-G189-H189-I189-J189+F189</f>
        <v>0</v>
      </c>
      <c r="M189" s="38" t="s">
        <v>440</v>
      </c>
      <c r="O189" s="54"/>
    </row>
    <row r="190" s="38" customFormat="1" spans="1:15">
      <c r="A190" s="38">
        <v>4</v>
      </c>
      <c r="B190" s="50" t="s">
        <v>404</v>
      </c>
      <c r="C190" s="50" t="s">
        <v>678</v>
      </c>
      <c r="D190" s="50"/>
      <c r="E190" s="47">
        <v>2500</v>
      </c>
      <c r="F190" s="47">
        <v>84.69</v>
      </c>
      <c r="G190" s="47">
        <v>200</v>
      </c>
      <c r="H190" s="47">
        <v>500</v>
      </c>
      <c r="I190" s="55">
        <v>880</v>
      </c>
      <c r="J190" s="55">
        <f>220+700</f>
        <v>920</v>
      </c>
      <c r="K190" s="47">
        <f t="shared" ref="K190:K195" si="18">E190-G190-H190-I190-J190+F190</f>
        <v>84.69</v>
      </c>
      <c r="L190" s="38">
        <v>938</v>
      </c>
      <c r="M190" s="38" t="s">
        <v>444</v>
      </c>
      <c r="O190" s="54"/>
    </row>
    <row r="191" s="38" customFormat="1" spans="1:15">
      <c r="A191" s="38">
        <v>5</v>
      </c>
      <c r="B191" s="50" t="s">
        <v>423</v>
      </c>
      <c r="C191" s="50" t="s">
        <v>424</v>
      </c>
      <c r="D191" s="50"/>
      <c r="E191" s="47">
        <v>6000</v>
      </c>
      <c r="F191" s="47"/>
      <c r="G191" s="47">
        <v>1000</v>
      </c>
      <c r="H191" s="47">
        <v>1250</v>
      </c>
      <c r="I191" s="55">
        <v>1000</v>
      </c>
      <c r="J191" s="55">
        <v>2750</v>
      </c>
      <c r="K191" s="47">
        <f t="shared" si="18"/>
        <v>0</v>
      </c>
      <c r="L191" s="38">
        <v>940</v>
      </c>
      <c r="M191" s="38" t="s">
        <v>448</v>
      </c>
      <c r="O191" s="54">
        <v>8000</v>
      </c>
    </row>
    <row r="192" s="38" customFormat="1" spans="1:15">
      <c r="A192" s="38">
        <v>6</v>
      </c>
      <c r="B192" s="50" t="s">
        <v>659</v>
      </c>
      <c r="C192" s="50" t="s">
        <v>442</v>
      </c>
      <c r="D192" s="50"/>
      <c r="E192" s="47">
        <v>4000</v>
      </c>
      <c r="F192" s="47"/>
      <c r="G192" s="47">
        <v>500</v>
      </c>
      <c r="H192" s="47">
        <v>1000</v>
      </c>
      <c r="I192" s="55">
        <v>500</v>
      </c>
      <c r="J192" s="55">
        <v>2000</v>
      </c>
      <c r="K192" s="47">
        <f t="shared" si="18"/>
        <v>0</v>
      </c>
      <c r="L192" s="38">
        <v>884</v>
      </c>
      <c r="M192" s="38" t="s">
        <v>451</v>
      </c>
      <c r="O192" s="54">
        <v>5000</v>
      </c>
    </row>
    <row r="193" s="38" customFormat="1" spans="1:15">
      <c r="A193" s="38">
        <v>7</v>
      </c>
      <c r="B193" s="50" t="s">
        <v>431</v>
      </c>
      <c r="C193" s="50" t="s">
        <v>432</v>
      </c>
      <c r="D193" s="50"/>
      <c r="E193" s="47">
        <v>5000</v>
      </c>
      <c r="F193" s="47"/>
      <c r="G193" s="47">
        <v>1250</v>
      </c>
      <c r="H193" s="47">
        <v>1250</v>
      </c>
      <c r="I193" s="55">
        <v>1250</v>
      </c>
      <c r="J193" s="55">
        <v>1250</v>
      </c>
      <c r="K193" s="47">
        <f t="shared" si="18"/>
        <v>0</v>
      </c>
      <c r="L193" s="38">
        <v>942</v>
      </c>
      <c r="M193" s="38" t="s">
        <v>381</v>
      </c>
      <c r="O193" s="54">
        <v>8000</v>
      </c>
    </row>
    <row r="194" s="38" customFormat="1" spans="1:15">
      <c r="A194" s="38">
        <v>8</v>
      </c>
      <c r="B194" s="50" t="s">
        <v>393</v>
      </c>
      <c r="C194" s="50" t="s">
        <v>197</v>
      </c>
      <c r="D194" s="50"/>
      <c r="E194" s="47">
        <v>5000</v>
      </c>
      <c r="F194" s="47"/>
      <c r="G194" s="47">
        <v>1500</v>
      </c>
      <c r="H194" s="47">
        <v>1000</v>
      </c>
      <c r="I194" s="55">
        <v>450</v>
      </c>
      <c r="J194" s="55">
        <f>500+500+300+750</f>
        <v>2050</v>
      </c>
      <c r="K194" s="47">
        <f t="shared" si="18"/>
        <v>0</v>
      </c>
      <c r="L194" s="56" t="s">
        <v>457</v>
      </c>
      <c r="M194" s="38" t="s">
        <v>381</v>
      </c>
      <c r="O194" s="54"/>
    </row>
    <row r="195" s="38" customFormat="1" spans="1:15">
      <c r="A195" s="38">
        <v>9</v>
      </c>
      <c r="B195" s="76" t="s">
        <v>679</v>
      </c>
      <c r="C195" s="76" t="s">
        <v>557</v>
      </c>
      <c r="D195" s="76"/>
      <c r="E195" s="60">
        <v>5000</v>
      </c>
      <c r="F195" s="60">
        <v>1054.53</v>
      </c>
      <c r="G195" s="60">
        <f>570-300</f>
        <v>270</v>
      </c>
      <c r="H195" s="60">
        <v>500</v>
      </c>
      <c r="I195" s="69">
        <v>0</v>
      </c>
      <c r="J195" s="69">
        <v>1300</v>
      </c>
      <c r="K195" s="60">
        <f t="shared" si="18"/>
        <v>3984.53</v>
      </c>
      <c r="L195" s="56"/>
      <c r="O195" s="54"/>
    </row>
    <row r="196" s="38" customFormat="1" spans="1:15">
      <c r="A196" s="38">
        <v>10</v>
      </c>
      <c r="B196" s="50" t="s">
        <v>559</v>
      </c>
      <c r="C196" s="50" t="s">
        <v>560</v>
      </c>
      <c r="D196" s="50"/>
      <c r="E196" s="47">
        <v>5000</v>
      </c>
      <c r="F196" s="47"/>
      <c r="G196" s="47">
        <v>0</v>
      </c>
      <c r="H196" s="47">
        <v>2500</v>
      </c>
      <c r="I196" s="55">
        <v>500</v>
      </c>
      <c r="J196" s="55">
        <v>2000</v>
      </c>
      <c r="K196" s="47">
        <f t="shared" ref="K196:K205" si="19">E196-G196-H196-I196-J196+F196</f>
        <v>0</v>
      </c>
      <c r="M196" s="38" t="s">
        <v>461</v>
      </c>
      <c r="O196" s="54"/>
    </row>
    <row r="197" s="38" customFormat="1" spans="1:15">
      <c r="A197" s="38">
        <v>11</v>
      </c>
      <c r="B197" s="50" t="s">
        <v>401</v>
      </c>
      <c r="C197" s="50" t="s">
        <v>514</v>
      </c>
      <c r="D197" s="50"/>
      <c r="E197" s="47">
        <v>10000</v>
      </c>
      <c r="F197" s="47"/>
      <c r="G197" s="47">
        <v>220</v>
      </c>
      <c r="H197" s="47">
        <v>0</v>
      </c>
      <c r="I197" s="55">
        <v>0</v>
      </c>
      <c r="J197" s="55">
        <v>9780</v>
      </c>
      <c r="K197" s="47">
        <f t="shared" si="19"/>
        <v>0</v>
      </c>
      <c r="L197" s="38">
        <v>220</v>
      </c>
      <c r="M197" s="38" t="s">
        <v>471</v>
      </c>
      <c r="O197" s="54"/>
    </row>
    <row r="198" s="38" customFormat="1" spans="1:15">
      <c r="A198" s="38">
        <v>12</v>
      </c>
      <c r="B198" s="50" t="s">
        <v>680</v>
      </c>
      <c r="C198" s="50" t="s">
        <v>511</v>
      </c>
      <c r="D198" s="50"/>
      <c r="E198" s="47">
        <v>2000</v>
      </c>
      <c r="F198" s="47">
        <v>420</v>
      </c>
      <c r="G198" s="47"/>
      <c r="H198" s="47"/>
      <c r="I198" s="55"/>
      <c r="J198" s="55"/>
      <c r="K198" s="47">
        <f t="shared" si="19"/>
        <v>2420</v>
      </c>
      <c r="L198" s="38">
        <v>941</v>
      </c>
      <c r="M198" s="38" t="s">
        <v>381</v>
      </c>
      <c r="O198" s="54"/>
    </row>
    <row r="199" s="38" customFormat="1" spans="1:15">
      <c r="A199" s="38">
        <v>13</v>
      </c>
      <c r="B199" s="50" t="s">
        <v>539</v>
      </c>
      <c r="C199" s="50" t="s">
        <v>681</v>
      </c>
      <c r="D199" s="50"/>
      <c r="E199" s="47">
        <v>2000</v>
      </c>
      <c r="F199" s="47">
        <v>210</v>
      </c>
      <c r="G199" s="47">
        <v>0</v>
      </c>
      <c r="H199" s="47">
        <v>0</v>
      </c>
      <c r="I199" s="55">
        <v>0</v>
      </c>
      <c r="J199" s="55">
        <v>1000</v>
      </c>
      <c r="K199" s="47">
        <f t="shared" si="19"/>
        <v>1210</v>
      </c>
      <c r="M199" s="38" t="s">
        <v>682</v>
      </c>
      <c r="O199" s="54"/>
    </row>
    <row r="200" s="38" customFormat="1" spans="1:15">
      <c r="A200" s="38">
        <v>14</v>
      </c>
      <c r="B200" s="50" t="s">
        <v>683</v>
      </c>
      <c r="C200" s="50" t="s">
        <v>105</v>
      </c>
      <c r="D200" s="50"/>
      <c r="E200" s="47">
        <v>2000</v>
      </c>
      <c r="F200" s="47"/>
      <c r="G200" s="47">
        <v>500</v>
      </c>
      <c r="H200" s="47">
        <v>500</v>
      </c>
      <c r="I200" s="55">
        <v>0</v>
      </c>
      <c r="J200" s="55">
        <v>1000</v>
      </c>
      <c r="K200" s="47">
        <f t="shared" si="19"/>
        <v>0</v>
      </c>
      <c r="L200" s="38">
        <v>939</v>
      </c>
      <c r="M200" s="38" t="s">
        <v>381</v>
      </c>
      <c r="O200" s="54"/>
    </row>
    <row r="201" s="38" customFormat="1" spans="1:15">
      <c r="A201" s="38">
        <v>15</v>
      </c>
      <c r="B201" s="50" t="s">
        <v>684</v>
      </c>
      <c r="C201" s="50" t="s">
        <v>173</v>
      </c>
      <c r="D201" s="50"/>
      <c r="E201" s="47">
        <v>4000</v>
      </c>
      <c r="F201" s="47">
        <v>315.8</v>
      </c>
      <c r="G201" s="47">
        <v>1000</v>
      </c>
      <c r="H201" s="47">
        <v>1000</v>
      </c>
      <c r="I201" s="55">
        <v>1000</v>
      </c>
      <c r="J201" s="55">
        <v>20</v>
      </c>
      <c r="K201" s="47">
        <f t="shared" si="19"/>
        <v>1295.8</v>
      </c>
      <c r="L201" s="38">
        <v>937</v>
      </c>
      <c r="M201" s="38" t="s">
        <v>381</v>
      </c>
      <c r="O201" s="54">
        <v>4000</v>
      </c>
    </row>
    <row r="202" s="38" customFormat="1" spans="1:23">
      <c r="A202" s="90">
        <v>16</v>
      </c>
      <c r="B202" s="91" t="s">
        <v>685</v>
      </c>
      <c r="C202" s="91" t="s">
        <v>686</v>
      </c>
      <c r="D202" s="91" t="s">
        <v>687</v>
      </c>
      <c r="E202" s="92">
        <v>8000</v>
      </c>
      <c r="F202" s="92">
        <v>1614.89</v>
      </c>
      <c r="G202" s="92">
        <v>310</v>
      </c>
      <c r="H202" s="92">
        <v>0</v>
      </c>
      <c r="I202" s="109">
        <v>0</v>
      </c>
      <c r="J202" s="109">
        <v>0</v>
      </c>
      <c r="K202" s="92">
        <f t="shared" si="19"/>
        <v>9304.89</v>
      </c>
      <c r="L202" s="38">
        <v>887</v>
      </c>
      <c r="M202" s="38" t="s">
        <v>688</v>
      </c>
      <c r="N202" s="73"/>
      <c r="O202" s="54"/>
      <c r="V202" s="54">
        <v>7200</v>
      </c>
      <c r="W202" s="73">
        <f>+F202-V202</f>
        <v>-5585.11</v>
      </c>
    </row>
    <row r="203" s="38" customFormat="1" spans="1:22">
      <c r="A203" s="38">
        <v>17</v>
      </c>
      <c r="B203" s="38" t="s">
        <v>689</v>
      </c>
      <c r="C203" s="38" t="s">
        <v>690</v>
      </c>
      <c r="E203" s="54">
        <v>2000</v>
      </c>
      <c r="F203" s="54"/>
      <c r="G203" s="54">
        <v>500</v>
      </c>
      <c r="H203" s="54">
        <v>500</v>
      </c>
      <c r="I203" s="70">
        <v>0</v>
      </c>
      <c r="J203" s="70">
        <v>1000</v>
      </c>
      <c r="K203" s="49">
        <f t="shared" si="19"/>
        <v>0</v>
      </c>
      <c r="L203" s="38">
        <v>943</v>
      </c>
      <c r="M203" s="38" t="s">
        <v>381</v>
      </c>
      <c r="O203" s="54"/>
      <c r="V203" s="73"/>
    </row>
    <row r="204" s="38" customFormat="1" spans="1:15">
      <c r="A204" s="38">
        <v>18</v>
      </c>
      <c r="B204" s="38" t="s">
        <v>530</v>
      </c>
      <c r="C204" s="38" t="s">
        <v>409</v>
      </c>
      <c r="E204" s="54">
        <v>4000</v>
      </c>
      <c r="F204" s="54"/>
      <c r="G204" s="54">
        <v>1000</v>
      </c>
      <c r="H204" s="54">
        <v>0</v>
      </c>
      <c r="I204" s="70">
        <v>0</v>
      </c>
      <c r="J204" s="70">
        <v>3000</v>
      </c>
      <c r="K204" s="49">
        <f t="shared" si="19"/>
        <v>0</v>
      </c>
      <c r="L204" s="38">
        <v>883</v>
      </c>
      <c r="M204" s="38" t="s">
        <v>381</v>
      </c>
      <c r="O204" s="54"/>
    </row>
    <row r="205" s="38" customFormat="1" spans="1:15">
      <c r="A205" s="38">
        <v>19</v>
      </c>
      <c r="B205" s="38" t="s">
        <v>469</v>
      </c>
      <c r="C205" s="38" t="s">
        <v>383</v>
      </c>
      <c r="E205" s="54">
        <v>3000</v>
      </c>
      <c r="F205" s="54"/>
      <c r="G205" s="38">
        <v>800</v>
      </c>
      <c r="H205" s="38">
        <v>500</v>
      </c>
      <c r="I205" s="110">
        <v>0</v>
      </c>
      <c r="J205" s="70">
        <v>1700</v>
      </c>
      <c r="K205" s="49">
        <f t="shared" si="19"/>
        <v>0</v>
      </c>
      <c r="L205" s="38">
        <v>880</v>
      </c>
      <c r="M205" s="38" t="s">
        <v>381</v>
      </c>
      <c r="O205" s="54"/>
    </row>
    <row r="206" spans="5:15">
      <c r="E206" s="6" t="s">
        <v>475</v>
      </c>
      <c r="F206" s="6"/>
      <c r="G206" s="6"/>
      <c r="H206" s="6"/>
      <c r="I206" s="6"/>
      <c r="J206" s="58"/>
      <c r="O206" s="6"/>
    </row>
    <row r="207" ht="17.25" spans="2:22">
      <c r="B207" s="1" t="s">
        <v>476</v>
      </c>
      <c r="E207" s="51">
        <f t="shared" ref="E207:M207" si="20">SUM(E187:E205)</f>
        <v>82000</v>
      </c>
      <c r="F207" s="51">
        <f t="shared" si="20"/>
        <v>4908.91</v>
      </c>
      <c r="G207" s="51">
        <f t="shared" si="20"/>
        <v>10050</v>
      </c>
      <c r="H207" s="51">
        <f t="shared" si="20"/>
        <v>11500</v>
      </c>
      <c r="I207" s="51">
        <f t="shared" si="20"/>
        <v>9580</v>
      </c>
      <c r="J207" s="51">
        <f t="shared" si="20"/>
        <v>33970</v>
      </c>
      <c r="K207" s="51">
        <f t="shared" si="20"/>
        <v>21808.91</v>
      </c>
      <c r="L207" s="51">
        <f t="shared" si="20"/>
        <v>11270</v>
      </c>
      <c r="M207" s="51">
        <f t="shared" si="20"/>
        <v>0</v>
      </c>
      <c r="N207" s="7"/>
      <c r="V207" s="7">
        <f>SUM(G207:J207)/(E207+F207)</f>
        <v>0.749060136641916</v>
      </c>
    </row>
    <row r="208" ht="17.25" spans="5:15">
      <c r="E208" s="93"/>
      <c r="F208" s="93"/>
      <c r="G208" s="93"/>
      <c r="H208" s="93"/>
      <c r="I208" s="93"/>
      <c r="J208" s="93"/>
      <c r="K208" s="111"/>
      <c r="L208" s="112"/>
      <c r="M208" s="12"/>
      <c r="O208" s="6"/>
    </row>
    <row r="209" spans="1:15">
      <c r="A209" s="1" t="str">
        <f>+CAIRO!A90</f>
        <v>6th Loan Disbursement-17.7.2020</v>
      </c>
      <c r="E209" s="93"/>
      <c r="F209" s="93"/>
      <c r="G209" s="93"/>
      <c r="H209" s="93"/>
      <c r="I209" s="93"/>
      <c r="J209" s="93"/>
      <c r="K209" s="111"/>
      <c r="L209" s="12"/>
      <c r="M209" s="12"/>
      <c r="O209" s="6"/>
    </row>
    <row r="210" spans="5:15">
      <c r="E210" s="93"/>
      <c r="F210" s="93"/>
      <c r="G210" s="93"/>
      <c r="H210" s="93"/>
      <c r="I210" s="93"/>
      <c r="J210" s="93"/>
      <c r="K210" s="111"/>
      <c r="L210" s="12"/>
      <c r="M210" s="12"/>
      <c r="O210" s="6"/>
    </row>
    <row r="211" s="38" customFormat="1" ht="33" spans="2:15">
      <c r="B211" s="4" t="s">
        <v>77</v>
      </c>
      <c r="C211" s="4" t="s">
        <v>78</v>
      </c>
      <c r="D211" s="4" t="s">
        <v>79</v>
      </c>
      <c r="E211" s="15" t="s">
        <v>81</v>
      </c>
      <c r="F211" s="15" t="str">
        <f>+F186</f>
        <v>Default Interest</v>
      </c>
      <c r="G211" s="4" t="s">
        <v>188</v>
      </c>
      <c r="H211" s="4" t="s">
        <v>82</v>
      </c>
      <c r="I211" s="4" t="s">
        <v>691</v>
      </c>
      <c r="J211" s="4" t="str">
        <f>+J186</f>
        <v>4TH WEEK</v>
      </c>
      <c r="K211" s="4" t="s">
        <v>85</v>
      </c>
      <c r="L211" s="4" t="s">
        <v>172</v>
      </c>
      <c r="M211" s="53" t="s">
        <v>86</v>
      </c>
      <c r="O211" s="54"/>
    </row>
    <row r="212" s="38" customFormat="1" spans="1:15">
      <c r="A212" s="38">
        <v>1</v>
      </c>
      <c r="B212" s="38" t="s">
        <v>692</v>
      </c>
      <c r="C212" s="38" t="s">
        <v>693</v>
      </c>
      <c r="E212" s="54">
        <v>1000</v>
      </c>
      <c r="F212" s="54">
        <v>127.62</v>
      </c>
      <c r="G212" s="54"/>
      <c r="H212" s="54"/>
      <c r="I212" s="54"/>
      <c r="J212" s="54">
        <v>725</v>
      </c>
      <c r="K212" s="47">
        <f t="shared" ref="K212:K221" si="21">E212-G212-H212-I212-J212+F212</f>
        <v>402.62</v>
      </c>
      <c r="N212" s="38" t="s">
        <v>505</v>
      </c>
      <c r="O212" s="54"/>
    </row>
    <row r="213" s="38" customFormat="1" spans="1:22">
      <c r="A213" s="38">
        <v>2</v>
      </c>
      <c r="B213" s="50" t="s">
        <v>694</v>
      </c>
      <c r="C213" s="50" t="s">
        <v>695</v>
      </c>
      <c r="D213" s="50"/>
      <c r="E213" s="47">
        <v>3500</v>
      </c>
      <c r="F213" s="47">
        <f>3711.26-E213</f>
        <v>211.26</v>
      </c>
      <c r="G213" s="47"/>
      <c r="H213" s="47"/>
      <c r="I213" s="47"/>
      <c r="J213" s="49">
        <f>+[10]Sheet6!$E$4</f>
        <v>3670</v>
      </c>
      <c r="K213" s="47">
        <f t="shared" si="21"/>
        <v>41.2600000000002</v>
      </c>
      <c r="M213" s="38" t="s">
        <v>696</v>
      </c>
      <c r="O213" s="54"/>
      <c r="V213" s="38">
        <v>500</v>
      </c>
    </row>
    <row r="214" s="38" customFormat="1" hidden="1" spans="1:15">
      <c r="A214" s="38">
        <v>3</v>
      </c>
      <c r="B214" s="50" t="s">
        <v>697</v>
      </c>
      <c r="C214" s="50" t="s">
        <v>698</v>
      </c>
      <c r="D214" s="50"/>
      <c r="E214" s="47">
        <v>3000</v>
      </c>
      <c r="F214" s="47"/>
      <c r="G214" s="47">
        <v>400</v>
      </c>
      <c r="H214" s="47">
        <f>1800</f>
        <v>1800</v>
      </c>
      <c r="I214" s="47">
        <v>800</v>
      </c>
      <c r="J214" s="47">
        <v>0</v>
      </c>
      <c r="K214" s="47">
        <f t="shared" si="21"/>
        <v>0</v>
      </c>
      <c r="O214" s="54">
        <v>6000</v>
      </c>
    </row>
    <row r="215" s="38" customFormat="1" hidden="1" spans="1:15">
      <c r="A215" s="38">
        <v>4</v>
      </c>
      <c r="B215" s="50" t="s">
        <v>417</v>
      </c>
      <c r="C215" s="50" t="s">
        <v>418</v>
      </c>
      <c r="D215" s="50"/>
      <c r="E215" s="47">
        <v>4000</v>
      </c>
      <c r="F215" s="47"/>
      <c r="G215" s="47">
        <v>1000</v>
      </c>
      <c r="H215" s="47">
        <v>1000</v>
      </c>
      <c r="I215" s="47">
        <v>1000</v>
      </c>
      <c r="J215" s="47">
        <v>1000</v>
      </c>
      <c r="K215" s="47">
        <f t="shared" si="21"/>
        <v>0</v>
      </c>
      <c r="O215" s="54"/>
    </row>
    <row r="216" s="38" customFormat="1" spans="1:22">
      <c r="A216" s="38">
        <v>5</v>
      </c>
      <c r="B216" s="50" t="s">
        <v>510</v>
      </c>
      <c r="C216" s="50" t="s">
        <v>699</v>
      </c>
      <c r="D216" s="50"/>
      <c r="E216" s="47">
        <v>4000</v>
      </c>
      <c r="F216" s="47"/>
      <c r="G216" s="47">
        <v>700</v>
      </c>
      <c r="H216" s="47">
        <v>700</v>
      </c>
      <c r="I216" s="47">
        <f>500+200</f>
        <v>700</v>
      </c>
      <c r="J216" s="47">
        <v>1900</v>
      </c>
      <c r="K216" s="47">
        <f t="shared" si="21"/>
        <v>0</v>
      </c>
      <c r="O216" s="54"/>
      <c r="V216" s="54">
        <v>2000</v>
      </c>
    </row>
    <row r="217" s="38" customFormat="1" spans="1:22">
      <c r="A217" s="38">
        <v>6</v>
      </c>
      <c r="B217" s="50" t="s">
        <v>481</v>
      </c>
      <c r="C217" s="50" t="s">
        <v>690</v>
      </c>
      <c r="D217" s="50"/>
      <c r="E217" s="47">
        <v>5000</v>
      </c>
      <c r="F217" s="47"/>
      <c r="G217" s="47">
        <v>1250</v>
      </c>
      <c r="H217" s="47">
        <v>250</v>
      </c>
      <c r="I217" s="47">
        <v>1250</v>
      </c>
      <c r="J217" s="47">
        <v>2250</v>
      </c>
      <c r="K217" s="47">
        <f t="shared" si="21"/>
        <v>0</v>
      </c>
      <c r="O217" s="54"/>
      <c r="V217" s="54">
        <v>3750</v>
      </c>
    </row>
    <row r="218" s="38" customFormat="1" spans="1:15">
      <c r="A218" s="38">
        <v>7</v>
      </c>
      <c r="B218" s="38" t="s">
        <v>700</v>
      </c>
      <c r="C218" s="38" t="s">
        <v>701</v>
      </c>
      <c r="E218" s="54">
        <v>5000</v>
      </c>
      <c r="F218" s="54">
        <v>166</v>
      </c>
      <c r="G218" s="54"/>
      <c r="H218" s="54"/>
      <c r="I218" s="54">
        <f>+[10]Sheet6!$E$9</f>
        <v>5166</v>
      </c>
      <c r="J218" s="113"/>
      <c r="K218" s="47">
        <f t="shared" si="21"/>
        <v>0</v>
      </c>
      <c r="M218" s="38" t="s">
        <v>696</v>
      </c>
      <c r="N218" s="38" t="s">
        <v>702</v>
      </c>
      <c r="O218" s="54"/>
    </row>
    <row r="219" s="38" customFormat="1" hidden="1" spans="1:15">
      <c r="A219" s="38">
        <v>8</v>
      </c>
      <c r="B219" s="38" t="s">
        <v>703</v>
      </c>
      <c r="C219" s="38" t="s">
        <v>383</v>
      </c>
      <c r="E219" s="54">
        <v>2000</v>
      </c>
      <c r="F219" s="54"/>
      <c r="G219" s="54">
        <v>500</v>
      </c>
      <c r="H219" s="54">
        <v>500</v>
      </c>
      <c r="I219" s="54">
        <v>1000</v>
      </c>
      <c r="J219" s="54">
        <v>0</v>
      </c>
      <c r="K219" s="47">
        <f t="shared" si="21"/>
        <v>0</v>
      </c>
      <c r="O219" s="54">
        <v>4000</v>
      </c>
    </row>
    <row r="220" s="38" customFormat="1" spans="1:15">
      <c r="A220" s="38">
        <v>9</v>
      </c>
      <c r="B220" s="38" t="s">
        <v>492</v>
      </c>
      <c r="C220" s="38" t="s">
        <v>383</v>
      </c>
      <c r="E220" s="54">
        <v>2500</v>
      </c>
      <c r="F220" s="54">
        <v>479.59</v>
      </c>
      <c r="G220" s="54"/>
      <c r="H220" s="54"/>
      <c r="I220" s="54"/>
      <c r="J220" s="54">
        <f>+[10]Sheet6!$E$11</f>
        <v>2895</v>
      </c>
      <c r="K220" s="47">
        <f t="shared" si="21"/>
        <v>84.59</v>
      </c>
      <c r="O220" s="54"/>
    </row>
    <row r="221" s="38" customFormat="1" hidden="1" spans="1:22">
      <c r="A221" s="38">
        <v>10</v>
      </c>
      <c r="B221" s="38" t="s">
        <v>704</v>
      </c>
      <c r="C221" s="38" t="s">
        <v>705</v>
      </c>
      <c r="E221" s="54">
        <v>4000</v>
      </c>
      <c r="F221" s="54"/>
      <c r="G221" s="54"/>
      <c r="H221" s="54">
        <v>0</v>
      </c>
      <c r="I221" s="54">
        <v>0</v>
      </c>
      <c r="J221" s="99">
        <v>4000</v>
      </c>
      <c r="K221" s="47">
        <f t="shared" si="21"/>
        <v>0</v>
      </c>
      <c r="M221" s="38" t="s">
        <v>706</v>
      </c>
      <c r="O221" s="54"/>
      <c r="V221" s="54">
        <f>SUM(V213:V217)</f>
        <v>6250</v>
      </c>
    </row>
    <row r="222" spans="15:23">
      <c r="O222" s="6"/>
      <c r="W222" s="114"/>
    </row>
    <row r="223" ht="17.25" spans="2:22">
      <c r="B223" s="1" t="s">
        <v>476</v>
      </c>
      <c r="E223" s="94">
        <f t="shared" ref="E223:F223" si="22">SUM(E212:E221)</f>
        <v>34000</v>
      </c>
      <c r="F223" s="94">
        <f t="shared" si="22"/>
        <v>984.47</v>
      </c>
      <c r="G223" s="94">
        <f t="shared" ref="G223:K223" si="23">SUM(G212:G221)</f>
        <v>3850</v>
      </c>
      <c r="H223" s="94">
        <f t="shared" si="23"/>
        <v>4250</v>
      </c>
      <c r="I223" s="94">
        <f t="shared" si="23"/>
        <v>9916</v>
      </c>
      <c r="J223" s="94">
        <f t="shared" si="23"/>
        <v>16440</v>
      </c>
      <c r="K223" s="94">
        <f t="shared" si="23"/>
        <v>528.47</v>
      </c>
      <c r="O223" s="100">
        <f>SUM(O186:O221)</f>
        <v>35000</v>
      </c>
      <c r="V223" s="7">
        <f>SUM(G223:J223)/(E223+F223)</f>
        <v>0.984894154463395</v>
      </c>
    </row>
    <row r="224" ht="17.25" spans="13:13">
      <c r="M224" s="1">
        <f>-450+275</f>
        <v>-175</v>
      </c>
    </row>
    <row r="225" spans="15:15">
      <c r="O225" s="42"/>
    </row>
    <row r="226" spans="15:15">
      <c r="O226" s="42"/>
    </row>
    <row r="227" spans="1:15">
      <c r="A227" s="1" t="str">
        <f>+CAIRO!A109</f>
        <v>7th Loan Disbursement-31.7.2020</v>
      </c>
      <c r="E227" s="93"/>
      <c r="F227" s="93"/>
      <c r="G227" s="93"/>
      <c r="H227" s="93"/>
      <c r="I227" s="93"/>
      <c r="J227" s="93"/>
      <c r="K227" s="111"/>
      <c r="O227" s="42"/>
    </row>
    <row r="228" spans="5:15">
      <c r="E228" s="93"/>
      <c r="F228" s="93"/>
      <c r="G228" s="93"/>
      <c r="H228" s="93"/>
      <c r="I228" s="93"/>
      <c r="J228" s="93"/>
      <c r="K228" s="111"/>
      <c r="O228" s="42"/>
    </row>
    <row r="229" ht="33" spans="1:15">
      <c r="A229" s="38"/>
      <c r="B229" s="4" t="s">
        <v>77</v>
      </c>
      <c r="C229" s="4" t="s">
        <v>78</v>
      </c>
      <c r="D229" s="4" t="s">
        <v>79</v>
      </c>
      <c r="E229" s="15" t="s">
        <v>81</v>
      </c>
      <c r="F229" s="15" t="str">
        <f>+F211</f>
        <v>Default Interest</v>
      </c>
      <c r="G229" s="4" t="s">
        <v>188</v>
      </c>
      <c r="H229" s="4" t="s">
        <v>82</v>
      </c>
      <c r="I229" s="4" t="s">
        <v>691</v>
      </c>
      <c r="J229" s="4" t="str">
        <f>+CAIRO!L110</f>
        <v>31.8.2020</v>
      </c>
      <c r="K229" s="4" t="s">
        <v>85</v>
      </c>
      <c r="O229" s="42"/>
    </row>
    <row r="230" spans="1:15">
      <c r="A230" s="95">
        <v>1</v>
      </c>
      <c r="B230" s="38" t="s">
        <v>707</v>
      </c>
      <c r="C230" s="96" t="s">
        <v>633</v>
      </c>
      <c r="D230" s="38"/>
      <c r="E230" s="97">
        <f>+[12]SOWETO!$E$3</f>
        <v>10000</v>
      </c>
      <c r="F230" s="97">
        <f>+[13]Sheet1!$K$3343</f>
        <v>250</v>
      </c>
      <c r="G230" s="54"/>
      <c r="H230" s="98"/>
      <c r="I230" s="54"/>
      <c r="J230" s="54">
        <f>10000+250</f>
        <v>10250</v>
      </c>
      <c r="K230" s="47">
        <f>E230-G230-H230-I230-J230+F230</f>
        <v>0</v>
      </c>
      <c r="O230" s="42"/>
    </row>
    <row r="231" spans="1:15">
      <c r="A231" s="95">
        <f>+A230+1</f>
        <v>2</v>
      </c>
      <c r="B231" s="38" t="s">
        <v>138</v>
      </c>
      <c r="C231" s="96" t="s">
        <v>708</v>
      </c>
      <c r="D231" s="38"/>
      <c r="E231" s="97">
        <v>3500</v>
      </c>
      <c r="F231" s="97">
        <f>+[13]Sheet1!$K$4189</f>
        <v>87.5</v>
      </c>
      <c r="G231" s="54"/>
      <c r="H231" s="99"/>
      <c r="I231" s="54">
        <f>SUM([13]Sheet1!$L$4190:$L$4192)</f>
        <v>2625</v>
      </c>
      <c r="J231" s="54">
        <f>500+463</f>
        <v>963</v>
      </c>
      <c r="K231" s="47">
        <f t="shared" ref="K231:K233" si="24">E231-G231-H231-I231-J231+F231</f>
        <v>-0.5</v>
      </c>
      <c r="O231" s="42"/>
    </row>
    <row r="232" spans="1:22">
      <c r="A232" s="95">
        <f>+A231+1</f>
        <v>3</v>
      </c>
      <c r="B232" s="50" t="s">
        <v>709</v>
      </c>
      <c r="C232" s="96" t="s">
        <v>409</v>
      </c>
      <c r="D232" s="38"/>
      <c r="E232" s="97">
        <f>+[12]SOWETO!$E$6</f>
        <v>3000</v>
      </c>
      <c r="F232" s="97">
        <v>40</v>
      </c>
      <c r="G232" s="54"/>
      <c r="H232" s="98"/>
      <c r="I232" s="98"/>
      <c r="J232" s="54">
        <v>3040</v>
      </c>
      <c r="K232" s="47">
        <f t="shared" si="24"/>
        <v>0</v>
      </c>
      <c r="O232" s="42"/>
      <c r="V232" s="1" t="s">
        <v>505</v>
      </c>
    </row>
    <row r="233" spans="1:15">
      <c r="A233" s="95">
        <f>+A232+1</f>
        <v>4</v>
      </c>
      <c r="B233" s="38" t="s">
        <v>710</v>
      </c>
      <c r="C233" s="96" t="s">
        <v>711</v>
      </c>
      <c r="D233" s="38"/>
      <c r="E233" s="97">
        <v>3500</v>
      </c>
      <c r="F233" s="97"/>
      <c r="G233" s="54">
        <v>900</v>
      </c>
      <c r="H233" s="54"/>
      <c r="I233" s="54"/>
      <c r="J233" s="54">
        <v>2600</v>
      </c>
      <c r="K233" s="47">
        <f t="shared" si="24"/>
        <v>0</v>
      </c>
      <c r="O233" s="42"/>
    </row>
    <row r="234" spans="5:15">
      <c r="E234" s="6"/>
      <c r="F234" s="6"/>
      <c r="G234" s="6"/>
      <c r="H234" s="6"/>
      <c r="I234" s="6"/>
      <c r="J234" s="6"/>
      <c r="K234" s="6"/>
      <c r="O234" s="42"/>
    </row>
    <row r="235" ht="17.25" spans="5:22">
      <c r="E235" s="100">
        <f t="shared" ref="E235:F235" si="25">SUM(E230:E233)</f>
        <v>20000</v>
      </c>
      <c r="F235" s="100">
        <f t="shared" si="25"/>
        <v>377.5</v>
      </c>
      <c r="G235" s="100">
        <f t="shared" ref="G235:K235" si="26">SUM(G230:G233)</f>
        <v>900</v>
      </c>
      <c r="H235" s="100">
        <f t="shared" si="26"/>
        <v>0</v>
      </c>
      <c r="I235" s="100">
        <f t="shared" si="26"/>
        <v>2625</v>
      </c>
      <c r="J235" s="100">
        <f t="shared" si="26"/>
        <v>16853</v>
      </c>
      <c r="K235" s="100">
        <f t="shared" si="26"/>
        <v>-0.5</v>
      </c>
      <c r="O235" s="42"/>
      <c r="V235" s="7">
        <f>SUM(G235:J235)/(E235+F235)</f>
        <v>1.00002453686664</v>
      </c>
    </row>
    <row r="236" ht="17.25" spans="15:15">
      <c r="O236" s="42"/>
    </row>
    <row r="237" spans="15:15">
      <c r="O237" s="42"/>
    </row>
    <row r="239" spans="1:1">
      <c r="A239" s="1" t="str">
        <f>+CAIRO!A123</f>
        <v>8th Loan Disbursement-7.8.2020</v>
      </c>
    </row>
    <row r="241" ht="33" spans="2:11">
      <c r="B241" s="4" t="s">
        <v>77</v>
      </c>
      <c r="C241" s="4" t="s">
        <v>78</v>
      </c>
      <c r="D241" s="4" t="s">
        <v>79</v>
      </c>
      <c r="E241" s="15" t="str">
        <f>+E229</f>
        <v>AMOUNT DISBURSED</v>
      </c>
      <c r="F241" s="15" t="str">
        <f>+F229</f>
        <v>Default Interest</v>
      </c>
      <c r="G241" s="4" t="s">
        <v>188</v>
      </c>
      <c r="H241" s="4" t="s">
        <v>82</v>
      </c>
      <c r="I241" s="4" t="s">
        <v>691</v>
      </c>
      <c r="J241" s="4" t="str">
        <f>+CAIRO!L124</f>
        <v>7.09.2020</v>
      </c>
      <c r="K241" s="4" t="s">
        <v>85</v>
      </c>
    </row>
    <row r="242" spans="1:22">
      <c r="A242" s="1">
        <v>1</v>
      </c>
      <c r="B242" s="45" t="s">
        <v>712</v>
      </c>
      <c r="C242" s="96" t="s">
        <v>713</v>
      </c>
      <c r="D242" s="38"/>
      <c r="E242" s="97">
        <v>6000</v>
      </c>
      <c r="F242" s="97">
        <f>+[10]Sheet8!$J$7</f>
        <v>910</v>
      </c>
      <c r="G242" s="54"/>
      <c r="H242" s="54"/>
      <c r="I242" s="54"/>
      <c r="J242" s="54">
        <f>+[10]Sheet8!$H$7</f>
        <v>4300</v>
      </c>
      <c r="K242" s="47">
        <f>E242-G242-H242-I242-J242+F242</f>
        <v>2610</v>
      </c>
      <c r="V242" s="1" t="s">
        <v>714</v>
      </c>
    </row>
    <row r="243" spans="1:11">
      <c r="A243" s="1">
        <f t="shared" ref="A243:A248" si="27">+A242+1</f>
        <v>2</v>
      </c>
      <c r="B243" s="45" t="s">
        <v>715</v>
      </c>
      <c r="C243" s="96" t="s">
        <v>716</v>
      </c>
      <c r="D243" s="38"/>
      <c r="E243" s="97">
        <v>5000</v>
      </c>
      <c r="F243" s="97"/>
      <c r="G243" s="99">
        <v>1250</v>
      </c>
      <c r="H243" s="99">
        <v>700</v>
      </c>
      <c r="I243" s="99">
        <v>3050</v>
      </c>
      <c r="J243" s="54"/>
      <c r="K243" s="47">
        <f t="shared" ref="K243:K249" si="28">E243-G243-H243-I243-J243+F243</f>
        <v>0</v>
      </c>
    </row>
    <row r="244" spans="1:12">
      <c r="A244" s="1">
        <f t="shared" si="27"/>
        <v>3</v>
      </c>
      <c r="B244" s="50" t="s">
        <v>717</v>
      </c>
      <c r="C244" s="101" t="s">
        <v>718</v>
      </c>
      <c r="D244" s="50"/>
      <c r="E244" s="47">
        <v>4000</v>
      </c>
      <c r="F244" s="47">
        <v>315.8</v>
      </c>
      <c r="G244" s="49">
        <v>1000</v>
      </c>
      <c r="H244" s="49"/>
      <c r="I244" s="49">
        <v>1020</v>
      </c>
      <c r="J244" s="47">
        <v>1000</v>
      </c>
      <c r="K244" s="47">
        <f t="shared" si="28"/>
        <v>1295.8</v>
      </c>
      <c r="L244" s="1" t="s">
        <v>719</v>
      </c>
    </row>
    <row r="245" spans="1:11">
      <c r="A245" s="1">
        <f t="shared" si="27"/>
        <v>4</v>
      </c>
      <c r="B245" s="102" t="s">
        <v>720</v>
      </c>
      <c r="C245" s="103" t="s">
        <v>721</v>
      </c>
      <c r="D245" s="102"/>
      <c r="E245" s="104">
        <v>8000</v>
      </c>
      <c r="F245" s="104">
        <v>840</v>
      </c>
      <c r="G245" s="105"/>
      <c r="H245" s="105"/>
      <c r="I245" s="105"/>
      <c r="J245" s="104">
        <v>6750</v>
      </c>
      <c r="K245" s="104">
        <f t="shared" si="28"/>
        <v>2090</v>
      </c>
    </row>
    <row r="246" spans="1:11">
      <c r="A246" s="1">
        <f t="shared" si="27"/>
        <v>5</v>
      </c>
      <c r="B246" s="45" t="s">
        <v>722</v>
      </c>
      <c r="C246" s="96" t="s">
        <v>723</v>
      </c>
      <c r="D246" s="38"/>
      <c r="E246" s="97">
        <v>4000</v>
      </c>
      <c r="F246" s="97">
        <v>300</v>
      </c>
      <c r="G246" s="99"/>
      <c r="H246" s="99"/>
      <c r="I246" s="99">
        <v>600</v>
      </c>
      <c r="J246" s="54">
        <v>3700</v>
      </c>
      <c r="K246" s="47">
        <f t="shared" si="28"/>
        <v>0</v>
      </c>
    </row>
    <row r="247" spans="1:12">
      <c r="A247" s="1">
        <f t="shared" si="27"/>
        <v>6</v>
      </c>
      <c r="B247" s="76" t="s">
        <v>724</v>
      </c>
      <c r="C247" s="106" t="s">
        <v>725</v>
      </c>
      <c r="D247" s="76"/>
      <c r="E247" s="60">
        <v>8000</v>
      </c>
      <c r="F247" s="60">
        <v>210</v>
      </c>
      <c r="G247" s="107">
        <v>4000</v>
      </c>
      <c r="H247" s="107">
        <v>2050</v>
      </c>
      <c r="I247" s="107">
        <v>950</v>
      </c>
      <c r="J247" s="60">
        <v>0</v>
      </c>
      <c r="K247" s="60">
        <f t="shared" si="28"/>
        <v>1210</v>
      </c>
      <c r="L247" s="1" t="s">
        <v>726</v>
      </c>
    </row>
    <row r="248" spans="1:22">
      <c r="A248" s="1">
        <f t="shared" si="27"/>
        <v>7</v>
      </c>
      <c r="B248" s="45" t="s">
        <v>727</v>
      </c>
      <c r="C248" s="96" t="s">
        <v>728</v>
      </c>
      <c r="D248" s="38"/>
      <c r="E248" s="97">
        <v>15000</v>
      </c>
      <c r="F248" s="97">
        <f>+[13]Sheet1!$K$3527</f>
        <v>1397</v>
      </c>
      <c r="G248" s="54">
        <f>430+400</f>
        <v>830</v>
      </c>
      <c r="H248" s="54">
        <v>200</v>
      </c>
      <c r="I248" s="54"/>
      <c r="J248" s="54">
        <v>15367</v>
      </c>
      <c r="K248" s="47">
        <f t="shared" si="28"/>
        <v>0</v>
      </c>
      <c r="V248" s="115"/>
    </row>
    <row r="249" spans="2:11">
      <c r="B249" s="45"/>
      <c r="C249" s="38"/>
      <c r="D249" s="38"/>
      <c r="E249" s="108"/>
      <c r="F249" s="108"/>
      <c r="G249" s="54"/>
      <c r="H249" s="54"/>
      <c r="I249" s="54"/>
      <c r="J249" s="54"/>
      <c r="K249" s="47">
        <f t="shared" si="28"/>
        <v>0</v>
      </c>
    </row>
    <row r="250" ht="17.25" spans="5:22">
      <c r="E250" s="100">
        <f>SUM(E242:E249)</f>
        <v>50000</v>
      </c>
      <c r="F250" s="100">
        <f>SUM(F242:F249)</f>
        <v>3972.8</v>
      </c>
      <c r="G250" s="100">
        <f>SUM(G242:G249)</f>
        <v>7080</v>
      </c>
      <c r="H250" s="100">
        <f t="shared" ref="H250:K250" si="29">SUM(H242:H249)</f>
        <v>2950</v>
      </c>
      <c r="I250" s="100">
        <f t="shared" si="29"/>
        <v>5620</v>
      </c>
      <c r="J250" s="100">
        <f t="shared" si="29"/>
        <v>31117</v>
      </c>
      <c r="K250" s="100">
        <f t="shared" si="29"/>
        <v>7205.8</v>
      </c>
      <c r="V250" s="7">
        <f>SUM(G250:J250)/(E250+F250)</f>
        <v>0.86649201079062</v>
      </c>
    </row>
    <row r="254" spans="1:1">
      <c r="A254" s="1" t="str">
        <f>+CAIRO!A131</f>
        <v>9th Loan Disbursement-14.8.2020</v>
      </c>
    </row>
    <row r="256" ht="33" spans="2:11">
      <c r="B256" s="4" t="s">
        <v>77</v>
      </c>
      <c r="C256" s="4" t="s">
        <v>78</v>
      </c>
      <c r="D256" s="4" t="s">
        <v>79</v>
      </c>
      <c r="E256" s="15" t="s">
        <v>81</v>
      </c>
      <c r="F256" s="15"/>
      <c r="G256" s="4" t="s">
        <v>188</v>
      </c>
      <c r="H256" s="4" t="s">
        <v>82</v>
      </c>
      <c r="I256" s="4" t="s">
        <v>691</v>
      </c>
      <c r="J256" s="4" t="str">
        <f>+CAIRO!L132</f>
        <v>14.9.2020</v>
      </c>
      <c r="K256" s="4" t="s">
        <v>85</v>
      </c>
    </row>
    <row r="257" spans="1:11">
      <c r="A257" s="1">
        <v>1</v>
      </c>
      <c r="B257" s="50" t="s">
        <v>689</v>
      </c>
      <c r="C257" s="50" t="s">
        <v>690</v>
      </c>
      <c r="D257" s="50"/>
      <c r="E257" s="47">
        <v>3000</v>
      </c>
      <c r="F257" s="47"/>
      <c r="G257" s="47"/>
      <c r="H257" s="47">
        <v>800</v>
      </c>
      <c r="I257" s="47">
        <v>900</v>
      </c>
      <c r="J257" s="47">
        <v>1300</v>
      </c>
      <c r="K257" s="47">
        <f t="shared" ref="K257:K266" si="30">E257-G257-H257-I257-J257+F257</f>
        <v>0</v>
      </c>
    </row>
    <row r="258" spans="1:12">
      <c r="A258" s="1">
        <f t="shared" ref="A258:A265" si="31">+A257+1</f>
        <v>2</v>
      </c>
      <c r="B258" s="50" t="s">
        <v>539</v>
      </c>
      <c r="C258" s="50" t="s">
        <v>681</v>
      </c>
      <c r="D258" s="50"/>
      <c r="E258" s="47">
        <v>2000</v>
      </c>
      <c r="F258" s="47">
        <v>210</v>
      </c>
      <c r="G258" s="47"/>
      <c r="H258" s="47"/>
      <c r="I258" s="47"/>
      <c r="J258" s="47">
        <v>1000</v>
      </c>
      <c r="K258" s="47">
        <f t="shared" si="30"/>
        <v>1210</v>
      </c>
      <c r="L258" s="1" t="s">
        <v>726</v>
      </c>
    </row>
    <row r="259" spans="1:13">
      <c r="A259" s="1">
        <f t="shared" si="31"/>
        <v>3</v>
      </c>
      <c r="B259" s="50" t="s">
        <v>530</v>
      </c>
      <c r="C259" s="50" t="s">
        <v>409</v>
      </c>
      <c r="D259" s="50"/>
      <c r="E259" s="47">
        <v>5000</v>
      </c>
      <c r="F259" s="47">
        <v>609</v>
      </c>
      <c r="G259" s="47"/>
      <c r="H259" s="47"/>
      <c r="I259" s="47"/>
      <c r="J259" s="47">
        <v>2100</v>
      </c>
      <c r="K259" s="47">
        <f t="shared" si="30"/>
        <v>3509</v>
      </c>
      <c r="L259" s="1" t="s">
        <v>726</v>
      </c>
      <c r="M259" s="1">
        <f>3900-1800</f>
        <v>2100</v>
      </c>
    </row>
    <row r="260" spans="1:11">
      <c r="A260" s="1">
        <f t="shared" si="31"/>
        <v>4</v>
      </c>
      <c r="B260" s="50" t="s">
        <v>729</v>
      </c>
      <c r="C260" s="50" t="s">
        <v>489</v>
      </c>
      <c r="D260" s="50"/>
      <c r="E260" s="47">
        <v>3000</v>
      </c>
      <c r="F260" s="47"/>
      <c r="G260" s="47"/>
      <c r="H260" s="47"/>
      <c r="I260" s="47">
        <v>1200</v>
      </c>
      <c r="J260" s="47">
        <f>1250+300+250</f>
        <v>1800</v>
      </c>
      <c r="K260" s="47">
        <f t="shared" si="30"/>
        <v>0</v>
      </c>
    </row>
    <row r="261" spans="1:22">
      <c r="A261" s="1">
        <f t="shared" si="31"/>
        <v>5</v>
      </c>
      <c r="B261" s="50" t="s">
        <v>393</v>
      </c>
      <c r="C261" s="50" t="s">
        <v>197</v>
      </c>
      <c r="D261" s="50"/>
      <c r="E261" s="47">
        <v>10000</v>
      </c>
      <c r="F261" s="47">
        <v>508.5</v>
      </c>
      <c r="G261" s="47"/>
      <c r="H261" s="47"/>
      <c r="I261" s="47"/>
      <c r="J261" s="47">
        <v>8050</v>
      </c>
      <c r="K261" s="47">
        <f t="shared" si="30"/>
        <v>2458.5</v>
      </c>
      <c r="L261" s="1" t="s">
        <v>726</v>
      </c>
      <c r="M261" s="1">
        <v>1500</v>
      </c>
      <c r="V261" s="1">
        <v>4900</v>
      </c>
    </row>
    <row r="262" spans="1:11">
      <c r="A262" s="1">
        <f t="shared" si="31"/>
        <v>6</v>
      </c>
      <c r="B262" s="50" t="s">
        <v>683</v>
      </c>
      <c r="C262" s="50" t="s">
        <v>105</v>
      </c>
      <c r="D262" s="50"/>
      <c r="E262" s="47">
        <v>2000</v>
      </c>
      <c r="F262" s="47">
        <f>2126-E262</f>
        <v>126</v>
      </c>
      <c r="G262" s="47">
        <v>500</v>
      </c>
      <c r="H262" s="47"/>
      <c r="I262" s="47"/>
      <c r="J262" s="47">
        <f>500+400</f>
        <v>900</v>
      </c>
      <c r="K262" s="47">
        <f t="shared" si="30"/>
        <v>726</v>
      </c>
    </row>
    <row r="263" spans="1:11">
      <c r="A263" s="1">
        <f t="shared" si="31"/>
        <v>7</v>
      </c>
      <c r="B263" s="50" t="s">
        <v>417</v>
      </c>
      <c r="C263" s="50" t="s">
        <v>418</v>
      </c>
      <c r="D263" s="50"/>
      <c r="E263" s="47">
        <v>6000</v>
      </c>
      <c r="F263" s="47"/>
      <c r="G263" s="47">
        <v>1000</v>
      </c>
      <c r="H263" s="47">
        <v>1000</v>
      </c>
      <c r="I263" s="47">
        <v>1000</v>
      </c>
      <c r="J263" s="47">
        <f>600+500+500+1400</f>
        <v>3000</v>
      </c>
      <c r="K263" s="47">
        <f t="shared" si="30"/>
        <v>0</v>
      </c>
    </row>
    <row r="264" spans="1:11">
      <c r="A264" s="1">
        <f t="shared" si="31"/>
        <v>8</v>
      </c>
      <c r="B264" s="50" t="s">
        <v>510</v>
      </c>
      <c r="C264" s="50" t="s">
        <v>699</v>
      </c>
      <c r="D264" s="50"/>
      <c r="E264" s="47">
        <v>5000</v>
      </c>
      <c r="F264" s="47"/>
      <c r="G264" s="47"/>
      <c r="H264" s="47"/>
      <c r="I264" s="47">
        <v>1800</v>
      </c>
      <c r="J264" s="47">
        <f>500+1000+1000+600+100</f>
        <v>3200</v>
      </c>
      <c r="K264" s="47">
        <f t="shared" si="30"/>
        <v>0</v>
      </c>
    </row>
    <row r="265" spans="1:11">
      <c r="A265" s="1">
        <f t="shared" si="31"/>
        <v>9</v>
      </c>
      <c r="B265" s="50" t="s">
        <v>132</v>
      </c>
      <c r="C265" s="50" t="s">
        <v>690</v>
      </c>
      <c r="D265" s="50"/>
      <c r="E265" s="47">
        <v>6000</v>
      </c>
      <c r="F265" s="47"/>
      <c r="G265" s="47"/>
      <c r="H265" s="47"/>
      <c r="I265" s="47">
        <v>2000</v>
      </c>
      <c r="J265" s="47">
        <f>1000+900+1000+1000+100</f>
        <v>4000</v>
      </c>
      <c r="K265" s="47">
        <f t="shared" si="30"/>
        <v>0</v>
      </c>
    </row>
    <row r="266" spans="2:11">
      <c r="B266" s="50"/>
      <c r="C266" s="50"/>
      <c r="D266" s="50"/>
      <c r="E266" s="116"/>
      <c r="F266" s="116"/>
      <c r="G266" s="47"/>
      <c r="H266" s="47"/>
      <c r="I266" s="47"/>
      <c r="J266" s="47"/>
      <c r="K266" s="47">
        <f t="shared" si="30"/>
        <v>0</v>
      </c>
    </row>
    <row r="267" ht="17.25" spans="5:22">
      <c r="E267" s="94">
        <f t="shared" ref="E267:F267" si="32">SUM(E257:E266)</f>
        <v>42000</v>
      </c>
      <c r="F267" s="94">
        <f t="shared" si="32"/>
        <v>1453.5</v>
      </c>
      <c r="G267" s="100">
        <f t="shared" ref="G267:K267" si="33">SUM(G257:G266)</f>
        <v>1500</v>
      </c>
      <c r="H267" s="100">
        <f t="shared" si="33"/>
        <v>1800</v>
      </c>
      <c r="I267" s="100">
        <f t="shared" si="33"/>
        <v>6900</v>
      </c>
      <c r="J267" s="100">
        <f t="shared" si="33"/>
        <v>25350</v>
      </c>
      <c r="K267" s="94">
        <f t="shared" si="33"/>
        <v>7903.5</v>
      </c>
      <c r="V267" s="7">
        <f>SUM(G267:J267)/(E267+F267)</f>
        <v>0.81811591701474</v>
      </c>
    </row>
    <row r="270" spans="8:8">
      <c r="H270" s="117"/>
    </row>
    <row r="271" spans="12:12">
      <c r="L271" s="38"/>
    </row>
    <row r="272" spans="1:12">
      <c r="A272" s="38">
        <v>10</v>
      </c>
      <c r="B272" s="76" t="s">
        <v>679</v>
      </c>
      <c r="C272" s="76" t="s">
        <v>557</v>
      </c>
      <c r="D272" s="76"/>
      <c r="E272" s="60">
        <v>5000</v>
      </c>
      <c r="F272" s="60"/>
      <c r="G272" s="60">
        <v>570</v>
      </c>
      <c r="H272" s="60">
        <v>500</v>
      </c>
      <c r="I272" s="69">
        <v>0</v>
      </c>
      <c r="J272" s="69">
        <v>1300</v>
      </c>
      <c r="K272" s="60">
        <f>E272-G272-H272-I272-J272+F272</f>
        <v>2630</v>
      </c>
      <c r="L272" s="38" t="s">
        <v>726</v>
      </c>
    </row>
    <row r="273" spans="12:12">
      <c r="L273" s="38"/>
    </row>
    <row r="274" spans="12:12">
      <c r="L274" s="38"/>
    </row>
    <row r="275" spans="1:23">
      <c r="A275" s="38">
        <f>+A71+1</f>
        <v>8</v>
      </c>
      <c r="B275" s="118" t="s">
        <v>730</v>
      </c>
      <c r="C275" s="118" t="s">
        <v>731</v>
      </c>
      <c r="D275" s="118" t="s">
        <v>397</v>
      </c>
      <c r="E275" s="119">
        <v>4000</v>
      </c>
      <c r="F275" s="119">
        <f>5095.51-E275</f>
        <v>1095.51</v>
      </c>
      <c r="G275" s="119">
        <f>SUM([9]Sheet1!$L$3550:$L$3557)</f>
        <v>4250</v>
      </c>
      <c r="H275" s="107"/>
      <c r="I275" s="120"/>
      <c r="J275" s="120"/>
      <c r="K275" s="107">
        <f>E275-G275-H275-I275-J275+F275</f>
        <v>845.51</v>
      </c>
      <c r="L275" s="38"/>
      <c r="M275" s="38"/>
      <c r="N275" s="38" t="s">
        <v>505</v>
      </c>
      <c r="O275" s="54"/>
      <c r="P275" s="38"/>
      <c r="Q275" s="38"/>
      <c r="R275" s="38"/>
      <c r="S275" s="38"/>
      <c r="T275" s="38"/>
      <c r="U275" s="38"/>
      <c r="V275" s="38"/>
      <c r="W275" s="1" t="s">
        <v>732</v>
      </c>
    </row>
    <row r="276" spans="12:12">
      <c r="L276" s="38"/>
    </row>
    <row r="277" spans="12:12">
      <c r="L277" s="38"/>
    </row>
    <row r="278" spans="12:12">
      <c r="L278" s="38"/>
    </row>
    <row r="279" spans="12:12">
      <c r="L279" s="38"/>
    </row>
    <row r="280" spans="12:12">
      <c r="L280" s="38"/>
    </row>
    <row r="281" spans="12:12">
      <c r="L281" s="38"/>
    </row>
    <row r="282" spans="12:12">
      <c r="L282" s="38"/>
    </row>
    <row r="283" spans="12:12">
      <c r="L283" s="38"/>
    </row>
    <row r="284" spans="12:12">
      <c r="L284" s="38"/>
    </row>
    <row r="285" spans="12:12">
      <c r="L285" s="38"/>
    </row>
    <row r="286" spans="12:12">
      <c r="L286" s="38"/>
    </row>
    <row r="287" spans="12:12">
      <c r="L287" s="38"/>
    </row>
    <row r="288" spans="12:12">
      <c r="L288" s="38"/>
    </row>
    <row r="289" spans="12:12">
      <c r="L289" s="38"/>
    </row>
  </sheetData>
  <pageMargins left="0.7" right="0.7" top="0.75" bottom="0.75" header="0.3" footer="0.3"/>
  <pageSetup paperSize="1" orientation="portrait"/>
  <headerFooter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78"/>
  <sheetViews>
    <sheetView topLeftCell="A43" workbookViewId="0">
      <selection activeCell="A49" sqref="A49:J62"/>
    </sheetView>
  </sheetViews>
  <sheetFormatPr defaultColWidth="9.14285714285714" defaultRowHeight="15"/>
  <cols>
    <col min="1" max="1" width="15.2857142857143" customWidth="1"/>
    <col min="2" max="2" width="11.1428571428571" hidden="1" customWidth="1"/>
    <col min="3" max="3" width="19.5714285714286" customWidth="1"/>
    <col min="4" max="4" width="15" customWidth="1"/>
    <col min="5" max="5" width="12.4285714285714" customWidth="1"/>
    <col min="6" max="6" width="13.7142857142857" customWidth="1"/>
    <col min="7" max="7" width="13.4285714285714" customWidth="1"/>
    <col min="8" max="8" width="14" customWidth="1"/>
    <col min="9" max="9" width="13" customWidth="1"/>
    <col min="10" max="10" width="12.7142857142857" customWidth="1"/>
  </cols>
  <sheetData>
    <row r="1" ht="16.5" spans="1:10">
      <c r="A1" s="1" t="str">
        <f>+[3]SUMMARY!A1</f>
        <v>LAXMI CAPITAL SOLUTIONS LIMITED</v>
      </c>
      <c r="B1" s="1"/>
      <c r="C1" s="1"/>
      <c r="D1" s="1"/>
      <c r="E1" s="1"/>
      <c r="F1" s="1"/>
      <c r="G1" s="1"/>
      <c r="H1" s="1"/>
      <c r="J1" s="1"/>
    </row>
    <row r="2" ht="16.5" spans="1:10">
      <c r="A2" s="1" t="str">
        <f>+[3]SUMMARY!A2</f>
        <v>LOAN DISBURSEMENT SUMMARY</v>
      </c>
      <c r="B2" s="1"/>
      <c r="C2" s="1"/>
      <c r="D2" s="1"/>
      <c r="E2" s="1"/>
      <c r="F2" s="1"/>
      <c r="G2" s="1"/>
      <c r="H2" s="1"/>
      <c r="J2" s="1"/>
    </row>
    <row r="3" ht="16.5" spans="1:10">
      <c r="A3" s="1" t="s">
        <v>65</v>
      </c>
      <c r="B3" s="1" t="s">
        <v>63</v>
      </c>
      <c r="C3" s="1"/>
      <c r="D3" s="1"/>
      <c r="E3" s="1"/>
      <c r="F3" s="1"/>
      <c r="G3" s="1"/>
      <c r="H3" s="1"/>
      <c r="J3" s="1"/>
    </row>
    <row r="4" ht="16.5" spans="1:10">
      <c r="A4" s="1" t="s">
        <v>66</v>
      </c>
      <c r="B4" s="1" t="s">
        <v>270</v>
      </c>
      <c r="C4" s="1"/>
      <c r="D4" s="1"/>
      <c r="E4" s="1"/>
      <c r="F4" s="1"/>
      <c r="G4" s="1"/>
      <c r="H4" s="1"/>
      <c r="J4" s="1"/>
    </row>
    <row r="5" ht="16.5" spans="1:10">
      <c r="A5" s="1" t="s">
        <v>67</v>
      </c>
      <c r="B5" s="1" t="s">
        <v>733</v>
      </c>
      <c r="C5" s="1"/>
      <c r="D5" s="1"/>
      <c r="E5" s="1"/>
      <c r="F5" s="1"/>
      <c r="G5" s="1"/>
      <c r="H5" s="1"/>
      <c r="J5" s="1"/>
    </row>
    <row r="6" ht="16.5" spans="1:10">
      <c r="A6" s="1"/>
      <c r="B6" s="1"/>
      <c r="C6" s="1"/>
      <c r="D6" s="1"/>
      <c r="E6" s="1"/>
      <c r="F6" s="1"/>
      <c r="G6" s="1"/>
      <c r="H6" s="1"/>
      <c r="J6" s="1"/>
    </row>
    <row r="7" ht="16.5" spans="1:10">
      <c r="A7" s="1"/>
      <c r="B7" s="1"/>
      <c r="C7" s="1"/>
      <c r="D7" s="1"/>
      <c r="E7" s="1"/>
      <c r="F7" s="1"/>
      <c r="G7" s="1"/>
      <c r="H7" s="1"/>
      <c r="J7" s="1"/>
    </row>
    <row r="8" ht="16.5" spans="1:10">
      <c r="A8" s="1" t="s">
        <v>734</v>
      </c>
      <c r="B8" s="1"/>
      <c r="C8" s="1"/>
      <c r="D8" s="1"/>
      <c r="E8" s="1"/>
      <c r="F8" s="1"/>
      <c r="G8" s="1"/>
      <c r="H8" s="1"/>
      <c r="J8" s="1"/>
    </row>
    <row r="9" ht="33" spans="1:10">
      <c r="A9" s="1"/>
      <c r="B9" s="1"/>
      <c r="C9" s="2" t="s">
        <v>69</v>
      </c>
      <c r="D9" s="3" t="s">
        <v>274</v>
      </c>
      <c r="E9" s="4" t="s">
        <v>72</v>
      </c>
      <c r="F9" s="3" t="s">
        <v>285</v>
      </c>
      <c r="G9" s="3" t="s">
        <v>275</v>
      </c>
      <c r="H9" s="5" t="s">
        <v>272</v>
      </c>
      <c r="I9" s="34" t="s">
        <v>273</v>
      </c>
      <c r="J9" s="15" t="s">
        <v>276</v>
      </c>
    </row>
    <row r="10" ht="16.5" spans="1:10">
      <c r="A10" s="1" t="s">
        <v>16</v>
      </c>
      <c r="B10" s="1"/>
      <c r="C10" s="6">
        <f>+C36</f>
        <v>387750</v>
      </c>
      <c r="D10" s="6" t="e">
        <f t="shared" ref="D10:J10" si="0">+D36</f>
        <v>#REF!</v>
      </c>
      <c r="E10" s="7" t="e">
        <f>+D10/C10</f>
        <v>#REF!</v>
      </c>
      <c r="F10" s="6" t="e">
        <f t="shared" si="0"/>
        <v>#REF!</v>
      </c>
      <c r="G10" s="6">
        <f t="shared" si="0"/>
        <v>-6102.65</v>
      </c>
      <c r="H10" s="6">
        <f t="shared" si="0"/>
        <v>108570</v>
      </c>
      <c r="I10" s="6">
        <f t="shared" si="0"/>
        <v>16500</v>
      </c>
      <c r="J10" s="6" t="e">
        <f t="shared" si="0"/>
        <v>#REF!</v>
      </c>
    </row>
    <row r="11" ht="16.5" spans="1:10">
      <c r="A11" s="1" t="s">
        <v>45</v>
      </c>
      <c r="B11" s="1"/>
      <c r="C11" s="6">
        <f>+C46</f>
        <v>80500</v>
      </c>
      <c r="D11" s="6">
        <f t="shared" ref="D11:J11" si="1">+D46</f>
        <v>80200</v>
      </c>
      <c r="E11" s="7">
        <f>+D11/C11</f>
        <v>0.996273291925466</v>
      </c>
      <c r="F11" s="6">
        <f t="shared" si="1"/>
        <v>4621.02</v>
      </c>
      <c r="G11" s="6">
        <f t="shared" si="1"/>
        <v>-3796</v>
      </c>
      <c r="H11" s="6">
        <f t="shared" si="1"/>
        <v>22540</v>
      </c>
      <c r="I11" s="6">
        <f t="shared" si="1"/>
        <v>3400</v>
      </c>
      <c r="J11" s="6">
        <f t="shared" si="1"/>
        <v>1125.02</v>
      </c>
    </row>
    <row r="12" ht="16.5" spans="1:10">
      <c r="A12" s="1" t="s">
        <v>17</v>
      </c>
      <c r="B12" s="1"/>
      <c r="C12" s="6">
        <f>+C62</f>
        <v>239750</v>
      </c>
      <c r="D12" s="6">
        <f t="shared" ref="D12:J12" si="2">+D62</f>
        <v>233445</v>
      </c>
      <c r="E12" s="7">
        <f>+D12/C12</f>
        <v>0.973701772679875</v>
      </c>
      <c r="F12" s="6">
        <f t="shared" si="2"/>
        <v>13417.25</v>
      </c>
      <c r="G12" s="6">
        <f t="shared" si="2"/>
        <v>-5032.85</v>
      </c>
      <c r="H12" s="6">
        <f t="shared" si="2"/>
        <v>67130</v>
      </c>
      <c r="I12" s="6">
        <f t="shared" si="2"/>
        <v>9550</v>
      </c>
      <c r="J12" s="6">
        <f t="shared" si="2"/>
        <v>14689.4</v>
      </c>
    </row>
    <row r="13" ht="16.5" spans="1:10">
      <c r="A13" s="1" t="s">
        <v>15</v>
      </c>
      <c r="B13" s="1"/>
      <c r="C13" s="6">
        <f>+C78</f>
        <v>560050</v>
      </c>
      <c r="D13" s="6">
        <f t="shared" ref="D13:J13" si="3">+D78</f>
        <v>493783</v>
      </c>
      <c r="E13" s="7">
        <f>+D13/C13</f>
        <v>0.881676636014642</v>
      </c>
      <c r="F13" s="6">
        <f t="shared" si="3"/>
        <v>68171.79</v>
      </c>
      <c r="G13" s="6">
        <f t="shared" si="3"/>
        <v>-6293</v>
      </c>
      <c r="H13" s="6">
        <f t="shared" si="3"/>
        <v>156814</v>
      </c>
      <c r="I13" s="6">
        <f t="shared" si="3"/>
        <v>21300</v>
      </c>
      <c r="J13" s="6">
        <f t="shared" si="3"/>
        <v>128145.79</v>
      </c>
    </row>
    <row r="14" ht="16.5" spans="1:10">
      <c r="A14" s="1"/>
      <c r="B14" s="1"/>
      <c r="C14" s="6"/>
      <c r="D14" s="6"/>
      <c r="E14" s="6"/>
      <c r="F14" s="6"/>
      <c r="G14" s="6"/>
      <c r="H14" s="6"/>
      <c r="I14" s="31"/>
      <c r="J14" s="6"/>
    </row>
    <row r="15" ht="17.25" spans="1:10">
      <c r="A15" s="1"/>
      <c r="B15" s="1"/>
      <c r="C15" s="8">
        <f t="shared" ref="C15:J15" si="4">SUM(C4:C14)</f>
        <v>1268050</v>
      </c>
      <c r="D15" s="8" t="e">
        <f t="shared" si="4"/>
        <v>#REF!</v>
      </c>
      <c r="E15" s="9" t="e">
        <f>+D15/(C15)</f>
        <v>#REF!</v>
      </c>
      <c r="F15" s="8" t="e">
        <f t="shared" si="4"/>
        <v>#REF!</v>
      </c>
      <c r="G15" s="8">
        <f t="shared" si="4"/>
        <v>-21224.5</v>
      </c>
      <c r="H15" s="8">
        <f t="shared" si="4"/>
        <v>355054</v>
      </c>
      <c r="I15" s="8">
        <f t="shared" si="4"/>
        <v>50750</v>
      </c>
      <c r="J15" s="8" t="e">
        <f t="shared" si="4"/>
        <v>#REF!</v>
      </c>
    </row>
    <row r="16" ht="17.25" spans="1:10">
      <c r="A16" s="1"/>
      <c r="B16" s="1"/>
      <c r="C16" s="1"/>
      <c r="D16" s="1"/>
      <c r="E16" s="1"/>
      <c r="F16" s="1"/>
      <c r="G16" s="1"/>
      <c r="H16" s="1"/>
      <c r="J16" s="1"/>
    </row>
    <row r="17" ht="16.5" spans="1:10">
      <c r="A17" s="1" t="s">
        <v>56</v>
      </c>
      <c r="B17" s="1"/>
      <c r="C17" s="10" t="s">
        <v>57</v>
      </c>
      <c r="D17" s="11">
        <v>0.7</v>
      </c>
      <c r="E17" s="10">
        <f>-G15*D17</f>
        <v>14857.15</v>
      </c>
      <c r="F17" s="1"/>
      <c r="G17" s="1"/>
      <c r="H17" s="1"/>
      <c r="J17" s="1"/>
    </row>
    <row r="18" ht="16.5" spans="1:10">
      <c r="A18" s="1"/>
      <c r="B18" s="1"/>
      <c r="C18" s="12" t="s">
        <v>58</v>
      </c>
      <c r="D18" s="13">
        <v>0.3</v>
      </c>
      <c r="E18" s="10">
        <f>-G15*D18</f>
        <v>6367.35</v>
      </c>
      <c r="F18" s="1"/>
      <c r="G18" s="1"/>
      <c r="H18" s="1"/>
      <c r="J18" s="1"/>
    </row>
    <row r="19" ht="16.5" spans="1:10">
      <c r="A19" s="1"/>
      <c r="B19" s="1"/>
      <c r="C19" s="1"/>
      <c r="D19" s="1"/>
      <c r="E19" s="1"/>
      <c r="F19" s="1"/>
      <c r="G19" s="1"/>
      <c r="H19" s="1"/>
      <c r="J19" s="1"/>
    </row>
    <row r="20" ht="17.25" spans="1:10">
      <c r="A20" s="1"/>
      <c r="B20" s="1"/>
      <c r="C20" s="1"/>
      <c r="D20" s="1"/>
      <c r="E20" s="14">
        <f>SUM(E17:E18)</f>
        <v>21224.5</v>
      </c>
      <c r="F20" s="1"/>
      <c r="G20" s="1"/>
      <c r="H20" s="1"/>
      <c r="J20" s="1"/>
    </row>
    <row r="21" ht="17.25" spans="1:10">
      <c r="A21" s="1"/>
      <c r="B21" s="1"/>
      <c r="C21" s="1"/>
      <c r="D21" s="1"/>
      <c r="E21" s="1"/>
      <c r="F21" s="1"/>
      <c r="G21" s="1"/>
      <c r="H21" s="1"/>
      <c r="J21" s="1"/>
    </row>
    <row r="22" ht="16.5" spans="1:10">
      <c r="A22" s="1" t="s">
        <v>16</v>
      </c>
      <c r="B22" s="1"/>
      <c r="C22" s="1"/>
      <c r="D22" s="1"/>
      <c r="E22" s="1"/>
      <c r="F22" s="1"/>
      <c r="G22" s="1"/>
      <c r="H22" s="1"/>
      <c r="J22" s="1"/>
    </row>
    <row r="23" ht="16.5" spans="1:10">
      <c r="A23" s="1"/>
      <c r="B23" s="1"/>
      <c r="C23" s="1"/>
      <c r="D23" s="1"/>
      <c r="E23" s="1"/>
      <c r="F23" s="1"/>
      <c r="G23" s="1"/>
      <c r="H23" s="1"/>
      <c r="J23" s="1"/>
    </row>
    <row r="24" ht="33" spans="1:10">
      <c r="A24" s="4" t="str">
        <f>+CHAZANGA!B7</f>
        <v>Frequency of loans</v>
      </c>
      <c r="B24" s="15" t="s">
        <v>271</v>
      </c>
      <c r="C24" s="15" t="s">
        <v>69</v>
      </c>
      <c r="D24" s="3" t="s">
        <v>274</v>
      </c>
      <c r="E24" s="4" t="s">
        <v>72</v>
      </c>
      <c r="F24" s="3" t="s">
        <v>285</v>
      </c>
      <c r="G24" s="3" t="s">
        <v>275</v>
      </c>
      <c r="H24" s="5" t="s">
        <v>272</v>
      </c>
      <c r="I24" s="34" t="s">
        <v>273</v>
      </c>
      <c r="J24" s="15" t="s">
        <v>276</v>
      </c>
    </row>
    <row r="25" ht="16.5" spans="1:10">
      <c r="A25" s="1" t="str">
        <f>+SOWETO!B10</f>
        <v>1st Batch</v>
      </c>
      <c r="B25" s="1" t="str">
        <f>+A68</f>
        <v>1st Batch</v>
      </c>
      <c r="C25" s="16">
        <v>52500</v>
      </c>
      <c r="D25" s="17">
        <f>48510</f>
        <v>48510</v>
      </c>
      <c r="E25" s="7">
        <f t="shared" ref="E25:E36" si="5">+D25/(C25)</f>
        <v>0.924</v>
      </c>
      <c r="F25" s="17">
        <f>+[14]LUMUMBA!$I$51-135</f>
        <v>4471.84</v>
      </c>
      <c r="G25" s="17">
        <v>-135</v>
      </c>
      <c r="H25" s="6">
        <v>14700</v>
      </c>
      <c r="I25" s="31">
        <v>2400</v>
      </c>
      <c r="J25" s="17">
        <f>C25-D25+F25+G25</f>
        <v>8326.84</v>
      </c>
    </row>
    <row r="26" ht="16.5" spans="1:10">
      <c r="A26" s="1" t="str">
        <f>+SOWETO!B11</f>
        <v>2nd Batch</v>
      </c>
      <c r="B26" s="1">
        <f>+A84</f>
        <v>0</v>
      </c>
      <c r="C26" s="16">
        <v>29000</v>
      </c>
      <c r="D26" s="17">
        <f>27922</f>
        <v>27922</v>
      </c>
      <c r="E26" s="7">
        <f t="shared" si="5"/>
        <v>0.962827586206897</v>
      </c>
      <c r="F26" s="17">
        <f>3215-762</f>
        <v>2453</v>
      </c>
      <c r="G26" s="17">
        <v>-762</v>
      </c>
      <c r="H26" s="6">
        <v>8120</v>
      </c>
      <c r="I26" s="31">
        <v>900</v>
      </c>
      <c r="J26" s="17">
        <f t="shared" ref="J26:J35" si="6">C26-D26+F26+G26</f>
        <v>2769</v>
      </c>
    </row>
    <row r="27" ht="16.5" spans="1:10">
      <c r="A27" s="1" t="str">
        <f>+SOWETO!B12</f>
        <v>3rd Batch</v>
      </c>
      <c r="B27" s="1">
        <f>+A102</f>
        <v>0</v>
      </c>
      <c r="C27" s="16">
        <v>22500</v>
      </c>
      <c r="D27" s="17" t="e">
        <f>+'HEAD OFFICE'!#REF!</f>
        <v>#REF!</v>
      </c>
      <c r="E27" s="7" t="e">
        <f t="shared" si="5"/>
        <v>#REF!</v>
      </c>
      <c r="F27" s="17" t="e">
        <f>+'HEAD OFFICE'!#REF!</f>
        <v>#REF!</v>
      </c>
      <c r="G27" s="17">
        <v>0</v>
      </c>
      <c r="H27" s="6">
        <v>6300</v>
      </c>
      <c r="I27" s="31">
        <v>600</v>
      </c>
      <c r="J27" s="17" t="e">
        <f t="shared" si="6"/>
        <v>#REF!</v>
      </c>
    </row>
    <row r="28" ht="16.5" spans="1:10">
      <c r="A28" s="1" t="str">
        <f>+SOWETO!B13</f>
        <v>4th Batch</v>
      </c>
      <c r="B28" s="1">
        <f>+A134</f>
        <v>0</v>
      </c>
      <c r="C28" s="16">
        <v>88500</v>
      </c>
      <c r="D28" s="17">
        <f>78564.15</f>
        <v>78564.15</v>
      </c>
      <c r="E28" s="7">
        <f t="shared" si="5"/>
        <v>0.887730508474576</v>
      </c>
      <c r="F28" s="17">
        <f>17866.7-3467</f>
        <v>14399.7</v>
      </c>
      <c r="G28" s="17">
        <v>-3467.15</v>
      </c>
      <c r="H28" s="6">
        <v>24780</v>
      </c>
      <c r="I28" s="31">
        <v>2700</v>
      </c>
      <c r="J28" s="17">
        <f t="shared" si="6"/>
        <v>20868.4</v>
      </c>
    </row>
    <row r="29" ht="16.5" spans="1:10">
      <c r="A29" s="18" t="str">
        <f>+SOWETO!B14</f>
        <v>5th Batch</v>
      </c>
      <c r="B29" s="18">
        <f>+A151</f>
        <v>0</v>
      </c>
      <c r="C29" s="19">
        <v>26000</v>
      </c>
      <c r="D29" s="19">
        <v>26000</v>
      </c>
      <c r="E29" s="7">
        <f t="shared" si="5"/>
        <v>1</v>
      </c>
      <c r="F29" s="19">
        <v>50</v>
      </c>
      <c r="G29" s="19">
        <v>-50</v>
      </c>
      <c r="H29" s="6">
        <v>7280</v>
      </c>
      <c r="I29" s="31">
        <v>1500</v>
      </c>
      <c r="J29" s="17">
        <f t="shared" si="6"/>
        <v>0</v>
      </c>
    </row>
    <row r="30" ht="16.5" spans="1:10">
      <c r="A30" s="18" t="str">
        <f>+SOWETO!B15</f>
        <v>6th Batch</v>
      </c>
      <c r="B30" s="18">
        <f>+A162</f>
        <v>0</v>
      </c>
      <c r="C30" s="20">
        <v>18000</v>
      </c>
      <c r="D30" s="20">
        <v>18000</v>
      </c>
      <c r="E30" s="7">
        <f t="shared" si="5"/>
        <v>1</v>
      </c>
      <c r="F30" s="19">
        <v>0</v>
      </c>
      <c r="G30" s="19">
        <v>0</v>
      </c>
      <c r="H30" s="6">
        <v>5040</v>
      </c>
      <c r="I30" s="31">
        <v>1050</v>
      </c>
      <c r="J30" s="17">
        <f t="shared" si="6"/>
        <v>0</v>
      </c>
    </row>
    <row r="31" ht="16.5" spans="1:10">
      <c r="A31" s="1" t="str">
        <f>+SOWETO!B16</f>
        <v>7th Batch</v>
      </c>
      <c r="B31" s="1">
        <f>+A179</f>
        <v>0</v>
      </c>
      <c r="C31" s="6">
        <v>38750</v>
      </c>
      <c r="D31" s="6">
        <f>39505-755</f>
        <v>38750</v>
      </c>
      <c r="E31" s="7">
        <f t="shared" si="5"/>
        <v>1</v>
      </c>
      <c r="F31" s="19">
        <v>755</v>
      </c>
      <c r="G31" s="19">
        <v>-755</v>
      </c>
      <c r="H31" s="6">
        <v>10850</v>
      </c>
      <c r="I31" s="31">
        <v>1950</v>
      </c>
      <c r="J31" s="17">
        <f t="shared" si="6"/>
        <v>0</v>
      </c>
    </row>
    <row r="32" ht="16.5" spans="1:10">
      <c r="A32" s="12" t="str">
        <f>+SOWETO!B17</f>
        <v>8th Batch</v>
      </c>
      <c r="B32" s="12">
        <f>+A193</f>
        <v>0</v>
      </c>
      <c r="C32" s="10">
        <v>22500</v>
      </c>
      <c r="D32" s="10">
        <v>22500</v>
      </c>
      <c r="E32" s="7">
        <f t="shared" si="5"/>
        <v>1</v>
      </c>
      <c r="F32" s="19">
        <v>0</v>
      </c>
      <c r="G32" s="19">
        <v>0</v>
      </c>
      <c r="H32" s="6">
        <v>6300</v>
      </c>
      <c r="I32" s="31">
        <v>750</v>
      </c>
      <c r="J32" s="17">
        <f t="shared" si="6"/>
        <v>0</v>
      </c>
    </row>
    <row r="33" ht="16.5" spans="1:10">
      <c r="A33" s="1" t="str">
        <f>+SOWETO!B18</f>
        <v>9th Batch</v>
      </c>
      <c r="B33" s="1">
        <f>+A208</f>
        <v>0</v>
      </c>
      <c r="C33" s="6">
        <v>30500</v>
      </c>
      <c r="D33" s="6">
        <f>30887-387</f>
        <v>30500</v>
      </c>
      <c r="E33" s="7">
        <f t="shared" si="5"/>
        <v>1</v>
      </c>
      <c r="F33" s="19">
        <v>387</v>
      </c>
      <c r="G33" s="19">
        <v>-387</v>
      </c>
      <c r="H33" s="6">
        <v>8540</v>
      </c>
      <c r="I33" s="31">
        <v>1450</v>
      </c>
      <c r="J33" s="17">
        <f t="shared" si="6"/>
        <v>0</v>
      </c>
    </row>
    <row r="34" ht="16.5" spans="1:10">
      <c r="A34" s="1" t="s">
        <v>735</v>
      </c>
      <c r="B34" s="1">
        <v>3</v>
      </c>
      <c r="C34" s="6">
        <v>13000</v>
      </c>
      <c r="D34" s="6">
        <v>12000</v>
      </c>
      <c r="E34" s="7">
        <f t="shared" si="5"/>
        <v>0.923076923076923</v>
      </c>
      <c r="F34" s="19">
        <v>740</v>
      </c>
      <c r="G34" s="19">
        <v>-400</v>
      </c>
      <c r="H34" s="6">
        <v>3640</v>
      </c>
      <c r="I34" s="31">
        <v>600</v>
      </c>
      <c r="J34" s="17">
        <f t="shared" si="6"/>
        <v>1340</v>
      </c>
    </row>
    <row r="35" ht="16.5" spans="1:10">
      <c r="A35" s="1" t="s">
        <v>736</v>
      </c>
      <c r="B35" s="1">
        <f>+A236</f>
        <v>0</v>
      </c>
      <c r="C35" s="6">
        <v>46500</v>
      </c>
      <c r="D35" s="6">
        <v>43296.5</v>
      </c>
      <c r="E35" s="7">
        <f t="shared" si="5"/>
        <v>0.93110752688172</v>
      </c>
      <c r="F35" s="19">
        <v>485</v>
      </c>
      <c r="G35" s="19">
        <f>-25.5-100-21</f>
        <v>-146.5</v>
      </c>
      <c r="H35" s="6">
        <v>13020</v>
      </c>
      <c r="I35" s="31">
        <v>2600</v>
      </c>
      <c r="J35" s="17">
        <f t="shared" si="6"/>
        <v>3542</v>
      </c>
    </row>
    <row r="36" ht="17.25" spans="1:10">
      <c r="A36" s="1"/>
      <c r="B36" s="21">
        <f>SUM(B25:B35)</f>
        <v>3</v>
      </c>
      <c r="C36" s="21">
        <f>SUM(C25:C35)</f>
        <v>387750</v>
      </c>
      <c r="D36" s="21" t="e">
        <f>SUM(D25:D35)</f>
        <v>#REF!</v>
      </c>
      <c r="E36" s="7" t="e">
        <f t="shared" si="5"/>
        <v>#REF!</v>
      </c>
      <c r="F36" s="21" t="e">
        <f>SUM(F25:F35)</f>
        <v>#REF!</v>
      </c>
      <c r="G36" s="21">
        <f>SUM(G25:G35)</f>
        <v>-6102.65</v>
      </c>
      <c r="H36" s="21">
        <f>SUM(H25:H35)</f>
        <v>108570</v>
      </c>
      <c r="I36" s="21">
        <f>SUM(I25:I35)</f>
        <v>16500</v>
      </c>
      <c r="J36" s="21" t="e">
        <f>SUM(J25:J35)</f>
        <v>#REF!</v>
      </c>
    </row>
    <row r="38" spans="1:1">
      <c r="A38" t="s">
        <v>45</v>
      </c>
    </row>
    <row r="40" ht="33" spans="1:10">
      <c r="A40" s="22" t="str">
        <f>+CAIRO!A23</f>
        <v>SN</v>
      </c>
      <c r="B40" s="22" t="str">
        <f>+CAIRO!B23</f>
        <v>FIRST NAME</v>
      </c>
      <c r="C40" s="15" t="s">
        <v>69</v>
      </c>
      <c r="D40" s="3" t="s">
        <v>274</v>
      </c>
      <c r="E40" s="4" t="s">
        <v>72</v>
      </c>
      <c r="F40" s="3" t="s">
        <v>285</v>
      </c>
      <c r="G40" s="3" t="s">
        <v>275</v>
      </c>
      <c r="H40" s="5" t="s">
        <v>272</v>
      </c>
      <c r="I40" s="34" t="s">
        <v>273</v>
      </c>
      <c r="J40" s="15" t="s">
        <v>276</v>
      </c>
    </row>
    <row r="41" ht="18.75" spans="1:10">
      <c r="A41" s="23"/>
      <c r="B41" s="23"/>
      <c r="C41" s="24"/>
      <c r="D41" s="25"/>
      <c r="E41" s="26"/>
      <c r="F41" s="27"/>
      <c r="G41" s="27"/>
      <c r="J41" s="35"/>
    </row>
    <row r="42" ht="16.5" spans="2:10">
      <c r="B42" s="28" t="e">
        <f>+#REF!</f>
        <v>#REF!</v>
      </c>
      <c r="C42" s="29">
        <v>29000</v>
      </c>
      <c r="D42" s="30">
        <f>+CHAZANGA!E8-60</f>
        <v>29000</v>
      </c>
      <c r="E42" s="7">
        <f t="shared" ref="E42:E46" si="7">+D42/(C42)</f>
        <v>1</v>
      </c>
      <c r="F42" s="30">
        <v>60</v>
      </c>
      <c r="G42" s="30">
        <v>-60</v>
      </c>
      <c r="H42" s="31">
        <f>+C42*0.28</f>
        <v>8120</v>
      </c>
      <c r="I42" s="31">
        <f>100*CHAZANGA!C8</f>
        <v>1400</v>
      </c>
      <c r="J42" s="17">
        <f>C42-D42+F42+G42</f>
        <v>0</v>
      </c>
    </row>
    <row r="43" ht="16.5" spans="2:10">
      <c r="B43" s="28" t="e">
        <f>+#REF!</f>
        <v>#REF!</v>
      </c>
      <c r="C43" s="29">
        <v>7500</v>
      </c>
      <c r="D43" s="30">
        <f>+CHAZANGA!E9</f>
        <v>7200</v>
      </c>
      <c r="E43" s="7">
        <f t="shared" si="7"/>
        <v>0.96</v>
      </c>
      <c r="F43" s="30">
        <v>0</v>
      </c>
      <c r="G43" s="30">
        <v>0</v>
      </c>
      <c r="H43" s="31">
        <f>+C43*0.28</f>
        <v>2100</v>
      </c>
      <c r="I43" s="31">
        <f>100*CHAZANGA!C9</f>
        <v>700</v>
      </c>
      <c r="J43" s="17">
        <f>C43-D43+F43+G43</f>
        <v>300</v>
      </c>
    </row>
    <row r="44" ht="16.5" spans="2:10">
      <c r="B44" s="28" t="e">
        <f>+#REF!</f>
        <v>#REF!</v>
      </c>
      <c r="C44" s="29">
        <v>15500</v>
      </c>
      <c r="D44" s="30">
        <f>+CHAZANGA!E10-315</f>
        <v>15500</v>
      </c>
      <c r="E44" s="7">
        <f t="shared" si="7"/>
        <v>1</v>
      </c>
      <c r="F44" s="30">
        <f>366.17</f>
        <v>366.17</v>
      </c>
      <c r="G44" s="30">
        <v>-315</v>
      </c>
      <c r="H44" s="31">
        <f>+C44*0.28</f>
        <v>4340</v>
      </c>
      <c r="I44" s="31">
        <f>100*CHAZANGA!C10</f>
        <v>600</v>
      </c>
      <c r="J44" s="17">
        <f>C44-D44+F44+G44</f>
        <v>51.17</v>
      </c>
    </row>
    <row r="45" ht="16.5" spans="2:10">
      <c r="B45" s="28" t="e">
        <f>+#REF!</f>
        <v>#REF!</v>
      </c>
      <c r="C45" s="29">
        <f>+CHAZANGA!D11</f>
        <v>28500</v>
      </c>
      <c r="D45" s="30">
        <f>31921-3421</f>
        <v>28500</v>
      </c>
      <c r="E45" s="7">
        <f t="shared" si="7"/>
        <v>1</v>
      </c>
      <c r="F45" s="30">
        <v>4194.85</v>
      </c>
      <c r="G45" s="30">
        <v>-3421</v>
      </c>
      <c r="H45" s="31">
        <f>+C45*0.28</f>
        <v>7980</v>
      </c>
      <c r="I45" s="31">
        <f>+I43</f>
        <v>700</v>
      </c>
      <c r="J45" s="17">
        <f>C45-D45+F45+G45</f>
        <v>773.85</v>
      </c>
    </row>
    <row r="46" ht="17.25" spans="1:10">
      <c r="A46" s="28"/>
      <c r="B46" s="32" t="e">
        <f>SUM(B42:B45)</f>
        <v>#REF!</v>
      </c>
      <c r="C46" s="21">
        <f>SUM(C42:C45)</f>
        <v>80500</v>
      </c>
      <c r="D46" s="32">
        <f>SUM(D42:D45)</f>
        <v>80200</v>
      </c>
      <c r="E46" s="33">
        <f t="shared" si="7"/>
        <v>0.996273291925466</v>
      </c>
      <c r="F46" s="32">
        <f>SUM(F42:F45)</f>
        <v>4621.02</v>
      </c>
      <c r="G46" s="32">
        <f>SUM(G42:G45)</f>
        <v>-3796</v>
      </c>
      <c r="H46" s="32">
        <f>SUM(H42:H45)</f>
        <v>22540</v>
      </c>
      <c r="I46" s="32">
        <f>SUM(I42:I45)</f>
        <v>3400</v>
      </c>
      <c r="J46" s="32">
        <f>SUM(J42:J45)</f>
        <v>1125.02</v>
      </c>
    </row>
    <row r="48" spans="1:1">
      <c r="A48" t="s">
        <v>17</v>
      </c>
    </row>
    <row r="49" ht="33" spans="1:10">
      <c r="A49" s="22"/>
      <c r="B49" s="22">
        <f>+CAIRO!B31</f>
        <v>0</v>
      </c>
      <c r="C49" s="15" t="s">
        <v>69</v>
      </c>
      <c r="D49" s="3" t="s">
        <v>274</v>
      </c>
      <c r="E49" s="4" t="s">
        <v>72</v>
      </c>
      <c r="F49" s="3" t="s">
        <v>285</v>
      </c>
      <c r="G49" s="3" t="s">
        <v>275</v>
      </c>
      <c r="H49" s="5" t="s">
        <v>272</v>
      </c>
      <c r="I49" s="34" t="s">
        <v>273</v>
      </c>
      <c r="J49" s="15" t="s">
        <v>276</v>
      </c>
    </row>
    <row r="51" ht="16.5" spans="1:10">
      <c r="A51" t="s">
        <v>359</v>
      </c>
      <c r="B51">
        <v>7</v>
      </c>
      <c r="C51" s="31">
        <v>20650</v>
      </c>
      <c r="D51" s="31">
        <v>20650</v>
      </c>
      <c r="E51" s="7">
        <f t="shared" ref="E51:E54" si="8">+D51/(C51)</f>
        <v>1</v>
      </c>
      <c r="F51" s="31">
        <v>1570.5</v>
      </c>
      <c r="G51" s="31">
        <f>+CAIRO!F8</f>
        <v>-1570.5</v>
      </c>
      <c r="H51" s="31">
        <f t="shared" ref="H51:H54" si="9">+C51*0.28</f>
        <v>5782</v>
      </c>
      <c r="I51" s="36">
        <f>100*CAIRO!C8</f>
        <v>700</v>
      </c>
      <c r="J51" s="17">
        <f t="shared" ref="J51:J54" si="10">C51-D51+F51+G51</f>
        <v>0</v>
      </c>
    </row>
    <row r="52" ht="16.5" spans="1:10">
      <c r="A52" t="s">
        <v>360</v>
      </c>
      <c r="B52">
        <v>7</v>
      </c>
      <c r="C52" s="31">
        <v>19000</v>
      </c>
      <c r="D52" s="31">
        <v>19000</v>
      </c>
      <c r="E52" s="7">
        <f t="shared" si="8"/>
        <v>1</v>
      </c>
      <c r="F52" s="31">
        <v>0</v>
      </c>
      <c r="G52" s="31">
        <v>0</v>
      </c>
      <c r="H52" s="31">
        <f t="shared" si="9"/>
        <v>5320</v>
      </c>
      <c r="I52" s="36">
        <f>7*100</f>
        <v>700</v>
      </c>
      <c r="J52" s="17">
        <f t="shared" si="10"/>
        <v>0</v>
      </c>
    </row>
    <row r="53" ht="16.5" spans="1:10">
      <c r="A53" t="s">
        <v>361</v>
      </c>
      <c r="B53">
        <v>9</v>
      </c>
      <c r="C53" s="31">
        <v>30400</v>
      </c>
      <c r="D53" s="31">
        <v>30400</v>
      </c>
      <c r="E53" s="7">
        <f t="shared" si="8"/>
        <v>1</v>
      </c>
      <c r="F53" s="31">
        <v>0</v>
      </c>
      <c r="G53" s="31">
        <v>0</v>
      </c>
      <c r="H53" s="31">
        <f t="shared" si="9"/>
        <v>8512</v>
      </c>
      <c r="I53" s="36">
        <f>9*100</f>
        <v>900</v>
      </c>
      <c r="J53" s="17">
        <f t="shared" si="10"/>
        <v>0</v>
      </c>
    </row>
    <row r="54" ht="16.5" spans="1:10">
      <c r="A54" t="s">
        <v>362</v>
      </c>
      <c r="B54">
        <v>12</v>
      </c>
      <c r="C54" s="31">
        <v>43700</v>
      </c>
      <c r="D54" s="31">
        <v>43700</v>
      </c>
      <c r="E54" s="7">
        <f t="shared" si="8"/>
        <v>1</v>
      </c>
      <c r="F54" s="31">
        <f>+CAIRO!H76</f>
        <v>6772.4</v>
      </c>
      <c r="G54" s="31">
        <f>+CAIRO!F11</f>
        <v>-3155</v>
      </c>
      <c r="H54" s="31">
        <f t="shared" si="9"/>
        <v>12236</v>
      </c>
      <c r="I54" s="36">
        <f>100*12</f>
        <v>1200</v>
      </c>
      <c r="J54" s="17">
        <f t="shared" si="10"/>
        <v>3617.4</v>
      </c>
    </row>
    <row r="55" ht="16.5" spans="1:10">
      <c r="A55" t="s">
        <v>363</v>
      </c>
      <c r="B55">
        <v>7</v>
      </c>
      <c r="C55" s="31">
        <v>25500</v>
      </c>
      <c r="D55" s="31">
        <v>25500</v>
      </c>
      <c r="E55" s="7">
        <f t="shared" ref="E55:E60" si="11">+D55/(C55)</f>
        <v>1</v>
      </c>
      <c r="F55" s="31">
        <f>+CAIRO!H87</f>
        <v>2432</v>
      </c>
      <c r="G55" s="31">
        <v>-109</v>
      </c>
      <c r="H55" s="31">
        <f t="shared" ref="H55:H60" si="12">+C55*0.28</f>
        <v>7140</v>
      </c>
      <c r="I55" s="37">
        <f>150*7</f>
        <v>1050</v>
      </c>
      <c r="J55" s="17">
        <f t="shared" ref="J55:J60" si="13">C55-D55+F55+G55</f>
        <v>2323</v>
      </c>
    </row>
    <row r="56" ht="16.5" spans="1:10">
      <c r="A56" t="s">
        <v>364</v>
      </c>
      <c r="B56">
        <v>8</v>
      </c>
      <c r="C56" s="31">
        <v>19500</v>
      </c>
      <c r="D56" s="31">
        <v>19500</v>
      </c>
      <c r="E56" s="7">
        <f t="shared" si="11"/>
        <v>1</v>
      </c>
      <c r="F56" s="31">
        <v>0</v>
      </c>
      <c r="G56" s="31">
        <v>0</v>
      </c>
      <c r="H56" s="31">
        <f t="shared" si="12"/>
        <v>5460</v>
      </c>
      <c r="I56" s="37">
        <f>8*150</f>
        <v>1200</v>
      </c>
      <c r="J56" s="17">
        <f t="shared" si="13"/>
        <v>0</v>
      </c>
    </row>
    <row r="57" ht="16.5" spans="1:10">
      <c r="A57" t="s">
        <v>365</v>
      </c>
      <c r="B57">
        <v>8</v>
      </c>
      <c r="C57" s="31">
        <v>23000</v>
      </c>
      <c r="D57" s="31">
        <v>23000</v>
      </c>
      <c r="E57" s="7">
        <f t="shared" si="11"/>
        <v>1</v>
      </c>
      <c r="F57" s="31">
        <v>182</v>
      </c>
      <c r="G57" s="31"/>
      <c r="H57" s="31">
        <f t="shared" si="12"/>
        <v>6440</v>
      </c>
      <c r="I57" s="37">
        <f>8*200</f>
        <v>1600</v>
      </c>
      <c r="J57" s="17">
        <f t="shared" si="13"/>
        <v>182</v>
      </c>
    </row>
    <row r="58" ht="16.5" spans="1:10">
      <c r="A58" t="s">
        <v>366</v>
      </c>
      <c r="B58">
        <v>2</v>
      </c>
      <c r="C58" s="31">
        <v>13000</v>
      </c>
      <c r="D58" s="31">
        <v>13000</v>
      </c>
      <c r="E58" s="7">
        <f t="shared" si="11"/>
        <v>1</v>
      </c>
      <c r="F58" s="31"/>
      <c r="G58" s="31"/>
      <c r="H58" s="31">
        <f t="shared" si="12"/>
        <v>3640</v>
      </c>
      <c r="I58" s="37">
        <v>400</v>
      </c>
      <c r="J58" s="17">
        <f t="shared" si="13"/>
        <v>0</v>
      </c>
    </row>
    <row r="59" ht="16.5" spans="1:10">
      <c r="A59" t="s">
        <v>367</v>
      </c>
      <c r="B59">
        <v>6</v>
      </c>
      <c r="C59" s="31">
        <v>22000</v>
      </c>
      <c r="D59" s="31">
        <f>19893-113-85</f>
        <v>19695</v>
      </c>
      <c r="E59" s="7">
        <f t="shared" si="11"/>
        <v>0.895227272727273</v>
      </c>
      <c r="F59" s="31">
        <f>+CAIRO!H140</f>
        <v>1620.35</v>
      </c>
      <c r="G59" s="31">
        <f>-114-84.35</f>
        <v>-198.35</v>
      </c>
      <c r="H59" s="31">
        <f t="shared" si="12"/>
        <v>6160</v>
      </c>
      <c r="I59" s="37">
        <f>6*200</f>
        <v>1200</v>
      </c>
      <c r="J59" s="17">
        <f t="shared" si="13"/>
        <v>3727</v>
      </c>
    </row>
    <row r="60" ht="16.5" spans="1:10">
      <c r="A60" t="s">
        <v>735</v>
      </c>
      <c r="B60">
        <v>3</v>
      </c>
      <c r="C60" s="31">
        <v>23000</v>
      </c>
      <c r="D60" s="31">
        <f>+CAIRO!L149</f>
        <v>19000</v>
      </c>
      <c r="E60" s="7">
        <f t="shared" si="11"/>
        <v>0.826086956521739</v>
      </c>
      <c r="F60" s="31">
        <f>+CAIRO!H149</f>
        <v>840</v>
      </c>
      <c r="G60" s="31"/>
      <c r="H60" s="31">
        <f t="shared" si="12"/>
        <v>6440</v>
      </c>
      <c r="I60" s="37">
        <v>600</v>
      </c>
      <c r="J60" s="17">
        <f t="shared" si="13"/>
        <v>4840</v>
      </c>
    </row>
    <row r="61" spans="6:7">
      <c r="F61" s="31"/>
      <c r="G61" s="31"/>
    </row>
    <row r="62" ht="17.25" spans="3:10">
      <c r="C62" s="21">
        <f>SUM(C51:C61)</f>
        <v>239750</v>
      </c>
      <c r="D62" s="21">
        <f>SUM(D51:D61)</f>
        <v>233445</v>
      </c>
      <c r="E62" s="7">
        <f>+D62/(C62)</f>
        <v>0.973701772679875</v>
      </c>
      <c r="F62" s="21">
        <f>SUM(F51:F61)</f>
        <v>13417.25</v>
      </c>
      <c r="G62" s="21">
        <f>SUM(G51:G61)</f>
        <v>-5032.85</v>
      </c>
      <c r="H62" s="21">
        <f>SUM(H51:H61)</f>
        <v>67130</v>
      </c>
      <c r="I62" s="21">
        <f>SUM(I51:I61)</f>
        <v>9550</v>
      </c>
      <c r="J62" s="21">
        <f>SUM(J51:J61)</f>
        <v>14689.4</v>
      </c>
    </row>
    <row r="65" spans="1:1">
      <c r="A65" t="s">
        <v>15</v>
      </c>
    </row>
    <row r="66" ht="33" spans="1:10">
      <c r="A66" s="22"/>
      <c r="B66" s="22">
        <f>+CAIRO!B48</f>
        <v>0</v>
      </c>
      <c r="C66" s="15" t="s">
        <v>69</v>
      </c>
      <c r="D66" s="3" t="s">
        <v>274</v>
      </c>
      <c r="E66" s="4" t="s">
        <v>72</v>
      </c>
      <c r="F66" s="3" t="s">
        <v>285</v>
      </c>
      <c r="G66" s="3" t="s">
        <v>275</v>
      </c>
      <c r="H66" s="5" t="s">
        <v>272</v>
      </c>
      <c r="I66" s="34" t="s">
        <v>273</v>
      </c>
      <c r="J66" s="15" t="s">
        <v>276</v>
      </c>
    </row>
    <row r="68" ht="16.5" spans="1:10">
      <c r="A68" t="s">
        <v>359</v>
      </c>
      <c r="B68">
        <v>7</v>
      </c>
      <c r="C68" s="31">
        <f>+SOWETO!D10</f>
        <v>78300</v>
      </c>
      <c r="D68" s="31">
        <f>+SOWETO!G60-141</f>
        <v>71693</v>
      </c>
      <c r="E68" s="7">
        <f t="shared" ref="E68:E76" si="14">+D68/(C68)</f>
        <v>0.915619412515964</v>
      </c>
      <c r="F68" s="31">
        <f>+SOWETO!F60</f>
        <v>8712.69</v>
      </c>
      <c r="G68" s="31">
        <v>-141</v>
      </c>
      <c r="H68" s="31">
        <f t="shared" ref="H68:H76" si="15">+C68*0.28</f>
        <v>21924</v>
      </c>
      <c r="I68" s="36">
        <f>100*SOWETO!C10</f>
        <v>3400</v>
      </c>
      <c r="J68" s="17">
        <f t="shared" ref="J68:J76" si="16">C68-D68+F68+G68</f>
        <v>15178.69</v>
      </c>
    </row>
    <row r="69" ht="16.5" spans="1:10">
      <c r="A69" t="s">
        <v>360</v>
      </c>
      <c r="B69">
        <v>7</v>
      </c>
      <c r="C69" s="31">
        <f>+SOWETO!D11</f>
        <v>50250</v>
      </c>
      <c r="D69" s="31">
        <f>+SOWETO!G89-250</f>
        <v>45640</v>
      </c>
      <c r="E69" s="7">
        <f t="shared" si="14"/>
        <v>0.908258706467662</v>
      </c>
      <c r="F69" s="31">
        <f>+SOWETO!F89</f>
        <v>7461.13</v>
      </c>
      <c r="G69" s="31">
        <v>-250</v>
      </c>
      <c r="H69" s="31">
        <f t="shared" si="15"/>
        <v>14070</v>
      </c>
      <c r="I69" s="36">
        <f>100*SOWETO!C11</f>
        <v>2200</v>
      </c>
      <c r="J69" s="17">
        <f t="shared" si="16"/>
        <v>11821.13</v>
      </c>
    </row>
    <row r="70" ht="16.5" spans="1:10">
      <c r="A70" t="s">
        <v>361</v>
      </c>
      <c r="B70">
        <v>9</v>
      </c>
      <c r="C70" s="31">
        <f>+SOWETO!D12</f>
        <v>48500</v>
      </c>
      <c r="D70" s="31">
        <f>53452-7710+778</f>
        <v>46520</v>
      </c>
      <c r="E70" s="7">
        <f t="shared" si="14"/>
        <v>0.959175257731959</v>
      </c>
      <c r="F70" s="31">
        <f>+SOWETO!F120</f>
        <v>5729.69</v>
      </c>
      <c r="G70" s="31">
        <v>-778</v>
      </c>
      <c r="H70" s="31">
        <f t="shared" si="15"/>
        <v>13580</v>
      </c>
      <c r="I70" s="36">
        <f>100*SOWETO!C12</f>
        <v>2100</v>
      </c>
      <c r="J70" s="17">
        <f t="shared" si="16"/>
        <v>6931.69</v>
      </c>
    </row>
    <row r="71" ht="16.5" spans="1:10">
      <c r="A71" t="s">
        <v>362</v>
      </c>
      <c r="B71">
        <v>12</v>
      </c>
      <c r="C71" s="31">
        <f>+SOWETO!D13</f>
        <v>155000</v>
      </c>
      <c r="D71" s="31">
        <f>132303-2318</f>
        <v>129985</v>
      </c>
      <c r="E71" s="7">
        <f t="shared" si="14"/>
        <v>0.838612903225807</v>
      </c>
      <c r="F71" s="31">
        <f>34570.6</f>
        <v>34570.6</v>
      </c>
      <c r="G71" s="31">
        <v>-2318</v>
      </c>
      <c r="H71" s="31">
        <f t="shared" si="15"/>
        <v>43400</v>
      </c>
      <c r="I71" s="36">
        <f>100*SOWETO!C13</f>
        <v>5400</v>
      </c>
      <c r="J71" s="17">
        <f t="shared" si="16"/>
        <v>57267.6</v>
      </c>
    </row>
    <row r="72" ht="16.5" spans="1:10">
      <c r="A72" t="s">
        <v>363</v>
      </c>
      <c r="B72">
        <v>7</v>
      </c>
      <c r="C72" s="31">
        <f>+SOWETO!D14</f>
        <v>82000</v>
      </c>
      <c r="D72" s="31">
        <f>+SOWETO!E14+500</f>
        <v>65600</v>
      </c>
      <c r="E72" s="7">
        <f t="shared" si="14"/>
        <v>0.8</v>
      </c>
      <c r="F72" s="31">
        <f>+SOWETO!F207</f>
        <v>4908.91</v>
      </c>
      <c r="G72" s="31">
        <v>0</v>
      </c>
      <c r="H72" s="31">
        <f t="shared" si="15"/>
        <v>22960</v>
      </c>
      <c r="I72" s="37">
        <f>19*150</f>
        <v>2850</v>
      </c>
      <c r="J72" s="17">
        <f t="shared" si="16"/>
        <v>21308.91</v>
      </c>
    </row>
    <row r="73" ht="16.5" spans="1:10">
      <c r="A73" t="s">
        <v>364</v>
      </c>
      <c r="B73">
        <v>8</v>
      </c>
      <c r="C73" s="31">
        <f>+SOWETO!D15</f>
        <v>34000</v>
      </c>
      <c r="D73" s="31">
        <f>34456-731</f>
        <v>33725</v>
      </c>
      <c r="E73" s="7">
        <f t="shared" si="14"/>
        <v>0.991911764705882</v>
      </c>
      <c r="F73" s="31">
        <f>+SOWETO!F223</f>
        <v>984.47</v>
      </c>
      <c r="G73" s="31">
        <f>-166-170-395</f>
        <v>-731</v>
      </c>
      <c r="H73" s="31">
        <f t="shared" si="15"/>
        <v>9520</v>
      </c>
      <c r="I73" s="37">
        <f>150*SOWETO!A220</f>
        <v>1350</v>
      </c>
      <c r="J73" s="17">
        <f t="shared" si="16"/>
        <v>528.47</v>
      </c>
    </row>
    <row r="74" ht="16.5" spans="1:10">
      <c r="A74" t="s">
        <v>365</v>
      </c>
      <c r="B74">
        <v>8</v>
      </c>
      <c r="C74" s="31">
        <f>+SOWETO!D16</f>
        <v>20000</v>
      </c>
      <c r="D74" s="31">
        <v>20000</v>
      </c>
      <c r="E74" s="7">
        <f t="shared" si="14"/>
        <v>1</v>
      </c>
      <c r="F74" s="31">
        <v>378</v>
      </c>
      <c r="G74" s="31">
        <v>-378</v>
      </c>
      <c r="H74" s="31">
        <f t="shared" si="15"/>
        <v>5600</v>
      </c>
      <c r="I74" s="37">
        <f>200*SOWETO!A233</f>
        <v>800</v>
      </c>
      <c r="J74" s="17">
        <f t="shared" si="16"/>
        <v>0</v>
      </c>
    </row>
    <row r="75" ht="16.5" spans="1:10">
      <c r="A75" t="s">
        <v>366</v>
      </c>
      <c r="B75">
        <v>2</v>
      </c>
      <c r="C75" s="31">
        <f>+SOWETO!D17</f>
        <v>50000</v>
      </c>
      <c r="D75" s="31">
        <f>46767-1397-300</f>
        <v>45070</v>
      </c>
      <c r="E75" s="7">
        <f t="shared" si="14"/>
        <v>0.9014</v>
      </c>
      <c r="F75" s="31">
        <f>+SOWETO!F250</f>
        <v>3972.8</v>
      </c>
      <c r="G75" s="31">
        <f>-1397-300</f>
        <v>-1697</v>
      </c>
      <c r="H75" s="31">
        <f t="shared" si="15"/>
        <v>14000</v>
      </c>
      <c r="I75" s="37">
        <f>200*SOWETO!A248</f>
        <v>1400</v>
      </c>
      <c r="J75" s="17">
        <f t="shared" si="16"/>
        <v>7205.8</v>
      </c>
    </row>
    <row r="76" ht="16.5" spans="1:10">
      <c r="A76" t="s">
        <v>367</v>
      </c>
      <c r="B76">
        <v>6</v>
      </c>
      <c r="C76" s="31">
        <f>+SOWETO!D18</f>
        <v>42000</v>
      </c>
      <c r="D76" s="31">
        <f>+SOWETO!E18</f>
        <v>35550</v>
      </c>
      <c r="E76" s="7">
        <f t="shared" si="14"/>
        <v>0.846428571428571</v>
      </c>
      <c r="F76" s="31">
        <f>+SOWETO!F267</f>
        <v>1453.5</v>
      </c>
      <c r="G76" s="31">
        <v>0</v>
      </c>
      <c r="H76" s="31">
        <f t="shared" si="15"/>
        <v>11760</v>
      </c>
      <c r="I76" s="37">
        <f>200*SOWETO!A265</f>
        <v>1800</v>
      </c>
      <c r="J76" s="17">
        <f t="shared" si="16"/>
        <v>7903.5</v>
      </c>
    </row>
    <row r="77" spans="6:7">
      <c r="F77" s="31"/>
      <c r="G77" s="31"/>
    </row>
    <row r="78" ht="17.25" spans="3:10">
      <c r="C78" s="21">
        <f t="shared" ref="C78:J78" si="17">SUM(C68:C77)</f>
        <v>560050</v>
      </c>
      <c r="D78" s="21">
        <f t="shared" si="17"/>
        <v>493783</v>
      </c>
      <c r="E78" s="21">
        <f t="shared" si="17"/>
        <v>8.16140661607584</v>
      </c>
      <c r="F78" s="21">
        <f t="shared" si="17"/>
        <v>68171.79</v>
      </c>
      <c r="G78" s="21">
        <f t="shared" si="17"/>
        <v>-6293</v>
      </c>
      <c r="H78" s="21">
        <f t="shared" si="17"/>
        <v>156814</v>
      </c>
      <c r="I78" s="21">
        <f t="shared" si="17"/>
        <v>21300</v>
      </c>
      <c r="J78" s="21">
        <f t="shared" si="17"/>
        <v>128145.79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SUMMARY</vt:lpstr>
      <vt:lpstr>LOAN SUMMARY</vt:lpstr>
      <vt:lpstr>Graphic Analysis</vt:lpstr>
      <vt:lpstr>CAIRO</vt:lpstr>
      <vt:lpstr>CHAZANGA</vt:lpstr>
      <vt:lpstr>HEAD OFFICE</vt:lpstr>
      <vt:lpstr>SOWETO</vt:lpstr>
      <vt:lpstr>LOAN SUMMARY REWORK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</dc:creator>
  <cp:lastModifiedBy>LAXMI CAPITALS</cp:lastModifiedBy>
  <dcterms:created xsi:type="dcterms:W3CDTF">2020-07-06T04:00:00Z</dcterms:created>
  <dcterms:modified xsi:type="dcterms:W3CDTF">2021-04-15T07:08:34Z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1033-11.2.0.10101</vt:lpwstr>
  </property>
</Properties>
</file>