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20" yWindow="495" windowWidth="15990" windowHeight="10260"/>
  </bookViews>
  <sheets>
    <sheet name="HokusaiMetObjects.csv" sheetId="1" r:id="rId1"/>
  </sheets>
  <calcPr calcId="145621"/>
</workbook>
</file>

<file path=xl/calcChain.xml><?xml version="1.0" encoding="utf-8"?>
<calcChain xmlns="http://schemas.openxmlformats.org/spreadsheetml/2006/main">
  <c r="CP447" i="1" l="1"/>
  <c r="CP446" i="1"/>
  <c r="CP445" i="1"/>
  <c r="CP444" i="1"/>
  <c r="CP443" i="1"/>
  <c r="CP442" i="1"/>
  <c r="CP441" i="1"/>
  <c r="CP440" i="1"/>
  <c r="CP439" i="1"/>
  <c r="CP438" i="1"/>
  <c r="CP437" i="1"/>
  <c r="CP436" i="1"/>
  <c r="CP435" i="1"/>
  <c r="CP434" i="1"/>
  <c r="CP433" i="1"/>
  <c r="CP432" i="1"/>
  <c r="CP431" i="1"/>
  <c r="CP430" i="1"/>
  <c r="CP429" i="1"/>
  <c r="CP428" i="1"/>
  <c r="CP427" i="1"/>
  <c r="CP426" i="1"/>
  <c r="CP425" i="1"/>
  <c r="CP424" i="1"/>
  <c r="CP423" i="1"/>
  <c r="CP422" i="1"/>
  <c r="CP421" i="1"/>
  <c r="CP420" i="1"/>
  <c r="CP419" i="1"/>
  <c r="CP418" i="1"/>
  <c r="CP417" i="1"/>
  <c r="CP416" i="1"/>
  <c r="CP415" i="1"/>
  <c r="CP414" i="1"/>
  <c r="CP413" i="1"/>
  <c r="CP412" i="1"/>
  <c r="CP411" i="1"/>
  <c r="CP410" i="1"/>
  <c r="CP409" i="1"/>
  <c r="CP408" i="1"/>
  <c r="CP407" i="1"/>
  <c r="CP406" i="1"/>
  <c r="CP405" i="1"/>
  <c r="CP404" i="1"/>
  <c r="CP403" i="1"/>
  <c r="CP402" i="1"/>
  <c r="CP401" i="1"/>
  <c r="CP400" i="1"/>
  <c r="CP399" i="1"/>
  <c r="CP398" i="1"/>
  <c r="CP397" i="1"/>
  <c r="CP396" i="1"/>
  <c r="CP395" i="1"/>
  <c r="CP394" i="1"/>
  <c r="CP393" i="1"/>
  <c r="CP392" i="1"/>
  <c r="CP391" i="1"/>
  <c r="CP390" i="1"/>
  <c r="CP389" i="1"/>
  <c r="CP388" i="1"/>
  <c r="CP387" i="1"/>
  <c r="CP386" i="1"/>
  <c r="CP385" i="1"/>
  <c r="CP384" i="1"/>
  <c r="CP383" i="1"/>
  <c r="CP382" i="1"/>
  <c r="CP381" i="1"/>
  <c r="CP380" i="1"/>
  <c r="CP379" i="1"/>
  <c r="CP378" i="1"/>
  <c r="CP377" i="1"/>
  <c r="CP376" i="1"/>
  <c r="CP375" i="1"/>
  <c r="CP374" i="1"/>
  <c r="CP373" i="1"/>
  <c r="CP372" i="1"/>
  <c r="CP371" i="1"/>
  <c r="CP370" i="1"/>
  <c r="CP369" i="1"/>
  <c r="CP368" i="1"/>
  <c r="CP367" i="1"/>
  <c r="CP366" i="1"/>
  <c r="CP365" i="1"/>
  <c r="CP364" i="1"/>
  <c r="CP363" i="1"/>
  <c r="CP362" i="1"/>
  <c r="CP361" i="1"/>
  <c r="CP360" i="1"/>
  <c r="CP359" i="1"/>
  <c r="CP358" i="1"/>
  <c r="CP357" i="1"/>
  <c r="CP356" i="1"/>
  <c r="CP355" i="1"/>
  <c r="CP354" i="1"/>
  <c r="CP353" i="1"/>
  <c r="CP352" i="1"/>
  <c r="CP351" i="1"/>
  <c r="CP350" i="1"/>
  <c r="CP349" i="1"/>
  <c r="CP348" i="1"/>
  <c r="CP347" i="1"/>
  <c r="CP346" i="1"/>
  <c r="CP345" i="1"/>
  <c r="CP344" i="1"/>
  <c r="CP343" i="1"/>
  <c r="CP342" i="1"/>
  <c r="CP341" i="1"/>
  <c r="CP340" i="1"/>
  <c r="CP339" i="1"/>
  <c r="CP338" i="1"/>
  <c r="CP337" i="1"/>
  <c r="CP336" i="1"/>
  <c r="CP335" i="1"/>
  <c r="CP334" i="1"/>
  <c r="CP333" i="1"/>
  <c r="CP332" i="1"/>
  <c r="CP331" i="1"/>
  <c r="CP330" i="1"/>
  <c r="CP329" i="1"/>
  <c r="CP328" i="1"/>
  <c r="CP327" i="1"/>
  <c r="CP326" i="1"/>
  <c r="CP325" i="1"/>
  <c r="CP324" i="1"/>
  <c r="CP323" i="1"/>
  <c r="CP322" i="1"/>
  <c r="CP321" i="1"/>
  <c r="CP320" i="1"/>
  <c r="CP319" i="1"/>
  <c r="CP318" i="1"/>
  <c r="CP317" i="1"/>
  <c r="CP316" i="1"/>
  <c r="CP315" i="1"/>
  <c r="CP314" i="1"/>
  <c r="CP313" i="1"/>
  <c r="CP312" i="1"/>
  <c r="CP311" i="1"/>
  <c r="CP310" i="1"/>
  <c r="CP309" i="1"/>
  <c r="CP308" i="1"/>
  <c r="CP307" i="1"/>
  <c r="CP306" i="1"/>
  <c r="CP305" i="1"/>
  <c r="CP304" i="1"/>
  <c r="CP303" i="1"/>
  <c r="CP302" i="1"/>
  <c r="CP301" i="1"/>
  <c r="CP300" i="1"/>
  <c r="CP299" i="1"/>
  <c r="CP298" i="1"/>
  <c r="CP297" i="1"/>
  <c r="CP296" i="1"/>
  <c r="CP295" i="1"/>
  <c r="CP294" i="1"/>
  <c r="CP293" i="1"/>
  <c r="CP292" i="1"/>
  <c r="CP291" i="1"/>
  <c r="CP290" i="1"/>
  <c r="CP289" i="1"/>
  <c r="CP288" i="1"/>
  <c r="CP287" i="1"/>
  <c r="CP286" i="1"/>
  <c r="CP285" i="1"/>
  <c r="CP284" i="1"/>
  <c r="CP283" i="1"/>
  <c r="CP282" i="1"/>
  <c r="CP281" i="1"/>
  <c r="CP280" i="1"/>
  <c r="CP279" i="1"/>
  <c r="CP278" i="1"/>
  <c r="CP277" i="1"/>
  <c r="CP276" i="1"/>
  <c r="CP275" i="1"/>
  <c r="CP274" i="1"/>
  <c r="CP273" i="1"/>
  <c r="CP272" i="1"/>
  <c r="CP271" i="1"/>
  <c r="CP270" i="1"/>
  <c r="CP269" i="1"/>
  <c r="CP268" i="1"/>
  <c r="CP267" i="1"/>
  <c r="CP266" i="1"/>
  <c r="CP265" i="1"/>
  <c r="CP264" i="1"/>
  <c r="CP263" i="1"/>
  <c r="CP262" i="1"/>
  <c r="CP261" i="1"/>
  <c r="CP260" i="1"/>
  <c r="CP259" i="1"/>
  <c r="CP258" i="1"/>
  <c r="CP257" i="1"/>
  <c r="CP256" i="1"/>
  <c r="CP255" i="1"/>
  <c r="CP254" i="1"/>
  <c r="CP253" i="1"/>
  <c r="CP252" i="1"/>
  <c r="CP251" i="1"/>
  <c r="CP250" i="1"/>
  <c r="CP249" i="1"/>
  <c r="CP248" i="1"/>
  <c r="CP247" i="1"/>
  <c r="CP246" i="1"/>
  <c r="CP245" i="1"/>
  <c r="CP244" i="1"/>
  <c r="CP243" i="1"/>
  <c r="CP242" i="1"/>
  <c r="CP241" i="1"/>
  <c r="CP240" i="1"/>
  <c r="CP239" i="1"/>
  <c r="CP238" i="1"/>
  <c r="CP237" i="1"/>
  <c r="CP236" i="1"/>
  <c r="CP235" i="1"/>
  <c r="CP234" i="1"/>
  <c r="CP233" i="1"/>
  <c r="CP232" i="1"/>
  <c r="CP231" i="1"/>
  <c r="CP230" i="1"/>
  <c r="CP229" i="1"/>
  <c r="CP228" i="1"/>
  <c r="CP227" i="1"/>
  <c r="CP226" i="1"/>
  <c r="CP225" i="1"/>
  <c r="CP224" i="1"/>
  <c r="CP223" i="1"/>
  <c r="CP222" i="1"/>
  <c r="CP221" i="1"/>
  <c r="CP220" i="1"/>
  <c r="CP219" i="1"/>
  <c r="CP218" i="1"/>
  <c r="CP217" i="1"/>
  <c r="CP216" i="1"/>
  <c r="CP215" i="1"/>
  <c r="CP214" i="1"/>
  <c r="CP213" i="1"/>
  <c r="CP212" i="1"/>
  <c r="CP211" i="1"/>
  <c r="CP210" i="1"/>
  <c r="CP209" i="1"/>
  <c r="CP208" i="1"/>
  <c r="CP207" i="1"/>
  <c r="CP206" i="1"/>
  <c r="CP205" i="1"/>
  <c r="CP204" i="1"/>
  <c r="CP203" i="1"/>
  <c r="CP202" i="1"/>
  <c r="CP201" i="1"/>
  <c r="CP200" i="1"/>
  <c r="CP199" i="1"/>
  <c r="CP198" i="1"/>
  <c r="CP197" i="1"/>
  <c r="CP196" i="1"/>
  <c r="CP195" i="1"/>
  <c r="CP194" i="1"/>
  <c r="CP193" i="1"/>
  <c r="CP192" i="1"/>
  <c r="CP191" i="1"/>
  <c r="CP190" i="1"/>
  <c r="CP189" i="1"/>
  <c r="CP188" i="1"/>
  <c r="CP187" i="1"/>
  <c r="CP186" i="1"/>
  <c r="CP185" i="1"/>
  <c r="CP184" i="1"/>
  <c r="CP183" i="1"/>
  <c r="CP182" i="1"/>
  <c r="CP181" i="1"/>
  <c r="CP180" i="1"/>
  <c r="CP179" i="1"/>
  <c r="CP178" i="1"/>
  <c r="CP177" i="1"/>
  <c r="CP176" i="1"/>
  <c r="CP175" i="1"/>
  <c r="CP174" i="1"/>
  <c r="CP173" i="1"/>
  <c r="CP172" i="1"/>
  <c r="CP171" i="1"/>
  <c r="CP170" i="1"/>
  <c r="CP169" i="1"/>
  <c r="CP168" i="1"/>
  <c r="CP167" i="1"/>
  <c r="CP166" i="1"/>
  <c r="CP165" i="1"/>
  <c r="CP164" i="1"/>
  <c r="CP163" i="1"/>
  <c r="CP162" i="1"/>
  <c r="CP161" i="1"/>
  <c r="CP160" i="1"/>
  <c r="CP159" i="1"/>
  <c r="CP158" i="1"/>
  <c r="CP157" i="1"/>
  <c r="CP156" i="1"/>
  <c r="CP155" i="1"/>
  <c r="CP154" i="1"/>
  <c r="CP153" i="1"/>
  <c r="CP152" i="1"/>
  <c r="CP151" i="1"/>
  <c r="CP150" i="1"/>
  <c r="CP149" i="1"/>
  <c r="CP148" i="1"/>
  <c r="CP147" i="1"/>
  <c r="CP146" i="1"/>
  <c r="CP145" i="1"/>
  <c r="CP144" i="1"/>
  <c r="CP143" i="1"/>
  <c r="CP142" i="1"/>
  <c r="CP141" i="1"/>
  <c r="CP140" i="1"/>
  <c r="CP139" i="1"/>
  <c r="CP138" i="1"/>
  <c r="CP137" i="1"/>
  <c r="CP136" i="1"/>
  <c r="CP135" i="1"/>
  <c r="CP134" i="1"/>
  <c r="CP133" i="1"/>
  <c r="CP132" i="1"/>
  <c r="CP131" i="1"/>
  <c r="CP130" i="1"/>
  <c r="CP129" i="1"/>
  <c r="CP128" i="1"/>
  <c r="CP127" i="1"/>
  <c r="CP126" i="1"/>
  <c r="CP125" i="1"/>
  <c r="CP124" i="1"/>
  <c r="CP123" i="1"/>
  <c r="CP122" i="1"/>
  <c r="CP121" i="1"/>
  <c r="CP120" i="1"/>
  <c r="CP119" i="1"/>
  <c r="CP118" i="1"/>
  <c r="CP117" i="1"/>
  <c r="CP116" i="1"/>
  <c r="CP115" i="1"/>
  <c r="CP114" i="1"/>
  <c r="CP113" i="1"/>
  <c r="CP112" i="1"/>
  <c r="CP111" i="1"/>
  <c r="CP110" i="1"/>
  <c r="CP109" i="1"/>
  <c r="CP108" i="1"/>
  <c r="CP107" i="1"/>
  <c r="CP106" i="1"/>
  <c r="CP105" i="1"/>
  <c r="CP104" i="1"/>
  <c r="CP103" i="1"/>
  <c r="CP102" i="1"/>
  <c r="CP101" i="1"/>
  <c r="CP100" i="1"/>
  <c r="CP99" i="1"/>
  <c r="CP98" i="1"/>
  <c r="CP97" i="1"/>
  <c r="CP96" i="1"/>
  <c r="CP95" i="1"/>
  <c r="CP94" i="1"/>
  <c r="CP93" i="1"/>
  <c r="CP92" i="1"/>
  <c r="CP91" i="1"/>
  <c r="CP90" i="1"/>
  <c r="CP89" i="1"/>
  <c r="CP88" i="1"/>
  <c r="CP87" i="1"/>
  <c r="CP86" i="1"/>
  <c r="CP85" i="1"/>
  <c r="CP84" i="1"/>
  <c r="CP83" i="1"/>
  <c r="CP82" i="1"/>
  <c r="CP81" i="1"/>
  <c r="CP80" i="1"/>
  <c r="CP79" i="1"/>
  <c r="CP78" i="1"/>
  <c r="CP77" i="1"/>
  <c r="CP76" i="1"/>
  <c r="CP75" i="1"/>
  <c r="CP74" i="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CP17" i="1"/>
  <c r="CP16" i="1"/>
  <c r="CP15" i="1"/>
  <c r="CP14" i="1"/>
  <c r="CP13" i="1"/>
  <c r="CP12" i="1"/>
  <c r="CP11" i="1"/>
  <c r="CP10" i="1"/>
  <c r="CP9" i="1"/>
  <c r="CP8" i="1"/>
  <c r="CP7" i="1"/>
  <c r="CP6" i="1"/>
  <c r="CP5" i="1"/>
  <c r="CP4" i="1"/>
  <c r="CP3" i="1"/>
  <c r="CP2" i="1"/>
</calcChain>
</file>

<file path=xl/sharedStrings.xml><?xml version="1.0" encoding="utf-8"?>
<sst xmlns="http://schemas.openxmlformats.org/spreadsheetml/2006/main" count="10424" uniqueCount="1815">
  <si>
    <t>Object Number</t>
  </si>
  <si>
    <t>Is Highlight</t>
  </si>
  <si>
    <t>Is Public Domain</t>
  </si>
  <si>
    <t>Object ID</t>
  </si>
  <si>
    <t>Department</t>
  </si>
  <si>
    <t>Object Name</t>
  </si>
  <si>
    <t>TitleNote</t>
  </si>
  <si>
    <t>TitleJa</t>
  </si>
  <si>
    <t>TitleJaLatn</t>
  </si>
  <si>
    <t>TitleEn</t>
  </si>
  <si>
    <t>SeriesTitleJa</t>
  </si>
  <si>
    <t>SeriesTitleJaLatn</t>
  </si>
  <si>
    <t>SeriesTitleEn</t>
  </si>
  <si>
    <t>Culture</t>
  </si>
  <si>
    <t>Period</t>
  </si>
  <si>
    <t>Dynasty</t>
  </si>
  <si>
    <t>Reign</t>
  </si>
  <si>
    <t>Portfolio</t>
  </si>
  <si>
    <t>Artist Role</t>
  </si>
  <si>
    <t>Artist Prefix</t>
  </si>
  <si>
    <t>Artist Display Name</t>
  </si>
  <si>
    <t>Artist Display Bio</t>
  </si>
  <si>
    <t>Artist Suffix</t>
  </si>
  <si>
    <t>Artist Alpha Sort</t>
  </si>
  <si>
    <t>Artist Nationality</t>
  </si>
  <si>
    <t>Artist Begin Date</t>
  </si>
  <si>
    <t>Artist End Date</t>
  </si>
  <si>
    <t>2ArtistPrefix</t>
  </si>
  <si>
    <t>2ArtistRole</t>
  </si>
  <si>
    <t>2ArtistDisplayName</t>
  </si>
  <si>
    <t>2ArtistDisplayBio</t>
  </si>
  <si>
    <t>2ArtistNationality</t>
  </si>
  <si>
    <t>2ArtistBeginDate</t>
  </si>
  <si>
    <t>2ArtistEndDate</t>
  </si>
  <si>
    <t>3ArtistPrefix</t>
  </si>
  <si>
    <t>3ArtistRole</t>
  </si>
  <si>
    <t>3ArtistDisplayName</t>
  </si>
  <si>
    <t>3ArtistDisplayBio</t>
  </si>
  <si>
    <t>3ArtistNationality</t>
  </si>
  <si>
    <t>3ArtistBeginDate</t>
  </si>
  <si>
    <t>3ArtistEndDate</t>
  </si>
  <si>
    <t>4ArtistPrefix</t>
  </si>
  <si>
    <t>4ArtistRole</t>
  </si>
  <si>
    <t>4ArtistDisplayName</t>
  </si>
  <si>
    <t>4ArtistDisplayBio</t>
  </si>
  <si>
    <t>4ArtistNationality</t>
  </si>
  <si>
    <t>4ArtistBeginDate</t>
  </si>
  <si>
    <t>4ArtistEndDate</t>
  </si>
  <si>
    <t>5ArtistPrefix</t>
  </si>
  <si>
    <t>5ArtistRole</t>
  </si>
  <si>
    <t>5ArtistName</t>
  </si>
  <si>
    <t>5ArtistDisplayBio</t>
  </si>
  <si>
    <t>5ArtistNationality</t>
  </si>
  <si>
    <t>5ArtistBeginDate</t>
  </si>
  <si>
    <t>5ArtistEndDate</t>
  </si>
  <si>
    <t>Object Date</t>
  </si>
  <si>
    <t>Object Begin Date</t>
  </si>
  <si>
    <t>Object End Date</t>
  </si>
  <si>
    <t>DimensionFormat</t>
  </si>
  <si>
    <t>Dimensions</t>
  </si>
  <si>
    <t>DimensionLabel</t>
  </si>
  <si>
    <t>Credit Line</t>
  </si>
  <si>
    <t>AcquisitionType</t>
  </si>
  <si>
    <t>Funding</t>
  </si>
  <si>
    <t>Credit Date</t>
  </si>
  <si>
    <t>Curated Holding</t>
  </si>
  <si>
    <t>PreviousOwner</t>
  </si>
  <si>
    <t>AcquisitionMotivation</t>
  </si>
  <si>
    <t>Geography Type</t>
  </si>
  <si>
    <t>City</t>
  </si>
  <si>
    <t>State</t>
  </si>
  <si>
    <t>County</t>
  </si>
  <si>
    <t>Country</t>
  </si>
  <si>
    <t>Region</t>
  </si>
  <si>
    <t>Subregion</t>
  </si>
  <si>
    <t>Locale</t>
  </si>
  <si>
    <t>Locus</t>
  </si>
  <si>
    <t>Excavation</t>
  </si>
  <si>
    <t>River</t>
  </si>
  <si>
    <t>Classification</t>
  </si>
  <si>
    <t>Rights and Reproduction</t>
  </si>
  <si>
    <t>Link Resource</t>
  </si>
  <si>
    <t>Metadata Date</t>
  </si>
  <si>
    <t>Repository</t>
  </si>
  <si>
    <t>JP29a–e</t>
  </si>
  <si>
    <t>Asian Art</t>
  </si>
  <si>
    <t>Print</t>
  </si>
  <si>
    <t>Japan</t>
  </si>
  <si>
    <t>Artist</t>
  </si>
  <si>
    <t>Katsushika Hokusai</t>
  </si>
  <si>
    <t>Japanese</t>
  </si>
  <si>
    <t>ca. 1804</t>
  </si>
  <si>
    <t>14 15/32 x 48 1/2 in. (36.8 x 123.2 cm)</t>
  </si>
  <si>
    <t>Rogers Fund, 1914</t>
  </si>
  <si>
    <t>Purchase</t>
  </si>
  <si>
    <t>Jacob S. Rogers Fund</t>
  </si>
  <si>
    <t>Prints</t>
  </si>
  <si>
    <t>Metropolitan Museum of Art, New York, NY</t>
  </si>
  <si>
    <t>JP2</t>
  </si>
  <si>
    <t>Woodblock print</t>
  </si>
  <si>
    <t>諸國瀧廻リ　相州大山ろうべんの瀧|Rōben Waterfall at Ōyama in Sagami Province (Sōshū Ōyama Rōben no taki), from the series A Tour of Waterfalls in Various Provinces (Shokoku taki meguri)</t>
  </si>
  <si>
    <t>相州大山ろうべんの瀧</t>
  </si>
  <si>
    <t>Sōshū Ōyama Rōben no taki</t>
  </si>
  <si>
    <t>Rōben Waterfall at Ōyama in Sagami Province</t>
  </si>
  <si>
    <t>諸國瀧廻リ　</t>
  </si>
  <si>
    <t>Shokoku taki meguri</t>
  </si>
  <si>
    <t xml:space="preserve">A Tour of Waterfalls in Various Provinces </t>
  </si>
  <si>
    <t>ca. 1827</t>
  </si>
  <si>
    <t>Polychrome woodblock print; ink and color on paper</t>
  </si>
  <si>
    <t>14 3/4 x 10 1/4 in. (37.5 x 26 cm)</t>
  </si>
  <si>
    <t>JP3</t>
  </si>
  <si>
    <t>百人一首　うはかゑとき　持統天皇|Poem by Jitō Tenno (Empress Jitō), from the series One Hundred Poems Explained by the Nurse (Hyakunin isshu uba ga etoki)</t>
  </si>
  <si>
    <t>持統天皇</t>
  </si>
  <si>
    <t>Jitō Tenno</t>
  </si>
  <si>
    <t>Poem by Jitō Tenno (Empress Jitō)</t>
  </si>
  <si>
    <t>百人一首　うはかゑとき</t>
  </si>
  <si>
    <t>Hyakunin isshu uba ga etoki</t>
  </si>
  <si>
    <t>One Hundred Poems Explained by the Nurse</t>
  </si>
  <si>
    <t>10 1/8 x 14 3/4 in. (25.7 x 37.5 cm)</t>
  </si>
  <si>
    <t>JP4</t>
  </si>
  <si>
    <t>百人一首　乳母かゑとき　柿本人麿|Poem by Kakinomoto Hitomaro, from the series One Hundred Poems Explained by the Nurse (Hyakunin isshu uba ga etoki)</t>
  </si>
  <si>
    <t>柿本人麿</t>
  </si>
  <si>
    <t>Kakinomoto Hitomaro</t>
  </si>
  <si>
    <t>Poem by Kakinomoto Hitomaro</t>
  </si>
  <si>
    <t>百人一首　乳母かゑとき</t>
  </si>
  <si>
    <t>9 7/8 x 14 in. (25.1 x 35.6 cm)</t>
  </si>
  <si>
    <t>JP5</t>
  </si>
  <si>
    <t>百人一首　うはかゑとき　菅家|Poem by Kanke (Sugawara Michizane), from the series One Hundred Poems Explained by the Nurse (Hyakunin isshu uba ga etoki)</t>
  </si>
  <si>
    <t>菅家</t>
  </si>
  <si>
    <t>Kanke</t>
  </si>
  <si>
    <t>Poem by Kanke (Sugawara Michizane)</t>
  </si>
  <si>
    <t>ca. 1839</t>
  </si>
  <si>
    <t>10 x 14 3/5 in. (25.4 x 37.1 cm)</t>
  </si>
  <si>
    <t>JP7</t>
  </si>
  <si>
    <t>百人一首　姥か恵と起　大中臣能宣朝臣|Poem by Ōnakatomi no Yoshinobu Ason, from the series One Hundred Poems Explained by the Nurse (Hyakunin isshu uba ga etoki)</t>
  </si>
  <si>
    <t>大中臣能宣朝臣</t>
  </si>
  <si>
    <t xml:space="preserve"> Ōnakatomi no Yoshinobu Ason</t>
  </si>
  <si>
    <t>Poem by Ōnakatomi no Yoshinobu Ason</t>
  </si>
  <si>
    <t>百人一首　姥か恵と起</t>
  </si>
  <si>
    <t>10 x 14 1/8 in. (25.4 x 35.9 cm)</t>
  </si>
  <si>
    <t>JP8</t>
  </si>
  <si>
    <t>諸國名橋奇覧　すほうの国きんたいはし|Kintai Bridge in Suō Province (Suō no kuni Kintaibashi), from the series Remarkable Views of Bridges in Various Provinces (Shokoku meikyō kiran)</t>
  </si>
  <si>
    <t>すほうの国きんたいはし</t>
  </si>
  <si>
    <t>Suō no kuni Kintaibashi</t>
  </si>
  <si>
    <t>Kintai Bridge in Suō Province</t>
  </si>
  <si>
    <t>諸國名橋奇覧</t>
  </si>
  <si>
    <t>Shokoku meikyō kiran</t>
  </si>
  <si>
    <t>Remarkable Views of Bridges in Various Provinces</t>
  </si>
  <si>
    <t>1827–30</t>
  </si>
  <si>
    <t>10 7/32 x 15 7/32 in. (26.0 x 38.7 cm)</t>
  </si>
  <si>
    <t>JP9</t>
  </si>
  <si>
    <t>「富嶽三十六景　凱風快晴」|South Wind, Clear Sky (Gaifū kaisei), also known as Red Fuji, from the series Thirty-six Views of Mount Fuji (Fugaku sanjūrokkei)</t>
  </si>
  <si>
    <t>凱風快晴</t>
  </si>
  <si>
    <t>Gaifū kaisei</t>
  </si>
  <si>
    <t>South Wind, Clear Sky</t>
  </si>
  <si>
    <t>富嶽三十六景</t>
  </si>
  <si>
    <t>Fugaku sanjūrokkei</t>
  </si>
  <si>
    <t>Thirty-six Views of Mount Fuji</t>
  </si>
  <si>
    <t>ca. 1830–32</t>
  </si>
  <si>
    <t>9 5/8 x 14 in. (24.4 x 35.6 cm)</t>
  </si>
  <si>
    <t>JP10</t>
  </si>
  <si>
    <t>冨嶽三十六景　神奈川沖浪裏|Under the Wave off Kanagawa (Kanagawa oki nami ura), also known as The Great Wave, from the series Thirty-six Views of Mount Fuji (Fugaku sanjūrokkei)</t>
  </si>
  <si>
    <t>神奈川沖浪裏</t>
  </si>
  <si>
    <t>Kanagawa oki nami ura</t>
  </si>
  <si>
    <t>Under the Wave off Kanagawa</t>
  </si>
  <si>
    <t>冨嶽三十六景</t>
  </si>
  <si>
    <t>9 5/8 x 14 1/16 in. (24.4 x 35.7 cm)</t>
  </si>
  <si>
    <t>JP11</t>
  </si>
  <si>
    <t>冨嶽三十六景　山下白雨|Storm below Mount Fuji (Sanka no haku u), from the series Thirty-six Views of Mount Fuji (Fugaku sanjūrokkei)</t>
  </si>
  <si>
    <t>山下白雨</t>
  </si>
  <si>
    <t>Sanka no haku u</t>
  </si>
  <si>
    <t xml:space="preserve">Storm below Mount Fuji </t>
  </si>
  <si>
    <t>冨嶽三十六景　</t>
  </si>
  <si>
    <t>10 1/8 x 15 1/8 in. (25.7 x 38.4 cm)</t>
  </si>
  <si>
    <t>JP12</t>
  </si>
  <si>
    <t>冨嶽三十六景　駿州江尻|Ejiri in Suruga Province (Sunshū Ejiri), from the series Thirty-six Views of Mount Fuji (Fugaku sanjūrokkei)</t>
  </si>
  <si>
    <t>駿州江尻</t>
  </si>
  <si>
    <t>Sunshū Ejiri</t>
  </si>
  <si>
    <t>Ejiri in Suruga Province</t>
  </si>
  <si>
    <t>JP13</t>
  </si>
  <si>
    <t>冨嶽三十六景　身延川裏不二|View from the Other Side of Fuji from the Minobu River (Minobugawa ura Fuji), from the series Thirty-six Views of Mount Fuji (Fugaku sanjūrokkei)</t>
  </si>
  <si>
    <t>身延川裏不二</t>
  </si>
  <si>
    <t>Minobugawa ura Fuji</t>
  </si>
  <si>
    <t>View from the Other Side of Fuji from the Minobu River</t>
  </si>
  <si>
    <t>9 7/8 x 14 3/4 in. (25.1 x 37.5 cm)</t>
  </si>
  <si>
    <t>JP14</t>
  </si>
  <si>
    <t>冨嶽三十六景　甲州三坂水面|Reflection in Lake at Misaka in Kai Province (Kōshū Misaka suimen), from the series Thirty-six Views of Mount Fuji (Fugaku sanjūrokkei)</t>
  </si>
  <si>
    <t>甲州三坂水面</t>
  </si>
  <si>
    <t>Kōshū Misaka suimen</t>
  </si>
  <si>
    <t xml:space="preserve">Reflection in Lake at Misaka in Kai Province </t>
  </si>
  <si>
    <t>9 4/5 x 14 9/16 in. (24.9 x 37.0 cm)</t>
  </si>
  <si>
    <t>JP15</t>
  </si>
  <si>
    <t>冨嶽三十六景　相州七里浜|Shichirigahama in Sagami Province (Sōshū Shichirigahama), from the series Thirty-six Views of Mount Fuji (Fugaku sanjūrokkei)</t>
  </si>
  <si>
    <t>相州七里浜</t>
  </si>
  <si>
    <t>Sōshū Shichirigahama</t>
  </si>
  <si>
    <t>Shichirigahama in Sagami Province</t>
  </si>
  <si>
    <t>10 1/8 x 15 in. (25.7 x 38.1 cm)</t>
  </si>
  <si>
    <t>JP16</t>
  </si>
  <si>
    <t>冨嶽三十六景　武州玉川|Tama River in Musashi Province (Bushū Tamagawa), from the series Thirty-six Views of Mount Fuji (Fugaku sanjūrokkei)</t>
  </si>
  <si>
    <t>武州玉川</t>
  </si>
  <si>
    <t>Bushū Tamagawa</t>
  </si>
  <si>
    <t>Tama River in Musashi Province</t>
  </si>
  <si>
    <t>JP17</t>
  </si>
  <si>
    <t>冨嶽三十六景　相州箱根湖水|The Lake at Hakone in Sagami Province (Sōshū Hakone kosui), from the series Thirty-six Views of Mount Fuji (Fugaku sanjūrokkei)</t>
  </si>
  <si>
    <t>相州箱根湖水</t>
  </si>
  <si>
    <t>Sōshū Hakone kosui</t>
  </si>
  <si>
    <t xml:space="preserve">The Lake at Hakone in Sagami Province </t>
  </si>
  <si>
    <t>JP18</t>
  </si>
  <si>
    <t>冨嶽三十六景　甲州三島越|Mishima Pass in Kai Province (Kōshū Mishima goe), from the series Thirty-six Views of Mount Fuji (Fugaku sanjūrokkei)</t>
  </si>
  <si>
    <t>甲州三島越</t>
  </si>
  <si>
    <t>Kōshū Mishima goe</t>
  </si>
  <si>
    <t>Mishima Pass in Kai Province</t>
  </si>
  <si>
    <t>9 3/5 x 14 3/8 in. (24.4 x 36.5 cm)</t>
  </si>
  <si>
    <t>JP19</t>
  </si>
  <si>
    <t>冨嶽三十六景　尾州不二見原|Fujimigahara in Owari Province (Bishū Fujimigahara), from the series Thirty-six Views of Mount Fuji (Fugaku sanjūrokkei)</t>
  </si>
  <si>
    <t>尾州不二見原</t>
  </si>
  <si>
    <t>Bishū Fujimigahara</t>
  </si>
  <si>
    <t xml:space="preserve">Fujimigahara in Owari Province </t>
  </si>
  <si>
    <t>9 15/32 x 15 5/16 in. (24.1 x 38.9 cm)</t>
  </si>
  <si>
    <t>JP20</t>
  </si>
  <si>
    <t>「冨嶽三十六景　相州梅沢左」|“Umezawa Manor in Sagami Province,” from the series Thirty-six Views of Mount Fuji (Fugaku sanjūrokkei, Sōshū Umezawa zai)</t>
  </si>
  <si>
    <t>相州梅沢左</t>
  </si>
  <si>
    <t>Sōshū Umezawa zai</t>
  </si>
  <si>
    <t>Umezawa Manor in Sagami Province</t>
  </si>
  <si>
    <t>JP21</t>
  </si>
  <si>
    <t>冨嶽三十六景　上総の海路|At Sea off Kazusa (Kazusa no kairo), from the series Thirty-six Views of Mount Fuji (Fugaku sanjūrokkei)</t>
  </si>
  <si>
    <t>上総の海路</t>
  </si>
  <si>
    <t>Kazusa no kairo</t>
  </si>
  <si>
    <t>At Sea off Kazusa</t>
  </si>
  <si>
    <t>10 3/32 x 14 3/4 in. (25.6 x 37.5 cm)</t>
  </si>
  <si>
    <t>JP22</t>
  </si>
  <si>
    <t>冨嶽三十六景　相州江の島|Enoshima in Sagami Province (Sōshū Enoshima), from the series Thirty-six Views of Mount Fuji (Fugaku sanjūrokkei)</t>
  </si>
  <si>
    <t>相州江の島</t>
  </si>
  <si>
    <t>Sōshū Enoshima</t>
  </si>
  <si>
    <t>Enoshima in Sagami Province</t>
  </si>
  <si>
    <t>10 1/8 x 14 7/8 in. (25.7 x 37.8 cm)</t>
  </si>
  <si>
    <t>JP23</t>
  </si>
  <si>
    <t>冨嶽三十六景　武陽佃島|Tsukudajima in Musashi Province (Buyō Tsukudajima), from the series Thirty-six Views of Mount Fuji (Fugaku sanjūrokkei)</t>
  </si>
  <si>
    <t>武陽佃島</t>
  </si>
  <si>
    <t>Buyō Tsukudajima</t>
  </si>
  <si>
    <t xml:space="preserve">Tsukudajima in Musashi Province </t>
  </si>
  <si>
    <t>10 1/5 x 15 1/8 in. (25.9 x 38.4 cm)</t>
  </si>
  <si>
    <t>JP24</t>
  </si>
  <si>
    <t>冨嶽三十六景　遠江山中|In the Mountains of Tōtomi Province (Tōtomi sanchū), from the series Thirty-six Views of Mount Fuji (Fugaku sanjūrokkei)</t>
  </si>
  <si>
    <t>遠江山中</t>
  </si>
  <si>
    <t>Tōtomi sanchū</t>
  </si>
  <si>
    <t>In the Mountains of Tōtomi Province</t>
  </si>
  <si>
    <t>9 15/32 x 14 3/5 in. (24.1 x 37.1 cm)</t>
  </si>
  <si>
    <t>JP25</t>
  </si>
  <si>
    <t>9 3/5 x 14 29/32 in. (24.4 x 37.9 cm)</t>
  </si>
  <si>
    <t>JP26</t>
  </si>
  <si>
    <t>9 15/32 x 14 3/8 in. (24.1 x 36.5 cm)</t>
  </si>
  <si>
    <t>JP27</t>
  </si>
  <si>
    <t>冨嶽三十六景　常州牛掘|Ushibori in Hitachi Province (Jōshū Ushibori), from the series Thirty-six Views of Mount Fuji (Fugaku sanjūrokkei)</t>
  </si>
  <si>
    <t>常州牛掘</t>
  </si>
  <si>
    <t>Jōshū Ushibori</t>
  </si>
  <si>
    <t>Ushibori in Hitachi Province</t>
  </si>
  <si>
    <t>9 11/16 x 14 7/16 in. (24.6 x 36.7 cm)</t>
  </si>
  <si>
    <t>JP28</t>
  </si>
  <si>
    <t>冨嶽三十六景　青山円座松|Cushion Pine at Aoyama (Aoyama enza no matsu), from the series Thirty-six Views of Mount Fuji (Fugaku sanjūrokkei)</t>
  </si>
  <si>
    <t>青山円座松</t>
  </si>
  <si>
    <t>Aoyama enza no matsu</t>
  </si>
  <si>
    <t>Cushion Pine at Aoyama</t>
  </si>
  <si>
    <t>10 x 15 in. (25.4 x 38.1 cm)</t>
  </si>
  <si>
    <t>JP660</t>
  </si>
  <si>
    <t>雪松に鶴|Cranes on Branch of Snow-covered Pine</t>
  </si>
  <si>
    <t>雪松に鶴</t>
  </si>
  <si>
    <t>Cranes on Branch of Snow-covered Pine</t>
  </si>
  <si>
    <t>late 1820s</t>
  </si>
  <si>
    <t>20 3/8 x 9 1/8 in. (51.8 x 23.2 cm)</t>
  </si>
  <si>
    <t>The Francis Lathrop Collection, Purchase, Frederick C. Hewitt Fund, 1911 Purchase, Frederick C. Hewitt Fund, 1911</t>
  </si>
  <si>
    <t>Frederick C. Hewitt Fund</t>
  </si>
  <si>
    <t>JP741</t>
  </si>
  <si>
    <t>高根山与一右ェ門　千田川吉五郎|The Sumo Wrestlers Takaneyama Yoichiemon and Sendagawa Kichigorō</t>
  </si>
  <si>
    <t>高根山与一右ェ門　千田川吉五郎</t>
  </si>
  <si>
    <t>Takaneyama Yoichiemon Sendagawa Kichigorō</t>
  </si>
  <si>
    <t>The Sumo Wrestlers Takaneyama Yoichiemon and Sendagawa Kichigorō</t>
  </si>
  <si>
    <t>ca. 1790–93</t>
  </si>
  <si>
    <t>H. 12 1/3 ( 30.6 cm; W.  5 3/32 in. (12.9 cm)</t>
  </si>
  <si>
    <t>The Francis Lathrop Collection, Purchase, Frederick C. Hewitt Fund, 1911</t>
  </si>
  <si>
    <t>The Francis Lathrop Collection</t>
  </si>
  <si>
    <t>JP742</t>
  </si>
  <si>
    <t>和田原甚四郎　花項山五郎吉|The Sumo Wrestlers Wadagahara Jinshirō and Kachōzan Gorokichi</t>
  </si>
  <si>
    <t>和田原甚四郎　花項山五郎吉</t>
  </si>
  <si>
    <t>Wadagahara Jinshirō Kachōzan Gorokichi</t>
  </si>
  <si>
    <t>The Sumo Wrestlers Wadagahara Jinshirō and Kachōzan Gorokichi</t>
  </si>
  <si>
    <t>ca. 1783</t>
  </si>
  <si>
    <t>12 1/32 x 5 3/32 in. (30.6 x 12.9 cm)</t>
  </si>
  <si>
    <t>JP743</t>
  </si>
  <si>
    <t>唐子書画図|Chinese Boys Learning to Write and Paint</t>
  </si>
  <si>
    <t>唐子書画図</t>
  </si>
  <si>
    <t>Chinese Boys Learning to Write and Paint</t>
  </si>
  <si>
    <t>ca. 1785</t>
  </si>
  <si>
    <t>15 3/8 x 10 1/8 in. (39.1 x 25.7 cm)</t>
  </si>
  <si>
    <t>JP747</t>
  </si>
  <si>
    <t>葛飾北斎画　燕子花|Grasshopper and Iris</t>
  </si>
  <si>
    <t>燕子花</t>
  </si>
  <si>
    <t>Grasshopper and Iris</t>
  </si>
  <si>
    <t>葛飾北斎画</t>
  </si>
  <si>
    <t>9 3/4 x 14 3/16in. (24.8 x 36 cm)</t>
  </si>
  <si>
    <t>JP748</t>
  </si>
  <si>
    <t>ca. 1835</t>
  </si>
  <si>
    <t>7 31/32 x 12 1/2 in. (20.3 x 31.8 cm)</t>
  </si>
  <si>
    <t>JP1331</t>
  </si>
  <si>
    <t>冨嶽三十六景　御厩川岸より両国橋夕陽見|Viewing the Sunset over Ryōgoku Bridge from the Onmaya Embankment (Onmayagashi yori Ryōgokubashi sekiyō o miru), from the series Thirty-six Views of Mount Fuji (Fugaku sanjūrokkei)</t>
  </si>
  <si>
    <t>御厩川岸より両国橋夕陽見</t>
  </si>
  <si>
    <t>Onmayagashi yori Ryōgokubashi sekiyō o miru</t>
  </si>
  <si>
    <t xml:space="preserve">Viewing the Sunset over Ryōgoku Bridge from the Onmaya Embankment </t>
  </si>
  <si>
    <t>9 15/16 x 14 11/16 in. (25.2 x 37.3 cm)</t>
  </si>
  <si>
    <t>Rogers Fund, 1922</t>
  </si>
  <si>
    <t>JP1334</t>
  </si>
  <si>
    <t>冨嶽三十六景　駿州片倉茶園の不二|Fuji from the Katakura Tea Fields in Suruga (Sunshū Katakura chaen no Fuji), from the series Thirty-six Views of Mount Fuji (Fugaku sanjūrokkei)</t>
  </si>
  <si>
    <t>駿州片倉茶園の不二</t>
  </si>
  <si>
    <t>Sunshū Katakura chaen no Fuji</t>
  </si>
  <si>
    <t>Fuji from the Katakura Tea Fields in Suruga</t>
  </si>
  <si>
    <t>H. 9 13/16 in. (24.9 cm); W. 14 5/8 in. (37.1 cm)</t>
  </si>
  <si>
    <t>JP1335</t>
  </si>
  <si>
    <t>冨嶽三十六景　五百らかん寺さざゐどう|Sazai Hall at the Temple of the Five Hundred Arhats (Gohyaku Rakanji Sazaidō), from the series Thirty-six Views of Mount Fuji (Fugaku sanjūrokkei)</t>
  </si>
  <si>
    <t>五百らかん寺さざゐどう</t>
  </si>
  <si>
    <t>Gohyaku Rakanji Sazaidō</t>
  </si>
  <si>
    <t>Sazai Hall at the Temple of the Five Hundred Arhats</t>
  </si>
  <si>
    <t>H. 10 1/16 in. (25.6 cm); W. 14 5/8 in. (37.1 cm)</t>
  </si>
  <si>
    <t>JP1336</t>
  </si>
  <si>
    <t>冨嶽三十六景　隠田の水車|The Waterwheel at Onden (Onden no suisha), from the series Thirty-six Views of Mount Fuji (Fugaku sanjūrokkei)</t>
  </si>
  <si>
    <t>隠田の水車</t>
  </si>
  <si>
    <t>Onden no suisha</t>
  </si>
  <si>
    <t xml:space="preserve">The Waterwheel at Onden </t>
  </si>
  <si>
    <t>H. 10 in. (25.4 cm); W. 14 7/8 in. (37.8 cm)</t>
  </si>
  <si>
    <t>JP1339</t>
  </si>
  <si>
    <t>百人一首　宇波か縁説　藤原道信朝臣|Poem by Fujiwara no Michinobu Ason, from the series One Hundred Poems Explained by the Nurse (Hyakunin isshu uba ga etoki)</t>
  </si>
  <si>
    <t>藤原道信朝臣</t>
  </si>
  <si>
    <t>Fujiwara no Michinobu Ason</t>
  </si>
  <si>
    <t>Poem by Fujiwara no Michinobu Ason</t>
  </si>
  <si>
    <t>百人一首　宇波か縁説</t>
  </si>
  <si>
    <t>H. 9 15/16 in. (25.2 cm); W. 14 3/8 in. (36.5 cm)</t>
  </si>
  <si>
    <t>JP1340</t>
  </si>
  <si>
    <t>百人一首　うばがゑとき　伊勢|Poem by Ise, from the series One Hundred Poems Explained by the Nurse (Hyakunin isshu uba ga etoki)</t>
  </si>
  <si>
    <t>伊勢</t>
  </si>
  <si>
    <t>Ise</t>
  </si>
  <si>
    <t>Poem by Ise</t>
  </si>
  <si>
    <t>百人一首　うばがゑとき</t>
  </si>
  <si>
    <t>JP2997</t>
  </si>
  <si>
    <t>Viewing the Sunset over Ryōgoku Bridge from the Onmaya Embankment</t>
  </si>
  <si>
    <t>ca. 1830–31</t>
  </si>
  <si>
    <t>9 5/8 x 14 3/4 in. (24.4 x 37.5 cm)</t>
  </si>
  <si>
    <t>Henry L. Phillips Collection, Bequest of Henry L. Phillips, 1939</t>
  </si>
  <si>
    <t>Bequest</t>
  </si>
  <si>
    <t>Henry L. Phillips Collection</t>
  </si>
  <si>
    <t>Henry L. Phillips</t>
  </si>
  <si>
    <t>JP1</t>
  </si>
  <si>
    <t>鞠子|Mariko</t>
  </si>
  <si>
    <t>鞠子</t>
  </si>
  <si>
    <t>Mariko</t>
  </si>
  <si>
    <t>ca. 1805</t>
  </si>
  <si>
    <t>4 15/16 x 14 3/16 in. (12.5 x 36 cm)</t>
  </si>
  <si>
    <t>JP1337</t>
  </si>
  <si>
    <t>冨嶽三十六景　登戸浦|Noboto Bay (Noboto no ura), from the series Thirty-six Views of Mount Fuji (Fugaku sanjūrokkei)</t>
  </si>
  <si>
    <t>登戸浦</t>
  </si>
  <si>
    <t>Noboto no ura</t>
  </si>
  <si>
    <t xml:space="preserve">Noboto Bay </t>
  </si>
  <si>
    <t>10 1/4 x 15 3/16 in. (26.0 x 38.6 cm)</t>
  </si>
  <si>
    <t>JP1327</t>
  </si>
  <si>
    <t>冨嶽三十六景　甲州石班沢|Kajikazawa in Kai Province (Kōshū Kajikazawa), from the series Thirty-six Views of Mount Fuji (Fugaku sanjūrokkei)</t>
  </si>
  <si>
    <t>甲州石班沢</t>
  </si>
  <si>
    <t>Kōshū Kajikazawa</t>
  </si>
  <si>
    <t>Kajikazawa in Kai Province</t>
  </si>
  <si>
    <t>JP2564</t>
  </si>
  <si>
    <t>冨嶽三十六景　信州諏訪湖|Lake Suwa in Shinano Province (Shinshū Suwako), from the series Thirty-six Views of Mount Fuji (Fugaku sanjūrokkei)</t>
  </si>
  <si>
    <t>信州諏訪湖</t>
  </si>
  <si>
    <t>Shinshū Suwako</t>
  </si>
  <si>
    <t>Lake Suwa in Shinano Province</t>
  </si>
  <si>
    <t>9 3/4 x 14 7/8 in. (24.8 x 37.8 cm)</t>
  </si>
  <si>
    <t>The Howard Mansfield Collection, Purchase, Rogers Fund, 1936</t>
  </si>
  <si>
    <t>The Howard Mansfield Collection</t>
  </si>
  <si>
    <t>JP2569</t>
  </si>
  <si>
    <t>「富嶽三十六景　神奈川沖浪裏」|Under the Wave off Kanagawa (Kanagawa oki nami ura), or The Great Wave, from the series Thirty-six Views of Mount Fuji (Fugaku sanjūrokkei)</t>
  </si>
  <si>
    <t>JP2986</t>
  </si>
  <si>
    <t>10 1/4 x 15 1/8 in. (26 x 38.4 cm)</t>
  </si>
  <si>
    <t>14.76.59.1–.102</t>
  </si>
  <si>
    <t>Album leaves</t>
  </si>
  <si>
    <t>葛飾北斎筆 鶏と木材鶏図|Album of Sketches by Katsushika Hokusai and His Disciples</t>
  </si>
  <si>
    <t>葛飾北斎筆 鶏と木材鶏図</t>
  </si>
  <si>
    <t>Album of Sketches by Katsushika Hokusai and His Disciples</t>
  </si>
  <si>
    <t>19th century</t>
  </si>
  <si>
    <t>15 1/2 x 10 1/2 in. (39.4 x 26.7 cm)</t>
  </si>
  <si>
    <t>Charles Stewart Smith Collection, Gift of Mrs. Charles Stewart Smith, Charles Stewart Smith Jr., and Howard Caswell Smith, in memory of Charles Stewart Smith, 1914</t>
  </si>
  <si>
    <t>Gift</t>
  </si>
  <si>
    <t>Charles Stewart Smith Collection</t>
  </si>
  <si>
    <t>Mrs. Charles Stewart Smith, Charles Stewart Smith Jr., Howard Caswell Smith</t>
  </si>
  <si>
    <t>in memory of Charles Stewart Smith</t>
  </si>
  <si>
    <t>Paintings</t>
  </si>
  <si>
    <t>Hanging scroll</t>
  </si>
  <si>
    <t>ca. 1810</t>
  </si>
  <si>
    <t xml:space="preserve">9 7/16 × 20 3/16 in. (24 × 51.3 cm)
</t>
  </si>
  <si>
    <t>Image: 9 7/16 × 20 3/16 in. (24 × 51.3 cm)
Overall with mounting: 54 3/4 × 28 3/4 in. (139 × 73 cm)
Overall with knobs: 54 3/4 × 31 in. (139 × 78.7 cm)</t>
  </si>
  <si>
    <t>Purchase, Friends of Asian Art Gifts, 1991</t>
  </si>
  <si>
    <t>Friends of Asian Art Gifts</t>
  </si>
  <si>
    <t>JP3516</t>
  </si>
  <si>
    <t>詩歌写真鏡　李白|Ri Haku from the series Mirrors of Japanese and Chinese Poems (Shiika shashin kyō)</t>
  </si>
  <si>
    <t>李白</t>
  </si>
  <si>
    <t>Ri Haku</t>
  </si>
  <si>
    <t>Mirrors of Japanese and Chinese Poems</t>
  </si>
  <si>
    <t>詩歌写真鏡</t>
  </si>
  <si>
    <t>Shiika shashin kyō</t>
  </si>
  <si>
    <t>ca. 1832</t>
  </si>
  <si>
    <t>20 3/8 x 9 in. (51.8 x 22.9 cm)</t>
  </si>
  <si>
    <t>The Harry G. C. Packard Collection of Asian Art, Gift of Harry G. C. Packard, and Purchase, Fletcher, Rogers, Harris Brisbane Dick, and Louis V. Bell Funds, Joseph Pulitzer Bequest, and The Annenberg Fund Inc. Gift, 1975</t>
  </si>
  <si>
    <t>Gift, Purchase, Bequest</t>
  </si>
  <si>
    <t>The Harry G. C. Packard Collection of Asian Art</t>
  </si>
  <si>
    <t xml:space="preserve">Harry G. C. Packard </t>
  </si>
  <si>
    <t>JP2921</t>
  </si>
  <si>
    <t>雪月花　隅田|Snow on the Sumida River (Sumida), from the series, Snow, Moon, and Flowers (Setsugekka)</t>
  </si>
  <si>
    <t>隅田</t>
  </si>
  <si>
    <t>Sumida</t>
  </si>
  <si>
    <t>Snow on the Sumida River</t>
  </si>
  <si>
    <t>雪月花</t>
  </si>
  <si>
    <t>Setsugekka</t>
  </si>
  <si>
    <t>Snow, Moon, and Flowers</t>
  </si>
  <si>
    <t>ca. 1833</t>
  </si>
  <si>
    <t>9 3/4 x 14 1/2 in. (24.8 x 36.8 cm)</t>
  </si>
  <si>
    <t>JP1398</t>
  </si>
  <si>
    <t>諸國名橋奇覧　三河の八ツ橋の古図|Ancient View of Yatsuhashi in Mikawa Province (Mikawa no Yatsuhashi no kozu), from the series Remarkable Views of Bridges in Various Provinces (Shokoku meikyō kiran)</t>
  </si>
  <si>
    <t>三河の八ツ橋の古図</t>
  </si>
  <si>
    <t>Mikawa no Yatsuhashi no kozu</t>
  </si>
  <si>
    <t>Ancient View of Yatsuhashi in Mikawa Province</t>
  </si>
  <si>
    <t>ca. 1834</t>
  </si>
  <si>
    <t>9 1/8 x 14 5/8 in. (23.2 x 37.1 cm)</t>
  </si>
  <si>
    <t>JP1084</t>
  </si>
  <si>
    <t>諸國瀧廻リ　和州吉野義経馬洗滝|The Waterfall Where Yoshitsune Washed His Horse at Yoshino in Yamato Province (Washū Yoshino Yoshitsune uma arai no taki), from the series A Tour of Waterfalls in Various Provinces (Shokoku taki meguri)</t>
  </si>
  <si>
    <t>和州吉野義経馬洗滝</t>
  </si>
  <si>
    <t>Washū Yoshino Yoshitsune uma arai no taki</t>
  </si>
  <si>
    <t>The Waterfall Where Yoshitsune Washed His Horse at Yoshino in Yamato Province</t>
  </si>
  <si>
    <t>諸國瀧廻リ</t>
  </si>
  <si>
    <t>A Tour of Waterfalls in Various Provinces</t>
  </si>
  <si>
    <t>H. 14 5/8 in. (37.1 cm); W. 10 in. (25.4 cm)</t>
  </si>
  <si>
    <t>Rogers Fund, 1936</t>
  </si>
  <si>
    <t>JP1855</t>
  </si>
  <si>
    <t>古今書画鑑　熊谷蓮生坊真跡|Bird-and-Flower Paintings</t>
  </si>
  <si>
    <t>古今書画鑑　熊谷蓮生坊真跡</t>
  </si>
  <si>
    <t>Bird-and-Flower Paintings</t>
  </si>
  <si>
    <t>Katsushika Hokusai|Kumagai Naozane</t>
  </si>
  <si>
    <t>after</t>
  </si>
  <si>
    <t>calligrapher</t>
  </si>
  <si>
    <t>Kumagai Naozane</t>
  </si>
  <si>
    <t xml:space="preserve">Japanese </t>
  </si>
  <si>
    <t>ca. 1816–20</t>
  </si>
  <si>
    <t>H. 14 7/16 in. (36.7 cm); W. 10 1/16 in. (25.6 cm)</t>
  </si>
  <si>
    <t>H. O. Havemeyer Collection, Bequest of Mrs. H. O. Havemeyer, 1929</t>
  </si>
  <si>
    <t>H. O. Havemeyer Collection</t>
  </si>
  <si>
    <t>Mrs. H. O. Havemeyer</t>
  </si>
  <si>
    <t>JP1856</t>
  </si>
  <si>
    <t>Senseki|Katsushika Hokusai</t>
  </si>
  <si>
    <t>Senseki</t>
  </si>
  <si>
    <t>H. 14 3/16 in. (36 cm); W. 9 5/8 in. (24.4 cm)</t>
  </si>
  <si>
    <t>JP2968</t>
  </si>
  <si>
    <t>冨嶽三十六景　甲州犬目峠|The Inume Pass in Kai Province (Kōshū Inume tōge), from the series Thirty-six Views of Mount Fuji (Fugaku sanjūrokkei)</t>
  </si>
  <si>
    <t>甲州犬目峠</t>
  </si>
  <si>
    <t>Kōshū Inume tōge</t>
  </si>
  <si>
    <t>The Inume Pass in Kai Province</t>
  </si>
  <si>
    <t>ca. 1831–32</t>
  </si>
  <si>
    <t>9 7/8 x 14 7/8 in. (25.1 x 37.8 cm)</t>
  </si>
  <si>
    <t>JP1857</t>
  </si>
  <si>
    <t>H. 7 7/8 in. (20 cm); W. 21 7/8 in. (55.6 cm)</t>
  </si>
  <si>
    <t>JP1290</t>
  </si>
  <si>
    <t>風流無くてななくせ|Squeaking a Ground Cherry, from the series Seven Fashionable Useless Habits (Furyu nakute nana kuse)</t>
  </si>
  <si>
    <t>風流無くて</t>
  </si>
  <si>
    <t>Furyu nakute</t>
  </si>
  <si>
    <t>Squeaking a Ground Cherry</t>
  </si>
  <si>
    <t>ななくせ</t>
  </si>
  <si>
    <t>Nana kuse</t>
  </si>
  <si>
    <t>Seven Fashionable Useless Habits</t>
  </si>
  <si>
    <t>ca. 1798</t>
  </si>
  <si>
    <t>14 5/16 x 9 3/4 in. (36.4 x 24.8cm)</t>
  </si>
  <si>
    <t>JP2939</t>
  </si>
  <si>
    <t>百人一首　うはか縁説　清原深養父|Poem by Kiyohara no Fukayabu, from the series One Hundred Poems Explained by the Nurse (Hyakunin isshu uba ga etoki)</t>
  </si>
  <si>
    <t>清原深養父</t>
  </si>
  <si>
    <t>Kiyohara no Fukayabu</t>
  </si>
  <si>
    <t>Poem by Kiyohara no Fukayabu</t>
  </si>
  <si>
    <t>百人一首 うはか縁説</t>
  </si>
  <si>
    <t>10 5/8 x 14 1/2 in. (27 x 36.8 cm)</t>
  </si>
  <si>
    <t xml:space="preserve">Henry L. Phillips Collection, Bequest of Henry L. Phillips, 1939
</t>
  </si>
  <si>
    <t>JIB79a, b</t>
  </si>
  <si>
    <t>Illustrated book</t>
  </si>
  <si>
    <t>Edo meisho|Famous Sites of Edo</t>
  </si>
  <si>
    <t>Edo meisho</t>
  </si>
  <si>
    <t>Famous Sites of Edo</t>
  </si>
  <si>
    <t>10 1/16 × 6 5/8 × 1/4 in. (25.6 × 16.8 × 0.6 cm)</t>
  </si>
  <si>
    <t>each</t>
  </si>
  <si>
    <t xml:space="preserve">Gift of Mary L. Cassilly, 1894
</t>
  </si>
  <si>
    <t>Mary L. Cassilly</t>
  </si>
  <si>
    <t>Illustrated Books</t>
  </si>
  <si>
    <t>JP1847</t>
  </si>
  <si>
    <t>「富嶽三十六景　神奈川沖浪裏」|Under the Wave off Kanagawa (Kanagawa oki nami ura), also known as The Great Wave, from the series Thirty-six Views of Mount Fuji (Fugaku sanjūrokkei)</t>
  </si>
  <si>
    <t>10 1/8 x 14 15/16 in. (25.7 x 37.9 cm)</t>
  </si>
  <si>
    <t>JIB107</t>
  </si>
  <si>
    <t>Ehon Musashi no Abumi|A Picture Book of Japanese Warriors</t>
  </si>
  <si>
    <t>Ehon Musashi no Abumi</t>
  </si>
  <si>
    <t>A Picture Book of Japanese Warriors</t>
  </si>
  <si>
    <t>Polychrome Woodblock printed book</t>
  </si>
  <si>
    <t>8 7/8 × 6 1/8 × 3/8 in. (22.5 × 15.6 × 1 cm)</t>
  </si>
  <si>
    <t>The Howard Mansfield Collection, Gift of Howard Mansfield, 1936</t>
  </si>
  <si>
    <t>Howard Mansfield</t>
  </si>
  <si>
    <t>JIB16</t>
  </si>
  <si>
    <t>Onna Imagawa|Precepts for Women</t>
  </si>
  <si>
    <t>Onna Imagawa</t>
  </si>
  <si>
    <t>Precepts for Women</t>
  </si>
  <si>
    <t>ca. 1820s</t>
  </si>
  <si>
    <t>9 × 6 1/4 × 1/2 in. (22.9 × 15.9 × 1.3 cm)</t>
  </si>
  <si>
    <t>Rogers Fund, 1918</t>
  </si>
  <si>
    <t>JP2570</t>
  </si>
  <si>
    <t>ca. 1796</t>
  </si>
  <si>
    <t>8 1/2 x 6 in. (21.6 x 15.2 cm)</t>
  </si>
  <si>
    <t>The Howard Mansfield Collection, Purchase, Rogers Fund, 1936; New York, NY (1936; sold to MMA).</t>
  </si>
  <si>
    <t>14.76.36</t>
  </si>
  <si>
    <t>dated 1847</t>
  </si>
  <si>
    <t xml:space="preserve">31 3/4 × 12 1/2 in. (80.7 × 31.7 cm)
</t>
  </si>
  <si>
    <t>Image: 31 3/4 × 12 1/2 in. (80.7 × 31.7 cm)
Overall with mounting: 64 7/16 × 17 9/16 in. (163.7 × 44.6 cm)
Overall with knobs: 64 7/16 × 19 5/16 in. (163.7 × 49 cm)</t>
  </si>
  <si>
    <t xml:space="preserve">33 11/16 × 13 9/16 in. (85.5 × 34.5 cm)
</t>
  </si>
  <si>
    <t>Image: 33 11/16 × 13 9/16 in. (85.5 × 34.5 cm)
Overall with mounting: 59 1/2 × 16 15/16 in. (151.2 × 43 cm)
Overall with knobs: 59 1/2 × 19 3/16 in. (151.2 × 48.7 cm)</t>
  </si>
  <si>
    <t>Seymour Fund, 1959</t>
  </si>
  <si>
    <t>Purchae</t>
  </si>
  <si>
    <t>Seymour Fund</t>
  </si>
  <si>
    <t>14.76.56</t>
  </si>
  <si>
    <t>軍鶏図|Gamecocks</t>
  </si>
  <si>
    <t>軍鶏図</t>
  </si>
  <si>
    <t>Gamecocks</t>
  </si>
  <si>
    <t>dated 1838</t>
  </si>
  <si>
    <t xml:space="preserve">21 3/4 × 33 7/16 in. (55.3 × 85 cm)
</t>
  </si>
  <si>
    <t>Image: 21 3/4 × 33 7/16 in. (55.3 × 85 cm)
Overall with mounting: 59 7/16 × 40 3/16 in. (151 × 102 cm)
Overall with knobs: 59 7/16 × 63 3/8 in. (151 × 160.9 cm)</t>
  </si>
  <si>
    <t>36.100.28</t>
  </si>
  <si>
    <t>Attributed to</t>
  </si>
  <si>
    <t xml:space="preserve">27 3/8 × 10 15/16 in. (69.5 × 27.8 cm)
</t>
  </si>
  <si>
    <t>Image: 27 3/8 × 10 15/16 in. (69.5 × 27.8 cm)
Overall with mounting: 62 5/8 × 16 15/16 in. (159 × 43 cm)
Overall with knobs: 62 5/8 × 19 in. (159 × 48.2 cm)</t>
  </si>
  <si>
    <t>14.76.37</t>
  </si>
  <si>
    <t xml:space="preserve">23 1/4 × 11 7/8 in. (59.1 × 30.2 cm)
</t>
  </si>
  <si>
    <t>Image: 23 1/4 × 11 7/8 in. (59.1 × 30.2 cm)
Overall with mounting: 61 × 19 1/2 in. (154.9 × 49.6 cm)
Overall with knobs: 61 in. × 21 5/16 in. (154.9 × 54.1 cm)</t>
  </si>
  <si>
    <t>14.76.57</t>
  </si>
  <si>
    <t xml:space="preserve">42 1/4 × 14 3/16 in. (107.3 × 36 cm)
</t>
  </si>
  <si>
    <t>Image: 42 1/4 × 14 3/16 in. (107.3 × 36 cm)
Overall with mounting: 72 5/8 × 18 1/2 in. (184.5 × 47 cm)
Overall with knobs: 72 5/8 × 20 1/2 in. (184.5 × 52 cm)</t>
  </si>
  <si>
    <t>29.100.507</t>
  </si>
  <si>
    <t xml:space="preserve">30 7/8 × 9 5/8 in. (78.5 × 24.5 cm)
</t>
  </si>
  <si>
    <t>Image: 30 7/8 × 9 5/8 in. (78.5 × 24.5 cm)
Overall with mounting: 60 3/4 × 13 3/16 in. (154.3 × 33.5 cm)
Overall with knobs: 60 3/4 × 15 1/8 in. (154.3 × 38.4 cm)</t>
  </si>
  <si>
    <t>14.76.30</t>
  </si>
  <si>
    <t>dated 1790</t>
  </si>
  <si>
    <t xml:space="preserve">33 3/4 × 12 5/16 in. (85.8 × 31.3 cm)
</t>
  </si>
  <si>
    <t>Image: 33 3/4 × 12 5/16 in. (85.8 × 31.3 cm)
Overall with mounting: 67 5/16 × 12 5/16 in. (171 × 31.3 cm)
Overall with knobs: 67 5/16 × 19 1/8 in. (171 × 48.5 cm)</t>
  </si>
  <si>
    <t>14.76.34</t>
  </si>
  <si>
    <t>dated 1780</t>
  </si>
  <si>
    <t xml:space="preserve">49 3/16 × 19 5/8 in. (125 × 49.8 cm)
</t>
  </si>
  <si>
    <t>Image: 49 3/16 × 19 5/8 in. (125 × 49.8 cm)
Overall with mounting: 90 3/16 × 28 1/16 in. (229 cm)
Overall with knobs: 90 3/16 × 30 3/16 in. (229 × 76.7 cm)</t>
  </si>
  <si>
    <t>29.100.1403</t>
  </si>
  <si>
    <t xml:space="preserve">11 3/16 × 27 9/16 in. (28.4 × 70 cm)
</t>
  </si>
  <si>
    <t>Image: 11 3/16 × 27 9/16 in. (28.4 × 70 cm)
Overall with mounting: 45 3/8 × 30 7/16 in. (115.3 × 77.3 cm)
Overall with knobs: 45 3/8 × 30 13/16 in. (115.3 × 78.2 cm)</t>
  </si>
  <si>
    <t>29.100.536</t>
  </si>
  <si>
    <t>Painting</t>
  </si>
  <si>
    <t>13 1/2 x 9 5/8 in. (34.3 x 24.4 cm)</t>
  </si>
  <si>
    <t>36.100.29</t>
  </si>
  <si>
    <t xml:space="preserve">44 5/16 × 9 3/16 in. (112.5 × 23.4 cm)
</t>
  </si>
  <si>
    <t>Image: 44 5/16 × 9 3/16 in. (112.5 × 23.4 cm)
Overall with mounting: 80 9/16 × 10 11/16 in. (204.7 × 27.2 cm)
Overall with knobs: 80 9/16 × 12 1/2 in. (204.7 × 31.8 cm)</t>
  </si>
  <si>
    <t>14.76.44</t>
  </si>
  <si>
    <t>12 3/4 x 22 1/2 in. (32.4 x 57.2 cm)</t>
  </si>
  <si>
    <t>14.76.60.1–.109</t>
  </si>
  <si>
    <t>and others</t>
  </si>
  <si>
    <t>15 3/8 x 10 11/16 in. (39.1 x 27.1 cm)</t>
  </si>
  <si>
    <t>JIB141a, b</t>
  </si>
  <si>
    <t>Two booklets</t>
  </si>
  <si>
    <t xml:space="preserve"> 7 3/4 × 5 1/4 in. (19.7 × 13.3 cm</t>
  </si>
  <si>
    <t>Fletcher Fund, 1941</t>
  </si>
  <si>
    <t>37.119.3</t>
  </si>
  <si>
    <t>10 3/8 x 14 in. (26.4 x 35.6 cm)</t>
  </si>
  <si>
    <t>Fletcher Fund, 1937</t>
  </si>
  <si>
    <t>Fletcher Fund</t>
  </si>
  <si>
    <t>56.121.1</t>
  </si>
  <si>
    <t>18th–19th century</t>
  </si>
  <si>
    <t>10 3/4 x 6 7/8 in. (27.3 x 17.5 cm)</t>
  </si>
  <si>
    <t>Gift of Annette Young, in memory of her brother, Innis Young, 1956</t>
  </si>
  <si>
    <t>Annette Young</t>
  </si>
  <si>
    <t>in memory of Innis Young, the brother of Annette Young</t>
  </si>
  <si>
    <t>29.100.1400a–dd</t>
  </si>
  <si>
    <t>Tani Bunchō</t>
  </si>
  <si>
    <t>Japanese, 1763–1840</t>
  </si>
  <si>
    <t>Tani Bunchō|Katsushika Hokusai|Utagawa, Hiroshige</t>
  </si>
  <si>
    <t>Utagawa Hiroshige</t>
  </si>
  <si>
    <t xml:space="preserve"> Japanese, Tokyo (Edo) 1797–1858 Tokyo (Edo)</t>
  </si>
  <si>
    <t xml:space="preserve">6 3/4 x 6 in. (17.1 x 15.2 cm)
</t>
  </si>
  <si>
    <t>Average size: 6 3/4 x 6 in. (17.1 x 15.2 cm)
Leaf 1: 8 13/16 x 12 5/16 in. (20.8 x 31.2cm);  Leaves 2  thru 118: 6 13/16 x 5 7/8 in. (17.3 x 15cm) 
Leaf 119: 6 13/16 x 11 15/16 in. (17.3 x 30.3 cm)</t>
  </si>
  <si>
    <t>JP2912</t>
  </si>
  <si>
    <t>琉球八景　泉崎夜月|Evening Moon at Izumizaki (Izaumizaki yagetsu), from the series Eight Views of the Ryūkyū Islands (Ryūkyū hakkei)</t>
  </si>
  <si>
    <t>泉崎夜月</t>
  </si>
  <si>
    <t>Izaumizaki yagetsu</t>
  </si>
  <si>
    <t xml:space="preserve">Evening Moon at Izumizaki </t>
  </si>
  <si>
    <t>琉球八景</t>
  </si>
  <si>
    <t>Ryūkyū hakkei</t>
  </si>
  <si>
    <t>Eight Views of the Ryūkyū Islands</t>
  </si>
  <si>
    <t>9 7/8 x 14 5/8 in. (25.1 x 37.1 cm)</t>
  </si>
  <si>
    <t>JP2913</t>
  </si>
  <si>
    <t>琉球八景　中島蕉園|Banana Garden at Nakashima (Nakashima shōen), from the series Eight Views of the Ryūkyū Islands (Ryūkyū hakkei)</t>
  </si>
  <si>
    <t>中島蕉園</t>
  </si>
  <si>
    <t>Nakashima shōen</t>
  </si>
  <si>
    <t>Banana Garden at Nakashima</t>
  </si>
  <si>
    <t>JP2914</t>
  </si>
  <si>
    <t>琉球八景　粂村竹籬|Bamboo Hedge at Kumemura (Kumemura chikuri), from the series Eight Views of the Ryūkyū Islands (Ryūkyū hakkei)</t>
  </si>
  <si>
    <t>粂村竹籬</t>
  </si>
  <si>
    <t>Kumemura chikuri</t>
  </si>
  <si>
    <t>Bamboo Hedge at Kumemura</t>
  </si>
  <si>
    <t>JP2915</t>
  </si>
  <si>
    <t>琉球八景　城嶽霊泉|The Sacred Spring at Jōgaku (Jōgaku reisen), from the series Eight Views of the Ryūkyū Islands (Ryūkyū hakkei)</t>
  </si>
  <si>
    <t>城嶽霊泉</t>
  </si>
  <si>
    <t>Jōgaku reisen</t>
  </si>
  <si>
    <t>The Sacred Spring at Jōgaku</t>
  </si>
  <si>
    <t>JP2916</t>
  </si>
  <si>
    <t>琉球八景　臨海潮（湖）聲|Sound of the Lake at Rinkai (Rinkai kosei), from the series Eight Views of the Ryūkyū Islands (Ryūkyū hakkei)</t>
  </si>
  <si>
    <t>臨海潮（湖）聲</t>
  </si>
  <si>
    <t>Rinkai kosei</t>
  </si>
  <si>
    <t xml:space="preserve">Sound of the Lake at Rinkai </t>
  </si>
  <si>
    <t>Oban</t>
  </si>
  <si>
    <t>JP2917</t>
  </si>
  <si>
    <t>琉球八景　筍崖夕照|Evening Glow at Jungai (Jungai sekishō), from the series Eight Views of the Ryūkyū Islands (Ryūkyū hakkei)</t>
  </si>
  <si>
    <t>筍崖夕照</t>
  </si>
  <si>
    <t>Jungai sekishō</t>
  </si>
  <si>
    <t>Evening Glow at Jungai</t>
  </si>
  <si>
    <t>9 7/8 x 14 1/2 in. (25.1 x 36.8 cm)</t>
  </si>
  <si>
    <t>JP2918</t>
  </si>
  <si>
    <t>琉球八景　長虹秋霽|Autumn Sky at Chōkō (Chōkō shūsei), from the series Eight Views of the Ryūkyū Islands (Ryūkyū hakkei)</t>
  </si>
  <si>
    <t>長虹秋霽</t>
  </si>
  <si>
    <t>Chōkō shūsei</t>
  </si>
  <si>
    <t xml:space="preserve">Autumn Sky at Chōkō </t>
  </si>
  <si>
    <t>JP2919</t>
  </si>
  <si>
    <t>琉球八景　龍洞松濤|Pines and Waves at Ryūtō (Ryūtō shōtō), from the series Eight Views of the Ryūkyū Islands (Ryūkyū hakkei)</t>
  </si>
  <si>
    <t>龍洞松濤</t>
  </si>
  <si>
    <t>Ryūtō shōtō</t>
  </si>
  <si>
    <t xml:space="preserve">Pines and Waves at Ryūtō </t>
  </si>
  <si>
    <t>14.76.58.1–.25</t>
  </si>
  <si>
    <t>『画本葛飾振』|Picture Book in the Katsushika Style (Ehon Katsushika-buri)</t>
  </si>
  <si>
    <t>画本葛飾振</t>
  </si>
  <si>
    <t>Ehon Katsushika-buri</t>
  </si>
  <si>
    <t>Picture Book in the Katsushika Style</t>
  </si>
  <si>
    <t>ca. 1836</t>
  </si>
  <si>
    <t>10 x 15 1/2 in. (25.4 x 39.4 cm)</t>
  </si>
  <si>
    <t>JP1380</t>
  </si>
  <si>
    <t>諸國名橋奇覧　東海道岡崎矢はぎのはし|Yahagi Bridge at Okazaki on the Tōkaidō (Tōkaidō Okazaki Yahagi no hashi), from the series Remarkable Views of Bridges in Various Provinces (Shokoku meikyō kiran)</t>
  </si>
  <si>
    <t>東海道岡崎矢はぎのはし</t>
  </si>
  <si>
    <t>Tōkaidō Okazaki Yahagi no hashi</t>
  </si>
  <si>
    <t>Yahagi Bridge at Okazaki on the Tōkaidō</t>
  </si>
  <si>
    <t>H. 9 3/4 in. (24.8 cm); W. 14 1/2 in. (36.8 cm)</t>
  </si>
  <si>
    <t>JP1382</t>
  </si>
  <si>
    <t>諸國名橋奇覧　ゑちぜんふくゐの橋|Fukui Bridge in Echizen Province (Echizen Fukui no hashi), from the series Remarkable Views of Bridges in Various Provinces (Shokoku meikyō kiran)</t>
  </si>
  <si>
    <t>ゑちぜんふくゐの橋</t>
  </si>
  <si>
    <t>Echizen Fukui no hashi</t>
  </si>
  <si>
    <t>Fukui Bridge in Echizen Province</t>
  </si>
  <si>
    <t>H. 9 3/4 in. (24.8 cm); W. 14 1/2 in. ( 36.8 cm)</t>
  </si>
  <si>
    <t>JP2942</t>
  </si>
  <si>
    <t>諸國名橋奇覧　足利行道山くものかけはし|The Hanging-cloud Bridge at Mount Gyōdō near Ashikaga (Ashikaga Gyōdōzan kumo no kakehashi), from the series Remarkable Views of Bridges in Various Provinces (Shokoku meikyō kiran)</t>
  </si>
  <si>
    <t>足利行道山くものかけはし</t>
  </si>
  <si>
    <t>Ashikaga Gyōdōzan kumo no kakehashi</t>
  </si>
  <si>
    <t>The Hanging-cloud Bridge at Mount Gyōdō near Ashikaga</t>
  </si>
  <si>
    <t>1760–1849</t>
  </si>
  <si>
    <t>H. 10 1/8 in. (25.7 cm); W. 15 1/8 in. (38.4 cm)</t>
  </si>
  <si>
    <t>JP2944</t>
  </si>
  <si>
    <t>諸國名橋奇覧　飛越の堺つりはし|The Suspension Bridge on the Border of Hida and Etchū Provinces (Hietsu no sakai tsuribashi), from the series Remarkable Views of Bridges in Various Provinces (Shokoku meikyō kiran)</t>
  </si>
  <si>
    <t>飛越の堺つりはし</t>
  </si>
  <si>
    <t>Hietsu no sakai tsuribashi</t>
  </si>
  <si>
    <t>The Suspension Bridge on the Border of Hida and Etchū Provinces</t>
  </si>
  <si>
    <t>ca. 1830</t>
  </si>
  <si>
    <t>JP2949</t>
  </si>
  <si>
    <t>諸國名橋奇覧　摂洲天満橋|Tenman Bridge at Settsu Province (Sesshū  Tenmanbashi), from the series Remarkable Views of Bridges in Various Provinces (Shokoku meikyō kiran)</t>
  </si>
  <si>
    <t>摂洲天満橋</t>
  </si>
  <si>
    <t>Sesshū  Tenmanbashi</t>
  </si>
  <si>
    <t>Tenman Bridge at Settsu Province</t>
  </si>
  <si>
    <t>JP2994</t>
  </si>
  <si>
    <t>冨嶽三十六景　江都駿河町三井見世略図|Mitsui Shop at Surugachō in Edo (Edo Surugachō Mitsui mise ryaku zu), from the series Thirty-six Views of Mount Fuji (Fugaku sanjūrokkei)</t>
  </si>
  <si>
    <t>江都駿河町三井見世略図</t>
  </si>
  <si>
    <t>Edo Surugachō Mitsui mise ryaku zu</t>
  </si>
  <si>
    <t>Mitsui Shop at Surugachō in Edo</t>
  </si>
  <si>
    <t>JP2943</t>
  </si>
  <si>
    <t>諸國名橋奇覧　かうつけ佐野ふなはしの古づ|Old View of the Boat-bridge at Sano in Kōzuke Province (Kōzuke Sano funabashi no kozu), from the series Remarkable Views of Bridges in Various Provinces (Shokoku meikyō kiran)</t>
  </si>
  <si>
    <t>かうつけ佐野ふなはしの古づ</t>
  </si>
  <si>
    <t>Kōzuke Sano funabashi no kozu</t>
  </si>
  <si>
    <t xml:space="preserve">Old View of the Boat-bridge at Sano in Kōzuke Province </t>
  </si>
  <si>
    <t>10 1/8 x 15 1/2 in. (25.7 x 39.4 cm)</t>
  </si>
  <si>
    <t>JP1381</t>
  </si>
  <si>
    <t>Old View of the Boat-bridge at Sano in Kōzuke Province</t>
  </si>
  <si>
    <t>H. 9 3/4 in. (24.8 cm); W. 14 9/16 in. (37 cm)</t>
  </si>
  <si>
    <t>JP1851</t>
  </si>
  <si>
    <t>「諸國名橋寄覧　東海道岡崎 矢はぎのはし」|Yahagi Bridge at Okazaki on the Tōkaidō (Tōkaidō Okazaki Yahagi no hashi), from the series Remarkable Views of Bridges in Various Provinces (Shokoku meikyō kiran)</t>
  </si>
  <si>
    <t>東海道岡崎 矢はぎのはし</t>
  </si>
  <si>
    <t>H. 10 3/16 in. (25.9 cm); W. 15 1/16 in. (38.3 cm)</t>
  </si>
  <si>
    <t>JP2948</t>
  </si>
  <si>
    <t>諸國名橋奇覧　山城あらし山吐月橋　|Togetsu Bridge at Arashiyama in Yamashiro, from the series Remarkable Views of Bridges in Various Provinces (Shokoku meikyō kiran)</t>
  </si>
  <si>
    <t>山城あらし山吐月橋</t>
  </si>
  <si>
    <t>Togetsu Bridge at Arashiyama in Yamashiro</t>
  </si>
  <si>
    <t>10 3/8 x 15 1/4 in. (26.4 x 38.7 cm)</t>
  </si>
  <si>
    <t>JP2547</t>
  </si>
  <si>
    <t>10 x 14 7/8 in. (25.4 x 37.8 cm)</t>
  </si>
  <si>
    <t>JP1396</t>
  </si>
  <si>
    <t>H. 9 1/2 in. (24.1 cm); W. 14 1/16 in. (35.7 cm)</t>
  </si>
  <si>
    <t>JP1397</t>
  </si>
  <si>
    <t>H. 10 1/4 in. (26 cm); W. 15 1/8 in. (38.4 cm)</t>
  </si>
  <si>
    <t xml:space="preserve">Rogers Fund, 1922
</t>
  </si>
  <si>
    <t>JP2946</t>
  </si>
  <si>
    <t>JP2945</t>
  </si>
  <si>
    <t>JP2947</t>
  </si>
  <si>
    <t>諸國名橋奇覧　かめゐど天神たいこはし|The Arched Bridge at Kameido Tenjin Shrine (Kameido Tenjin Taikobashi), from the series Remarkable Views of Bridges in Various Provinces (Shokoku meikyō kiran)</t>
  </si>
  <si>
    <t>かめゐど天神たいこはし</t>
  </si>
  <si>
    <t>Kameido Tenjin Taikobashi</t>
  </si>
  <si>
    <t>The Arched Bridge at Kameido Tenjin Shrine</t>
  </si>
  <si>
    <t>JP2951</t>
  </si>
  <si>
    <t>JP2554</t>
  </si>
  <si>
    <t>冨嶽三十六景　御厩川岸より両国橋夕陽見|Viewing the Sunset over Ryōgoku Bridge from the Onmayagashi Embankment (Onmayagashi yori Ryōgokubashi sekiyō o miru), from the series Thirty-six Views of Mount Fuji (Fugaku sanjūrokkei)</t>
  </si>
  <si>
    <t>Viewing the Sunset over Ryōgoku Bridge from the Onmayagashi Embankment</t>
  </si>
  <si>
    <t>H. 10 1/8 in. (25.7 cm); W. 14 7/8 in. (37.8 cm)</t>
  </si>
  <si>
    <t>JP6</t>
  </si>
  <si>
    <t>百人一首　うはかゑとき　源宗于朝臣|Poem by Minamoto no Muneyuki Ason, from the series One Hundred Poems Explained by the Nurse (Hyakunin isshu uba ga etoki)</t>
  </si>
  <si>
    <t>源宗于朝臣</t>
  </si>
  <si>
    <t>Poem by Minamoto no Muneyuki Ason</t>
  </si>
  <si>
    <t>H. 9 7/8 in. (25.1 cm); W. 14 5/8 in. (37.1 cm)</t>
  </si>
  <si>
    <t>JP2224</t>
  </si>
  <si>
    <t>probably 1807</t>
  </si>
  <si>
    <t>5 7/16 x 11 1/8 in. (13.8 x 28.3 cm)</t>
  </si>
  <si>
    <t>JP2307</t>
  </si>
  <si>
    <t>5 1/8 x 7 3/16 in. (13 x 18.3 cm)</t>
  </si>
  <si>
    <t>JP2330</t>
  </si>
  <si>
    <t>8 7/16 x 7 1/2 in. (21.4 x 19.1 cm)</t>
  </si>
  <si>
    <t>JP2367</t>
  </si>
  <si>
    <t>7 1/2 x 10 1/4 in. (19.1 x 26 cm)</t>
  </si>
  <si>
    <t>JP2573</t>
  </si>
  <si>
    <t>Horimono-shi|職人三十六番|The Metal Carver</t>
  </si>
  <si>
    <t>職人三十六番</t>
  </si>
  <si>
    <t>Horimono-shi</t>
  </si>
  <si>
    <t>The Metal Carver</t>
  </si>
  <si>
    <t>5 1/2 x 7 1/2 in. (14 x 19.1 cm)</t>
  </si>
  <si>
    <t>JP2574</t>
  </si>
  <si>
    <t>Tachi-shi|職人三十六番|The Swordsmith</t>
  </si>
  <si>
    <t>Tachi-shi</t>
  </si>
  <si>
    <t>The Swordsmith</t>
  </si>
  <si>
    <t>5 3/8 x 7 3/8 in. (13.7 x 18.7 cm)</t>
  </si>
  <si>
    <t>JP2575</t>
  </si>
  <si>
    <t>Hata-ori|職人三十六歌仙|The Weaving Factory</t>
  </si>
  <si>
    <t>職人三十六歌仙</t>
  </si>
  <si>
    <t>Hata-ori</t>
  </si>
  <si>
    <t>The Weaving Factory</t>
  </si>
  <si>
    <t>ca. 1802</t>
  </si>
  <si>
    <t>JP2576</t>
  </si>
  <si>
    <t>5 3/8 x 7 1/4 in. (13.7 x 18.4 cm)</t>
  </si>
  <si>
    <t>JP2577</t>
  </si>
  <si>
    <t>ca. 1800</t>
  </si>
  <si>
    <t>5 1/2 x 10 1/2 in. (14 x 26.7 cm)</t>
  </si>
  <si>
    <t>JP2578</t>
  </si>
  <si>
    <t>Sakura-gai|元禄歌仙貝合|Cherry Shell, from the series Genroku Poetry Shell Games</t>
  </si>
  <si>
    <t>Sakura-gai</t>
  </si>
  <si>
    <t>Cherry Shell</t>
  </si>
  <si>
    <t>元禄歌仙貝合</t>
  </si>
  <si>
    <t>Genroku Kasen Kai-awase</t>
  </si>
  <si>
    <t>Genroku Poetry Shell Games</t>
  </si>
  <si>
    <t>probably 1821</t>
  </si>
  <si>
    <t>7 3/4 x 6 7/8 in. (19.7 x 17.5 cm)</t>
  </si>
  <si>
    <t>JP2579</t>
  </si>
  <si>
    <t>Miyako-gai|元禄歌仙貝合|Miyako Shell</t>
  </si>
  <si>
    <t>Miyako-gai</t>
  </si>
  <si>
    <t>Miyako Shell</t>
  </si>
  <si>
    <t>7 7/8 x 7 in. (20 x 17.8 cm)</t>
  </si>
  <si>
    <t>JP3001</t>
  </si>
  <si>
    <t>衣食住|Attire</t>
  </si>
  <si>
    <t>衣食住</t>
  </si>
  <si>
    <t>Attire</t>
  </si>
  <si>
    <t>5 5/8 x 7 1/2 in. (14.3 x 19.1 cm)</t>
  </si>
  <si>
    <t>JP3003</t>
  </si>
  <si>
    <t>5 1/8 x 6 13/16 in. (13 x 17.3 cm)</t>
  </si>
  <si>
    <t>JP3175</t>
  </si>
  <si>
    <t xml:space="preserve">7 5/8 × 21 1/16 in. (19.4 × 53.5 cm)
</t>
  </si>
  <si>
    <t>Image: 7 5/8 × 21 1/16 in. (19.4 × 53.5 cm)
Mat: 12 1/2 in. × 37 in. (31.8 × 94 cm)</t>
  </si>
  <si>
    <t>Gift of Mrs. Henry L. Phillips, in memory of her husband, Henry L. Phillips, 1957</t>
  </si>
  <si>
    <t>Mrs. Henry L. Phillips</t>
  </si>
  <si>
    <t>in memory of Henry L. Phillips, the husband of Mrs. Henry L. Phillips</t>
  </si>
  <si>
    <t>JP657</t>
  </si>
  <si>
    <t>ca. 1801</t>
  </si>
  <si>
    <t>7 1/8 x 20 1/4 in. (18.1 x 51.4 cm)</t>
  </si>
  <si>
    <t>JP658</t>
  </si>
  <si>
    <t>8 1/4 x 22 1/8 in. (21 x 56.2 cm)</t>
  </si>
  <si>
    <t>JP659</t>
  </si>
  <si>
    <t>ca. 1799–1810</t>
  </si>
  <si>
    <t>JP744</t>
  </si>
  <si>
    <t>7 3/8 x 13 1/8 in. (18.7 x 33.3 cm)</t>
  </si>
  <si>
    <t>JP745</t>
  </si>
  <si>
    <t>露草に鶏と雛|Rooster, Hen and Chicken with Spiderwort</t>
  </si>
  <si>
    <t>露草に鶏と雛</t>
  </si>
  <si>
    <t>Rooster, Hen and Chicken with Spiderwort</t>
  </si>
  <si>
    <t>ca. 1830–33</t>
  </si>
  <si>
    <t xml:space="preserve">9 x 11 1/2 in. (22.9 x 29.2 cm)
</t>
  </si>
  <si>
    <t>Image: 9 x 11 1/2 in. (22.9 x 29.2 cm)
Overall with paper mount: 12 7/8 x 18 1/2 in. (32.7 x 47 cm)
Overall with mat: 15 1/2 x 22 3/4 in. (39.4 x 57.8 cm)</t>
  </si>
  <si>
    <t>JP746</t>
  </si>
  <si>
    <t>葛飾北斎画　桔梗に蜻蛉|Dragonfly and Bellflower</t>
  </si>
  <si>
    <t>桔梗に蜻蛉</t>
  </si>
  <si>
    <t>Dragonfly and Bellflower</t>
  </si>
  <si>
    <t>9 3/4 x 14 3/16 in. (24.8 x 36 cm)</t>
  </si>
  <si>
    <t>JP1011</t>
  </si>
  <si>
    <t>7 11/16 x 20 3/8 in. (19.5 x 51.8 cm)</t>
  </si>
  <si>
    <t>Gift of Estate of Samuel Isham, 1914</t>
  </si>
  <si>
    <t>Estate of Samuel Isham</t>
  </si>
  <si>
    <t>JP1108</t>
  </si>
  <si>
    <t>8 1/2 x 13 5/16 in. (21.6 x 33.8 cm)</t>
  </si>
  <si>
    <t>Rogers Fund, 1919</t>
  </si>
  <si>
    <t>JP1142</t>
  </si>
  <si>
    <t>8 3/8 x 7 1/4 in. (21.3 x 18.4 cm)</t>
  </si>
  <si>
    <t>JP1246</t>
  </si>
  <si>
    <t>ca. 1814</t>
  </si>
  <si>
    <t>8 5/16 x 5 9/16 in. (21.1 x 14.1 cm)</t>
  </si>
  <si>
    <t>Rogers Fund, 1921</t>
  </si>
  <si>
    <t>JP1247</t>
  </si>
  <si>
    <t>8 x 10 3/8 in. (20.3 x 26.4 cm)</t>
  </si>
  <si>
    <t>JP1393</t>
  </si>
  <si>
    <t>8 1/4 x 7 3/8 in. (21 x 18.7 cm)</t>
  </si>
  <si>
    <t>JP1853</t>
  </si>
  <si>
    <t>6 11/16 x 18 3/16 in. (17 x 46.2 cm)</t>
  </si>
  <si>
    <t>JP1864</t>
  </si>
  <si>
    <t>7 3/4 x 27 7/16 in. (19.7 x 69.7 cm)</t>
  </si>
  <si>
    <t>JP1865</t>
  </si>
  <si>
    <t>1800–1815</t>
  </si>
  <si>
    <t>7 5/16 x 19 7/8 in. (18.6 x 50.5 cm)</t>
  </si>
  <si>
    <t>JP1866</t>
  </si>
  <si>
    <t>5 1/8 x 7 5/16 in. (13 x 18.6 cm)</t>
  </si>
  <si>
    <t>JP1867</t>
  </si>
  <si>
    <t>7 7/8 x 7 1/4 in. (20 x 18.4 cm)</t>
  </si>
  <si>
    <t>JP1868</t>
  </si>
  <si>
    <t>1820–33</t>
  </si>
  <si>
    <t>8 9/16 x 7 1/16 in. (21.7 x 17.9 cm)</t>
  </si>
  <si>
    <t>JP1869</t>
  </si>
  <si>
    <t>6 5/16 x 12 7/16 in. (16 x 31.6 cm)</t>
  </si>
  <si>
    <t>JP1870</t>
  </si>
  <si>
    <t>ca. 1804–13</t>
  </si>
  <si>
    <t>8 1/8 x 10 11/16 in. (20.6 x 27.1 cm)</t>
  </si>
  <si>
    <t>JP1872</t>
  </si>
  <si>
    <t>8 1/16 x 7 1/4 in. (20.5 x 18.4 cm)</t>
  </si>
  <si>
    <t>JP1873</t>
  </si>
  <si>
    <t>元禄歌仙貝合|Ashi Clam, from the series "Genroku Kasen Kai-awase"</t>
  </si>
  <si>
    <t>Ashi-gai</t>
  </si>
  <si>
    <t>Ashi Clam</t>
  </si>
  <si>
    <t>7 15/16 x 7 in. (20.2 x 17.8 cm)</t>
  </si>
  <si>
    <t>JP1900</t>
  </si>
  <si>
    <t>1808–27</t>
  </si>
  <si>
    <t>8 1/4 x 7 1/2 in. (21 x 19.1 cm)</t>
  </si>
  <si>
    <t>JP2019</t>
  </si>
  <si>
    <t>初詣|Young Women Visiting a Shinto Shrine</t>
  </si>
  <si>
    <t>初詣</t>
  </si>
  <si>
    <t>Young Women Visiting a Shinto Shrine</t>
  </si>
  <si>
    <t>8 3/8 x 5 7/16 in. (21.3 x 13.8 cm)</t>
  </si>
  <si>
    <t>JP2969</t>
  </si>
  <si>
    <t>冨嶽三十六景　甲州三坂水面|Reflection in Lake at Misaka in Kai Province (Kōshū Misaka suimen), from the series Thirty-six Views of Mount Fuji (Fugaku sanjūrokkei</t>
  </si>
  <si>
    <t>Reflection in Lake at Misaka in Kai Province</t>
  </si>
  <si>
    <t>JP1012</t>
  </si>
  <si>
    <t>Fuji Tohō|The Top of Mount Fuji</t>
  </si>
  <si>
    <t>Fuji Tohō</t>
  </si>
  <si>
    <t>The Top of Mount Fuji</t>
  </si>
  <si>
    <t>H. 10 1/8 in. (25.7 cm); W. 15 1/4 in. (38.7 cm)</t>
  </si>
  <si>
    <t>JP1013</t>
  </si>
  <si>
    <t>今戸川|Imadogawa</t>
  </si>
  <si>
    <t>今戸川</t>
  </si>
  <si>
    <t>Imadogawa</t>
  </si>
  <si>
    <t>ca. 1801–4</t>
  </si>
  <si>
    <t>H. 10 3/16 in. (25.9 cm); W. 15 1/4 in. (38.3 cm)</t>
  </si>
  <si>
    <t>JP1014</t>
  </si>
  <si>
    <t>百人一首　乳母かえ説　元良親王|Poem by Motoyoshi Shinnō, from the series One Hundred Poems Explained by the Nurse (Hyakunin isshu uba ga etoki)</t>
  </si>
  <si>
    <t>元良親王</t>
  </si>
  <si>
    <t>Motoyoshi Shinnō</t>
  </si>
  <si>
    <t>Poem by Motoyoshi Shinnō</t>
  </si>
  <si>
    <t>百人一首　乳母かえ説</t>
  </si>
  <si>
    <t>H. 10 1/8 in. (25.7 cm); W. 14 1/2 in. (36.8 cm)</t>
  </si>
  <si>
    <t>JP1015</t>
  </si>
  <si>
    <t>JP1016</t>
  </si>
  <si>
    <t>葛飾北斎画　菊に雀|Sparrows and Chrysanthemums</t>
  </si>
  <si>
    <t>菊に雀</t>
  </si>
  <si>
    <t>Sparrows and Chrysanthemums</t>
  </si>
  <si>
    <t>ca. 1825</t>
  </si>
  <si>
    <t>H. 8 1/2 in. (21.6 cm); W. 10 13/16 in. (27.5 cm)</t>
  </si>
  <si>
    <t>29.100.511</t>
  </si>
  <si>
    <t>23 7/8 x 15 3/4 in. (60.6 x 40 cm)</t>
  </si>
  <si>
    <t>JP2150</t>
  </si>
  <si>
    <t>7 1/2 x 10 3/8 in. (19.1 x 26.4 cm)</t>
  </si>
  <si>
    <t>JP1081</t>
  </si>
  <si>
    <t>諸國瀧廻リ　下野黒髪山 きりふりの滝|Kirifuri Waterfall at Kurokami Mountain in Shimotsuke (Shimotsuke Kurokamiyama Kirifuri no taki), from the series A Tour of Waterfalls in Various Provinces (Shokoku taki meguri)</t>
  </si>
  <si>
    <t>下野黒髪山 きりふりの滝</t>
  </si>
  <si>
    <t>Shimotsuke Kurokamiyama Kirifuri no taki</t>
  </si>
  <si>
    <t>Kirifuri Waterfall at Kurokami Mountain in Shimotsuke</t>
  </si>
  <si>
    <t>14 3/4 × 10 1/4 in. (37.5 × 26 cm)</t>
  </si>
  <si>
    <t>Image</t>
  </si>
  <si>
    <t>The Metropolitan Museum of Art</t>
  </si>
  <si>
    <t>JP1082</t>
  </si>
  <si>
    <t>諸國瀧廻リ　木曾海道小野ノ瀑布|Ono Waterfall on the Kisokaidō (Kisokaidō Ono no bakufu), from the series A Tour of Waterfalls in Various Provinces (Shokoku taki meguri)</t>
  </si>
  <si>
    <t>木曾海道小野ノ瀑布</t>
  </si>
  <si>
    <t>Kisokaidō Ono no bakufu</t>
  </si>
  <si>
    <t>Ono Waterfall on the Kisokaidō</t>
  </si>
  <si>
    <t>14 7/8 x 10 5/16 in. (37.8 x 26.2 cm)</t>
  </si>
  <si>
    <t>JP1083</t>
  </si>
  <si>
    <t>諸國瀧廻リ　東海道坂ノ下 清瀧くわんおん|Kiyotaki Kannon Waterfall at Sakanoshita on the Tōkaidō (Tōkaidō Sakanoshita Kiyotaki kannon), from the series A Tour of Waterfalls in Various Provinces (Shokoku taki meguri)</t>
  </si>
  <si>
    <t>東海道坂ノ下 清瀧くわんおん</t>
  </si>
  <si>
    <t>Tōkaidō Sakanoshita Kiyotaki kannon</t>
  </si>
  <si>
    <t>Kiyotaki Kannon Waterfall at Sakanoshita on the Tōkaidō</t>
  </si>
  <si>
    <t>H. 14 5/8 in. (37.1 cm); W. 10 3/16 in. (25.9 cm)</t>
  </si>
  <si>
    <t>JP1085</t>
  </si>
  <si>
    <t>諸國瀧廻リ　木曽路ノ奥 阿彌陀ヶ瀧|The Amida Falls in the Far Reaches of the Kisokaidō Road (Kisoji no oku Amida-ga-taki), from the series A Tour of Waterfalls in Various Provinces (Shokoku taki meguri)</t>
  </si>
  <si>
    <t>木曽路ノ奥 阿彌陀ヶ瀧</t>
  </si>
  <si>
    <t>Kisoji no oku Amida-ga-taki</t>
  </si>
  <si>
    <t>The Amida Falls in the Far Reaches of the Kisokaidō Road</t>
  </si>
  <si>
    <t>14 1/2 x 10 in. (36.8 x 25.4 cm)</t>
  </si>
  <si>
    <t>JP1086</t>
  </si>
  <si>
    <t>諸國瀧廻　東都葵ヶ岡の瀧|Fall of Aoiga Oka, Yedo</t>
  </si>
  <si>
    <t>東都葵ヶ岡の瀧</t>
  </si>
  <si>
    <t>Fall of Aoiga Oka, Yedo</t>
  </si>
  <si>
    <t>H. 14 3/4 in. (37.5 cm); W. 10 3/16 in. (25.9 cm)</t>
  </si>
  <si>
    <t>JP1087</t>
  </si>
  <si>
    <t>H. 14 3/8 in. (36.5 cm); W. 10 1/8 in. (25.7 cm)</t>
  </si>
  <si>
    <t>JP1088</t>
  </si>
  <si>
    <t>諸國瀧廻リ　美濃ノ国養老の滝|Yōrō Waterfall in Mino Province (Mino no Yōrō no taki), from the series A Tour of Waterfalls in Various Provinces (Shokoku taki meguri)</t>
  </si>
  <si>
    <t>美濃ノ国養老の滝</t>
  </si>
  <si>
    <t>Mino no Yōrō no taki</t>
  </si>
  <si>
    <t>Yōrō Waterfall in Mino Province</t>
  </si>
  <si>
    <t>H. 14 7/16 in. (36.7 cm); W. 10 3/16 in. (25.9 cm)</t>
  </si>
  <si>
    <t>JP1117</t>
  </si>
  <si>
    <t>H. 13 7/8 in. (35.2 cm); W. 4 9/16 in. (11.6 cm)</t>
  </si>
  <si>
    <t>JP2177</t>
  </si>
  <si>
    <t>7 1/2 x 21 1/4 in. (19.1 x 54 cm)</t>
  </si>
  <si>
    <t>JP1284</t>
  </si>
  <si>
    <t>冨嶽三十六景　東海道品川御殿山の不二|Fuji from Gotenyama on the Tōkaidō at Shinagawa (Tōkaidō Shinagawa Gotenyama no Fuji), from the series Thirty-six Views of Mount Fuji (Fugaku sanjūrokkei)</t>
  </si>
  <si>
    <t>東海道品川御殿山の不二</t>
  </si>
  <si>
    <t>Tōkaidō Shinagawa Gotenyama no Fuji</t>
  </si>
  <si>
    <t>Fuji from Gotenyama on the Tōkaidō at Shinagawa</t>
  </si>
  <si>
    <t>H. 9 3/4 in. (24.8 cm); W. 14 7/16 in. (36.7 cm)</t>
  </si>
  <si>
    <t>JP1285</t>
  </si>
  <si>
    <t>冨嶽三十六景　本所立川|Tatekawa in Honjō (Honjō Tatekawa), from the series Thirty-six Views of Mount Fuji (Fugaku sanjūrokkei)</t>
  </si>
  <si>
    <t>本所立川</t>
  </si>
  <si>
    <t>Honjō Tatekawa</t>
  </si>
  <si>
    <t>Tatekawa in Honjō</t>
  </si>
  <si>
    <t>9 3/4 x 14 1/8 in. (24.8 x 35.9cm)</t>
  </si>
  <si>
    <t>JP1286</t>
  </si>
  <si>
    <t>冨嶽三十六景　下目黒|Lower Meguro (Shimo Meguro), from the series Thirty-six Views of Mount Fuji (Fugaku sanjūrokkei)</t>
  </si>
  <si>
    <t>下目黒</t>
  </si>
  <si>
    <t>Shimo Meguro</t>
  </si>
  <si>
    <t>Lower Meguro</t>
  </si>
  <si>
    <t>H. 9 11/16 in. (24.6 cm); W. 14 3/8 in. (36.5 cm)</t>
  </si>
  <si>
    <t>JP1287</t>
  </si>
  <si>
    <t>冨嶽三十六景　東都駿台|Surugadai in Edo (Tōto Sundai), from the series Thirty-six Views of Mount Fuji (Fugaku sanjūrokkei)</t>
  </si>
  <si>
    <t>東都駿台</t>
  </si>
  <si>
    <t>Tōto Sundai</t>
  </si>
  <si>
    <t>Surugadai in Edo</t>
  </si>
  <si>
    <t>H. 9 3/4 in. (24.8 cm); W. 14 3/8 in. (36.5 cm)</t>
  </si>
  <si>
    <t>JP1288</t>
  </si>
  <si>
    <t>冨嶽三十六景　東海道江尻田子の浦略図|Tago Bay near Ejiri on the Tōkaidō (Tōkaidō Ejiri Tago no ura ryaku zu), from the series Thirty-six Views of Mount Fuji (Fugaku sanjūrokkei)</t>
  </si>
  <si>
    <t>東海道江尻田子の浦略図</t>
  </si>
  <si>
    <t>Tōkaidō Ejiri Tago no ura ryaku zu</t>
  </si>
  <si>
    <t>Tago Bay near Ejiri on the Tōkaidō</t>
  </si>
  <si>
    <t>9 3/4 x 14 3/8 in. (24.8 x 36.5 cm)</t>
  </si>
  <si>
    <t>JP1289</t>
  </si>
  <si>
    <t>冨嶽三十六景　武州千住|Senju in Musashi Province (Bushū Senju), from the series Thirty-six Views of Mount Fuji (Fugaku sanjūrokkei)</t>
  </si>
  <si>
    <t>武州千住</t>
  </si>
  <si>
    <t>Bushū Senju</t>
  </si>
  <si>
    <t xml:space="preserve">Senju in Musashi Province </t>
  </si>
  <si>
    <t>JP1294</t>
  </si>
  <si>
    <t>冨嶽三十六景　東海道金谷の不二|Fuji Seen from Kanaya on the Tōkaidō (Tōkaidō Kanaya no Fuji), from the series Thirty-six Views of Mount Fuji (Fugaku sanjūrokkei)</t>
  </si>
  <si>
    <t>東海道金谷の不二</t>
  </si>
  <si>
    <t>Tōkaidō Kanaya no Fuji</t>
  </si>
  <si>
    <t>Fuji Seen from Kanaya on the Tōkaidō</t>
  </si>
  <si>
    <t>H. 10 in. (25.4 cm); W. 14 1/2 in. (36.8 cm)</t>
  </si>
  <si>
    <t>JP1295</t>
  </si>
  <si>
    <t>冨嶽三十六景　江戸日本橋|Nihonbashi in Edo (Edo Nihonbashi), from the series Thirty-six Views of Mount Fuji (Fugaku sanjūrokkei)</t>
  </si>
  <si>
    <t>江戸日本橋</t>
  </si>
  <si>
    <t>Edo Nihonbashi</t>
  </si>
  <si>
    <t>Nihonbashi in Edo</t>
  </si>
  <si>
    <t>JP1296</t>
  </si>
  <si>
    <t>JP1322</t>
  </si>
  <si>
    <t>冨嶽三十六景　諸人登山|Groups of Mountain Climbers (Shojin tozan), from the series Thirty-six Views of Mount Fuji (Fugaku sanjūrokkei)</t>
  </si>
  <si>
    <t>諸人登山</t>
  </si>
  <si>
    <t>Shojin tozan</t>
  </si>
  <si>
    <t>Groups of Mountain Climbers</t>
  </si>
  <si>
    <t>H. 10 in. (25.4 cm); W. 14 3/4 in. (37.5 cm)</t>
  </si>
  <si>
    <t>JP1323</t>
  </si>
  <si>
    <t>冨嶽三十六景　東都浅草本願寺|Honganji at Asakusa in Edo (Tōto Asakusa Honganji), from the series Thirty-six Views of Mount Fuji (Fugaku sanjūrokkei)</t>
  </si>
  <si>
    <t>東都浅草本願寺</t>
  </si>
  <si>
    <t>Tōto Asakusa Honganji</t>
  </si>
  <si>
    <t>Honganji at Asakusa in Edo</t>
  </si>
  <si>
    <t>JP1324</t>
  </si>
  <si>
    <t>冨嶽三十六景　東海道吉田|Yoshida on the Tōkaidō (Tōkaidō Yoshida), from the series Thirty-six Views of Mount Fuji (Fugaku sanjūrokkei)</t>
  </si>
  <si>
    <t>東海道吉田</t>
  </si>
  <si>
    <t>Tōkaidō Yoshida</t>
  </si>
  <si>
    <t>Yoshida on the Tōkaidō</t>
  </si>
  <si>
    <t>JP1325</t>
  </si>
  <si>
    <t>冨嶽三十六景　相州仲原|Nakahara in Sagami Province (Sōshū Nakahara), from the series Thirty-six Views of Mount Fuji (Fugaku sanjūrokkei)</t>
  </si>
  <si>
    <t>相州仲原</t>
  </si>
  <si>
    <t>Sōshū Nakahara</t>
  </si>
  <si>
    <t>Nakahara in Sagami Province</t>
  </si>
  <si>
    <t>JP1326</t>
  </si>
  <si>
    <t>冨嶽三十六景　従千住花街眺望の不二|Fuji Seen in the Distance from Senju Pleasure Quarter (Senju kagai yori chōbō no Fuji), from the series Thirty-six Views of Mount Fuji (Fugaku sanjūrokkei)</t>
  </si>
  <si>
    <t>従千住花街眺望の不二</t>
  </si>
  <si>
    <t>Senju kagai yori chōbō no Fuji</t>
  </si>
  <si>
    <t xml:space="preserve">Fuji Seen in the Distance from Senju Pleasure Quarter </t>
  </si>
  <si>
    <t>H. 9 7/8 in. (25.1 cm); W. 14 3/4 in. (37.5 cm)</t>
  </si>
  <si>
    <t>JP1328</t>
  </si>
  <si>
    <t>冨嶽三十六景　甲州伊沢暁|Dawn at Isawa in Kai Province (Kōshū Isawa no akatsuki), from the series Thirty-six Views of Mount Fuji (Fugaku sanjūrokkei)</t>
  </si>
  <si>
    <t>甲州伊沢暁</t>
  </si>
  <si>
    <t>Kōshū Isawa no akatsuki</t>
  </si>
  <si>
    <t>Dawn at Isawa in Kai Province</t>
  </si>
  <si>
    <t>H. 10 5/16 in. (26.2 cm); W. 15 in. (38.1 cm)</t>
  </si>
  <si>
    <t>JP1329</t>
  </si>
  <si>
    <t>JP1330</t>
  </si>
  <si>
    <t>冨嶽三十六景　礫川雪の旦|Morning after the Snow at Koishikawa in Edo (Koishikawa yuki no ashita),  from the series Thirty-six Views of Mount Fuji (Fugaku sanjūrokkei)</t>
  </si>
  <si>
    <t>礫川雪の旦</t>
  </si>
  <si>
    <t>Koishikawa yuki no ashita</t>
  </si>
  <si>
    <t>Morning after the Snow at Koishikawa in Edo</t>
  </si>
  <si>
    <t>H. 10 1/8 in. (25.7 cm); W. 15 1/16 in. (38.3 cm)</t>
  </si>
  <si>
    <t>JP1332</t>
  </si>
  <si>
    <t>冨嶽三十六景　深川万年橋下|Under the Mannen Bridge at Fukagawa (Fukagawa Mannenbashi shita), from the series Thirty-six Views of Mount Fuji (Fugaku sanjūrokkei)</t>
  </si>
  <si>
    <t>深川万年橋下</t>
  </si>
  <si>
    <t>Fukagawa Mannenbashi shita</t>
  </si>
  <si>
    <t>Under the Mannen Bridge at Fukagawa</t>
  </si>
  <si>
    <t>10 1/8 x 15 3/16 in. (25.7 x 38.6 cm)</t>
  </si>
  <si>
    <t>JP1333</t>
  </si>
  <si>
    <t>H. 10 1/4 in. (26 cm); W. 15 in. (38.1 cm)</t>
  </si>
  <si>
    <t>JP1338</t>
  </si>
  <si>
    <t>冨嶽三十六景　隅田川関屋の里|Sekiya Village on the Sumida River (Sumidagawa Sekiya no sato), from the series Thirty-six Views of Mount Fuji (Fugaku sanjūrokkei)</t>
  </si>
  <si>
    <t>隅田川関屋の里</t>
  </si>
  <si>
    <t>Sumidagawa Sekiya no sato</t>
  </si>
  <si>
    <t>Sekiya Village on the Sumida River</t>
  </si>
  <si>
    <t>H. 10 in. (25.4 cm); W. 15 1/4 in. (38.7 cm)</t>
  </si>
  <si>
    <t>JP1341</t>
  </si>
  <si>
    <t>百人一首　うはかゑとき　天智天皇|Poem by Tenchi Tennō, from the series One Hundred Poems Explained by the Nurse (Hyakunin isshu uba ga etoki)</t>
  </si>
  <si>
    <t>天智天皇</t>
  </si>
  <si>
    <t>Tenchi Tennō</t>
  </si>
  <si>
    <t>Poem by Tenchi Tennō</t>
  </si>
  <si>
    <t>H. 9 15/16 in. (25.2 cm); W. 14 5/16 in. (36.4 cm)</t>
  </si>
  <si>
    <t>JP1383</t>
  </si>
  <si>
    <t>冨嶽三十六景　東海道保土ケ谷|Hodogaya on the Tōkaidō (Tōkaidō Hodogaya), from the series Thirty-six Views of Mount Fuji (Fugaku sanjūrokkei)</t>
  </si>
  <si>
    <t>東海道保土ケ谷</t>
  </si>
  <si>
    <t>Tōkaidō Hodogaya</t>
  </si>
  <si>
    <t>Hodogaya on the Tōkaidō</t>
  </si>
  <si>
    <t>JP1395</t>
  </si>
  <si>
    <t>雪月花　吉野|Cherry Blossoms at Yoshino (Yoshino), from the series Snow, Moon, and Flowers (Setsugekka)</t>
  </si>
  <si>
    <t>吉野</t>
  </si>
  <si>
    <t>Yoshino</t>
  </si>
  <si>
    <t>Cherry Blossoms at Yoshino</t>
  </si>
  <si>
    <t>H. 10 1/4 in. (26 cm); W. 14 15/16 in. (37.9 cm)</t>
  </si>
  <si>
    <t>JP1425</t>
  </si>
  <si>
    <t>百人一首　乳母か縁説　在原業平|Poem by Ariwara no Narihira, from the series One Hundred Poems Explained by the Nurse (Hyakunin isshu uba ga etoki)</t>
  </si>
  <si>
    <t>在原業平</t>
  </si>
  <si>
    <t>Ariwara no Narihira</t>
  </si>
  <si>
    <t>Poem by Ariwara no Narihira</t>
  </si>
  <si>
    <t>百人一首　乳母か縁説</t>
  </si>
  <si>
    <t>H. 10 1/8 in. (25.7 cm); W. 15 in. (38.1 cm)</t>
  </si>
  <si>
    <t>JP1426</t>
  </si>
  <si>
    <t>H. 9 11/16 in. (24.6 cm); W. 14 1/4 in. (36.2 cm)</t>
  </si>
  <si>
    <t>JP1427</t>
  </si>
  <si>
    <t>H. 9 15/16 in. (25.2 cm); W. 14 3/4 in. (37.5 cm)</t>
  </si>
  <si>
    <t>JP1428</t>
  </si>
  <si>
    <t>H. 14 3/4 in. (37.5 cm); W. 10 in. (25.4 cm)</t>
  </si>
  <si>
    <t>JP1429</t>
  </si>
  <si>
    <t>雪月花　淀川|Moonlight on the Yodo River (Yodogawa), from the series Snow, Moon, and Flowers (Setsugekka)</t>
  </si>
  <si>
    <t>淀川</t>
  </si>
  <si>
    <t>Yodogawa</t>
  </si>
  <si>
    <t>Moonlight on the Yodo River</t>
  </si>
  <si>
    <t>H. 9 5/8 in. (24.4 cm); W. 14 9/16 in. (37 cm)</t>
  </si>
  <si>
    <t>JP1430</t>
  </si>
  <si>
    <t xml:space="preserve">Eight Views of the Ryūkyū Islands </t>
  </si>
  <si>
    <t>H. 10 1/16 in. (25.6 cm); 14 5/8 in. (37.1 cm)</t>
  </si>
  <si>
    <t>JP1456</t>
  </si>
  <si>
    <t>冨嶽三十六景　駿州大野新田|The New Fields at Ōno in Suruga Province (Sunshū Ōno shinden), from the series Thirty-six Views of Mount Fuji (Fugaku sanjūrokkei)</t>
  </si>
  <si>
    <t>駿州大野新田</t>
  </si>
  <si>
    <t>Sunshū Ōno shinden</t>
  </si>
  <si>
    <t>The New Fields at Ōno in Suruga Province</t>
  </si>
  <si>
    <t>9 7/8 x 14 7/8in. (25.1 x 37.8cm)</t>
  </si>
  <si>
    <t>Rogers Fund, 1923</t>
  </si>
  <si>
    <t>JP1457</t>
  </si>
  <si>
    <t>諸國名橋奇覧　摂洲阿治川口天保山|Tenpōzan at the Mouth of the Aji River in Settsu Province (Sesshū Ajikawaguchi Tenpōzan), from the series Remarkable Views of Bridges in Various Provinces (Shokoku meikyō kiran)</t>
  </si>
  <si>
    <t>摂洲阿治川口天保山</t>
  </si>
  <si>
    <t>Sesshū Ajikawaguchi Tenpōzan</t>
  </si>
  <si>
    <t>Tenpōzan at the Mouth of the Aji River in Settsu Province</t>
  </si>
  <si>
    <t>H. 10 in. (25.4 cm); W. 14 5/8 in. (37.1 cm)</t>
  </si>
  <si>
    <t>JP1482</t>
  </si>
  <si>
    <t xml:space="preserve">At Sea off Kazusa </t>
  </si>
  <si>
    <t>H. 9 7/8 in. (25.1 cm); W. 15 1/16 in. (38.3 cm)</t>
  </si>
  <si>
    <t>Rogers Fund, 1926</t>
  </si>
  <si>
    <t>JP3415</t>
  </si>
  <si>
    <t>百人一首　うはかゑとき　権中納言匡房|Poem by Gon-chūnagon Masafusa (Ōe no Masafusa), from the series One Hundred Poems Explained by the Nurse (Hyakunin isshu uba ga etoki)</t>
  </si>
  <si>
    <t>権中納言匡房</t>
  </si>
  <si>
    <t>Ōe no Masafusa</t>
  </si>
  <si>
    <t>Poem by Gon-chūnagon Masafusa</t>
  </si>
  <si>
    <t>Taishō period (1912–26)</t>
  </si>
  <si>
    <t>9 3/4 x 14 5/8 in. (24.8 x 37.1 cm)</t>
  </si>
  <si>
    <t>Gift of Mrs. Carll Tucker, 1962</t>
  </si>
  <si>
    <t>Mrs. Carll Tucker</t>
  </si>
  <si>
    <t>JP3416</t>
  </si>
  <si>
    <t>百人一首　うはかゑとき　赤染衛門|Poem by Akazome Emon, from the series One Hundred Poems Explained by the Nurse (Hyakunin isshu uba ga etoki)</t>
  </si>
  <si>
    <t>赤染衛門</t>
  </si>
  <si>
    <t>Akazome Emon</t>
  </si>
  <si>
    <t>Poem by Akazome Emon</t>
  </si>
  <si>
    <t>9 5/8 x 14 3/8 in. (24.4 x 36.5 cm)</t>
  </si>
  <si>
    <t>JP3417</t>
  </si>
  <si>
    <t>百人一首　乳かゑとき　中納言敦忠|Poem by Chūnagon Atsutada (Fujiwara no Asatada),  from the series One Hundred Poems Explained by the Nurse (Hyakunin isshu uba ga etoki)</t>
  </si>
  <si>
    <t>中納言敦忠</t>
  </si>
  <si>
    <t>Fujiwara no Asatada</t>
  </si>
  <si>
    <t>Poem by Chūnagon Atsutada</t>
  </si>
  <si>
    <t>百人一首　乳かゑとき</t>
  </si>
  <si>
    <t>10 1/4 × 15 1/4 in. (26 × 38.7 cm)</t>
  </si>
  <si>
    <t>Image: 10 1/4 × 15 1/4 in. (26 × 38.7 cm)
Mat: 15 5/8 × 22 7/8 in. (39.7 × 58.1 cm)</t>
  </si>
  <si>
    <t>JP3418</t>
  </si>
  <si>
    <t>百人一首　乳母か縁説　素胜法師|Poem by Sōsei Hōshi,  from the series One Hundred Poems Explained by the Nurse (Hyakunin isshu uba ga etoki)</t>
  </si>
  <si>
    <t>素胜法師</t>
  </si>
  <si>
    <t>Sōsei Hōshi</t>
  </si>
  <si>
    <t>Poem by Sōsei Hōshi</t>
  </si>
  <si>
    <t>9 3/4 x 14 3/4 in. (24.8 x 37.5 cm)</t>
  </si>
  <si>
    <t>JP2941</t>
  </si>
  <si>
    <t>百人一首　乳母か絵とき　参議篁|Poem by Sangi no Takamura (Ono no Takamura), from the series One Hundred Poems Explained by the Nurse (Hyakunin isshu uba ga etoki)</t>
  </si>
  <si>
    <t>参議篁</t>
  </si>
  <si>
    <t>Ono no Takamura</t>
  </si>
  <si>
    <t>Poem by Sangi no Takamura</t>
  </si>
  <si>
    <t>百人一首　乳母か絵とき</t>
  </si>
  <si>
    <t>10 1/4 x 14 3/4 in. (26 x 37.5 cm)</t>
  </si>
  <si>
    <t>JP2953</t>
  </si>
  <si>
    <t>JP2960</t>
  </si>
  <si>
    <t>冨嶽三十六景　凱風快晴|South Wind, Clear Sky (Gaifū kaisei), also known as Red Fuji, from the series Thirty-six Views of Mount Fuji (Fugaku sanjūrokkei)</t>
  </si>
  <si>
    <t xml:space="preserve">South Wind, Clear Sky </t>
  </si>
  <si>
    <t>JP2979</t>
  </si>
  <si>
    <t>10 x 14 3/4 in. (25.4 x 37.5 cm)</t>
  </si>
  <si>
    <t>JP2981</t>
  </si>
  <si>
    <t>冨嶽三十六景　相州梅沢左|Umezawa Manor in Sagami Province (Sōshū Umezawa zai),  from the series Thirty-six Views of Mount Fuji (Fugaku sanjūrokkei)</t>
  </si>
  <si>
    <t>JP2920</t>
  </si>
  <si>
    <t>千絵の海　下総登戸|Noboto at Shimōsa (Shimōsa Noboto), from the series One Thousand Pictures of the Sea (Chie no umi)</t>
  </si>
  <si>
    <t>下総登戸</t>
  </si>
  <si>
    <t>Shimōsa Noboto</t>
  </si>
  <si>
    <t>Noboto at Shimōsa</t>
  </si>
  <si>
    <t>1832–33</t>
  </si>
  <si>
    <t>H. 7 1/4 in. (18.4 cm); W. 10 in. (25.4 cm)</t>
  </si>
  <si>
    <t>JP2984</t>
  </si>
  <si>
    <t>10 1/4 x 15 1/4 in. (26 x 38.7 cm)</t>
  </si>
  <si>
    <t>JP2990</t>
  </si>
  <si>
    <t>Tsukudajima in Musashi Province</t>
  </si>
  <si>
    <t>JP2998</t>
  </si>
  <si>
    <t>JP2903</t>
  </si>
  <si>
    <t>1781–1801</t>
  </si>
  <si>
    <t>11 3/4 x 5 1/4 in. (29.8 x 13.3 cm)</t>
  </si>
  <si>
    <t>JP2904</t>
  </si>
  <si>
    <t>二代中村野塩|The Actor Nakamura Noshio II, in Female Role, Holding a Shakuhachi (Bamboo Flute)</t>
  </si>
  <si>
    <t>二代中村野塩</t>
  </si>
  <si>
    <t>Nakamura Noshio II</t>
  </si>
  <si>
    <t>The Actor Nakamura Noshio II, in Female Role, Holding a Shakuhachi (Bamboo Flute)</t>
  </si>
  <si>
    <t>1796 (Kansei, 6th year)</t>
  </si>
  <si>
    <t>JP1843</t>
  </si>
  <si>
    <t>1830s</t>
  </si>
  <si>
    <t>H. 10 1/2 in. (26.7 cm); W. 14 3/4 in. (37.5 cm)</t>
  </si>
  <si>
    <t>JP1844</t>
  </si>
  <si>
    <t>H. 14 15/16 in. (37.9 cm); W. 10 5/16 in. (26.2 cm)</t>
  </si>
  <si>
    <t>JP1845</t>
  </si>
  <si>
    <t>H. 15 in. (38.1 cm); W. 10 3/8 in. (26.4 cm)</t>
  </si>
  <si>
    <t>JP1846</t>
  </si>
  <si>
    <t>The Waterwheel at Onden</t>
  </si>
  <si>
    <t>H. 9 3/8 in. (23.8 cm); W. 14 in. (35.6 cm)</t>
  </si>
  <si>
    <t>JP1848</t>
  </si>
  <si>
    <t>H. 9 13/16 in. (24.9 cm); W. 13 7/8 in. (35.2 cm)</t>
  </si>
  <si>
    <t>JP1849</t>
  </si>
  <si>
    <t>H. 10 1/8 in. (25.7 cm); W. 14 13/16 in. (37.6 cm)</t>
  </si>
  <si>
    <t>JP1850</t>
  </si>
  <si>
    <t>冨嶽三十六景　東海道品川御殿山の不二|Fuji from Gotenyama at Shinagawa on the Tōkaidō (Tōkaidō Shinagawa Gotenyama no Fuji), from the series Thirty-six Views of Mount Fuji (Fugaku sanjūrokkei)</t>
  </si>
  <si>
    <t>Fuji from Gotenyama at Shinagawa on the Tōkaidō</t>
  </si>
  <si>
    <t>H. 9 1/2 in. (24.1 cm); W. 14 1/8 in. (35.9 cm)</t>
  </si>
  <si>
    <t>JP1852</t>
  </si>
  <si>
    <t>百人一首　乳母かゑとき　猿丸太夫|Poem by Sarumaru Dayū, from the series One Hundred Poems Explained by the Nurse (Hyakunin isshu uba ga etoki)</t>
  </si>
  <si>
    <t>猿丸太夫</t>
  </si>
  <si>
    <t>Sarumaru Dayū</t>
  </si>
  <si>
    <t>Poem by Sarumaru Dayū</t>
  </si>
  <si>
    <t xml:space="preserve"> One Hundred Poems Explained by the Nurse</t>
  </si>
  <si>
    <t>H. 10 in. (25.4 cm); W. 14 3/8 in. (36.5 cm)</t>
  </si>
  <si>
    <t>JP2922</t>
  </si>
  <si>
    <t>JP2923</t>
  </si>
  <si>
    <t>JP2924</t>
  </si>
  <si>
    <t>14 5/8 x 10 5/16 in. (37.1 x 26.2 cm)</t>
  </si>
  <si>
    <t>JP2925</t>
  </si>
  <si>
    <t>JP2926</t>
  </si>
  <si>
    <t>14 5/8 x 10 1/4 in. (37.1 x 26 cm)</t>
  </si>
  <si>
    <t>JP2927</t>
  </si>
  <si>
    <t>JP2928</t>
  </si>
  <si>
    <t>image</t>
  </si>
  <si>
    <t>JP2929</t>
  </si>
  <si>
    <t>諸國瀧廻　東都葵ヶ岡の瀧|The Falls at Aoigaoka in the Eastern Capital (Tōto Aoigaoka no taki), from the series A Tour of Waterfalls in Various Provinces (Shokoku taki meguri)</t>
  </si>
  <si>
    <t>Tōto Aoigaoka no taki</t>
  </si>
  <si>
    <t>The Falls at Aoigaoka in the Eastern Capital</t>
  </si>
  <si>
    <t>JP2930</t>
  </si>
  <si>
    <t>JP2931</t>
  </si>
  <si>
    <t>JP2932</t>
  </si>
  <si>
    <t>百人一首　宇波か縁説　参儀等|Poem by Sangi Hitoshi (Minamoto no Hitoshi), from the series One Hundred Poems Explained by the Nurse (Hyakunin isshu uba ga etoki)</t>
  </si>
  <si>
    <t>参儀等</t>
  </si>
  <si>
    <t>Minamoto no Hitoshi</t>
  </si>
  <si>
    <t>Poem by Sangi Hitoshi</t>
  </si>
  <si>
    <t>9 7/8 x 14 1/4 in. (25.1 x 36.2 cm)</t>
  </si>
  <si>
    <t>JP2933</t>
  </si>
  <si>
    <t>百人一首　乳母かゑとき　柿の本人麿|Poem by Kakinomoto Hitomaro, from the series One Hundred Poems Explained by the Nurse (Hyakunin isshu uba ga etoki)</t>
  </si>
  <si>
    <t>柿の本人麿</t>
  </si>
  <si>
    <t>10 1/8 x 14 5/8 in. (25.7 x 37.1 cm)</t>
  </si>
  <si>
    <t>JP2934</t>
  </si>
  <si>
    <t>百人一首　乳母か縁説　中納言家持|Poem by Chūnagon Yakamochi (Ōtomo no Yakamochi), from the series One Hundred Poems Explained by the Nurse (Hyakunin isshu uba ga etoki)</t>
  </si>
  <si>
    <t>中納言家持</t>
  </si>
  <si>
    <t>Ōtomo no Yakamochi</t>
  </si>
  <si>
    <t>Poem by Chūnagon Yakamochi</t>
  </si>
  <si>
    <t>百人一首　乳母か縁説　</t>
  </si>
  <si>
    <t>JP2935</t>
  </si>
  <si>
    <t>百人一首　うはかゑとき　源宗于朝臣|Poem by Minamoto no Muneyuki Ason, from the series One Hundred poems Explained by the Nurse (Hyakunin isshu uba ga etoki)</t>
  </si>
  <si>
    <t>Minamoto no Muneyuki Ason</t>
  </si>
  <si>
    <t>JP2936</t>
  </si>
  <si>
    <t>1760–1845</t>
  </si>
  <si>
    <t>10 3/8 x 14 7/8 in. (26.4 x 37.8 cm)</t>
  </si>
  <si>
    <t>JP2937</t>
  </si>
  <si>
    <t>百人一首　宇波か縁説　権中納言定家|Poem by Gon-Chūnagon Sadaie, from the series One Hundred Poems Explained by the Nurse (Hyakunin isshu uba ga etoki)</t>
  </si>
  <si>
    <t>権中納言定家</t>
  </si>
  <si>
    <t>Gon-Chūnagon Sadaie</t>
  </si>
  <si>
    <t>Poem by Gon-Chūnagon Sadaie</t>
  </si>
  <si>
    <t>10 1/4 x 15 in. (26 x 38.1 cm)</t>
  </si>
  <si>
    <t>JP2938</t>
  </si>
  <si>
    <t>百人一首　うはかゑとき　文屋朝康|Poem by Funya no Asayasu, from the series One Hundred Poems Explained by a Nurse (Hyakunin isshu ubaga etoki)</t>
  </si>
  <si>
    <t>文屋朝康</t>
  </si>
  <si>
    <t>Funya no Asayasu</t>
  </si>
  <si>
    <t>Poem by Funya no Asayasu</t>
  </si>
  <si>
    <t>JP1854</t>
  </si>
  <si>
    <t>H. 9 9/16 in. (24.3 cm); W. 14 7/16 in. (36.7 cm)</t>
  </si>
  <si>
    <t>JP2940</t>
  </si>
  <si>
    <t>百人一首　宇波かゑとき　安部仲麿|Poem by Abe no Nakamaro, from the series One Hundred Poems Explained by the Nurse (Hyakunin isshu uba ga etoki)</t>
  </si>
  <si>
    <t>安部仲麿</t>
  </si>
  <si>
    <t>Abe no Nakamaro</t>
  </si>
  <si>
    <t>Poem by Abe no Nakamaro</t>
  </si>
  <si>
    <t>百人一首　宇波かゑとき</t>
  </si>
  <si>
    <t>JP1858</t>
  </si>
  <si>
    <t>市川団十郎|The Actor Ichikawa Danjuro I 1660–1704</t>
  </si>
  <si>
    <t>市川団十郎</t>
  </si>
  <si>
    <t xml:space="preserve">Ichikawa Danjuro I </t>
  </si>
  <si>
    <t>The Actor Ichikawa Danjuro I 1660–1704</t>
  </si>
  <si>
    <t>H. 12 in. (30.5 cm); W. 5 3/4 in. (14.6 cm)</t>
  </si>
  <si>
    <t>JP1859</t>
  </si>
  <si>
    <t>7 1/16 x 11 7/8 in. (17.9 x 30.2 cm)</t>
  </si>
  <si>
    <t>JP1860</t>
  </si>
  <si>
    <t>1820–34</t>
  </si>
  <si>
    <t>H. 9 3/4 in. (24.8 cm); W. 14 1/4 in. (36.2 cm)</t>
  </si>
  <si>
    <t>JP1862</t>
  </si>
  <si>
    <t>H. 13 1/16 in. (33.2 cm); W. 9 3/8 in. (23.8 cm)</t>
  </si>
  <si>
    <t>JP1863</t>
  </si>
  <si>
    <t>七日夜|Wave</t>
  </si>
  <si>
    <t>七日夜</t>
  </si>
  <si>
    <t>Wave</t>
  </si>
  <si>
    <t>H. 14 11/16 in. (37.3 cm); W. 10 11/16 in. (27.1 cm)</t>
  </si>
  <si>
    <t>JP2950</t>
  </si>
  <si>
    <t>JP2952</t>
  </si>
  <si>
    <t>諸國名橋奇覧  ゑちぜんふくゐの橋|Fukui Bridge in Echizen Province (Echizen Fukui no hashi), from the series Remarkable Views of Bridges in Various Provinces (Shokoku meikyō kiran)</t>
  </si>
  <si>
    <t>JP2954</t>
  </si>
  <si>
    <t xml:space="preserve">The New Fields at Ōno in Suruga Province </t>
  </si>
  <si>
    <t>JP2955</t>
  </si>
  <si>
    <t>JP2956</t>
  </si>
  <si>
    <t>Fujimigahara in Owari Province</t>
  </si>
  <si>
    <t>10 1/16 x 14 7/8 in. (25.6 x 37.8 cm)</t>
  </si>
  <si>
    <t>JP2957</t>
  </si>
  <si>
    <t>冨嶽三十六景　礫川雪の旦|Morning after the Snow at Koishikawa in Edo (Koishikawa yuki no ashita), from the series Thirty-six Views of Mount Fuji (Fugaku sanjūrokkei)</t>
  </si>
  <si>
    <t>JP2958</t>
  </si>
  <si>
    <t>Noboto Bay</t>
  </si>
  <si>
    <t>JP2959</t>
  </si>
  <si>
    <t>10 x 14 5/8 in. (25.4 x 37.1 cm)</t>
  </si>
  <si>
    <t>JP2961</t>
  </si>
  <si>
    <t>Storm below Mount Fuji</t>
  </si>
  <si>
    <t>JP2962</t>
  </si>
  <si>
    <t>9 1/2 x 14 5/8 in. (24.1 x 37.1 cm)</t>
  </si>
  <si>
    <t>JP2963</t>
  </si>
  <si>
    <t>9 1/2 x 14 7/8 in. (24.1 x 37.8 cm)</t>
  </si>
  <si>
    <t>JP2964</t>
  </si>
  <si>
    <t>10 1/4 x 14 7/8 in. (26 x 37.8 cm)</t>
  </si>
  <si>
    <t>JP2965</t>
  </si>
  <si>
    <t>JP2966</t>
  </si>
  <si>
    <t>JP2967</t>
  </si>
  <si>
    <t>JP2970</t>
  </si>
  <si>
    <t>冨嶽三十六景　甲州三島越|Mishima Pass in Kai Province (Kōshū Mishima goe), from the series Thirty-six Views of Mount Fuji (Fugaku sanjūrokkei</t>
  </si>
  <si>
    <t>9 5/8 x 14 7/8 in. (24.4 x 37.8 cm)</t>
  </si>
  <si>
    <t>JP2971</t>
  </si>
  <si>
    <t>JP2972</t>
  </si>
  <si>
    <t>JP2973</t>
  </si>
  <si>
    <t>JP2974</t>
  </si>
  <si>
    <t>10 3/8 x 15 1/8 in. (26.4 x 38.4 cm)</t>
  </si>
  <si>
    <t>JP2975</t>
  </si>
  <si>
    <t>冨嶽三十六景　東海道金谷の不二|Fuji Seen from Kanaya on the Tōkaidō (Tōkaidō Kanaya no Fuji), from the series Thirty-six Views of Mount Fuji (Fugaku sanjūrokkei</t>
  </si>
  <si>
    <t>JP2976</t>
  </si>
  <si>
    <t>Tago Bay near Ejiri on the Tōkaid</t>
  </si>
  <si>
    <t>JP2977</t>
  </si>
  <si>
    <t>JP2978</t>
  </si>
  <si>
    <t>JP2980</t>
  </si>
  <si>
    <t>JP2982</t>
  </si>
  <si>
    <t>10 1/16 x 15 in. (25.6 x 38.1 cm)</t>
  </si>
  <si>
    <t>JP2983</t>
  </si>
  <si>
    <t xml:space="preserve">Under the Mannen Bridge at Fukagawa </t>
  </si>
  <si>
    <t>10 x 14 3/8 in. (25.4 x 36.5 cm)</t>
  </si>
  <si>
    <t>JP2985</t>
  </si>
  <si>
    <t>JP2987</t>
  </si>
  <si>
    <t>JP2988</t>
  </si>
  <si>
    <t>Senju in Musashi Province</t>
  </si>
  <si>
    <t>9 5/8 x 15 in. (24.4 x 38.1 cm)</t>
  </si>
  <si>
    <t>JP2989</t>
  </si>
  <si>
    <t>Fuji Seen in the Distance from Senju Pleasure Quarter</t>
  </si>
  <si>
    <t>JP2991</t>
  </si>
  <si>
    <t>JP2992</t>
  </si>
  <si>
    <t>JP2993</t>
  </si>
  <si>
    <t>JP2995</t>
  </si>
  <si>
    <t>JP2996</t>
  </si>
  <si>
    <t>JP3138</t>
  </si>
  <si>
    <t>冨嶽三十六景　武州玉川|Fuji—The Tama River, Musashi Province, from the series Thirty-six Views of Mount Fuji (Fugaku sanjūrokkei)</t>
  </si>
  <si>
    <t>Fuji—The Tama River, Musashi Province</t>
  </si>
  <si>
    <t>Gift of Francis M. Weld, 1948</t>
  </si>
  <si>
    <t>Francis M. Weld</t>
  </si>
  <si>
    <t>JP3146</t>
  </si>
  <si>
    <t>冨嶽三十六景　甲州犬目峠|Fuji from Inume (?) Pass</t>
  </si>
  <si>
    <t>Fuji from Inume (?) Pass</t>
  </si>
  <si>
    <t>14 1/4 x 9 1/4 in. (36.2 x 23.5 cm)</t>
  </si>
  <si>
    <t>Bequest of Ellis G. Seymour, 1949</t>
  </si>
  <si>
    <t>Ellis G. Seymour</t>
  </si>
  <si>
    <t>JP2581</t>
  </si>
  <si>
    <t xml:space="preserve">Kajikazawa in Kai Province </t>
  </si>
  <si>
    <t>10 x 15 1/8 in. (25.4 x 38.4 cm)</t>
  </si>
  <si>
    <t>JP2565</t>
  </si>
  <si>
    <t>H. 10 in. (25.4 cm); W. 15 in. (38.1 cm)</t>
  </si>
  <si>
    <t>JP2556</t>
  </si>
  <si>
    <t>9 3/4 × 14 3/4 in. (24.8 × 37.5 cm)</t>
  </si>
  <si>
    <t>JP2557</t>
  </si>
  <si>
    <t>JP2392</t>
  </si>
  <si>
    <t>9 13/16 x 13 1/16 in. (24.9 x 33.2 cm)</t>
  </si>
  <si>
    <t xml:space="preserve">H. O. Havemeyer Collection, Gift of Mrs. J. Watson Webb, 1930
</t>
  </si>
  <si>
    <t>Mrs. J. Watson Webb</t>
  </si>
  <si>
    <t>JP2403</t>
  </si>
  <si>
    <t>Gift of Louis V. Ledoux, 1931</t>
  </si>
  <si>
    <t>Louis V. Ledoux</t>
  </si>
  <si>
    <t>JP2546</t>
  </si>
  <si>
    <t>ca. 1795</t>
  </si>
  <si>
    <t>JP2548</t>
  </si>
  <si>
    <t>10 1/2 x 14 3/4 in. (26.7 x 37.5 cm)</t>
  </si>
  <si>
    <t>JP2550</t>
  </si>
  <si>
    <t>JP2549</t>
  </si>
  <si>
    <t>百人一首　うばがゑとき　大納言経信|Poem by Dainagon Tsunenobu (Minamoto no Tsunenobu, Katsura no Dainagon), from the series One Hundred Poems Explained by the Nurse (Hyakunin isshu uba ga etoki)</t>
  </si>
  <si>
    <t>大納言経信</t>
  </si>
  <si>
    <t xml:space="preserve">Dainagon Tsunenobu </t>
  </si>
  <si>
    <t>Poem by Dainagon Tsunenobu (Minamoto no Tsunenobu, Katsura no Dainagon)</t>
  </si>
  <si>
    <t>百人一首　うばがゑとき　</t>
  </si>
  <si>
    <t xml:space="preserve">9 15/16 × 14 3/8 in. (25.2 × 36.5 cm)
</t>
  </si>
  <si>
    <t>Image: 9 15/16 × 14 3/8 in. (25.2 × 36.5 cm)
Mat: 22 3/4 × 15 1/2 in. (57.8 × 39.4 cm)</t>
  </si>
  <si>
    <t>JP2551</t>
  </si>
  <si>
    <t>百人一首　うばがゑとき　三条院|Poem by Sanjō-in, from the series One Hundred Poems Explained by the Nurse (Hyakunin isshu uba ga etoki)</t>
  </si>
  <si>
    <t>三条院</t>
  </si>
  <si>
    <t>Sanjō-in</t>
  </si>
  <si>
    <t>Poem by Sanjō-in</t>
  </si>
  <si>
    <t>overall</t>
  </si>
  <si>
    <t>JP2552</t>
  </si>
  <si>
    <t>JP2553</t>
  </si>
  <si>
    <t>JP2555</t>
  </si>
  <si>
    <t>JP2558</t>
  </si>
  <si>
    <t>JP2559</t>
  </si>
  <si>
    <t>JP2560</t>
  </si>
  <si>
    <t>JP2561</t>
  </si>
  <si>
    <t>JP2562</t>
  </si>
  <si>
    <t>JP2563</t>
  </si>
  <si>
    <t>10 x 15 1/4 in. (25.4 x 38.7 cm)</t>
  </si>
  <si>
    <t>JP2566</t>
  </si>
  <si>
    <t xml:space="preserve">Tatekawa in Honjō </t>
  </si>
  <si>
    <t>JP2567</t>
  </si>
  <si>
    <t>JP2568</t>
  </si>
  <si>
    <t>Oban nishiki-e tryptich</t>
  </si>
  <si>
    <t>JP2571</t>
  </si>
  <si>
    <t>松本幸四郎|Matsumoto Koshiro IV as Tsurifune no Sabu</t>
  </si>
  <si>
    <t>松本幸四郎</t>
  </si>
  <si>
    <t xml:space="preserve">Matsumoto Koshiro IV </t>
  </si>
  <si>
    <t>Matsumoto Koshiro IV as Tsurifune no Sabu</t>
  </si>
  <si>
    <t>10 3/4 x 5 3/4 in. (27.3 x 14.6 cm)</t>
  </si>
  <si>
    <t>JP2572</t>
  </si>
  <si>
    <t>7 7/8 x 12 7/8 in. (20 x 32.7 cm)</t>
  </si>
  <si>
    <t>JP2580</t>
  </si>
  <si>
    <t>新柳橋の白雨|Shower at the New Yanagi Bridge</t>
  </si>
  <si>
    <t>新柳橋の白雨</t>
  </si>
  <si>
    <t>Shower at the New Yanagi Bridge</t>
  </si>
  <si>
    <t>7 7/8 x 11 3/4 in. (20 x 29.8 cm)</t>
  </si>
  <si>
    <t>JP2831</t>
  </si>
  <si>
    <t>14 x 6 3/8 in. (35.6 x 16.2 cm)</t>
  </si>
  <si>
    <t>37.119.4</t>
  </si>
  <si>
    <t>Wash drawing</t>
  </si>
  <si>
    <t>7 3/4 x 10 7/8 in. (19.7 x 27.6 cm)</t>
  </si>
  <si>
    <t>38.106.5</t>
  </si>
  <si>
    <t>Hokusai School</t>
  </si>
  <si>
    <t>10 7/8 x 14 1/2 in. (27.6 x 36.8 cm)</t>
  </si>
  <si>
    <t>Fletcher Fund, 1938</t>
  </si>
  <si>
    <t>38.106.6</t>
  </si>
  <si>
    <t>9 7/8 x 13 in. (25.1 x 33 cm)</t>
  </si>
  <si>
    <t>38.106.7</t>
  </si>
  <si>
    <t>11 x 15 in. (27.9 x 38.1 cm)</t>
  </si>
  <si>
    <t>38.106.1</t>
  </si>
  <si>
    <t>11 x 16 in. (27.9 x 40.6 cm)</t>
  </si>
  <si>
    <t>38.106.2</t>
  </si>
  <si>
    <t>10 1/2 x 14 1/2 in. (26.7 x 36.8 cm)</t>
  </si>
  <si>
    <t>56.121.2</t>
  </si>
  <si>
    <t>Drawing</t>
  </si>
  <si>
    <t>Ink on paper</t>
  </si>
  <si>
    <t>9 7/16 x 12 3/8 in. (24 x 31.4 cm)</t>
  </si>
  <si>
    <t>56.121.3</t>
  </si>
  <si>
    <t>6 7/8 x 9 3/8 in. (17.5 x 23.8 cm)</t>
  </si>
  <si>
    <t>56.121.4</t>
  </si>
  <si>
    <t>9 1/2 x 12 7/8 in. (24.1 x 32.7 cm)</t>
  </si>
  <si>
    <t>56.121.5</t>
  </si>
  <si>
    <t>9 3/8 x 13 15/16 in. (23.8 x 35.4 cm)</t>
  </si>
  <si>
    <t>56.121.6</t>
  </si>
  <si>
    <t>10 7/8 x 7 9/16 in. (27.6 x 19.2 cm)</t>
  </si>
  <si>
    <t>56.121.7</t>
  </si>
  <si>
    <t>13 1/16 x 9 3/4 in. (33.2 x 24.8 cm)</t>
  </si>
  <si>
    <t>56.121.8</t>
  </si>
  <si>
    <t>9 5/8 x 12 3/8 in. (24.4 x 31.4 cm)</t>
  </si>
  <si>
    <t>56.121.9</t>
  </si>
  <si>
    <t>13 x 9 1/4 in. (33 x 23.5 cm)</t>
  </si>
  <si>
    <t>56.121.10</t>
  </si>
  <si>
    <t>18 1/2 x 12 3/16 in. (47 x 31 cm)</t>
  </si>
  <si>
    <t>56.121.11</t>
  </si>
  <si>
    <t>9 7/8 x 7 7/16 in. (25.1 x 18.9 cm)</t>
  </si>
  <si>
    <t>56.121.12</t>
  </si>
  <si>
    <t>11 3/8 x 8 3/8 in. (28.9 x 21.3 cm)</t>
  </si>
  <si>
    <t>56.121.13</t>
  </si>
  <si>
    <t>8 1/4 x 10 7/8 in. (21 x 27.6 cm)</t>
  </si>
  <si>
    <t>56.121.14</t>
  </si>
  <si>
    <t>Drawings</t>
  </si>
  <si>
    <t>Turtle: 5 x 9 5/16 in. (12.7 x 23.7 cm)
Other sketch. 5 3/8 x 7 7/8 in. (13.7 x 20 cm)</t>
  </si>
  <si>
    <t>56.121.15</t>
  </si>
  <si>
    <t>School of</t>
  </si>
  <si>
    <t>9 5/8 x 13 1/8 in. (24.4 x 33.3 cm)</t>
  </si>
  <si>
    <t>56.121.16</t>
  </si>
  <si>
    <t>16 13/16 x 10 1/2 in. (42.7 x 26.7 cm)</t>
  </si>
  <si>
    <t>56.121.17</t>
  </si>
  <si>
    <t>15 3/8 x 10 13/16 in. (39.1 x 27.5 cm)</t>
  </si>
  <si>
    <t>56.121.18</t>
  </si>
  <si>
    <t>56.121.19</t>
  </si>
  <si>
    <t>10 11/16 x 7 1/8 in. (27.1 x 18.1 cm)</t>
  </si>
  <si>
    <t>56.121.20</t>
  </si>
  <si>
    <t>12 15/16 x 9 1/2 in. (32.9 x 24.1 cm)</t>
  </si>
  <si>
    <t>56.121.21</t>
  </si>
  <si>
    <t>12 7/8 x 9 1/2 in. (32.7 x 24.1 cm)</t>
  </si>
  <si>
    <t>56.121.22</t>
  </si>
  <si>
    <t>9 3/4 x 13 5/8 in. (24.8 x 34.6 cm)</t>
  </si>
  <si>
    <t>56.121.23</t>
  </si>
  <si>
    <t>11 x 16 1/2 in. (27.9 x 41.9 cm)</t>
  </si>
  <si>
    <t>56.121.24</t>
  </si>
  <si>
    <t>11 3/8 x 5 7/8 in. (28.9 x 14.9 cm)</t>
  </si>
  <si>
    <t>56.121.25</t>
  </si>
  <si>
    <t>9 7/16 x 13 1/2 in. (24 x 34.3 cm)</t>
  </si>
  <si>
    <t>56.121.26</t>
  </si>
  <si>
    <t>12 5/16 x 9 3/16 in. (31.3 x 23.3 cm)</t>
  </si>
  <si>
    <t>56.121.27</t>
  </si>
  <si>
    <t>11 3/16 x 8 3/4 in. (28.4 x 22.2 cm)</t>
  </si>
  <si>
    <t>56.121.28</t>
  </si>
  <si>
    <t>56.121.29</t>
  </si>
  <si>
    <t>16 1/4 x 10 1/4 in. (41.3 x 26 cm)</t>
  </si>
  <si>
    <t>56.121.30</t>
  </si>
  <si>
    <t>16 1/4 x 10 3/8 in. (41.3 x 26.4 cm)</t>
  </si>
  <si>
    <t>56.121.31</t>
  </si>
  <si>
    <t>9 9/16 x 5 1/2 in. (24.3 x 14 cm)</t>
  </si>
  <si>
    <t>56.121.32</t>
  </si>
  <si>
    <t>16 1/8 x 9 5/16 in. (41 x 23.7 cm)</t>
  </si>
  <si>
    <t>56.121.33</t>
  </si>
  <si>
    <t>10 11/16 x 7 in. (27.1 x 17.8 cm)</t>
  </si>
  <si>
    <t>56.121.34</t>
  </si>
  <si>
    <t>9 3/4 x 7 3/8 in. (24.8 x 18.7 cm)</t>
  </si>
  <si>
    <t>56.121.35</t>
  </si>
  <si>
    <t>12 7/8 x 9 7/8 in. (32.7 x 25.1 cm)</t>
  </si>
  <si>
    <t>56.121.36</t>
  </si>
  <si>
    <t>7 9/16 x 10 1/4 in. (19.2 x 26 cm)</t>
  </si>
  <si>
    <t>56.121.37</t>
  </si>
  <si>
    <t>7 9/16 x 5 7/8 in. (19.2 x 14.9 cm)</t>
  </si>
  <si>
    <t>56.121.38</t>
  </si>
  <si>
    <t>10 3/4 x 7 1/8 in. (27.3 x 18.1 cm)</t>
  </si>
  <si>
    <t>56.121.39</t>
  </si>
  <si>
    <t>12 1/8 x 5 5/8 in. (30.8 x 14.3 cm)</t>
  </si>
  <si>
    <t>56.121.40</t>
  </si>
  <si>
    <t>10 5/8 x 15 3/8 in. (27 x 39.1 cm)</t>
  </si>
  <si>
    <t>56.121.41</t>
  </si>
  <si>
    <t>7 11/16 x 5 1/2 in. (19.5 x 14 cm),  7 3/4 x 5 1/2 in. (19.7 x 14 cm)</t>
  </si>
  <si>
    <t>Left painting: 7 11/16 x 5 1/2 in. (19.5 x 14 cm)
Right painting: 7 3/4 x 5 1/2 in. (19.7 x 14 cm)</t>
  </si>
  <si>
    <t>56.121.42</t>
  </si>
  <si>
    <t>8 5/16 x 9 7/8 in. (21.1 x 25.1 cm)</t>
  </si>
  <si>
    <t>mount</t>
  </si>
  <si>
    <t>56.121.43</t>
  </si>
  <si>
    <t>8 1/4 x 12 5/8 in. (21 x 32.1 cm)</t>
  </si>
  <si>
    <t>38.106.3</t>
  </si>
  <si>
    <t>9 1/2 x 13 1/4 in. (24.1 x 33.7 cm)</t>
  </si>
  <si>
    <t>38.106.4</t>
  </si>
  <si>
    <t>9 7/8 x 13 3/4 in. (25.1 x 34.9 cm)</t>
  </si>
  <si>
    <t>38.106.8</t>
  </si>
  <si>
    <t>38.106.9</t>
  </si>
  <si>
    <t>38.106.10</t>
  </si>
  <si>
    <t>15 3/8 x 10 7/8 in. (39.1 x 27.6 cm)</t>
  </si>
  <si>
    <t>38.106.11</t>
  </si>
  <si>
    <t>38.106.12</t>
  </si>
  <si>
    <t>9 3/8 x 12 1/4 in. (23.8 x 31.1 cm)</t>
  </si>
  <si>
    <t>38.106.13</t>
  </si>
  <si>
    <t>8 3/8 x 11 3/8 in. (21.3 x 28.9 cm)</t>
  </si>
  <si>
    <t>38.106.14</t>
  </si>
  <si>
    <t>38.106.15</t>
  </si>
  <si>
    <t>13 1/4 x 9 5/8 in. (33.7 x 24.4 cm)</t>
  </si>
  <si>
    <t>38.106.16</t>
  </si>
  <si>
    <t>10 3/4 x 16 in. (27.3 x 40.6 cm)</t>
  </si>
  <si>
    <t>JIB83</t>
  </si>
  <si>
    <t>Meiji period (1868–1912)</t>
  </si>
  <si>
    <t>Woodblock printed book; ink and color on paper</t>
  </si>
  <si>
    <t>9 1/8 × 6 × 3/8 in. (23.2 × 15.2 × 1 cm)</t>
  </si>
  <si>
    <t>Rogers Fund, 1932</t>
  </si>
  <si>
    <t>JIB5</t>
  </si>
  <si>
    <t>Nishikizuri onna sanjūrokkasen|Courtiers and Urchins, frontispiece for the album Brocade Prints of the Thirty-six Poetesses</t>
  </si>
  <si>
    <t>Nishikizuri onna sanjūrokkasen</t>
  </si>
  <si>
    <t>Courtiers and Urchins</t>
  </si>
  <si>
    <t>Brocade Prints of the Thirty-six Poetesses</t>
  </si>
  <si>
    <t>Artist|Artist</t>
  </si>
  <si>
    <t>Chōbunsai Eishi|Katsushika Hokusai</t>
  </si>
  <si>
    <t>Japanese|Japanese</t>
  </si>
  <si>
    <t xml:space="preserve">1756      |1760      </t>
  </si>
  <si>
    <t xml:space="preserve">1829      |1849      </t>
  </si>
  <si>
    <t>9 7/8 × 7 3/8 × 3/4 in. (25.1 × 18.7 × 1.9 cm)</t>
  </si>
  <si>
    <t>JIB10a–c</t>
  </si>
  <si>
    <t>Rokuzotei|Katsushika Hokusai</t>
  </si>
  <si>
    <t>(assisting draftsman)</t>
  </si>
  <si>
    <t>10 1/4 × 6 3/4 × 1/4 in. (26 × 17.1 × 0.6 cm)</t>
  </si>
  <si>
    <t>JIB11a–c</t>
  </si>
  <si>
    <t>Illustrated books</t>
  </si>
  <si>
    <t>ca. 1828</t>
  </si>
  <si>
    <t>JIB12</t>
  </si>
  <si>
    <t>7 1/2 × 5 1/4 × 3/8 in. (19.1 × 13.3 × 1 cm)</t>
  </si>
  <si>
    <t>JIB13</t>
  </si>
  <si>
    <t>ca. 1845</t>
  </si>
  <si>
    <t>4 7/8 × 7 3/4 × 5/8 in. (12.4 × 19.7 × 1.6 cm)</t>
  </si>
  <si>
    <t>JIB14</t>
  </si>
  <si>
    <t>ca. 1840</t>
  </si>
  <si>
    <t>9 × 6 1/4 × 3/8 in. (22.9 × 15.9 × 1 cm)</t>
  </si>
  <si>
    <t>JIB15a–c</t>
  </si>
  <si>
    <t>ca. 1803</t>
  </si>
  <si>
    <t>10 × 6 3/4 × 1/4 in. (25.4 × 17.1 × 0.6 cm)</t>
  </si>
  <si>
    <t>JIB17</t>
  </si>
  <si>
    <t>10 × 13 1/4 × 1/4 in. (25.4 × 33.7 × 0.6 cm)</t>
  </si>
  <si>
    <t>JIB18</t>
  </si>
  <si>
    <t>JIB19a, b</t>
  </si>
  <si>
    <t>JIB20</t>
  </si>
  <si>
    <t>ca. 1847</t>
  </si>
  <si>
    <t>JIB69</t>
  </si>
  <si>
    <t>8 3/4 × 6 1/16 × 1 in. (22.2 × 15.4 × 2.5 cm)</t>
  </si>
  <si>
    <t>Gift of Julius Mahn, 1919</t>
  </si>
  <si>
    <t>Julius Mahn</t>
  </si>
  <si>
    <t>JIB80</t>
  </si>
  <si>
    <t>Pentaptych of polychrome woodblock prints</t>
  </si>
  <si>
    <t>14 1/2 x 48 1/2 in. (36.8 x 123.2 cm)</t>
  </si>
  <si>
    <t>JIB82</t>
  </si>
  <si>
    <t xml:space="preserve"> 8 7/8 × 6 1/4 × 1/2 in. (22.5 × 15.9 × 1.3 cm)</t>
  </si>
  <si>
    <t>Rogers Fund, 1931</t>
  </si>
  <si>
    <t>JIB81.1</t>
  </si>
  <si>
    <t>after 1828</t>
  </si>
  <si>
    <t xml:space="preserve"> 9 × 6 1/4 × 3/8 in. (22.9 × 15.9 × 1 cm)</t>
  </si>
  <si>
    <t>JIB81.2</t>
  </si>
  <si>
    <t>after 1814</t>
  </si>
  <si>
    <t>9 x 6 1/4 x 1/2 in. (22.9 x 15.9 x 1.3 cm)</t>
  </si>
  <si>
    <t>JIB81.3</t>
  </si>
  <si>
    <t>JIB81.4</t>
  </si>
  <si>
    <t>9 × 6 × 3/8 in. (22.9 × 15.2 × 1 cm)</t>
  </si>
  <si>
    <t>JIB81.6</t>
  </si>
  <si>
    <t>JIB81.7</t>
  </si>
  <si>
    <t>JIB81.8</t>
  </si>
  <si>
    <t>JIB81.9</t>
  </si>
  <si>
    <t>JIB81.10</t>
  </si>
  <si>
    <t>JIB81.11</t>
  </si>
  <si>
    <t>JIB81.12</t>
  </si>
  <si>
    <t>JIB81.13</t>
  </si>
  <si>
    <t>ca. 1849</t>
  </si>
  <si>
    <t>9 × 6 1/4 × 3/4 in. (22.9 × 15.9 × 1.9 cm)</t>
  </si>
  <si>
    <t>Overall (JIB81.13 and .14 combined):</t>
  </si>
  <si>
    <t>JIB81.14</t>
  </si>
  <si>
    <t>ca. 1875–78</t>
  </si>
  <si>
    <t>See JIB81.13</t>
  </si>
  <si>
    <t>JIB106</t>
  </si>
  <si>
    <t>9 × 6 3/16 × 1/4 in. (22.9 × 15.7 × 0.6 cm)</t>
  </si>
  <si>
    <t>JIB108</t>
  </si>
  <si>
    <t>富岳百景|Mount Fuji of the Mists (Vol. 1); Mount Fuji of the Ascending Dragon (Vol. 2)</t>
  </si>
  <si>
    <t>富岳百景</t>
  </si>
  <si>
    <t>Fugaku Hyakkei</t>
  </si>
  <si>
    <t>Mount Fuji of the Mists (Vol. 1), Mount Fuji of the Ascending Dragon (Vol. 2)</t>
  </si>
  <si>
    <t>1834–35</t>
  </si>
  <si>
    <t>9 x 6 1/4 in. (22.9 x 15.9 cm)</t>
  </si>
  <si>
    <t>JIB109</t>
  </si>
  <si>
    <t>富岳百景|Fugaku Hyakkei</t>
  </si>
  <si>
    <t>JIB110</t>
  </si>
  <si>
    <t>8 7/8 × 6 1/4 × 3/8 in. (22.5 × 15.9 × 1 cm)</t>
  </si>
  <si>
    <t>JIB111a–k</t>
  </si>
  <si>
    <t xml:space="preserve">8 15/16 x 6 1/4 x 1/2 in. (22.7 x 15.8 x 1.3 cm)
</t>
  </si>
  <si>
    <t>Overall (each volume): 8 15/16 x 6 1/4 x 1/2 in. (22.7 x 15.8 x 1.3 cm)
Image: 7 x 4 7/8 in. (17.8 x 12.4 cm)</t>
  </si>
  <si>
    <t>JIB112</t>
  </si>
  <si>
    <t>Overall</t>
  </si>
  <si>
    <t>JIB120</t>
  </si>
  <si>
    <t>10 1/2 × 7 1/16 × 3/8 in. (26.7 × 17.9 × 1 cm)</t>
  </si>
  <si>
    <t>JIB126</t>
  </si>
  <si>
    <t>Kyōka Sandara-kasumi|Mountain Teahouse, from The Mist of of Sandara</t>
  </si>
  <si>
    <t>Kyōka Sandara-kasumi</t>
  </si>
  <si>
    <t>Mountain Teahouse, from The Mist of of Sandara</t>
  </si>
  <si>
    <t>Calligrapher</t>
  </si>
  <si>
    <t>Nagasawa Kosai</t>
  </si>
  <si>
    <t>Nagasawa Kosai|Katsushika Hokusai|Hasegawa Settan|Kitao Shigemasa</t>
  </si>
  <si>
    <t xml:space="preserve">     </t>
  </si>
  <si>
    <t>artist</t>
  </si>
  <si>
    <t>Hasegawa Settan</t>
  </si>
  <si>
    <t>Japanese, 1778–1843</t>
  </si>
  <si>
    <t>Kitao Shigemasa</t>
  </si>
  <si>
    <t>Japanese, 1739–1820</t>
  </si>
  <si>
    <t>8 3/4 × 6 1/4 × 3/8 in. (22.2 × 15.9 × 1 cm)</t>
  </si>
  <si>
    <t>JIB142a–h</t>
  </si>
  <si>
    <t>probably 1834</t>
  </si>
  <si>
    <t>Bequest of W. Gedney Beatty, 1941</t>
  </si>
  <si>
    <t>W. Gedney Beatty</t>
  </si>
  <si>
    <t>JIB158a–c</t>
  </si>
  <si>
    <t>9 1/4 x 6 1/4 in. (23.5 x 15.9 cm)</t>
  </si>
  <si>
    <t>JIB180</t>
  </si>
  <si>
    <t>Illustrated Book</t>
  </si>
  <si>
    <t>L. 9 3/8 in. (23.8 cm); W. 6 5/16 in. (16 cm); Th. 1/2 in. (1.3 cm)</t>
  </si>
  <si>
    <t>Gift of Mrs. Gerhard Wedekind, in Memory of Gerhard Wedekind, 1971</t>
  </si>
  <si>
    <t>Mrs. Gerhard Wedekind</t>
  </si>
  <si>
    <t>in memory of Gerhard Wedekind</t>
  </si>
  <si>
    <t>JIB181.1–.12</t>
  </si>
  <si>
    <t>1912 edition</t>
  </si>
  <si>
    <t>9 3/8 x 6 5/16 x 1/2 in. (23.8 x 16 x 1.3 cm)</t>
  </si>
  <si>
    <t>SL.16.2014.1.89</t>
  </si>
  <si>
    <t>源頼政の鵺退治図|Minamoto no Yorimasa  Aiming an Arrow</t>
  </si>
  <si>
    <t>源頼政の鵺退治図</t>
  </si>
  <si>
    <t>Minamoto no Yorimasa  Aiming an Arrow</t>
  </si>
  <si>
    <t>ca. 1847–49</t>
  </si>
  <si>
    <t>75 9/16 × 21 15/16 in. (192 × 55.8 cm)</t>
  </si>
  <si>
    <t>Image: 39 in. × 16 5/8 in. (99 × 42.2 cm)
Overall with mounting: 75 9/16 × 21 15/16 in. (192 × 55.8 cm)</t>
  </si>
  <si>
    <t>Lent by Feinberg Collection</t>
  </si>
  <si>
    <t>Loan</t>
  </si>
  <si>
    <t>Feinberg Collection</t>
  </si>
  <si>
    <t>2013.710a, b</t>
  </si>
  <si>
    <t>10 1/2 × 6 7/8 in. (26.6 × 17.5 cm)</t>
  </si>
  <si>
    <t>Purchase, Mary and James G. Wallach Foundation Gift, 2013</t>
  </si>
  <si>
    <t>Mary and James G. Wallach Foundation</t>
  </si>
  <si>
    <t>10 7/16 × 7 1/16 in. (26.5 × 18 cm)</t>
  </si>
  <si>
    <t>2013.712a, b</t>
  </si>
  <si>
    <t>『東都名所一覧』|Fine Views of the Eastern Capital at a Glance (Tōto meisho ichiran)</t>
  </si>
  <si>
    <t>東都名所一覧</t>
  </si>
  <si>
    <t>Tōto meisho ichiran</t>
  </si>
  <si>
    <t>Fine Views of the Eastern Capital at a Glance</t>
  </si>
  <si>
    <t>10 3/16 × 6 7/8 in. (25.8 × 17.5 cm)</t>
  </si>
  <si>
    <t>Purchase, Mary and James G. Wallach Family Foundation Gift, in honor of John T. Carpenter, 2013</t>
  </si>
  <si>
    <t>in honor of John T. Carpenter</t>
  </si>
  <si>
    <t>7 5/8 × 5 1/4 in. (19.3 × 13.4 cm)</t>
  </si>
  <si>
    <t>『画本狂歌山満多山』|Picture Book of Kyōka Poems: Mountains upon Mountains (Ehon kyōka yama mata yama)</t>
  </si>
  <si>
    <t>画本狂歌山満多山</t>
  </si>
  <si>
    <t>Ehon kyōka yama mata yama</t>
  </si>
  <si>
    <t xml:space="preserve">Picture Book of Kyōka Poems: Mountains upon Mountains </t>
  </si>
  <si>
    <t>10 7/16 × 6 7/8 in. (26.5 × 17.5 cm)</t>
  </si>
  <si>
    <t>2013.715a–d</t>
  </si>
  <si>
    <t>1805–38</t>
  </si>
  <si>
    <t>9 13/16 × 7 1/16 in. (25 × 18 cm)</t>
  </si>
  <si>
    <t>2013.716a–c</t>
  </si>
  <si>
    <t>ca. 1806</t>
  </si>
  <si>
    <t>9 1/4 × 6 5/8 in. (23.5 × 16.9 cm)</t>
  </si>
  <si>
    <t>2013.736a–f</t>
  </si>
  <si>
    <t>10 1/16 × 6 15/16 in. (25.6 × 17.7 cm)</t>
  </si>
  <si>
    <t>8 3/4 × 6 1/8 in. (22.3 × 15.6 cm)</t>
  </si>
  <si>
    <t>2013.738a, b</t>
  </si>
  <si>
    <t xml:space="preserve"> 9 × 6 3/16 in. (22.8 × 15.7 cm)</t>
  </si>
  <si>
    <t>2013.739a, b</t>
  </si>
  <si>
    <t>After</t>
  </si>
  <si>
    <t>20th century.</t>
  </si>
  <si>
    <t>10 1/4 × 7 5/16 in. (26 × 18.5 cm)</t>
  </si>
  <si>
    <t>Kuwagata Keisai</t>
  </si>
  <si>
    <t>Japanese, 1764–1824</t>
  </si>
  <si>
    <t>, et al</t>
  </si>
  <si>
    <t>Kuwagata Keisai|Sakai Hōitsu|Tani Bunchō|Katsushika Hokusai|Ōnishi Chinnen</t>
  </si>
  <si>
    <t>Sakai Hōitsu</t>
  </si>
  <si>
    <t>Japanese, 1761–1828</t>
  </si>
  <si>
    <t>Ōnishi Chinnen</t>
  </si>
  <si>
    <t>1792–1851</t>
  </si>
  <si>
    <t>ca. 1822–34</t>
  </si>
  <si>
    <t>7 3/8 × 5 1/8 in. (18.7 × 13 cm)</t>
  </si>
  <si>
    <t>8 15/16 × 6 1/8 in. (22.7 × 15.6 cm)</t>
  </si>
  <si>
    <t>8 7/8 × 6 3/8 in. (22.5 × 16.2 cm)</t>
  </si>
  <si>
    <t>繪本彩色通　初編|Picture Book on the Use of Coloring, first volume (Ehon saishikitsū shohen)</t>
  </si>
  <si>
    <t>繪本彩色通　初編</t>
  </si>
  <si>
    <t>Ehon saishikitsū shohen</t>
  </si>
  <si>
    <t>Picture Book on the Use of Coloring</t>
  </si>
  <si>
    <t>7 3/16 × 5 1/16 in. (18.3 × 12.9 cm)</t>
  </si>
  <si>
    <t>『絵本和漢誉』|Picture Book on Heroes of China and Japan (Ehon wakan no homare)</t>
  </si>
  <si>
    <t>絵本和漢誉</t>
  </si>
  <si>
    <t>Ehon wakan no homare</t>
  </si>
  <si>
    <t>Picture Book on Heroes of China and Japan</t>
  </si>
  <si>
    <t>1850 (designed ca. 1836; published posthumously)</t>
  </si>
  <si>
    <t>9 1/16 × 6 3/8 in. (23 × 16.2 cm)</t>
  </si>
  <si>
    <t>2013.717a–e</t>
  </si>
  <si>
    <t>8 15/16 × 6 5/16 in. (22.7 × 16 cm)</t>
  </si>
  <si>
    <t>2013.718a–f</t>
  </si>
  <si>
    <t>9 × 6 1/4 in. (22.8 × 15.8 cm)</t>
  </si>
  <si>
    <t>other (each)</t>
  </si>
  <si>
    <t>10 1/4 × 6 13/16 in. (26 × 17.3 cm)</t>
  </si>
  <si>
    <t>2013.720a–r</t>
  </si>
  <si>
    <t>1814–78</t>
  </si>
  <si>
    <t>each approximately</t>
  </si>
  <si>
    <t>10 1/4 × 6 7/8 in. (26 × 17.5 cm)</t>
  </si>
  <si>
    <t>2013.722a, b</t>
  </si>
  <si>
    <t xml:space="preserve"> part I, 1817 and II, 1819</t>
  </si>
  <si>
    <t>7 3/16 × 4 15/16 in. (18.2 × 12.6 cm), 
8 3/8 × 5 7/8 in. (21.2 × 14.9 cm)</t>
  </si>
  <si>
    <t>vol. "kan": 7 3/16 × 4 15/16 in. (18.2 × 12.6 cm)
vol. "zen": 8 3/8 × 5 7/8 in. (21.2 × 14.9 cm)</t>
  </si>
  <si>
    <t>10 1/4 × 6 11/16 in. (26 × 17 cm)</t>
  </si>
  <si>
    <t>10 1/4 × 6 3/4 in. (26 × 17.2 cm)</t>
  </si>
  <si>
    <t>2013.725a–c</t>
  </si>
  <si>
    <t>Set of three woodblock printed books; ink on paper</t>
  </si>
  <si>
    <t>10 1/16 × 7 3/16 in. (25.5 × 18.2 cm),  10 9/16 × 7 3/16 in. (26.8 × 18.2 cm), 10 1/4 × 7 1/16 in. (26 × 18 cm)</t>
  </si>
  <si>
    <t>vol. a: 10 1/16 × 7 3/16 in. (25.5 × 18.2 cm)
vol. b (orange cover): 10 9/16 × 7 3/16 in. (26.8 × 18.2 cm)
vol. c: 10 1/4 × 7 1/16 in. (26 × 18 cm)</t>
  </si>
  <si>
    <t>10 3/8 × 6 3/4 in. (26.4 × 17.2 cm)</t>
  </si>
  <si>
    <t>10 3/8 × 7 1/16 in. (26.4 × 18 cm)</t>
  </si>
  <si>
    <t>2013.729a–c</t>
  </si>
  <si>
    <t>part I, 1828, part II,
1830s, and part III, ca. 1848</t>
  </si>
  <si>
    <t>8 7/8 × 6 1/16 in. (22.5 × 15.4 cm)</t>
  </si>
  <si>
    <t>8 15/16 × 6 1/4 in. (22.7 × 15.8 cm)</t>
  </si>
  <si>
    <t>2013.731a–e</t>
  </si>
  <si>
    <t>9 × 6 3/16 in. (22.8 × 15.7 cm)</t>
  </si>
  <si>
    <t>2013.732a–c</t>
  </si>
  <si>
    <t>1834;
 1835; ca. 1849</t>
  </si>
  <si>
    <t>8 13/16 × 6 1/8 in. (22.4 × 15.6 cm)</t>
  </si>
  <si>
    <t xml:space="preserve"> ca. 1840s</t>
  </si>
  <si>
    <t>8 7/8 × 6 5/16 in. (22.5 × 16 cm)</t>
  </si>
  <si>
    <t>2013.735a–e</t>
  </si>
  <si>
    <t>9 × 6 1/8 in. (22.8 × 15.6 cm)</t>
  </si>
  <si>
    <t>『男踏歌』|Men’s Stomping Dances (Otoko dōka)</t>
  </si>
  <si>
    <t>男踏歌</t>
  </si>
  <si>
    <t>Otoko dōka</t>
  </si>
  <si>
    <t>Men’s Stomping Dances</t>
  </si>
  <si>
    <t>Kitagawa Utamaro</t>
  </si>
  <si>
    <t>Japanese, 1753?–1806</t>
  </si>
  <si>
    <t>Kitagawa Utamaro|Rekisentei Eiri|Katsushika Hokusai|Chōbunsai Eishi</t>
  </si>
  <si>
    <t>Rekisentei Eiri</t>
  </si>
  <si>
    <t>Japanese, active ca. 1789–1801</t>
  </si>
  <si>
    <t>Chōbunsai Eishi</t>
  </si>
  <si>
    <t>Japanese, 1756–1829</t>
  </si>
  <si>
    <t>10 1/16 × 7 1/2 in. (25.5 × 19 cm)</t>
  </si>
  <si>
    <t>In honor of John T. Carpenter</t>
  </si>
  <si>
    <t>8 7/8 × 6 1/4 in. (22.6 × 15.8 cm)</t>
  </si>
  <si>
    <t>2012.136.881</t>
  </si>
  <si>
    <t>Drawings and Prints</t>
  </si>
  <si>
    <t>Prin</t>
  </si>
  <si>
    <t>ca. 1820</t>
  </si>
  <si>
    <t>Handcolored woodcut</t>
  </si>
  <si>
    <t>6 15/16 x 9 9/16 in. (17.6 x 24.3 cm)</t>
  </si>
  <si>
    <t>sheet</t>
  </si>
  <si>
    <t>Bequest of Phyllis Massar, 2011</t>
  </si>
  <si>
    <t>Phyllis Massar</t>
  </si>
  <si>
    <t>MediumLabel</t>
  </si>
  <si>
    <t>Material</t>
  </si>
  <si>
    <t>ink, colour, paper</t>
  </si>
  <si>
    <t>silk, ink, colour</t>
  </si>
  <si>
    <t>ink, paper</t>
  </si>
  <si>
    <t>ink, watercolour, paper</t>
  </si>
  <si>
    <t>ink, red colour, paper</t>
  </si>
  <si>
    <t>ink, colour, brown prepared paper</t>
  </si>
  <si>
    <t>india ink, paper</t>
  </si>
  <si>
    <t>ink, colour, mica, metallic pigment, paper</t>
  </si>
  <si>
    <t>Number of parts</t>
  </si>
  <si>
    <t>ObjectType</t>
  </si>
  <si>
    <t>hanshita-e</t>
  </si>
  <si>
    <t>surimono</t>
  </si>
  <si>
    <t>sketch</t>
  </si>
  <si>
    <t>orihon</t>
  </si>
  <si>
    <t>Polychrome woodblock print</t>
  </si>
  <si>
    <t>Album of ninety-seven leaves</t>
  </si>
  <si>
    <t>Fan mounted as hanging scroll</t>
  </si>
  <si>
    <t>Two volumes; polychrome woodblock print</t>
  </si>
  <si>
    <t>Book of polychrome woodblock prints</t>
  </si>
  <si>
    <t>Matted painting</t>
  </si>
  <si>
    <t>Album of one hundred and nine leaves</t>
  </si>
  <si>
    <t>Two volumes of drawings</t>
  </si>
  <si>
    <t>Matted painting; (wash drawing?)</t>
  </si>
  <si>
    <t>Unmounted painting</t>
  </si>
  <si>
    <t>Album</t>
  </si>
  <si>
    <t>Album of twenty-five preparatory drawings (hanshita-e) for book illustrations</t>
  </si>
  <si>
    <t>Monochrome woodblock print</t>
  </si>
  <si>
    <t>Sketch for a woodblock print;</t>
  </si>
  <si>
    <t>Two paintings mounted together</t>
  </si>
  <si>
    <t>Woodblock printed book</t>
  </si>
  <si>
    <t>Three volumes</t>
  </si>
  <si>
    <t>Polychrome woodblock printed book</t>
  </si>
  <si>
    <t>Two volumes</t>
  </si>
  <si>
    <t>Polychrome woodblock prints in a book</t>
  </si>
  <si>
    <t>Two volumes; woodblock print</t>
  </si>
  <si>
    <t>Five volumes</t>
  </si>
  <si>
    <t>Woodblock print (first and second volumes with 100 pages of illustrations)</t>
  </si>
  <si>
    <t>Eleven volumes of Woodblock printed books</t>
  </si>
  <si>
    <t>Polychrome woodblock print in an album</t>
  </si>
  <si>
    <t>Eight volumes of woodblock printed books</t>
  </si>
  <si>
    <t>Twelve volumes of Woodblock printed books</t>
  </si>
  <si>
    <t>Set of two woodblock printed books</t>
  </si>
  <si>
    <t>Set of four woodblock printed books</t>
  </si>
  <si>
    <t>Set of six woodblock printed books</t>
  </si>
  <si>
    <t>Woodblock printed book; color scribbles</t>
  </si>
  <si>
    <t>Set of five woodblock printed books</t>
  </si>
  <si>
    <t>Woodblock printed book (orihon, accordion-style)</t>
  </si>
  <si>
    <t>Set of nineteen woodblock printed books</t>
  </si>
  <si>
    <t>Woodblock printed books</t>
  </si>
  <si>
    <t>Set of three woodblock printed books</t>
  </si>
  <si>
    <t>PeriodStart</t>
  </si>
  <si>
    <t>PeriodEnd</t>
  </si>
  <si>
    <t>Edo period</t>
  </si>
  <si>
    <t xml:space="preserve"> Edo period</t>
  </si>
  <si>
    <t xml:space="preserve">Edo period
</t>
  </si>
  <si>
    <t>Japanese, Tokyo (Edo) 1760–1849</t>
  </si>
  <si>
    <t>Japanese, 1756–1829|Japanese, Tokyo (Edo) 1760–1849</t>
  </si>
  <si>
    <t>DimensionInchHeight</t>
  </si>
  <si>
    <t>DimensionInchWidth</t>
  </si>
  <si>
    <t>DimensionCmHeight</t>
  </si>
  <si>
    <t>DimensionCmWidth</t>
  </si>
  <si>
    <t>5 x 9 5/16 in. (12.7 x 23.7 cm)</t>
  </si>
  <si>
    <t>18.2; 21.2</t>
  </si>
  <si>
    <t>12.6; 14.9</t>
  </si>
  <si>
    <t>7.1875; 8 3/8</t>
  </si>
  <si>
    <t>4 15/16; 5 7/8</t>
  </si>
  <si>
    <t>DimensionInchDepth</t>
  </si>
  <si>
    <t>DimensionCmDepth</t>
  </si>
  <si>
    <t>The Annenberg Fund; Jacob S. Rogers Fund; Fletcher Fund, Harris Brisbane Dick Fund, Louis V. Bell Fund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</si>
</sst>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8" x14ac:knownFonts="1">
    <font>
      <sz val="10"/>
      <color rgb="FF000000"/>
      <name val="Arial"/>
    </font>
    <font>
      <sz val="10"/>
      <name val="Arial"/>
    </font>
    <font>
      <sz val="10"/>
      <color rgb="FF000000"/>
      <name val="Arial"/>
    </font>
    <font>
      <u/>
      <sz val="10"/>
      <color rgb="FF0000FF"/>
      <name val="Arial"/>
    </font>
    <font>
      <u/>
      <sz val="10"/>
      <color rgb="FF0000FF"/>
      <name val="Arial"/>
    </font>
    <font>
      <sz val="10"/>
      <name val="Arial"/>
    </font>
    <font>
      <sz val="10"/>
      <name val="Arial"/>
      <family val="2"/>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alignment wrapText="1"/>
    </xf>
    <xf numFmtId="0" fontId="0" fillId="0" borderId="0" xfId="0" applyFont="1" applyAlignment="1">
      <alignment wrapText="1"/>
    </xf>
    <xf numFmtId="0" fontId="3" fillId="0" borderId="0" xfId="0" applyFont="1" applyAlignment="1">
      <alignment wrapText="1"/>
    </xf>
    <xf numFmtId="164" fontId="1" fillId="0" borderId="0" xfId="0" applyNumberFormat="1" applyFont="1" applyAlignment="1">
      <alignment wrapText="1"/>
    </xf>
    <xf numFmtId="15" fontId="1" fillId="0" borderId="0" xfId="0" applyNumberFormat="1" applyFont="1" applyAlignment="1">
      <alignment wrapText="1"/>
    </xf>
    <xf numFmtId="0" fontId="6" fillId="0" borderId="0" xfId="0" applyFont="1" applyAlignment="1">
      <alignment wrapText="1"/>
    </xf>
    <xf numFmtId="0" fontId="7" fillId="2" borderId="0" xfId="0" applyFont="1" applyFill="1" applyAlignment="1">
      <alignment wrapText="1"/>
    </xf>
    <xf numFmtId="0" fontId="4" fillId="0" borderId="0" xfId="0" applyFont="1" applyAlignment="1">
      <alignment wrapText="1"/>
    </xf>
    <xf numFmtId="0" fontId="2" fillId="2" borderId="0" xfId="0" applyFont="1" applyFill="1" applyAlignment="1">
      <alignment wrapText="1"/>
    </xf>
    <xf numFmtId="0" fontId="5" fillId="0" borderId="0" xfId="0" applyFont="1" applyAlignment="1">
      <alignment wrapText="1"/>
    </xf>
    <xf numFmtId="13" fontId="1" fillId="0" borderId="0" xfId="0" applyNumberFormat="1" applyFont="1" applyAlignment="1">
      <alignment wrapText="1"/>
    </xf>
    <xf numFmtId="12" fontId="1" fillId="0" borderId="0" xfId="0" applyNumberFormat="1" applyFont="1" applyAlignment="1">
      <alignment wrapText="1"/>
    </xf>
    <xf numFmtId="12" fontId="6" fillId="0" borderId="0" xfId="0" applyNumberFormat="1" applyFont="1" applyAlignment="1">
      <alignment wrapText="1"/>
    </xf>
    <xf numFmtId="13" fontId="6" fillId="0" borderId="0" xfId="0" applyNumberFormat="1" applyFont="1" applyAlignment="1">
      <alignment wrapText="1"/>
    </xf>
    <xf numFmtId="12" fontId="0" fillId="0" borderId="0" xfId="0" applyNumberFormat="1" applyFill="1"/>
    <xf numFmtId="12" fontId="1" fillId="0" borderId="0" xfId="0" applyNumberFormat="1" applyFont="1" applyFill="1" applyAlignment="1">
      <alignment wrapText="1"/>
    </xf>
    <xf numFmtId="0" fontId="6"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1000"/>
  <sheetViews>
    <sheetView tabSelected="1" topLeftCell="A274" zoomScale="87" zoomScaleNormal="87" workbookViewId="0">
      <selection activeCell="M54" sqref="M54"/>
    </sheetView>
  </sheetViews>
  <sheetFormatPr defaultColWidth="17.28515625" defaultRowHeight="15" customHeight="1" x14ac:dyDescent="0.2"/>
  <cols>
    <col min="1" max="1" width="9.85546875" style="2" customWidth="1"/>
    <col min="2" max="2" width="10.28515625" style="2" customWidth="1"/>
    <col min="3" max="3" width="9.140625" style="2" customWidth="1"/>
    <col min="4" max="4" width="7.28515625" style="2" customWidth="1"/>
    <col min="5" max="5" width="10.42578125" style="2" customWidth="1"/>
    <col min="6" max="6" width="9.28515625" style="2" customWidth="1"/>
    <col min="7" max="7" width="35.42578125" style="2" customWidth="1"/>
    <col min="8" max="8" width="18.85546875" style="2" customWidth="1"/>
    <col min="9" max="9" width="19.28515625" style="2" customWidth="1"/>
    <col min="10" max="10" width="27.7109375" style="2" customWidth="1"/>
    <col min="11" max="11" width="13.85546875" style="2" customWidth="1"/>
    <col min="12" max="12" width="18" style="2" customWidth="1"/>
    <col min="13" max="13" width="31.7109375" style="2" customWidth="1"/>
    <col min="14" max="14" width="14.42578125" style="2" customWidth="1"/>
    <col min="15" max="15" width="13.140625" style="2" customWidth="1"/>
    <col min="16" max="16" width="9.140625" style="2" customWidth="1"/>
    <col min="17" max="17" width="7.42578125" style="2" customWidth="1"/>
    <col min="18" max="18" width="10.42578125" style="2" customWidth="1"/>
    <col min="19" max="19" width="9.85546875" style="2" customWidth="1"/>
    <col min="20" max="20" width="14.42578125" style="2" customWidth="1"/>
    <col min="21" max="21" width="7.28515625" style="2" customWidth="1"/>
    <col min="22" max="22" width="6.28515625" style="2" customWidth="1"/>
    <col min="23" max="23" width="11.28515625" style="2" customWidth="1"/>
    <col min="24" max="24" width="12.5703125" style="2" customWidth="1"/>
    <col min="25" max="25" width="6.85546875" style="2" customWidth="1"/>
    <col min="26" max="26" width="17.28515625" style="2" customWidth="1"/>
    <col min="27" max="27" width="12.7109375" style="2" customWidth="1"/>
    <col min="28" max="30" width="6.42578125" style="2" customWidth="1"/>
    <col min="31" max="31" width="8.140625" style="2" customWidth="1"/>
    <col min="32" max="32" width="8.28515625" style="2" customWidth="1"/>
    <col min="33" max="33" width="7.7109375" style="2" customWidth="1"/>
    <col min="34" max="34" width="8.28515625" style="2" customWidth="1"/>
    <col min="35" max="35" width="6.5703125" style="2" customWidth="1"/>
    <col min="36" max="36" width="6.42578125" style="2" customWidth="1"/>
    <col min="37" max="38" width="6.7109375" style="2" customWidth="1"/>
    <col min="39" max="39" width="8" style="2" customWidth="1"/>
    <col min="40" max="40" width="8.28515625" style="2" customWidth="1"/>
    <col min="41" max="41" width="7.5703125" style="2" customWidth="1"/>
    <col min="42" max="42" width="6.140625" style="2" customWidth="1"/>
    <col min="43" max="43" width="7" style="2" customWidth="1"/>
    <col min="44" max="44" width="6.140625" style="2" customWidth="1"/>
    <col min="45" max="45" width="5.140625" style="2" customWidth="1"/>
    <col min="46" max="46" width="7" style="2" customWidth="1"/>
    <col min="47" max="47" width="6.5703125" style="2" customWidth="1"/>
    <col min="48" max="48" width="6.42578125" style="2" customWidth="1"/>
    <col min="49" max="49" width="5.7109375" style="2" customWidth="1"/>
    <col min="50" max="50" width="4.7109375" style="2" customWidth="1"/>
    <col min="51" max="51" width="7.140625" style="2" customWidth="1"/>
    <col min="52" max="52" width="6.7109375" style="2" customWidth="1"/>
    <col min="53" max="53" width="7.140625" style="2" customWidth="1"/>
    <col min="54" max="56" width="6.28515625" style="2" customWidth="1"/>
    <col min="57" max="57" width="7.28515625" style="2" customWidth="1"/>
    <col min="58" max="58" width="14.42578125" style="2" customWidth="1"/>
    <col min="59" max="60" width="8.7109375" style="2" customWidth="1"/>
    <col min="61" max="61" width="5.28515625" style="2" customWidth="1"/>
    <col min="62" max="62" width="11.7109375" style="2" customWidth="1"/>
    <col min="63" max="63" width="23.28515625" style="2" customWidth="1"/>
    <col min="64" max="64" width="16.85546875" style="2" customWidth="1"/>
    <col min="65" max="65" width="14.42578125" style="2" customWidth="1"/>
    <col min="66" max="66" width="30.85546875" style="2" customWidth="1"/>
    <col min="67" max="67" width="9.140625" style="2" customWidth="1"/>
    <col min="68" max="68" width="8.140625" style="2" customWidth="1"/>
    <col min="69" max="69" width="16.140625" style="2" customWidth="1"/>
    <col min="70" max="70" width="8.140625" style="2" customWidth="1"/>
    <col min="71" max="72" width="8" style="2" customWidth="1"/>
    <col min="73" max="73" width="16.85546875" style="2" customWidth="1"/>
    <col min="74" max="74" width="20" style="2" customWidth="1"/>
    <col min="75" max="75" width="10.7109375" style="2" customWidth="1"/>
    <col min="76" max="76" width="19.28515625" style="2" customWidth="1"/>
    <col min="77" max="77" width="7" style="2" customWidth="1"/>
    <col min="78" max="78" width="23.28515625" style="2" customWidth="1"/>
    <col min="79" max="91" width="14.42578125" style="2" customWidth="1"/>
    <col min="92" max="92" width="9.28515625" style="2" customWidth="1"/>
    <col min="93" max="96" width="14.42578125" style="2" customWidth="1"/>
  </cols>
  <sheetData>
    <row r="1" spans="1:96" ht="39"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6" t="s">
        <v>1796</v>
      </c>
      <c r="Q1" s="6" t="s">
        <v>1797</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c r="BH1" s="1" t="s">
        <v>57</v>
      </c>
      <c r="BI1" s="6" t="s">
        <v>1754</v>
      </c>
      <c r="BJ1" s="6" t="s">
        <v>1755</v>
      </c>
      <c r="BK1" s="1" t="s">
        <v>1744</v>
      </c>
      <c r="BL1" s="1" t="s">
        <v>1745</v>
      </c>
      <c r="BM1" s="1" t="s">
        <v>58</v>
      </c>
      <c r="BN1" s="6" t="s">
        <v>59</v>
      </c>
      <c r="BO1" s="6" t="s">
        <v>1803</v>
      </c>
      <c r="BP1" s="6" t="s">
        <v>1804</v>
      </c>
      <c r="BQ1" s="6" t="s">
        <v>1812</v>
      </c>
      <c r="BR1" s="6" t="s">
        <v>1805</v>
      </c>
      <c r="BS1" s="6" t="s">
        <v>1806</v>
      </c>
      <c r="BT1" s="6" t="s">
        <v>1813</v>
      </c>
      <c r="BU1" s="1" t="s">
        <v>60</v>
      </c>
      <c r="BV1" s="1" t="s">
        <v>61</v>
      </c>
      <c r="BW1" s="1" t="s">
        <v>62</v>
      </c>
      <c r="BX1" s="1" t="s">
        <v>63</v>
      </c>
      <c r="BY1" s="1" t="s">
        <v>64</v>
      </c>
      <c r="BZ1" s="1" t="s">
        <v>65</v>
      </c>
      <c r="CA1" s="1" t="s">
        <v>66</v>
      </c>
      <c r="CB1" s="1" t="s">
        <v>67</v>
      </c>
      <c r="CC1" s="1" t="s">
        <v>68</v>
      </c>
      <c r="CD1" s="1" t="s">
        <v>69</v>
      </c>
      <c r="CE1" s="1" t="s">
        <v>70</v>
      </c>
      <c r="CF1" s="1" t="s">
        <v>71</v>
      </c>
      <c r="CG1" s="1" t="s">
        <v>72</v>
      </c>
      <c r="CH1" s="1" t="s">
        <v>73</v>
      </c>
      <c r="CI1" s="1" t="s">
        <v>74</v>
      </c>
      <c r="CJ1" s="1" t="s">
        <v>75</v>
      </c>
      <c r="CK1" s="1" t="s">
        <v>76</v>
      </c>
      <c r="CL1" s="1" t="s">
        <v>77</v>
      </c>
      <c r="CM1" s="1" t="s">
        <v>78</v>
      </c>
      <c r="CN1" s="1" t="s">
        <v>79</v>
      </c>
      <c r="CO1" s="1" t="s">
        <v>80</v>
      </c>
      <c r="CP1" s="1" t="s">
        <v>81</v>
      </c>
      <c r="CQ1" s="1" t="s">
        <v>82</v>
      </c>
      <c r="CR1" s="1" t="s">
        <v>83</v>
      </c>
    </row>
    <row r="2" spans="1:96" ht="66" customHeight="1" x14ac:dyDescent="0.2">
      <c r="A2" s="1" t="s">
        <v>84</v>
      </c>
      <c r="B2" s="1" t="b">
        <v>0</v>
      </c>
      <c r="C2" s="1" t="b">
        <v>1</v>
      </c>
      <c r="D2" s="1">
        <v>36483</v>
      </c>
      <c r="E2" s="1" t="s">
        <v>85</v>
      </c>
      <c r="F2" s="1" t="s">
        <v>86</v>
      </c>
      <c r="N2" s="1" t="s">
        <v>87</v>
      </c>
      <c r="O2" s="6" t="s">
        <v>1798</v>
      </c>
      <c r="P2" s="1">
        <v>1615</v>
      </c>
      <c r="Q2" s="1">
        <v>1868</v>
      </c>
      <c r="U2" s="1" t="s">
        <v>88</v>
      </c>
      <c r="W2" s="1" t="s">
        <v>89</v>
      </c>
      <c r="X2" s="6" t="s">
        <v>1801</v>
      </c>
      <c r="Z2" s="1" t="s">
        <v>89</v>
      </c>
      <c r="AA2" s="1" t="s">
        <v>90</v>
      </c>
      <c r="AB2" s="1">
        <v>1760</v>
      </c>
      <c r="AC2" s="1">
        <v>1849</v>
      </c>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t="s">
        <v>91</v>
      </c>
      <c r="BG2" s="1">
        <v>1794</v>
      </c>
      <c r="BH2" s="1">
        <v>1814</v>
      </c>
      <c r="BI2" s="1">
        <v>5</v>
      </c>
      <c r="BJ2" s="1"/>
      <c r="BK2" s="6" t="s">
        <v>1542</v>
      </c>
      <c r="BL2" s="1" t="s">
        <v>1746</v>
      </c>
      <c r="BM2" s="7" t="s">
        <v>615</v>
      </c>
      <c r="BN2" s="6" t="s">
        <v>92</v>
      </c>
      <c r="BO2" s="11">
        <v>14.46875</v>
      </c>
      <c r="BP2" s="12">
        <v>48.5</v>
      </c>
      <c r="BQ2" s="12"/>
      <c r="BR2" s="12">
        <v>36.799999999999997</v>
      </c>
      <c r="BS2" s="12">
        <v>123.2</v>
      </c>
      <c r="BT2" s="12"/>
      <c r="BU2" s="1"/>
      <c r="BV2" s="1" t="s">
        <v>93</v>
      </c>
      <c r="BW2" s="1" t="s">
        <v>94</v>
      </c>
      <c r="BX2" s="1" t="s">
        <v>95</v>
      </c>
      <c r="BY2" s="1">
        <v>1914</v>
      </c>
      <c r="BZ2" s="1"/>
      <c r="CA2" s="1"/>
      <c r="CB2" s="1"/>
      <c r="CN2" s="1" t="s">
        <v>96</v>
      </c>
      <c r="CP2" s="3" t="str">
        <f>HYPERLINK("http://www.metmuseum.org/art/collection/search/36483","http://www.metmuseum.org/art/collection/search/36483")</f>
        <v>http://www.metmuseum.org/art/collection/search/36483</v>
      </c>
      <c r="CQ2" s="4">
        <v>42842.333402777775</v>
      </c>
      <c r="CR2" s="1" t="s">
        <v>97</v>
      </c>
    </row>
    <row r="3" spans="1:96" ht="62.25" customHeight="1" x14ac:dyDescent="0.2">
      <c r="A3" s="1" t="s">
        <v>98</v>
      </c>
      <c r="B3" s="1" t="b">
        <v>0</v>
      </c>
      <c r="C3" s="1" t="b">
        <v>1</v>
      </c>
      <c r="D3" s="1">
        <v>36484</v>
      </c>
      <c r="E3" s="1" t="s">
        <v>85</v>
      </c>
      <c r="F3" s="1" t="s">
        <v>99</v>
      </c>
      <c r="G3" s="1" t="s">
        <v>100</v>
      </c>
      <c r="H3" s="1" t="s">
        <v>101</v>
      </c>
      <c r="I3" s="1" t="s">
        <v>102</v>
      </c>
      <c r="J3" s="1" t="s">
        <v>103</v>
      </c>
      <c r="K3" s="1" t="s">
        <v>104</v>
      </c>
      <c r="L3" s="1" t="s">
        <v>105</v>
      </c>
      <c r="M3" s="1" t="s">
        <v>106</v>
      </c>
      <c r="N3" s="1" t="s">
        <v>87</v>
      </c>
      <c r="O3" s="6" t="s">
        <v>1798</v>
      </c>
      <c r="P3" s="1">
        <v>1615</v>
      </c>
      <c r="Q3" s="1">
        <v>1868</v>
      </c>
      <c r="U3" s="1" t="s">
        <v>88</v>
      </c>
      <c r="W3" s="1" t="s">
        <v>89</v>
      </c>
      <c r="X3" s="1" t="s">
        <v>1801</v>
      </c>
      <c r="Z3" s="1" t="s">
        <v>89</v>
      </c>
      <c r="AA3" s="1" t="s">
        <v>90</v>
      </c>
      <c r="AB3" s="1">
        <v>1760</v>
      </c>
      <c r="AC3" s="1">
        <v>1849</v>
      </c>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t="s">
        <v>107</v>
      </c>
      <c r="BG3" s="1">
        <v>1817</v>
      </c>
      <c r="BH3" s="1">
        <v>1837</v>
      </c>
      <c r="BI3" s="1">
        <v>1</v>
      </c>
      <c r="BJ3" s="1"/>
      <c r="BK3" s="6" t="s">
        <v>1760</v>
      </c>
      <c r="BL3" s="1" t="s">
        <v>1746</v>
      </c>
      <c r="BM3" s="1"/>
      <c r="BN3" s="6" t="s">
        <v>109</v>
      </c>
      <c r="BO3" s="12">
        <v>14.75</v>
      </c>
      <c r="BP3" s="12">
        <v>10.25</v>
      </c>
      <c r="BQ3" s="12"/>
      <c r="BR3" s="1">
        <v>37.5</v>
      </c>
      <c r="BS3" s="1">
        <v>26</v>
      </c>
      <c r="BT3" s="1"/>
      <c r="BU3" s="1"/>
      <c r="BV3" s="1" t="s">
        <v>93</v>
      </c>
      <c r="BW3" s="1" t="s">
        <v>94</v>
      </c>
      <c r="BX3" s="1" t="s">
        <v>95</v>
      </c>
      <c r="BY3" s="1">
        <v>1914</v>
      </c>
      <c r="BZ3" s="1"/>
      <c r="CA3" s="1"/>
      <c r="CB3" s="1"/>
      <c r="CN3" s="1" t="s">
        <v>96</v>
      </c>
      <c r="CP3" s="8" t="str">
        <f>HYPERLINK("http://www.metmuseum.org/art/collection/search/36484","http://www.metmuseum.org/art/collection/search/36484")</f>
        <v>http://www.metmuseum.org/art/collection/search/36484</v>
      </c>
      <c r="CQ3" s="4">
        <v>42842.333402777775</v>
      </c>
      <c r="CR3" s="1" t="s">
        <v>97</v>
      </c>
    </row>
    <row r="4" spans="1:96" ht="54.75" customHeight="1" x14ac:dyDescent="0.2">
      <c r="A4" s="1" t="s">
        <v>110</v>
      </c>
      <c r="B4" s="1" t="b">
        <v>0</v>
      </c>
      <c r="C4" s="1" t="b">
        <v>1</v>
      </c>
      <c r="D4" s="1">
        <v>36485</v>
      </c>
      <c r="E4" s="1" t="s">
        <v>85</v>
      </c>
      <c r="F4" s="1" t="s">
        <v>99</v>
      </c>
      <c r="G4" s="1" t="s">
        <v>111</v>
      </c>
      <c r="H4" s="1" t="s">
        <v>112</v>
      </c>
      <c r="I4" s="1" t="s">
        <v>113</v>
      </c>
      <c r="J4" s="1" t="s">
        <v>114</v>
      </c>
      <c r="K4" s="1" t="s">
        <v>115</v>
      </c>
      <c r="L4" s="1" t="s">
        <v>116</v>
      </c>
      <c r="M4" s="1" t="s">
        <v>117</v>
      </c>
      <c r="N4" s="1" t="s">
        <v>87</v>
      </c>
      <c r="O4" s="6" t="s">
        <v>1798</v>
      </c>
      <c r="P4" s="1">
        <v>1615</v>
      </c>
      <c r="Q4" s="1">
        <v>1868</v>
      </c>
      <c r="U4" s="1" t="s">
        <v>88</v>
      </c>
      <c r="W4" s="1" t="s">
        <v>89</v>
      </c>
      <c r="X4" s="1" t="s">
        <v>1801</v>
      </c>
      <c r="Z4" s="1" t="s">
        <v>89</v>
      </c>
      <c r="AA4" s="1" t="s">
        <v>90</v>
      </c>
      <c r="AB4" s="1">
        <v>1760</v>
      </c>
      <c r="AC4" s="1">
        <v>1849</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1839</v>
      </c>
      <c r="BG4" s="1">
        <v>1839</v>
      </c>
      <c r="BH4" s="1">
        <v>1839</v>
      </c>
      <c r="BI4" s="1">
        <v>1</v>
      </c>
      <c r="BJ4" s="1"/>
      <c r="BK4" s="6" t="s">
        <v>1760</v>
      </c>
      <c r="BL4" s="1" t="s">
        <v>1746</v>
      </c>
      <c r="BM4" s="1"/>
      <c r="BN4" s="6" t="s">
        <v>118</v>
      </c>
      <c r="BO4" s="12">
        <v>10.125</v>
      </c>
      <c r="BP4" s="12">
        <v>14.75</v>
      </c>
      <c r="BQ4" s="12"/>
      <c r="BR4" s="1">
        <v>25.7</v>
      </c>
      <c r="BS4" s="1">
        <v>37.5</v>
      </c>
      <c r="BT4" s="1"/>
      <c r="BU4" s="1"/>
      <c r="BV4" s="1" t="s">
        <v>93</v>
      </c>
      <c r="BW4" s="1" t="s">
        <v>94</v>
      </c>
      <c r="BX4" s="1" t="s">
        <v>95</v>
      </c>
      <c r="BY4" s="1">
        <v>1914</v>
      </c>
      <c r="BZ4" s="1"/>
      <c r="CA4" s="1"/>
      <c r="CB4" s="1"/>
      <c r="CN4" s="1" t="s">
        <v>96</v>
      </c>
      <c r="CP4" s="3" t="str">
        <f>HYPERLINK("http://www.metmuseum.org/art/collection/search/36485","http://www.metmuseum.org/art/collection/search/36485")</f>
        <v>http://www.metmuseum.org/art/collection/search/36485</v>
      </c>
      <c r="CQ4" s="4">
        <v>42842.333402777775</v>
      </c>
      <c r="CR4" s="1" t="s">
        <v>97</v>
      </c>
    </row>
    <row r="5" spans="1:96" ht="52.5" customHeight="1" x14ac:dyDescent="0.2">
      <c r="A5" s="1" t="s">
        <v>119</v>
      </c>
      <c r="B5" s="1" t="b">
        <v>0</v>
      </c>
      <c r="C5" s="1" t="b">
        <v>1</v>
      </c>
      <c r="D5" s="1">
        <v>36486</v>
      </c>
      <c r="E5" s="1" t="s">
        <v>85</v>
      </c>
      <c r="F5" s="1" t="s">
        <v>99</v>
      </c>
      <c r="G5" s="1" t="s">
        <v>120</v>
      </c>
      <c r="H5" s="1" t="s">
        <v>121</v>
      </c>
      <c r="I5" s="1" t="s">
        <v>122</v>
      </c>
      <c r="J5" s="1" t="s">
        <v>123</v>
      </c>
      <c r="K5" s="1" t="s">
        <v>124</v>
      </c>
      <c r="L5" s="1" t="s">
        <v>116</v>
      </c>
      <c r="M5" s="1" t="s">
        <v>117</v>
      </c>
      <c r="N5" s="1" t="s">
        <v>87</v>
      </c>
      <c r="O5" s="1" t="s">
        <v>1798</v>
      </c>
      <c r="P5" s="1">
        <v>1615</v>
      </c>
      <c r="Q5" s="1">
        <v>1868</v>
      </c>
      <c r="U5" s="1" t="s">
        <v>88</v>
      </c>
      <c r="W5" s="1" t="s">
        <v>89</v>
      </c>
      <c r="X5" s="1" t="s">
        <v>1801</v>
      </c>
      <c r="Z5" s="1" t="s">
        <v>89</v>
      </c>
      <c r="AA5" s="1" t="s">
        <v>90</v>
      </c>
      <c r="AB5" s="1">
        <v>1760</v>
      </c>
      <c r="AC5" s="1">
        <v>1849</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v>1839</v>
      </c>
      <c r="BG5" s="1">
        <v>1839</v>
      </c>
      <c r="BH5" s="1">
        <v>1839</v>
      </c>
      <c r="BI5" s="1">
        <v>1</v>
      </c>
      <c r="BJ5" s="1"/>
      <c r="BK5" s="1" t="s">
        <v>1760</v>
      </c>
      <c r="BL5" s="1" t="s">
        <v>1746</v>
      </c>
      <c r="BM5" s="1"/>
      <c r="BN5" s="6" t="s">
        <v>125</v>
      </c>
      <c r="BO5" s="12">
        <v>9.875</v>
      </c>
      <c r="BP5" s="1">
        <v>14</v>
      </c>
      <c r="BQ5" s="1"/>
      <c r="BR5" s="1">
        <v>25.1</v>
      </c>
      <c r="BS5" s="1">
        <v>35.6</v>
      </c>
      <c r="BT5" s="1"/>
      <c r="BU5" s="1"/>
      <c r="BV5" s="1" t="s">
        <v>93</v>
      </c>
      <c r="BW5" s="1" t="s">
        <v>94</v>
      </c>
      <c r="BX5" s="1" t="s">
        <v>95</v>
      </c>
      <c r="BY5" s="1">
        <v>1914</v>
      </c>
      <c r="BZ5" s="1"/>
      <c r="CA5" s="1"/>
      <c r="CB5" s="1"/>
      <c r="CN5" s="1" t="s">
        <v>96</v>
      </c>
      <c r="CP5" s="3" t="str">
        <f>HYPERLINK("http://www.metmuseum.org/art/collection/search/36486","http://www.metmuseum.org/art/collection/search/36486")</f>
        <v>http://www.metmuseum.org/art/collection/search/36486</v>
      </c>
      <c r="CQ5" s="4">
        <v>42842.333402777775</v>
      </c>
      <c r="CR5" s="1" t="s">
        <v>97</v>
      </c>
    </row>
    <row r="6" spans="1:96" ht="52.5" customHeight="1" x14ac:dyDescent="0.2">
      <c r="A6" s="1" t="s">
        <v>126</v>
      </c>
      <c r="B6" s="1" t="b">
        <v>0</v>
      </c>
      <c r="C6" s="1" t="b">
        <v>1</v>
      </c>
      <c r="D6" s="1">
        <v>36487</v>
      </c>
      <c r="E6" s="1" t="s">
        <v>85</v>
      </c>
      <c r="F6" s="1" t="s">
        <v>99</v>
      </c>
      <c r="G6" s="1" t="s">
        <v>127</v>
      </c>
      <c r="H6" s="1" t="s">
        <v>128</v>
      </c>
      <c r="I6" s="1" t="s">
        <v>129</v>
      </c>
      <c r="J6" s="1" t="s">
        <v>130</v>
      </c>
      <c r="K6" s="1" t="s">
        <v>115</v>
      </c>
      <c r="L6" s="1" t="s">
        <v>116</v>
      </c>
      <c r="M6" s="1" t="s">
        <v>117</v>
      </c>
      <c r="N6" s="1" t="s">
        <v>87</v>
      </c>
      <c r="O6" s="1" t="s">
        <v>1798</v>
      </c>
      <c r="P6" s="1">
        <v>1615</v>
      </c>
      <c r="Q6" s="1">
        <v>1868</v>
      </c>
      <c r="U6" s="1" t="s">
        <v>88</v>
      </c>
      <c r="W6" s="1" t="s">
        <v>89</v>
      </c>
      <c r="X6" s="1" t="s">
        <v>1801</v>
      </c>
      <c r="Z6" s="1" t="s">
        <v>89</v>
      </c>
      <c r="AA6" s="1" t="s">
        <v>90</v>
      </c>
      <c r="AB6" s="1">
        <v>1760</v>
      </c>
      <c r="AC6" s="1">
        <v>1849</v>
      </c>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t="s">
        <v>131</v>
      </c>
      <c r="BG6" s="1">
        <v>1829</v>
      </c>
      <c r="BH6" s="1">
        <v>1849</v>
      </c>
      <c r="BI6" s="1">
        <v>1</v>
      </c>
      <c r="BJ6" s="1"/>
      <c r="BK6" s="1" t="s">
        <v>1760</v>
      </c>
      <c r="BL6" s="1" t="s">
        <v>1746</v>
      </c>
      <c r="BM6" s="1"/>
      <c r="BN6" s="6" t="s">
        <v>132</v>
      </c>
      <c r="BO6" s="1">
        <v>10</v>
      </c>
      <c r="BP6" s="12">
        <v>14.6</v>
      </c>
      <c r="BQ6" s="12"/>
      <c r="BR6" s="1">
        <v>25.4</v>
      </c>
      <c r="BS6" s="1">
        <v>37.1</v>
      </c>
      <c r="BT6" s="1"/>
      <c r="BU6" s="1"/>
      <c r="BV6" s="1" t="s">
        <v>93</v>
      </c>
      <c r="BW6" s="1" t="s">
        <v>94</v>
      </c>
      <c r="BX6" s="1" t="s">
        <v>95</v>
      </c>
      <c r="BY6" s="1">
        <v>1914</v>
      </c>
      <c r="BZ6" s="1"/>
      <c r="CA6" s="1"/>
      <c r="CB6" s="1"/>
      <c r="CN6" s="1" t="s">
        <v>96</v>
      </c>
      <c r="CP6" s="8" t="str">
        <f>HYPERLINK("http://www.metmuseum.org/art/collection/search/36487","http://www.metmuseum.org/art/collection/search/36487")</f>
        <v>http://www.metmuseum.org/art/collection/search/36487</v>
      </c>
      <c r="CQ6" s="4">
        <v>42842.333402777775</v>
      </c>
      <c r="CR6" s="1" t="s">
        <v>97</v>
      </c>
    </row>
    <row r="7" spans="1:96" ht="52.5" customHeight="1" x14ac:dyDescent="0.2">
      <c r="A7" s="1" t="s">
        <v>133</v>
      </c>
      <c r="B7" s="1" t="b">
        <v>0</v>
      </c>
      <c r="C7" s="1" t="b">
        <v>1</v>
      </c>
      <c r="D7" s="1">
        <v>36488</v>
      </c>
      <c r="E7" s="1" t="s">
        <v>85</v>
      </c>
      <c r="F7" s="1" t="s">
        <v>99</v>
      </c>
      <c r="G7" s="1" t="s">
        <v>134</v>
      </c>
      <c r="H7" s="1" t="s">
        <v>135</v>
      </c>
      <c r="I7" s="1" t="s">
        <v>136</v>
      </c>
      <c r="J7" s="1" t="s">
        <v>137</v>
      </c>
      <c r="K7" s="1" t="s">
        <v>138</v>
      </c>
      <c r="L7" s="1" t="s">
        <v>116</v>
      </c>
      <c r="M7" s="1" t="s">
        <v>117</v>
      </c>
      <c r="N7" s="1" t="s">
        <v>87</v>
      </c>
      <c r="O7" s="1" t="s">
        <v>1798</v>
      </c>
      <c r="P7" s="1">
        <v>1615</v>
      </c>
      <c r="Q7" s="1">
        <v>1868</v>
      </c>
      <c r="U7" s="1" t="s">
        <v>88</v>
      </c>
      <c r="W7" s="1" t="s">
        <v>89</v>
      </c>
      <c r="X7" s="1" t="s">
        <v>1801</v>
      </c>
      <c r="Z7" s="1" t="s">
        <v>89</v>
      </c>
      <c r="AA7" s="1" t="s">
        <v>90</v>
      </c>
      <c r="AB7" s="1">
        <v>1760</v>
      </c>
      <c r="AC7" s="1">
        <v>1849</v>
      </c>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v>1839</v>
      </c>
      <c r="BG7" s="1">
        <v>1839</v>
      </c>
      <c r="BH7" s="1">
        <v>1839</v>
      </c>
      <c r="BI7" s="1">
        <v>1</v>
      </c>
      <c r="BJ7" s="1"/>
      <c r="BK7" s="1" t="s">
        <v>1760</v>
      </c>
      <c r="BL7" s="1" t="s">
        <v>1746</v>
      </c>
      <c r="BM7" s="1"/>
      <c r="BN7" s="6" t="s">
        <v>139</v>
      </c>
      <c r="BO7" s="1">
        <v>10</v>
      </c>
      <c r="BP7" s="12">
        <v>14.125</v>
      </c>
      <c r="BQ7" s="12"/>
      <c r="BR7" s="1">
        <v>25.4</v>
      </c>
      <c r="BS7" s="1">
        <v>35.9</v>
      </c>
      <c r="BT7" s="1"/>
      <c r="BU7" s="1"/>
      <c r="BV7" s="1" t="s">
        <v>93</v>
      </c>
      <c r="BW7" s="1" t="s">
        <v>94</v>
      </c>
      <c r="BX7" s="1" t="s">
        <v>95</v>
      </c>
      <c r="BY7" s="1">
        <v>1914</v>
      </c>
      <c r="BZ7" s="1"/>
      <c r="CA7" s="1"/>
      <c r="CB7" s="1"/>
      <c r="CN7" s="1" t="s">
        <v>96</v>
      </c>
      <c r="CP7" s="8" t="str">
        <f>HYPERLINK("http://www.metmuseum.org/art/collection/search/36488","http://www.metmuseum.org/art/collection/search/36488")</f>
        <v>http://www.metmuseum.org/art/collection/search/36488</v>
      </c>
      <c r="CQ7" s="4">
        <v>42842.333402777775</v>
      </c>
      <c r="CR7" s="1" t="s">
        <v>97</v>
      </c>
    </row>
    <row r="8" spans="1:96" ht="52.5" customHeight="1" x14ac:dyDescent="0.2">
      <c r="A8" s="1" t="s">
        <v>140</v>
      </c>
      <c r="B8" s="1" t="b">
        <v>0</v>
      </c>
      <c r="C8" s="1" t="b">
        <v>1</v>
      </c>
      <c r="D8" s="1">
        <v>36489</v>
      </c>
      <c r="E8" s="1" t="s">
        <v>85</v>
      </c>
      <c r="F8" s="1" t="s">
        <v>86</v>
      </c>
      <c r="G8" s="1" t="s">
        <v>141</v>
      </c>
      <c r="H8" s="1" t="s">
        <v>142</v>
      </c>
      <c r="I8" s="1" t="s">
        <v>143</v>
      </c>
      <c r="J8" s="1" t="s">
        <v>144</v>
      </c>
      <c r="K8" s="1" t="s">
        <v>145</v>
      </c>
      <c r="L8" s="1" t="s">
        <v>146</v>
      </c>
      <c r="M8" s="1" t="s">
        <v>147</v>
      </c>
      <c r="N8" s="1" t="s">
        <v>87</v>
      </c>
      <c r="O8" s="1" t="s">
        <v>1798</v>
      </c>
      <c r="P8" s="1">
        <v>1615</v>
      </c>
      <c r="Q8" s="6">
        <v>1868</v>
      </c>
      <c r="U8" s="1" t="s">
        <v>88</v>
      </c>
      <c r="W8" s="1" t="s">
        <v>89</v>
      </c>
      <c r="X8" s="1" t="s">
        <v>1801</v>
      </c>
      <c r="Z8" s="1" t="s">
        <v>89</v>
      </c>
      <c r="AA8" s="1" t="s">
        <v>90</v>
      </c>
      <c r="AB8" s="1">
        <v>1760</v>
      </c>
      <c r="AC8" s="1">
        <v>1849</v>
      </c>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t="s">
        <v>148</v>
      </c>
      <c r="BG8" s="1">
        <v>1827</v>
      </c>
      <c r="BH8" s="1">
        <v>1830</v>
      </c>
      <c r="BI8" s="1">
        <v>1</v>
      </c>
      <c r="BJ8" s="1"/>
      <c r="BK8" s="1" t="s">
        <v>1760</v>
      </c>
      <c r="BL8" s="1" t="s">
        <v>1746</v>
      </c>
      <c r="BM8" s="1"/>
      <c r="BN8" s="6" t="s">
        <v>149</v>
      </c>
      <c r="BO8" s="11">
        <v>10.21875</v>
      </c>
      <c r="BP8" s="11">
        <v>15.21875</v>
      </c>
      <c r="BQ8" s="11"/>
      <c r="BR8" s="1">
        <v>26</v>
      </c>
      <c r="BS8" s="1">
        <v>38.700000000000003</v>
      </c>
      <c r="BT8" s="1"/>
      <c r="BU8" s="1"/>
      <c r="BV8" s="1" t="s">
        <v>93</v>
      </c>
      <c r="BW8" s="1" t="s">
        <v>94</v>
      </c>
      <c r="BX8" s="1" t="s">
        <v>95</v>
      </c>
      <c r="BY8" s="1">
        <v>1914</v>
      </c>
      <c r="BZ8" s="1"/>
      <c r="CA8" s="1"/>
      <c r="CB8" s="1"/>
      <c r="CN8" s="1" t="s">
        <v>96</v>
      </c>
      <c r="CP8" s="8" t="str">
        <f>HYPERLINK("http://www.metmuseum.org/art/collection/search/36489","http://www.metmuseum.org/art/collection/search/36489")</f>
        <v>http://www.metmuseum.org/art/collection/search/36489</v>
      </c>
      <c r="CQ8" s="4">
        <v>42842.333402777775</v>
      </c>
      <c r="CR8" s="1" t="s">
        <v>97</v>
      </c>
    </row>
    <row r="9" spans="1:96" ht="52.5" customHeight="1" x14ac:dyDescent="0.2">
      <c r="A9" s="1" t="s">
        <v>150</v>
      </c>
      <c r="B9" s="1" t="b">
        <v>0</v>
      </c>
      <c r="C9" s="1" t="b">
        <v>1</v>
      </c>
      <c r="D9" s="1">
        <v>36490</v>
      </c>
      <c r="E9" s="1" t="s">
        <v>85</v>
      </c>
      <c r="F9" s="1" t="s">
        <v>99</v>
      </c>
      <c r="G9" s="1" t="s">
        <v>151</v>
      </c>
      <c r="H9" s="1" t="s">
        <v>152</v>
      </c>
      <c r="I9" s="1" t="s">
        <v>153</v>
      </c>
      <c r="J9" s="1" t="s">
        <v>154</v>
      </c>
      <c r="K9" s="1" t="s">
        <v>155</v>
      </c>
      <c r="L9" s="1" t="s">
        <v>156</v>
      </c>
      <c r="M9" s="1" t="s">
        <v>157</v>
      </c>
      <c r="N9" s="1" t="s">
        <v>87</v>
      </c>
      <c r="O9" s="1" t="s">
        <v>1798</v>
      </c>
      <c r="P9" s="1">
        <v>1615</v>
      </c>
      <c r="Q9" s="1">
        <v>1868</v>
      </c>
      <c r="U9" s="1" t="s">
        <v>88</v>
      </c>
      <c r="W9" s="1" t="s">
        <v>89</v>
      </c>
      <c r="X9" s="1" t="s">
        <v>1801</v>
      </c>
      <c r="Z9" s="1" t="s">
        <v>89</v>
      </c>
      <c r="AA9" s="1" t="s">
        <v>90</v>
      </c>
      <c r="AB9" s="1">
        <v>1760</v>
      </c>
      <c r="AC9" s="1">
        <v>1849</v>
      </c>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t="s">
        <v>158</v>
      </c>
      <c r="BG9" s="1">
        <v>1820</v>
      </c>
      <c r="BH9" s="1">
        <v>1842</v>
      </c>
      <c r="BI9" s="1">
        <v>1</v>
      </c>
      <c r="BJ9" s="1"/>
      <c r="BK9" s="1" t="s">
        <v>1760</v>
      </c>
      <c r="BL9" s="1" t="s">
        <v>1746</v>
      </c>
      <c r="BM9" s="1"/>
      <c r="BN9" s="6" t="s">
        <v>159</v>
      </c>
      <c r="BO9" s="12">
        <v>9.625</v>
      </c>
      <c r="BP9" s="1">
        <v>14</v>
      </c>
      <c r="BQ9" s="1"/>
      <c r="BR9" s="1">
        <v>24.4</v>
      </c>
      <c r="BS9" s="1">
        <v>35.6</v>
      </c>
      <c r="BT9" s="1"/>
      <c r="BU9" s="1"/>
      <c r="BV9" s="1" t="s">
        <v>93</v>
      </c>
      <c r="BW9" s="1" t="s">
        <v>94</v>
      </c>
      <c r="BX9" s="1" t="s">
        <v>95</v>
      </c>
      <c r="BY9" s="1">
        <v>1914</v>
      </c>
      <c r="BZ9" s="1"/>
      <c r="CA9" s="1"/>
      <c r="CB9" s="1"/>
      <c r="CN9" s="1" t="s">
        <v>96</v>
      </c>
      <c r="CP9" s="8" t="str">
        <f>HYPERLINK("http://www.metmuseum.org/art/collection/search/36490","http://www.metmuseum.org/art/collection/search/36490")</f>
        <v>http://www.metmuseum.org/art/collection/search/36490</v>
      </c>
      <c r="CQ9" s="4">
        <v>42842.333402777775</v>
      </c>
      <c r="CR9" s="1" t="s">
        <v>97</v>
      </c>
    </row>
    <row r="10" spans="1:96" ht="52.5" customHeight="1" x14ac:dyDescent="0.2">
      <c r="A10" s="1" t="s">
        <v>160</v>
      </c>
      <c r="B10" s="1" t="b">
        <v>0</v>
      </c>
      <c r="C10" s="1" t="b">
        <v>1</v>
      </c>
      <c r="D10" s="1">
        <v>36491</v>
      </c>
      <c r="E10" s="1" t="s">
        <v>85</v>
      </c>
      <c r="F10" s="1" t="s">
        <v>99</v>
      </c>
      <c r="G10" s="1" t="s">
        <v>161</v>
      </c>
      <c r="H10" s="1" t="s">
        <v>162</v>
      </c>
      <c r="I10" s="1" t="s">
        <v>163</v>
      </c>
      <c r="J10" s="1" t="s">
        <v>164</v>
      </c>
      <c r="K10" s="1" t="s">
        <v>165</v>
      </c>
      <c r="L10" s="1" t="s">
        <v>156</v>
      </c>
      <c r="M10" s="1" t="s">
        <v>157</v>
      </c>
      <c r="N10" s="1" t="s">
        <v>87</v>
      </c>
      <c r="O10" s="1" t="s">
        <v>1798</v>
      </c>
      <c r="P10" s="1">
        <v>1615</v>
      </c>
      <c r="Q10" s="1">
        <v>1868</v>
      </c>
      <c r="U10" s="1" t="s">
        <v>88</v>
      </c>
      <c r="W10" s="1" t="s">
        <v>89</v>
      </c>
      <c r="X10" s="1" t="s">
        <v>1801</v>
      </c>
      <c r="Z10" s="1" t="s">
        <v>89</v>
      </c>
      <c r="AA10" s="1" t="s">
        <v>90</v>
      </c>
      <c r="AB10" s="1">
        <v>1760</v>
      </c>
      <c r="AC10" s="1">
        <v>1849</v>
      </c>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t="s">
        <v>158</v>
      </c>
      <c r="BG10" s="1">
        <v>1820</v>
      </c>
      <c r="BH10" s="1">
        <v>1842</v>
      </c>
      <c r="BI10" s="1">
        <v>1</v>
      </c>
      <c r="BJ10" s="1"/>
      <c r="BK10" s="1" t="s">
        <v>1760</v>
      </c>
      <c r="BL10" s="1" t="s">
        <v>1746</v>
      </c>
      <c r="BM10" s="1"/>
      <c r="BN10" s="1" t="s">
        <v>166</v>
      </c>
      <c r="BO10" s="12">
        <v>9.625</v>
      </c>
      <c r="BP10" s="11">
        <v>14.0625</v>
      </c>
      <c r="BQ10" s="11"/>
      <c r="BR10" s="1">
        <v>24.4</v>
      </c>
      <c r="BS10" s="1">
        <v>35.700000000000003</v>
      </c>
      <c r="BT10" s="1"/>
      <c r="BU10" s="1"/>
      <c r="BV10" s="1" t="s">
        <v>93</v>
      </c>
      <c r="BW10" s="1" t="s">
        <v>94</v>
      </c>
      <c r="BX10" s="1" t="s">
        <v>95</v>
      </c>
      <c r="BY10" s="1">
        <v>1914</v>
      </c>
      <c r="BZ10" s="1"/>
      <c r="CA10" s="1"/>
      <c r="CB10" s="1"/>
      <c r="CN10" s="1" t="s">
        <v>96</v>
      </c>
      <c r="CP10" s="8" t="str">
        <f>HYPERLINK("http://www.metmuseum.org/art/collection/search/36491","http://www.metmuseum.org/art/collection/search/36491")</f>
        <v>http://www.metmuseum.org/art/collection/search/36491</v>
      </c>
      <c r="CQ10" s="4">
        <v>42842.333402777775</v>
      </c>
      <c r="CR10" s="1" t="s">
        <v>97</v>
      </c>
    </row>
    <row r="11" spans="1:96" ht="52.5" customHeight="1" x14ac:dyDescent="0.2">
      <c r="A11" s="1" t="s">
        <v>167</v>
      </c>
      <c r="B11" s="1" t="b">
        <v>0</v>
      </c>
      <c r="C11" s="1" t="b">
        <v>1</v>
      </c>
      <c r="D11" s="1">
        <v>36492</v>
      </c>
      <c r="E11" s="1" t="s">
        <v>85</v>
      </c>
      <c r="F11" s="1" t="s">
        <v>99</v>
      </c>
      <c r="G11" s="1" t="s">
        <v>168</v>
      </c>
      <c r="H11" s="1" t="s">
        <v>169</v>
      </c>
      <c r="I11" s="1" t="s">
        <v>170</v>
      </c>
      <c r="J11" s="1" t="s">
        <v>171</v>
      </c>
      <c r="K11" s="1" t="s">
        <v>172</v>
      </c>
      <c r="L11" s="1" t="s">
        <v>156</v>
      </c>
      <c r="M11" s="1" t="s">
        <v>157</v>
      </c>
      <c r="N11" s="1" t="s">
        <v>87</v>
      </c>
      <c r="O11" s="1" t="s">
        <v>1798</v>
      </c>
      <c r="P11" s="1">
        <v>1615</v>
      </c>
      <c r="Q11" s="1">
        <v>1868</v>
      </c>
      <c r="U11" s="1" t="s">
        <v>88</v>
      </c>
      <c r="W11" s="1" t="s">
        <v>89</v>
      </c>
      <c r="X11" s="1" t="s">
        <v>1801</v>
      </c>
      <c r="Z11" s="1" t="s">
        <v>89</v>
      </c>
      <c r="AA11" s="1" t="s">
        <v>90</v>
      </c>
      <c r="AB11" s="1">
        <v>1760</v>
      </c>
      <c r="AC11" s="1">
        <v>1849</v>
      </c>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t="s">
        <v>158</v>
      </c>
      <c r="BG11" s="1">
        <v>1820</v>
      </c>
      <c r="BH11" s="1">
        <v>1842</v>
      </c>
      <c r="BI11" s="1">
        <v>1</v>
      </c>
      <c r="BJ11" s="1"/>
      <c r="BK11" s="1" t="s">
        <v>1760</v>
      </c>
      <c r="BL11" s="1" t="s">
        <v>1746</v>
      </c>
      <c r="BM11" s="1"/>
      <c r="BN11" s="1" t="s">
        <v>173</v>
      </c>
      <c r="BO11" s="13">
        <v>10.125</v>
      </c>
      <c r="BP11" s="12">
        <v>15.125</v>
      </c>
      <c r="BQ11" s="12"/>
      <c r="BR11" s="1">
        <v>25.7</v>
      </c>
      <c r="BS11" s="1">
        <v>38.4</v>
      </c>
      <c r="BT11" s="1"/>
      <c r="BU11" s="1"/>
      <c r="BV11" s="1" t="s">
        <v>93</v>
      </c>
      <c r="BW11" s="1" t="s">
        <v>94</v>
      </c>
      <c r="BX11" s="1" t="s">
        <v>95</v>
      </c>
      <c r="BY11" s="1">
        <v>1914</v>
      </c>
      <c r="BZ11" s="1"/>
      <c r="CA11" s="1"/>
      <c r="CB11" s="1"/>
      <c r="CN11" s="1" t="s">
        <v>96</v>
      </c>
      <c r="CP11" s="8" t="str">
        <f>HYPERLINK("http://www.metmuseum.org/art/collection/search/36492","http://www.metmuseum.org/art/collection/search/36492")</f>
        <v>http://www.metmuseum.org/art/collection/search/36492</v>
      </c>
      <c r="CQ11" s="4">
        <v>42842.333402777775</v>
      </c>
      <c r="CR11" s="1" t="s">
        <v>97</v>
      </c>
    </row>
    <row r="12" spans="1:96" ht="52.5" customHeight="1" x14ac:dyDescent="0.2">
      <c r="A12" s="1" t="s">
        <v>174</v>
      </c>
      <c r="B12" s="1" t="b">
        <v>0</v>
      </c>
      <c r="C12" s="1" t="b">
        <v>1</v>
      </c>
      <c r="D12" s="1">
        <v>36493</v>
      </c>
      <c r="E12" s="1" t="s">
        <v>85</v>
      </c>
      <c r="F12" s="1" t="s">
        <v>99</v>
      </c>
      <c r="G12" s="1" t="s">
        <v>175</v>
      </c>
      <c r="H12" s="1" t="s">
        <v>176</v>
      </c>
      <c r="I12" s="1" t="s">
        <v>177</v>
      </c>
      <c r="J12" s="1" t="s">
        <v>178</v>
      </c>
      <c r="K12" s="1" t="s">
        <v>165</v>
      </c>
      <c r="L12" s="1" t="s">
        <v>156</v>
      </c>
      <c r="M12" s="1" t="s">
        <v>157</v>
      </c>
      <c r="N12" s="1" t="s">
        <v>87</v>
      </c>
      <c r="O12" s="1" t="s">
        <v>1798</v>
      </c>
      <c r="P12" s="1">
        <v>1615</v>
      </c>
      <c r="Q12" s="1">
        <v>1868</v>
      </c>
      <c r="U12" s="1" t="s">
        <v>88</v>
      </c>
      <c r="W12" s="1" t="s">
        <v>89</v>
      </c>
      <c r="X12" s="1" t="s">
        <v>1801</v>
      </c>
      <c r="Z12" s="1" t="s">
        <v>89</v>
      </c>
      <c r="AA12" s="1" t="s">
        <v>90</v>
      </c>
      <c r="AB12" s="1">
        <v>1760</v>
      </c>
      <c r="AC12" s="1">
        <v>1849</v>
      </c>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t="s">
        <v>158</v>
      </c>
      <c r="BG12" s="1">
        <v>1820</v>
      </c>
      <c r="BH12" s="1">
        <v>1842</v>
      </c>
      <c r="BI12" s="1">
        <v>1</v>
      </c>
      <c r="BJ12" s="1"/>
      <c r="BK12" s="1" t="s">
        <v>1760</v>
      </c>
      <c r="BL12" s="1" t="s">
        <v>1746</v>
      </c>
      <c r="BM12" s="1"/>
      <c r="BN12" s="1" t="s">
        <v>132</v>
      </c>
      <c r="BO12" s="1">
        <v>10</v>
      </c>
      <c r="BP12" s="12">
        <v>14.6</v>
      </c>
      <c r="BQ12" s="12"/>
      <c r="BR12" s="1">
        <v>25.4</v>
      </c>
      <c r="BS12" s="1">
        <v>37.1</v>
      </c>
      <c r="BT12" s="1"/>
      <c r="BU12" s="1"/>
      <c r="BV12" s="1" t="s">
        <v>93</v>
      </c>
      <c r="BW12" s="1" t="s">
        <v>94</v>
      </c>
      <c r="BX12" s="1" t="s">
        <v>95</v>
      </c>
      <c r="BY12" s="1">
        <v>1914</v>
      </c>
      <c r="BZ12" s="1"/>
      <c r="CA12" s="1"/>
      <c r="CB12" s="1"/>
      <c r="CN12" s="1" t="s">
        <v>96</v>
      </c>
      <c r="CP12" s="8" t="str">
        <f>HYPERLINK("http://www.metmuseum.org/art/collection/search/36493","http://www.metmuseum.org/art/collection/search/36493")</f>
        <v>http://www.metmuseum.org/art/collection/search/36493</v>
      </c>
      <c r="CQ12" s="4">
        <v>42842.333402777775</v>
      </c>
      <c r="CR12" s="1" t="s">
        <v>97</v>
      </c>
    </row>
    <row r="13" spans="1:96" ht="52.5" customHeight="1" x14ac:dyDescent="0.2">
      <c r="A13" s="1" t="s">
        <v>179</v>
      </c>
      <c r="B13" s="1" t="b">
        <v>0</v>
      </c>
      <c r="C13" s="1" t="b">
        <v>1</v>
      </c>
      <c r="D13" s="1">
        <v>36494</v>
      </c>
      <c r="E13" s="1" t="s">
        <v>85</v>
      </c>
      <c r="F13" s="1" t="s">
        <v>99</v>
      </c>
      <c r="G13" s="1" t="s">
        <v>180</v>
      </c>
      <c r="H13" s="1" t="s">
        <v>181</v>
      </c>
      <c r="I13" s="1" t="s">
        <v>182</v>
      </c>
      <c r="J13" s="1" t="s">
        <v>183</v>
      </c>
      <c r="K13" s="1" t="s">
        <v>165</v>
      </c>
      <c r="L13" s="1" t="s">
        <v>156</v>
      </c>
      <c r="M13" s="1" t="s">
        <v>157</v>
      </c>
      <c r="N13" s="1" t="s">
        <v>87</v>
      </c>
      <c r="O13" s="1" t="s">
        <v>1798</v>
      </c>
      <c r="P13" s="1">
        <v>1615</v>
      </c>
      <c r="Q13" s="1">
        <v>1868</v>
      </c>
      <c r="U13" s="1" t="s">
        <v>88</v>
      </c>
      <c r="W13" s="1" t="s">
        <v>89</v>
      </c>
      <c r="X13" s="1" t="s">
        <v>1801</v>
      </c>
      <c r="Z13" s="1" t="s">
        <v>89</v>
      </c>
      <c r="AA13" s="1" t="s">
        <v>90</v>
      </c>
      <c r="AB13" s="1">
        <v>1760</v>
      </c>
      <c r="AC13" s="1">
        <v>1849</v>
      </c>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t="s">
        <v>158</v>
      </c>
      <c r="BG13" s="1">
        <v>1820</v>
      </c>
      <c r="BH13" s="1">
        <v>1842</v>
      </c>
      <c r="BI13" s="1">
        <v>1</v>
      </c>
      <c r="BJ13" s="1"/>
      <c r="BK13" s="1" t="s">
        <v>1760</v>
      </c>
      <c r="BL13" s="1" t="s">
        <v>1746</v>
      </c>
      <c r="BM13" s="1"/>
      <c r="BN13" s="1" t="s">
        <v>184</v>
      </c>
      <c r="BO13" s="12">
        <v>9.875</v>
      </c>
      <c r="BP13" s="12">
        <v>14.75</v>
      </c>
      <c r="BQ13" s="12"/>
      <c r="BR13" s="1">
        <v>25.1</v>
      </c>
      <c r="BS13" s="1">
        <v>37.5</v>
      </c>
      <c r="BT13" s="1"/>
      <c r="BU13" s="1"/>
      <c r="BV13" s="1" t="s">
        <v>93</v>
      </c>
      <c r="BW13" s="1" t="s">
        <v>94</v>
      </c>
      <c r="BX13" s="1" t="s">
        <v>95</v>
      </c>
      <c r="BY13" s="1">
        <v>1914</v>
      </c>
      <c r="BZ13" s="1"/>
      <c r="CA13" s="1"/>
      <c r="CB13" s="1"/>
      <c r="CN13" s="1" t="s">
        <v>96</v>
      </c>
      <c r="CP13" s="8" t="str">
        <f>HYPERLINK("http://www.metmuseum.org/art/collection/search/36494","http://www.metmuseum.org/art/collection/search/36494")</f>
        <v>http://www.metmuseum.org/art/collection/search/36494</v>
      </c>
      <c r="CQ13" s="4">
        <v>42842.333402777775</v>
      </c>
      <c r="CR13" s="1" t="s">
        <v>97</v>
      </c>
    </row>
    <row r="14" spans="1:96" ht="52.5" customHeight="1" x14ac:dyDescent="0.2">
      <c r="A14" s="1" t="s">
        <v>185</v>
      </c>
      <c r="B14" s="1" t="b">
        <v>0</v>
      </c>
      <c r="C14" s="1" t="b">
        <v>1</v>
      </c>
      <c r="D14" s="1">
        <v>36495</v>
      </c>
      <c r="E14" s="1" t="s">
        <v>85</v>
      </c>
      <c r="F14" s="1" t="s">
        <v>99</v>
      </c>
      <c r="G14" s="1" t="s">
        <v>186</v>
      </c>
      <c r="H14" s="1" t="s">
        <v>187</v>
      </c>
      <c r="I14" s="1" t="s">
        <v>188</v>
      </c>
      <c r="J14" s="1" t="s">
        <v>189</v>
      </c>
      <c r="K14" s="1" t="s">
        <v>165</v>
      </c>
      <c r="L14" s="1" t="s">
        <v>156</v>
      </c>
      <c r="M14" s="1" t="s">
        <v>157</v>
      </c>
      <c r="N14" s="1" t="s">
        <v>87</v>
      </c>
      <c r="O14" s="1" t="s">
        <v>1798</v>
      </c>
      <c r="P14" s="1">
        <v>1615</v>
      </c>
      <c r="Q14" s="1">
        <v>1868</v>
      </c>
      <c r="U14" s="1" t="s">
        <v>88</v>
      </c>
      <c r="W14" s="1" t="s">
        <v>89</v>
      </c>
      <c r="X14" s="1" t="s">
        <v>1801</v>
      </c>
      <c r="Z14" s="1" t="s">
        <v>89</v>
      </c>
      <c r="AA14" s="1" t="s">
        <v>90</v>
      </c>
      <c r="AB14" s="1">
        <v>1760</v>
      </c>
      <c r="AC14" s="1">
        <v>1849</v>
      </c>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t="s">
        <v>158</v>
      </c>
      <c r="BG14" s="1">
        <v>1820</v>
      </c>
      <c r="BH14" s="1">
        <v>1842</v>
      </c>
      <c r="BI14" s="1">
        <v>1</v>
      </c>
      <c r="BJ14" s="1"/>
      <c r="BK14" s="1" t="s">
        <v>1760</v>
      </c>
      <c r="BL14" s="1" t="s">
        <v>1746</v>
      </c>
      <c r="BM14" s="1"/>
      <c r="BN14" s="1" t="s">
        <v>190</v>
      </c>
      <c r="BO14" s="12">
        <v>9.8000000000000007</v>
      </c>
      <c r="BP14" s="11">
        <v>14.5625</v>
      </c>
      <c r="BQ14" s="11"/>
      <c r="BR14" s="1">
        <v>24.9</v>
      </c>
      <c r="BS14" s="1">
        <v>37</v>
      </c>
      <c r="BT14" s="1"/>
      <c r="BU14" s="1"/>
      <c r="BV14" s="1" t="s">
        <v>93</v>
      </c>
      <c r="BW14" s="1" t="s">
        <v>94</v>
      </c>
      <c r="BX14" s="1" t="s">
        <v>95</v>
      </c>
      <c r="BY14" s="1">
        <v>1914</v>
      </c>
      <c r="BZ14" s="1"/>
      <c r="CA14" s="1"/>
      <c r="CB14" s="1"/>
      <c r="CN14" s="1" t="s">
        <v>96</v>
      </c>
      <c r="CP14" s="8" t="str">
        <f>HYPERLINK("http://www.metmuseum.org/art/collection/search/36495","http://www.metmuseum.org/art/collection/search/36495")</f>
        <v>http://www.metmuseum.org/art/collection/search/36495</v>
      </c>
      <c r="CQ14" s="4">
        <v>42842.333402777775</v>
      </c>
      <c r="CR14" s="1" t="s">
        <v>97</v>
      </c>
    </row>
    <row r="15" spans="1:96" ht="52.5" customHeight="1" x14ac:dyDescent="0.2">
      <c r="A15" s="1" t="s">
        <v>191</v>
      </c>
      <c r="B15" s="1" t="b">
        <v>0</v>
      </c>
      <c r="C15" s="1" t="b">
        <v>1</v>
      </c>
      <c r="D15" s="1">
        <v>36496</v>
      </c>
      <c r="E15" s="1" t="s">
        <v>85</v>
      </c>
      <c r="F15" s="1" t="s">
        <v>99</v>
      </c>
      <c r="G15" s="1" t="s">
        <v>192</v>
      </c>
      <c r="H15" s="1" t="s">
        <v>193</v>
      </c>
      <c r="I15" s="1" t="s">
        <v>194</v>
      </c>
      <c r="J15" s="1" t="s">
        <v>195</v>
      </c>
      <c r="K15" s="1" t="s">
        <v>165</v>
      </c>
      <c r="L15" s="1" t="s">
        <v>156</v>
      </c>
      <c r="M15" s="1" t="s">
        <v>157</v>
      </c>
      <c r="N15" s="1" t="s">
        <v>87</v>
      </c>
      <c r="O15" s="1" t="s">
        <v>1798</v>
      </c>
      <c r="P15" s="1">
        <v>1615</v>
      </c>
      <c r="Q15" s="1">
        <v>1868</v>
      </c>
      <c r="U15" s="1" t="s">
        <v>88</v>
      </c>
      <c r="W15" s="1" t="s">
        <v>89</v>
      </c>
      <c r="X15" s="1" t="s">
        <v>1801</v>
      </c>
      <c r="Z15" s="1" t="s">
        <v>89</v>
      </c>
      <c r="AA15" s="1" t="s">
        <v>90</v>
      </c>
      <c r="AB15" s="1">
        <v>1760</v>
      </c>
      <c r="AC15" s="1">
        <v>1849</v>
      </c>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t="s">
        <v>158</v>
      </c>
      <c r="BG15" s="1">
        <v>1820</v>
      </c>
      <c r="BH15" s="1">
        <v>1842</v>
      </c>
      <c r="BI15" s="1">
        <v>1</v>
      </c>
      <c r="BJ15" s="1"/>
      <c r="BK15" s="1" t="s">
        <v>1760</v>
      </c>
      <c r="BL15" s="1" t="s">
        <v>1746</v>
      </c>
      <c r="BM15" s="1"/>
      <c r="BN15" s="1" t="s">
        <v>196</v>
      </c>
      <c r="BO15" s="12">
        <v>10.125</v>
      </c>
      <c r="BP15" s="1">
        <v>15</v>
      </c>
      <c r="BQ15" s="1"/>
      <c r="BR15" s="1">
        <v>25.7</v>
      </c>
      <c r="BS15" s="1">
        <v>38.1</v>
      </c>
      <c r="BT15" s="1"/>
      <c r="BU15" s="1"/>
      <c r="BV15" s="1" t="s">
        <v>93</v>
      </c>
      <c r="BW15" s="1" t="s">
        <v>94</v>
      </c>
      <c r="BX15" s="1" t="s">
        <v>95</v>
      </c>
      <c r="BY15" s="1">
        <v>1914</v>
      </c>
      <c r="BZ15" s="1"/>
      <c r="CA15" s="1"/>
      <c r="CB15" s="1"/>
      <c r="CN15" s="1" t="s">
        <v>96</v>
      </c>
      <c r="CP15" s="8" t="str">
        <f>HYPERLINK("http://www.metmuseum.org/art/collection/search/36496","http://www.metmuseum.org/art/collection/search/36496")</f>
        <v>http://www.metmuseum.org/art/collection/search/36496</v>
      </c>
      <c r="CQ15" s="4">
        <v>42842.333402777775</v>
      </c>
      <c r="CR15" s="1" t="s">
        <v>97</v>
      </c>
    </row>
    <row r="16" spans="1:96" ht="52.5" customHeight="1" x14ac:dyDescent="0.2">
      <c r="A16" s="1" t="s">
        <v>197</v>
      </c>
      <c r="B16" s="1" t="b">
        <v>0</v>
      </c>
      <c r="C16" s="1" t="b">
        <v>1</v>
      </c>
      <c r="D16" s="1">
        <v>36497</v>
      </c>
      <c r="E16" s="1" t="s">
        <v>85</v>
      </c>
      <c r="F16" s="1" t="s">
        <v>99</v>
      </c>
      <c r="G16" s="1" t="s">
        <v>198</v>
      </c>
      <c r="H16" s="1" t="s">
        <v>199</v>
      </c>
      <c r="I16" s="1" t="s">
        <v>200</v>
      </c>
      <c r="J16" s="1" t="s">
        <v>201</v>
      </c>
      <c r="K16" s="1" t="s">
        <v>165</v>
      </c>
      <c r="L16" s="1" t="s">
        <v>156</v>
      </c>
      <c r="M16" s="1" t="s">
        <v>157</v>
      </c>
      <c r="N16" s="1" t="s">
        <v>87</v>
      </c>
      <c r="O16" s="1" t="s">
        <v>1798</v>
      </c>
      <c r="P16" s="1">
        <v>1615</v>
      </c>
      <c r="Q16" s="1">
        <v>1868</v>
      </c>
      <c r="U16" s="1" t="s">
        <v>88</v>
      </c>
      <c r="W16" s="1" t="s">
        <v>89</v>
      </c>
      <c r="X16" s="1" t="s">
        <v>1801</v>
      </c>
      <c r="Z16" s="1" t="s">
        <v>89</v>
      </c>
      <c r="AA16" s="1" t="s">
        <v>90</v>
      </c>
      <c r="AB16" s="1">
        <v>1760</v>
      </c>
      <c r="AC16" s="1">
        <v>1849</v>
      </c>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t="s">
        <v>158</v>
      </c>
      <c r="BG16" s="1">
        <v>1820</v>
      </c>
      <c r="BH16" s="1">
        <v>1842</v>
      </c>
      <c r="BI16" s="1">
        <v>1</v>
      </c>
      <c r="BJ16" s="1"/>
      <c r="BK16" s="1" t="s">
        <v>1760</v>
      </c>
      <c r="BL16" s="1" t="s">
        <v>1746</v>
      </c>
      <c r="BM16" s="1"/>
      <c r="BN16" s="1" t="s">
        <v>118</v>
      </c>
      <c r="BO16" s="12">
        <v>10.125</v>
      </c>
      <c r="BP16" s="12">
        <v>14.75</v>
      </c>
      <c r="BQ16" s="12"/>
      <c r="BR16" s="1">
        <v>25.7</v>
      </c>
      <c r="BS16" s="1">
        <v>37.5</v>
      </c>
      <c r="BT16" s="1"/>
      <c r="BU16" s="1"/>
      <c r="BV16" s="1" t="s">
        <v>93</v>
      </c>
      <c r="BW16" s="1" t="s">
        <v>94</v>
      </c>
      <c r="BX16" s="1" t="s">
        <v>95</v>
      </c>
      <c r="BY16" s="1">
        <v>1914</v>
      </c>
      <c r="BZ16" s="1"/>
      <c r="CA16" s="1"/>
      <c r="CB16" s="1"/>
      <c r="CN16" s="1" t="s">
        <v>96</v>
      </c>
      <c r="CP16" s="8" t="str">
        <f>HYPERLINK("http://www.metmuseum.org/art/collection/search/36497","http://www.metmuseum.org/art/collection/search/36497")</f>
        <v>http://www.metmuseum.org/art/collection/search/36497</v>
      </c>
      <c r="CQ16" s="4">
        <v>42842.333402777775</v>
      </c>
      <c r="CR16" s="1" t="s">
        <v>97</v>
      </c>
    </row>
    <row r="17" spans="1:96" ht="52.5" customHeight="1" x14ac:dyDescent="0.2">
      <c r="A17" s="1" t="s">
        <v>202</v>
      </c>
      <c r="B17" s="1" t="b">
        <v>0</v>
      </c>
      <c r="C17" s="1" t="b">
        <v>1</v>
      </c>
      <c r="D17" s="1">
        <v>36498</v>
      </c>
      <c r="E17" s="1" t="s">
        <v>85</v>
      </c>
      <c r="F17" s="1" t="s">
        <v>99</v>
      </c>
      <c r="G17" s="1" t="s">
        <v>203</v>
      </c>
      <c r="H17" s="1" t="s">
        <v>204</v>
      </c>
      <c r="I17" s="1" t="s">
        <v>205</v>
      </c>
      <c r="J17" s="1" t="s">
        <v>206</v>
      </c>
      <c r="K17" s="1" t="s">
        <v>165</v>
      </c>
      <c r="L17" s="1" t="s">
        <v>156</v>
      </c>
      <c r="M17" s="1" t="s">
        <v>157</v>
      </c>
      <c r="N17" s="1" t="s">
        <v>87</v>
      </c>
      <c r="O17" s="1" t="s">
        <v>1798</v>
      </c>
      <c r="P17" s="1">
        <v>1615</v>
      </c>
      <c r="Q17" s="1">
        <v>1868</v>
      </c>
      <c r="U17" s="1" t="s">
        <v>88</v>
      </c>
      <c r="W17" s="1" t="s">
        <v>89</v>
      </c>
      <c r="X17" s="1" t="s">
        <v>1801</v>
      </c>
      <c r="Z17" s="1" t="s">
        <v>89</v>
      </c>
      <c r="AA17" s="1" t="s">
        <v>90</v>
      </c>
      <c r="AB17" s="1">
        <v>1760</v>
      </c>
      <c r="AC17" s="1">
        <v>1849</v>
      </c>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t="s">
        <v>158</v>
      </c>
      <c r="BG17" s="1">
        <v>1820</v>
      </c>
      <c r="BH17" s="1">
        <v>1842</v>
      </c>
      <c r="BI17" s="1">
        <v>1</v>
      </c>
      <c r="BJ17" s="1"/>
      <c r="BK17" s="1" t="s">
        <v>1760</v>
      </c>
      <c r="BL17" s="1" t="s">
        <v>1746</v>
      </c>
      <c r="BM17" s="1"/>
      <c r="BN17" s="1" t="s">
        <v>196</v>
      </c>
      <c r="BO17" s="12">
        <v>10.125</v>
      </c>
      <c r="BP17" s="1">
        <v>15</v>
      </c>
      <c r="BQ17" s="1"/>
      <c r="BR17" s="1">
        <v>25.7</v>
      </c>
      <c r="BS17" s="1">
        <v>38.1</v>
      </c>
      <c r="BT17" s="1"/>
      <c r="BU17" s="1"/>
      <c r="BV17" s="1" t="s">
        <v>93</v>
      </c>
      <c r="BW17" s="1" t="s">
        <v>94</v>
      </c>
      <c r="BX17" s="1" t="s">
        <v>95</v>
      </c>
      <c r="BY17" s="1">
        <v>1914</v>
      </c>
      <c r="BZ17" s="1"/>
      <c r="CA17" s="1"/>
      <c r="CB17" s="1"/>
      <c r="CN17" s="1" t="s">
        <v>96</v>
      </c>
      <c r="CP17" s="8" t="str">
        <f>HYPERLINK("http://www.metmuseum.org/art/collection/search/36498","http://www.metmuseum.org/art/collection/search/36498")</f>
        <v>http://www.metmuseum.org/art/collection/search/36498</v>
      </c>
      <c r="CQ17" s="4">
        <v>42842.333402777775</v>
      </c>
      <c r="CR17" s="1" t="s">
        <v>97</v>
      </c>
    </row>
    <row r="18" spans="1:96" ht="52.5" customHeight="1" x14ac:dyDescent="0.2">
      <c r="A18" s="1" t="s">
        <v>207</v>
      </c>
      <c r="B18" s="1" t="b">
        <v>0</v>
      </c>
      <c r="C18" s="1" t="b">
        <v>1</v>
      </c>
      <c r="D18" s="1">
        <v>36499</v>
      </c>
      <c r="E18" s="1" t="s">
        <v>85</v>
      </c>
      <c r="F18" s="1" t="s">
        <v>99</v>
      </c>
      <c r="G18" s="1" t="s">
        <v>208</v>
      </c>
      <c r="H18" s="1" t="s">
        <v>209</v>
      </c>
      <c r="I18" s="1" t="s">
        <v>210</v>
      </c>
      <c r="J18" s="1" t="s">
        <v>211</v>
      </c>
      <c r="K18" s="1" t="s">
        <v>165</v>
      </c>
      <c r="L18" s="1" t="s">
        <v>156</v>
      </c>
      <c r="M18" s="1" t="s">
        <v>157</v>
      </c>
      <c r="N18" s="1" t="s">
        <v>87</v>
      </c>
      <c r="O18" s="1" t="s">
        <v>1798</v>
      </c>
      <c r="P18" s="1">
        <v>1615</v>
      </c>
      <c r="Q18" s="1">
        <v>1868</v>
      </c>
      <c r="U18" s="1" t="s">
        <v>88</v>
      </c>
      <c r="W18" s="1" t="s">
        <v>89</v>
      </c>
      <c r="X18" s="1" t="s">
        <v>1801</v>
      </c>
      <c r="Z18" s="1" t="s">
        <v>89</v>
      </c>
      <c r="AA18" s="1" t="s">
        <v>90</v>
      </c>
      <c r="AB18" s="1">
        <v>1760</v>
      </c>
      <c r="AC18" s="1">
        <v>1849</v>
      </c>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t="s">
        <v>158</v>
      </c>
      <c r="BG18" s="1">
        <v>1820</v>
      </c>
      <c r="BH18" s="1">
        <v>1832</v>
      </c>
      <c r="BI18" s="1">
        <v>1</v>
      </c>
      <c r="BJ18" s="1"/>
      <c r="BK18" s="1" t="s">
        <v>1760</v>
      </c>
      <c r="BL18" s="1" t="s">
        <v>1746</v>
      </c>
      <c r="BM18" s="1"/>
      <c r="BN18" s="1" t="s">
        <v>212</v>
      </c>
      <c r="BO18" s="12">
        <v>9.6</v>
      </c>
      <c r="BP18" s="12">
        <v>14.375</v>
      </c>
      <c r="BQ18" s="12"/>
      <c r="BR18" s="1">
        <v>24.4</v>
      </c>
      <c r="BS18" s="1">
        <v>36.5</v>
      </c>
      <c r="BT18" s="1"/>
      <c r="BU18" s="1"/>
      <c r="BV18" s="1" t="s">
        <v>93</v>
      </c>
      <c r="BW18" s="1" t="s">
        <v>94</v>
      </c>
      <c r="BX18" s="1" t="s">
        <v>95</v>
      </c>
      <c r="BY18" s="1">
        <v>1914</v>
      </c>
      <c r="BZ18" s="1"/>
      <c r="CA18" s="1"/>
      <c r="CB18" s="1"/>
      <c r="CN18" s="1" t="s">
        <v>96</v>
      </c>
      <c r="CP18" s="8" t="str">
        <f>HYPERLINK("http://www.metmuseum.org/art/collection/search/36499","http://www.metmuseum.org/art/collection/search/36499")</f>
        <v>http://www.metmuseum.org/art/collection/search/36499</v>
      </c>
      <c r="CQ18" s="4">
        <v>42842.333402777775</v>
      </c>
      <c r="CR18" s="1" t="s">
        <v>97</v>
      </c>
    </row>
    <row r="19" spans="1:96" ht="52.5" customHeight="1" x14ac:dyDescent="0.2">
      <c r="A19" s="1" t="s">
        <v>213</v>
      </c>
      <c r="B19" s="1" t="b">
        <v>0</v>
      </c>
      <c r="C19" s="1" t="b">
        <v>1</v>
      </c>
      <c r="D19" s="1">
        <v>36500</v>
      </c>
      <c r="E19" s="1" t="s">
        <v>85</v>
      </c>
      <c r="F19" s="1" t="s">
        <v>99</v>
      </c>
      <c r="G19" s="1" t="s">
        <v>214</v>
      </c>
      <c r="H19" s="1" t="s">
        <v>215</v>
      </c>
      <c r="I19" s="1" t="s">
        <v>216</v>
      </c>
      <c r="J19" s="1" t="s">
        <v>217</v>
      </c>
      <c r="K19" s="1" t="s">
        <v>165</v>
      </c>
      <c r="L19" s="1" t="s">
        <v>156</v>
      </c>
      <c r="M19" s="1" t="s">
        <v>157</v>
      </c>
      <c r="N19" s="1" t="s">
        <v>87</v>
      </c>
      <c r="O19" s="1" t="s">
        <v>1798</v>
      </c>
      <c r="P19" s="1">
        <v>1615</v>
      </c>
      <c r="Q19" s="1">
        <v>1868</v>
      </c>
      <c r="U19" s="1" t="s">
        <v>88</v>
      </c>
      <c r="W19" s="1" t="s">
        <v>89</v>
      </c>
      <c r="X19" s="1" t="s">
        <v>1801</v>
      </c>
      <c r="Z19" s="1" t="s">
        <v>89</v>
      </c>
      <c r="AA19" s="1" t="s">
        <v>90</v>
      </c>
      <c r="AB19" s="1">
        <v>1760</v>
      </c>
      <c r="AC19" s="1">
        <v>1849</v>
      </c>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t="s">
        <v>158</v>
      </c>
      <c r="BG19" s="1">
        <v>1820</v>
      </c>
      <c r="BH19" s="1">
        <v>1842</v>
      </c>
      <c r="BI19" s="1">
        <v>1</v>
      </c>
      <c r="BJ19" s="1"/>
      <c r="BK19" s="1" t="s">
        <v>1760</v>
      </c>
      <c r="BL19" s="1" t="s">
        <v>1746</v>
      </c>
      <c r="BM19" s="1"/>
      <c r="BN19" s="1" t="s">
        <v>218</v>
      </c>
      <c r="BO19" s="11">
        <v>9.46875</v>
      </c>
      <c r="BP19" s="11">
        <v>15.3125</v>
      </c>
      <c r="BQ19" s="11"/>
      <c r="BR19" s="1">
        <v>24.1</v>
      </c>
      <c r="BS19" s="1">
        <v>38.9</v>
      </c>
      <c r="BT19" s="1"/>
      <c r="BU19" s="1"/>
      <c r="BV19" s="1" t="s">
        <v>93</v>
      </c>
      <c r="BW19" s="1" t="s">
        <v>94</v>
      </c>
      <c r="BX19" s="1" t="s">
        <v>95</v>
      </c>
      <c r="BY19" s="1">
        <v>1914</v>
      </c>
      <c r="BZ19" s="1"/>
      <c r="CA19" s="1"/>
      <c r="CB19" s="1"/>
      <c r="CN19" s="1" t="s">
        <v>96</v>
      </c>
      <c r="CP19" s="8" t="str">
        <f>HYPERLINK("http://www.metmuseum.org/art/collection/search/36500","http://www.metmuseum.org/art/collection/search/36500")</f>
        <v>http://www.metmuseum.org/art/collection/search/36500</v>
      </c>
      <c r="CQ19" s="4">
        <v>42842.333402777775</v>
      </c>
      <c r="CR19" s="1" t="s">
        <v>97</v>
      </c>
    </row>
    <row r="20" spans="1:96" ht="52.5" customHeight="1" x14ac:dyDescent="0.2">
      <c r="A20" s="1" t="s">
        <v>219</v>
      </c>
      <c r="B20" s="1" t="b">
        <v>0</v>
      </c>
      <c r="C20" s="1" t="b">
        <v>1</v>
      </c>
      <c r="D20" s="1">
        <v>36501</v>
      </c>
      <c r="E20" s="1" t="s">
        <v>85</v>
      </c>
      <c r="F20" s="1" t="s">
        <v>99</v>
      </c>
      <c r="G20" s="1" t="s">
        <v>220</v>
      </c>
      <c r="H20" s="1" t="s">
        <v>221</v>
      </c>
      <c r="I20" s="1" t="s">
        <v>222</v>
      </c>
      <c r="J20" s="1" t="s">
        <v>223</v>
      </c>
      <c r="K20" s="1" t="s">
        <v>165</v>
      </c>
      <c r="L20" s="1" t="s">
        <v>156</v>
      </c>
      <c r="M20" s="1" t="s">
        <v>157</v>
      </c>
      <c r="N20" s="1" t="s">
        <v>87</v>
      </c>
      <c r="O20" s="1" t="s">
        <v>1798</v>
      </c>
      <c r="P20" s="1">
        <v>1615</v>
      </c>
      <c r="Q20" s="1">
        <v>1868</v>
      </c>
      <c r="U20" s="1" t="s">
        <v>88</v>
      </c>
      <c r="W20" s="1" t="s">
        <v>89</v>
      </c>
      <c r="X20" s="1" t="s">
        <v>1801</v>
      </c>
      <c r="Z20" s="1" t="s">
        <v>89</v>
      </c>
      <c r="AA20" s="1" t="s">
        <v>90</v>
      </c>
      <c r="AB20" s="1">
        <v>1760</v>
      </c>
      <c r="AC20" s="1">
        <v>1849</v>
      </c>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t="s">
        <v>158</v>
      </c>
      <c r="BG20" s="1">
        <v>1820</v>
      </c>
      <c r="BH20" s="1">
        <v>1842</v>
      </c>
      <c r="BI20" s="1">
        <v>1</v>
      </c>
      <c r="BJ20" s="1"/>
      <c r="BK20" s="1" t="s">
        <v>1760</v>
      </c>
      <c r="BL20" s="1" t="s">
        <v>1746</v>
      </c>
      <c r="BM20" s="1"/>
      <c r="BN20" s="1" t="s">
        <v>173</v>
      </c>
      <c r="BO20" s="12">
        <v>10.125</v>
      </c>
      <c r="BP20" s="12">
        <v>15.125</v>
      </c>
      <c r="BQ20" s="12"/>
      <c r="BR20" s="1">
        <v>25.7</v>
      </c>
      <c r="BS20" s="1">
        <v>38.4</v>
      </c>
      <c r="BT20" s="1"/>
      <c r="BU20" s="1"/>
      <c r="BV20" s="1" t="s">
        <v>93</v>
      </c>
      <c r="BW20" s="1" t="s">
        <v>94</v>
      </c>
      <c r="BX20" s="1" t="s">
        <v>95</v>
      </c>
      <c r="BY20" s="1">
        <v>1914</v>
      </c>
      <c r="BZ20" s="1"/>
      <c r="CA20" s="1"/>
      <c r="CB20" s="1"/>
      <c r="CN20" s="1" t="s">
        <v>96</v>
      </c>
      <c r="CP20" s="8" t="str">
        <f>HYPERLINK("http://www.metmuseum.org/art/collection/search/36501","http://www.metmuseum.org/art/collection/search/36501")</f>
        <v>http://www.metmuseum.org/art/collection/search/36501</v>
      </c>
      <c r="CQ20" s="4">
        <v>42842.333402777775</v>
      </c>
      <c r="CR20" s="1" t="s">
        <v>97</v>
      </c>
    </row>
    <row r="21" spans="1:96" ht="52.5" customHeight="1" x14ac:dyDescent="0.2">
      <c r="A21" s="1" t="s">
        <v>224</v>
      </c>
      <c r="B21" s="1" t="b">
        <v>0</v>
      </c>
      <c r="C21" s="1" t="b">
        <v>1</v>
      </c>
      <c r="D21" s="1">
        <v>36502</v>
      </c>
      <c r="E21" s="1" t="s">
        <v>85</v>
      </c>
      <c r="F21" s="1" t="s">
        <v>99</v>
      </c>
      <c r="G21" s="1" t="s">
        <v>225</v>
      </c>
      <c r="H21" s="1" t="s">
        <v>226</v>
      </c>
      <c r="I21" s="1" t="s">
        <v>227</v>
      </c>
      <c r="J21" s="1" t="s">
        <v>228</v>
      </c>
      <c r="K21" s="1" t="s">
        <v>165</v>
      </c>
      <c r="L21" s="1" t="s">
        <v>156</v>
      </c>
      <c r="M21" s="1" t="s">
        <v>157</v>
      </c>
      <c r="N21" s="1" t="s">
        <v>87</v>
      </c>
      <c r="O21" s="1" t="s">
        <v>1798</v>
      </c>
      <c r="P21" s="1">
        <v>1615</v>
      </c>
      <c r="Q21" s="1">
        <v>1868</v>
      </c>
      <c r="U21" s="1" t="s">
        <v>88</v>
      </c>
      <c r="W21" s="1" t="s">
        <v>89</v>
      </c>
      <c r="X21" s="1" t="s">
        <v>1801</v>
      </c>
      <c r="Z21" s="1" t="s">
        <v>89</v>
      </c>
      <c r="AA21" s="1" t="s">
        <v>90</v>
      </c>
      <c r="AB21" s="1">
        <v>1760</v>
      </c>
      <c r="AC21" s="1">
        <v>1849</v>
      </c>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t="s">
        <v>158</v>
      </c>
      <c r="BG21" s="1">
        <v>1820</v>
      </c>
      <c r="BH21" s="1">
        <v>1842</v>
      </c>
      <c r="BI21" s="1">
        <v>1</v>
      </c>
      <c r="BJ21" s="1"/>
      <c r="BK21" s="1" t="s">
        <v>1760</v>
      </c>
      <c r="BL21" s="1" t="s">
        <v>1746</v>
      </c>
      <c r="BM21" s="1"/>
      <c r="BN21" s="1" t="s">
        <v>229</v>
      </c>
      <c r="BO21" s="11">
        <v>10.09375</v>
      </c>
      <c r="BP21" s="12">
        <v>14.75</v>
      </c>
      <c r="BQ21" s="12"/>
      <c r="BR21" s="1">
        <v>25.6</v>
      </c>
      <c r="BS21" s="1">
        <v>37.5</v>
      </c>
      <c r="BT21" s="1"/>
      <c r="BU21" s="1"/>
      <c r="BV21" s="1" t="s">
        <v>93</v>
      </c>
      <c r="BW21" s="1" t="s">
        <v>94</v>
      </c>
      <c r="BX21" s="1" t="s">
        <v>95</v>
      </c>
      <c r="BY21" s="1">
        <v>1914</v>
      </c>
      <c r="BZ21" s="1"/>
      <c r="CA21" s="1"/>
      <c r="CB21" s="1"/>
      <c r="CN21" s="1" t="s">
        <v>96</v>
      </c>
      <c r="CP21" s="8" t="str">
        <f>HYPERLINK("http://www.metmuseum.org/art/collection/search/36502","http://www.metmuseum.org/art/collection/search/36502")</f>
        <v>http://www.metmuseum.org/art/collection/search/36502</v>
      </c>
      <c r="CQ21" s="4">
        <v>42842.333402777775</v>
      </c>
      <c r="CR21" s="1" t="s">
        <v>97</v>
      </c>
    </row>
    <row r="22" spans="1:96" ht="52.5" customHeight="1" x14ac:dyDescent="0.2">
      <c r="A22" s="1" t="s">
        <v>230</v>
      </c>
      <c r="B22" s="1" t="b">
        <v>0</v>
      </c>
      <c r="C22" s="1" t="b">
        <v>1</v>
      </c>
      <c r="D22" s="1">
        <v>36503</v>
      </c>
      <c r="E22" s="1" t="s">
        <v>85</v>
      </c>
      <c r="F22" s="1" t="s">
        <v>99</v>
      </c>
      <c r="G22" s="1" t="s">
        <v>231</v>
      </c>
      <c r="H22" s="1" t="s">
        <v>232</v>
      </c>
      <c r="I22" s="1" t="s">
        <v>233</v>
      </c>
      <c r="J22" s="1" t="s">
        <v>234</v>
      </c>
      <c r="K22" s="1" t="s">
        <v>165</v>
      </c>
      <c r="L22" s="1" t="s">
        <v>156</v>
      </c>
      <c r="M22" s="1" t="s">
        <v>157</v>
      </c>
      <c r="N22" s="1" t="s">
        <v>87</v>
      </c>
      <c r="O22" s="1" t="s">
        <v>1798</v>
      </c>
      <c r="P22" s="1">
        <v>1615</v>
      </c>
      <c r="Q22" s="1">
        <v>1868</v>
      </c>
      <c r="U22" s="1" t="s">
        <v>88</v>
      </c>
      <c r="W22" s="1" t="s">
        <v>89</v>
      </c>
      <c r="X22" s="1" t="s">
        <v>1801</v>
      </c>
      <c r="Z22" s="1" t="s">
        <v>89</v>
      </c>
      <c r="AA22" s="1" t="s">
        <v>90</v>
      </c>
      <c r="AB22" s="1">
        <v>1760</v>
      </c>
      <c r="AC22" s="1">
        <v>1849</v>
      </c>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t="s">
        <v>158</v>
      </c>
      <c r="BG22" s="1">
        <v>1820</v>
      </c>
      <c r="BH22" s="1">
        <v>1842</v>
      </c>
      <c r="BI22" s="1">
        <v>1</v>
      </c>
      <c r="BJ22" s="1"/>
      <c r="BK22" s="1" t="s">
        <v>1760</v>
      </c>
      <c r="BL22" s="1" t="s">
        <v>1746</v>
      </c>
      <c r="BM22" s="1"/>
      <c r="BN22" s="1" t="s">
        <v>235</v>
      </c>
      <c r="BO22" s="12">
        <v>10.125</v>
      </c>
      <c r="BP22" s="12">
        <v>14.875</v>
      </c>
      <c r="BQ22" s="12"/>
      <c r="BR22" s="1">
        <v>25.7</v>
      </c>
      <c r="BS22" s="1">
        <v>37.799999999999997</v>
      </c>
      <c r="BT22" s="1"/>
      <c r="BU22" s="1"/>
      <c r="BV22" s="1" t="s">
        <v>93</v>
      </c>
      <c r="BW22" s="1" t="s">
        <v>94</v>
      </c>
      <c r="BX22" s="1" t="s">
        <v>95</v>
      </c>
      <c r="BY22" s="1">
        <v>1914</v>
      </c>
      <c r="BZ22" s="1"/>
      <c r="CA22" s="1"/>
      <c r="CB22" s="1"/>
      <c r="CN22" s="1" t="s">
        <v>96</v>
      </c>
      <c r="CP22" s="8" t="str">
        <f>HYPERLINK("http://www.metmuseum.org/art/collection/search/36503","http://www.metmuseum.org/art/collection/search/36503")</f>
        <v>http://www.metmuseum.org/art/collection/search/36503</v>
      </c>
      <c r="CQ22" s="4">
        <v>42842.333402777775</v>
      </c>
      <c r="CR22" s="1" t="s">
        <v>97</v>
      </c>
    </row>
    <row r="23" spans="1:96" ht="52.5" customHeight="1" x14ac:dyDescent="0.2">
      <c r="A23" s="1" t="s">
        <v>236</v>
      </c>
      <c r="B23" s="1" t="b">
        <v>0</v>
      </c>
      <c r="C23" s="1" t="b">
        <v>1</v>
      </c>
      <c r="D23" s="1">
        <v>36504</v>
      </c>
      <c r="E23" s="1" t="s">
        <v>85</v>
      </c>
      <c r="F23" s="1" t="s">
        <v>99</v>
      </c>
      <c r="G23" s="1" t="s">
        <v>237</v>
      </c>
      <c r="H23" s="1" t="s">
        <v>238</v>
      </c>
      <c r="I23" s="1" t="s">
        <v>239</v>
      </c>
      <c r="J23" s="1" t="s">
        <v>240</v>
      </c>
      <c r="K23" s="1" t="s">
        <v>172</v>
      </c>
      <c r="L23" s="1" t="s">
        <v>156</v>
      </c>
      <c r="M23" s="1" t="s">
        <v>157</v>
      </c>
      <c r="N23" s="1" t="s">
        <v>87</v>
      </c>
      <c r="O23" s="1" t="s">
        <v>1798</v>
      </c>
      <c r="P23" s="1">
        <v>1615</v>
      </c>
      <c r="Q23" s="1">
        <v>1868</v>
      </c>
      <c r="U23" s="1" t="s">
        <v>88</v>
      </c>
      <c r="W23" s="1" t="s">
        <v>89</v>
      </c>
      <c r="X23" s="1" t="s">
        <v>1801</v>
      </c>
      <c r="Z23" s="1" t="s">
        <v>89</v>
      </c>
      <c r="AA23" s="1" t="s">
        <v>90</v>
      </c>
      <c r="AB23" s="1">
        <v>1760</v>
      </c>
      <c r="AC23" s="1">
        <v>1849</v>
      </c>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t="s">
        <v>158</v>
      </c>
      <c r="BG23" s="1">
        <v>1820</v>
      </c>
      <c r="BH23" s="1">
        <v>1842</v>
      </c>
      <c r="BI23" s="1">
        <v>1</v>
      </c>
      <c r="BJ23" s="1"/>
      <c r="BK23" s="1" t="s">
        <v>1760</v>
      </c>
      <c r="BL23" s="1" t="s">
        <v>1746</v>
      </c>
      <c r="BM23" s="1"/>
      <c r="BN23" s="1" t="s">
        <v>241</v>
      </c>
      <c r="BO23" s="12">
        <v>10.199999999999999</v>
      </c>
      <c r="BP23" s="12">
        <v>15.125</v>
      </c>
      <c r="BQ23" s="12"/>
      <c r="BR23" s="1">
        <v>25.9</v>
      </c>
      <c r="BS23" s="1">
        <v>38.4</v>
      </c>
      <c r="BT23" s="1"/>
      <c r="BU23" s="1"/>
      <c r="BV23" s="1" t="s">
        <v>93</v>
      </c>
      <c r="BW23" s="1" t="s">
        <v>94</v>
      </c>
      <c r="BX23" s="1" t="s">
        <v>95</v>
      </c>
      <c r="BY23" s="1">
        <v>1914</v>
      </c>
      <c r="BZ23" s="1"/>
      <c r="CA23" s="1"/>
      <c r="CB23" s="1"/>
      <c r="CN23" s="1" t="s">
        <v>96</v>
      </c>
      <c r="CP23" s="8" t="str">
        <f>HYPERLINK("http://www.metmuseum.org/art/collection/search/36504","http://www.metmuseum.org/art/collection/search/36504")</f>
        <v>http://www.metmuseum.org/art/collection/search/36504</v>
      </c>
      <c r="CQ23" s="4">
        <v>42842.333402777775</v>
      </c>
      <c r="CR23" s="1" t="s">
        <v>97</v>
      </c>
    </row>
    <row r="24" spans="1:96" ht="52.5" customHeight="1" x14ac:dyDescent="0.2">
      <c r="A24" s="1" t="s">
        <v>242</v>
      </c>
      <c r="B24" s="1" t="b">
        <v>0</v>
      </c>
      <c r="C24" s="1" t="b">
        <v>1</v>
      </c>
      <c r="D24" s="1">
        <v>36505</v>
      </c>
      <c r="E24" s="1" t="s">
        <v>85</v>
      </c>
      <c r="F24" s="1" t="s">
        <v>99</v>
      </c>
      <c r="G24" s="1" t="s">
        <v>243</v>
      </c>
      <c r="H24" s="1" t="s">
        <v>244</v>
      </c>
      <c r="I24" s="1" t="s">
        <v>245</v>
      </c>
      <c r="J24" s="1" t="s">
        <v>246</v>
      </c>
      <c r="K24" s="1" t="s">
        <v>165</v>
      </c>
      <c r="L24" s="1" t="s">
        <v>156</v>
      </c>
      <c r="M24" s="1" t="s">
        <v>157</v>
      </c>
      <c r="N24" s="1" t="s">
        <v>87</v>
      </c>
      <c r="O24" s="1" t="s">
        <v>1798</v>
      </c>
      <c r="P24" s="1">
        <v>1615</v>
      </c>
      <c r="Q24" s="1">
        <v>1868</v>
      </c>
      <c r="U24" s="1" t="s">
        <v>88</v>
      </c>
      <c r="W24" s="1" t="s">
        <v>89</v>
      </c>
      <c r="X24" s="1" t="s">
        <v>1801</v>
      </c>
      <c r="Z24" s="1" t="s">
        <v>89</v>
      </c>
      <c r="AA24" s="1" t="s">
        <v>90</v>
      </c>
      <c r="AB24" s="1">
        <v>1760</v>
      </c>
      <c r="AC24" s="1">
        <v>1849</v>
      </c>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t="s">
        <v>158</v>
      </c>
      <c r="BG24" s="1">
        <v>1820</v>
      </c>
      <c r="BH24" s="1">
        <v>1842</v>
      </c>
      <c r="BI24" s="1">
        <v>1</v>
      </c>
      <c r="BJ24" s="1"/>
      <c r="BK24" s="1" t="s">
        <v>1760</v>
      </c>
      <c r="BL24" s="1" t="s">
        <v>1746</v>
      </c>
      <c r="BM24" s="1"/>
      <c r="BN24" s="1" t="s">
        <v>247</v>
      </c>
      <c r="BO24" s="11">
        <v>9.46875</v>
      </c>
      <c r="BP24" s="12">
        <v>14.6</v>
      </c>
      <c r="BQ24" s="12"/>
      <c r="BR24" s="1">
        <v>24.1</v>
      </c>
      <c r="BS24" s="1">
        <v>37.1</v>
      </c>
      <c r="BT24" s="1"/>
      <c r="BU24" s="1"/>
      <c r="BV24" s="1" t="s">
        <v>93</v>
      </c>
      <c r="BW24" s="1" t="s">
        <v>94</v>
      </c>
      <c r="BX24" s="1" t="s">
        <v>95</v>
      </c>
      <c r="BY24" s="1">
        <v>1914</v>
      </c>
      <c r="BZ24" s="1"/>
      <c r="CA24" s="1"/>
      <c r="CB24" s="1"/>
      <c r="CN24" s="1" t="s">
        <v>96</v>
      </c>
      <c r="CP24" s="8" t="str">
        <f>HYPERLINK("http://www.metmuseum.org/art/collection/search/36505","http://www.metmuseum.org/art/collection/search/36505")</f>
        <v>http://www.metmuseum.org/art/collection/search/36505</v>
      </c>
      <c r="CQ24" s="4">
        <v>42842.333402777775</v>
      </c>
      <c r="CR24" s="1" t="s">
        <v>97</v>
      </c>
    </row>
    <row r="25" spans="1:96" ht="52.5" customHeight="1" x14ac:dyDescent="0.2">
      <c r="A25" s="1" t="s">
        <v>248</v>
      </c>
      <c r="B25" s="1" t="b">
        <v>0</v>
      </c>
      <c r="C25" s="1" t="b">
        <v>1</v>
      </c>
      <c r="D25" s="1">
        <v>36506</v>
      </c>
      <c r="E25" s="1" t="s">
        <v>85</v>
      </c>
      <c r="F25" s="1" t="s">
        <v>99</v>
      </c>
      <c r="G25" s="1" t="s">
        <v>243</v>
      </c>
      <c r="H25" s="1" t="s">
        <v>244</v>
      </c>
      <c r="I25" s="1" t="s">
        <v>245</v>
      </c>
      <c r="J25" s="1" t="s">
        <v>246</v>
      </c>
      <c r="K25" s="1" t="s">
        <v>172</v>
      </c>
      <c r="L25" s="1" t="s">
        <v>156</v>
      </c>
      <c r="M25" s="1" t="s">
        <v>157</v>
      </c>
      <c r="N25" s="1" t="s">
        <v>87</v>
      </c>
      <c r="O25" s="1" t="s">
        <v>1798</v>
      </c>
      <c r="P25" s="1">
        <v>1615</v>
      </c>
      <c r="Q25" s="1">
        <v>1868</v>
      </c>
      <c r="U25" s="1" t="s">
        <v>88</v>
      </c>
      <c r="W25" s="1" t="s">
        <v>89</v>
      </c>
      <c r="X25" s="1" t="s">
        <v>1801</v>
      </c>
      <c r="Z25" s="1" t="s">
        <v>89</v>
      </c>
      <c r="AA25" s="1" t="s">
        <v>90</v>
      </c>
      <c r="AB25" s="1">
        <v>1760</v>
      </c>
      <c r="AC25" s="1">
        <v>1849</v>
      </c>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t="s">
        <v>158</v>
      </c>
      <c r="BG25" s="1">
        <v>1830</v>
      </c>
      <c r="BH25" s="1">
        <v>1832</v>
      </c>
      <c r="BI25" s="1">
        <v>1</v>
      </c>
      <c r="BJ25" s="1"/>
      <c r="BK25" s="1" t="s">
        <v>1760</v>
      </c>
      <c r="BL25" s="1" t="s">
        <v>1746</v>
      </c>
      <c r="BM25" s="1"/>
      <c r="BN25" s="1" t="s">
        <v>249</v>
      </c>
      <c r="BO25" s="12">
        <v>9.6</v>
      </c>
      <c r="BP25" s="14">
        <v>14.90625</v>
      </c>
      <c r="BQ25" s="14"/>
      <c r="BR25" s="1">
        <v>24.4</v>
      </c>
      <c r="BS25" s="1">
        <v>37.9</v>
      </c>
      <c r="BT25" s="1"/>
      <c r="BU25" s="1"/>
      <c r="BV25" s="1" t="s">
        <v>93</v>
      </c>
      <c r="BW25" s="1" t="s">
        <v>94</v>
      </c>
      <c r="BX25" s="1" t="s">
        <v>95</v>
      </c>
      <c r="BY25" s="1">
        <v>1914</v>
      </c>
      <c r="BZ25" s="1"/>
      <c r="CA25" s="1"/>
      <c r="CB25" s="1"/>
      <c r="CN25" s="1" t="s">
        <v>96</v>
      </c>
      <c r="CP25" s="8" t="str">
        <f>HYPERLINK("http://www.metmuseum.org/art/collection/search/36506","http://www.metmuseum.org/art/collection/search/36506")</f>
        <v>http://www.metmuseum.org/art/collection/search/36506</v>
      </c>
      <c r="CQ25" s="4">
        <v>42842.333402777775</v>
      </c>
      <c r="CR25" s="1" t="s">
        <v>97</v>
      </c>
    </row>
    <row r="26" spans="1:96" ht="52.5" customHeight="1" x14ac:dyDescent="0.2">
      <c r="A26" s="1" t="s">
        <v>250</v>
      </c>
      <c r="B26" s="1" t="b">
        <v>0</v>
      </c>
      <c r="C26" s="1" t="b">
        <v>1</v>
      </c>
      <c r="D26" s="1">
        <v>36507</v>
      </c>
      <c r="E26" s="1" t="s">
        <v>85</v>
      </c>
      <c r="F26" s="1" t="s">
        <v>99</v>
      </c>
      <c r="G26" s="1" t="s">
        <v>237</v>
      </c>
      <c r="H26" s="1" t="s">
        <v>238</v>
      </c>
      <c r="I26" s="1" t="s">
        <v>239</v>
      </c>
      <c r="J26" s="1" t="s">
        <v>240</v>
      </c>
      <c r="K26" s="1" t="s">
        <v>165</v>
      </c>
      <c r="L26" s="1" t="s">
        <v>156</v>
      </c>
      <c r="M26" s="1" t="s">
        <v>157</v>
      </c>
      <c r="N26" s="1" t="s">
        <v>87</v>
      </c>
      <c r="O26" s="1" t="s">
        <v>1798</v>
      </c>
      <c r="P26" s="1">
        <v>1615</v>
      </c>
      <c r="Q26" s="1">
        <v>1868</v>
      </c>
      <c r="U26" s="1" t="s">
        <v>88</v>
      </c>
      <c r="W26" s="1" t="s">
        <v>89</v>
      </c>
      <c r="X26" s="1" t="s">
        <v>1801</v>
      </c>
      <c r="Z26" s="1" t="s">
        <v>89</v>
      </c>
      <c r="AA26" s="1" t="s">
        <v>90</v>
      </c>
      <c r="AB26" s="1">
        <v>1760</v>
      </c>
      <c r="AC26" s="1">
        <v>1849</v>
      </c>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t="s">
        <v>158</v>
      </c>
      <c r="BG26" s="1">
        <v>1820</v>
      </c>
      <c r="BH26" s="1">
        <v>1842</v>
      </c>
      <c r="BI26" s="1">
        <v>1</v>
      </c>
      <c r="BJ26" s="1"/>
      <c r="BK26" s="1" t="s">
        <v>1760</v>
      </c>
      <c r="BL26" s="1" t="s">
        <v>1746</v>
      </c>
      <c r="BM26" s="1"/>
      <c r="BN26" s="1" t="s">
        <v>251</v>
      </c>
      <c r="BO26" s="11">
        <v>9.46875</v>
      </c>
      <c r="BP26" s="12">
        <v>14.375</v>
      </c>
      <c r="BQ26" s="12"/>
      <c r="BR26" s="1">
        <v>24.1</v>
      </c>
      <c r="BS26" s="1">
        <v>36.5</v>
      </c>
      <c r="BT26" s="1"/>
      <c r="BU26" s="1"/>
      <c r="BV26" s="1" t="s">
        <v>93</v>
      </c>
      <c r="BW26" s="1" t="s">
        <v>94</v>
      </c>
      <c r="BX26" s="1" t="s">
        <v>95</v>
      </c>
      <c r="BY26" s="1">
        <v>1914</v>
      </c>
      <c r="BZ26" s="1"/>
      <c r="CA26" s="1"/>
      <c r="CB26" s="1"/>
      <c r="CN26" s="1" t="s">
        <v>96</v>
      </c>
      <c r="CP26" s="8" t="str">
        <f>HYPERLINK("http://www.metmuseum.org/art/collection/search/36507","http://www.metmuseum.org/art/collection/search/36507")</f>
        <v>http://www.metmuseum.org/art/collection/search/36507</v>
      </c>
      <c r="CQ26" s="4">
        <v>42842.333402777775</v>
      </c>
      <c r="CR26" s="1" t="s">
        <v>97</v>
      </c>
    </row>
    <row r="27" spans="1:96" ht="52.5" customHeight="1" x14ac:dyDescent="0.2">
      <c r="A27" s="1" t="s">
        <v>252</v>
      </c>
      <c r="B27" s="1" t="b">
        <v>0</v>
      </c>
      <c r="C27" s="1" t="b">
        <v>1</v>
      </c>
      <c r="D27" s="1">
        <v>36508</v>
      </c>
      <c r="E27" s="1" t="s">
        <v>85</v>
      </c>
      <c r="F27" s="1" t="s">
        <v>99</v>
      </c>
      <c r="G27" s="1" t="s">
        <v>253</v>
      </c>
      <c r="H27" s="1" t="s">
        <v>254</v>
      </c>
      <c r="I27" s="1" t="s">
        <v>255</v>
      </c>
      <c r="J27" s="1" t="s">
        <v>256</v>
      </c>
      <c r="K27" s="1" t="s">
        <v>165</v>
      </c>
      <c r="L27" s="1" t="s">
        <v>156</v>
      </c>
      <c r="M27" s="1" t="s">
        <v>157</v>
      </c>
      <c r="N27" s="1" t="s">
        <v>87</v>
      </c>
      <c r="O27" s="1" t="s">
        <v>1798</v>
      </c>
      <c r="P27" s="1">
        <v>1615</v>
      </c>
      <c r="Q27" s="1">
        <v>1868</v>
      </c>
      <c r="U27" s="1" t="s">
        <v>88</v>
      </c>
      <c r="W27" s="1" t="s">
        <v>89</v>
      </c>
      <c r="X27" s="1" t="s">
        <v>1801</v>
      </c>
      <c r="Z27" s="1" t="s">
        <v>89</v>
      </c>
      <c r="AA27" s="1" t="s">
        <v>90</v>
      </c>
      <c r="AB27" s="1">
        <v>1760</v>
      </c>
      <c r="AC27" s="1">
        <v>1849</v>
      </c>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t="s">
        <v>158</v>
      </c>
      <c r="BG27" s="1">
        <v>1820</v>
      </c>
      <c r="BH27" s="1">
        <v>1842</v>
      </c>
      <c r="BI27" s="1">
        <v>1</v>
      </c>
      <c r="BJ27" s="1"/>
      <c r="BK27" s="1" t="s">
        <v>1760</v>
      </c>
      <c r="BL27" s="1" t="s">
        <v>1746</v>
      </c>
      <c r="BM27" s="1"/>
      <c r="BN27" s="1" t="s">
        <v>257</v>
      </c>
      <c r="BO27" s="11">
        <v>9.6875</v>
      </c>
      <c r="BP27" s="11">
        <v>14.4375</v>
      </c>
      <c r="BQ27" s="11"/>
      <c r="BR27" s="1">
        <v>24.6</v>
      </c>
      <c r="BS27" s="1">
        <v>36.700000000000003</v>
      </c>
      <c r="BT27" s="1"/>
      <c r="BU27" s="1"/>
      <c r="BV27" s="1" t="s">
        <v>93</v>
      </c>
      <c r="BW27" s="1" t="s">
        <v>94</v>
      </c>
      <c r="BX27" s="1" t="s">
        <v>95</v>
      </c>
      <c r="BY27" s="1">
        <v>1914</v>
      </c>
      <c r="BZ27" s="1"/>
      <c r="CA27" s="1"/>
      <c r="CB27" s="1"/>
      <c r="CN27" s="1" t="s">
        <v>96</v>
      </c>
      <c r="CP27" s="8" t="str">
        <f>HYPERLINK("http://www.metmuseum.org/art/collection/search/36508","http://www.metmuseum.org/art/collection/search/36508")</f>
        <v>http://www.metmuseum.org/art/collection/search/36508</v>
      </c>
      <c r="CQ27" s="4">
        <v>42842.333402777775</v>
      </c>
      <c r="CR27" s="1" t="s">
        <v>97</v>
      </c>
    </row>
    <row r="28" spans="1:96" ht="52.5" customHeight="1" x14ac:dyDescent="0.2">
      <c r="A28" s="1" t="s">
        <v>258</v>
      </c>
      <c r="B28" s="1" t="b">
        <v>0</v>
      </c>
      <c r="C28" s="1" t="b">
        <v>1</v>
      </c>
      <c r="D28" s="1">
        <v>36509</v>
      </c>
      <c r="E28" s="1" t="s">
        <v>85</v>
      </c>
      <c r="F28" s="1" t="s">
        <v>99</v>
      </c>
      <c r="G28" s="1" t="s">
        <v>259</v>
      </c>
      <c r="H28" s="1" t="s">
        <v>260</v>
      </c>
      <c r="I28" s="1" t="s">
        <v>261</v>
      </c>
      <c r="J28" s="1" t="s">
        <v>262</v>
      </c>
      <c r="K28" s="1" t="s">
        <v>165</v>
      </c>
      <c r="L28" s="1" t="s">
        <v>156</v>
      </c>
      <c r="M28" s="1" t="s">
        <v>157</v>
      </c>
      <c r="N28" s="1" t="s">
        <v>87</v>
      </c>
      <c r="O28" s="1" t="s">
        <v>1798</v>
      </c>
      <c r="P28" s="1">
        <v>1615</v>
      </c>
      <c r="Q28" s="1">
        <v>1868</v>
      </c>
      <c r="U28" s="1" t="s">
        <v>88</v>
      </c>
      <c r="W28" s="1" t="s">
        <v>89</v>
      </c>
      <c r="X28" s="1" t="s">
        <v>1801</v>
      </c>
      <c r="Z28" s="1" t="s">
        <v>89</v>
      </c>
      <c r="AA28" s="1" t="s">
        <v>90</v>
      </c>
      <c r="AB28" s="1">
        <v>1760</v>
      </c>
      <c r="AC28" s="1">
        <v>1849</v>
      </c>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t="s">
        <v>158</v>
      </c>
      <c r="BG28" s="1">
        <v>1820</v>
      </c>
      <c r="BH28" s="1">
        <v>1842</v>
      </c>
      <c r="BI28" s="1">
        <v>1</v>
      </c>
      <c r="BJ28" s="1"/>
      <c r="BK28" s="1" t="s">
        <v>1760</v>
      </c>
      <c r="BL28" s="1" t="s">
        <v>1746</v>
      </c>
      <c r="BM28" s="1"/>
      <c r="BN28" s="1" t="s">
        <v>263</v>
      </c>
      <c r="BO28" s="1">
        <v>10</v>
      </c>
      <c r="BP28" s="1">
        <v>15</v>
      </c>
      <c r="BQ28" s="1"/>
      <c r="BR28" s="1">
        <v>25.4</v>
      </c>
      <c r="BS28" s="1">
        <v>38.1</v>
      </c>
      <c r="BT28" s="1"/>
      <c r="BU28" s="1"/>
      <c r="BV28" s="1" t="s">
        <v>93</v>
      </c>
      <c r="BW28" s="1" t="s">
        <v>94</v>
      </c>
      <c r="BX28" s="1" t="s">
        <v>95</v>
      </c>
      <c r="BY28" s="1">
        <v>1914</v>
      </c>
      <c r="BZ28" s="1"/>
      <c r="CA28" s="1"/>
      <c r="CB28" s="1"/>
      <c r="CN28" s="1" t="s">
        <v>96</v>
      </c>
      <c r="CP28" s="8" t="str">
        <f>HYPERLINK("http://www.metmuseum.org/art/collection/search/36509","http://www.metmuseum.org/art/collection/search/36509")</f>
        <v>http://www.metmuseum.org/art/collection/search/36509</v>
      </c>
      <c r="CQ28" s="4">
        <v>42842.333402777775</v>
      </c>
      <c r="CR28" s="1" t="s">
        <v>97</v>
      </c>
    </row>
    <row r="29" spans="1:96" ht="52.5" customHeight="1" x14ac:dyDescent="0.2">
      <c r="A29" s="1" t="s">
        <v>264</v>
      </c>
      <c r="B29" s="1" t="b">
        <v>0</v>
      </c>
      <c r="C29" s="1" t="b">
        <v>1</v>
      </c>
      <c r="D29" s="1">
        <v>37107</v>
      </c>
      <c r="E29" s="1" t="s">
        <v>85</v>
      </c>
      <c r="F29" s="1" t="s">
        <v>99</v>
      </c>
      <c r="G29" s="1" t="s">
        <v>265</v>
      </c>
      <c r="H29" s="1" t="s">
        <v>266</v>
      </c>
      <c r="I29" s="1"/>
      <c r="J29" s="1" t="s">
        <v>267</v>
      </c>
      <c r="K29" s="1"/>
      <c r="L29" s="1"/>
      <c r="M29" s="1"/>
      <c r="N29" s="1" t="s">
        <v>87</v>
      </c>
      <c r="O29" s="1" t="s">
        <v>1798</v>
      </c>
      <c r="P29" s="1">
        <v>1615</v>
      </c>
      <c r="Q29" s="1">
        <v>1868</v>
      </c>
      <c r="U29" s="1" t="s">
        <v>88</v>
      </c>
      <c r="W29" s="1" t="s">
        <v>89</v>
      </c>
      <c r="X29" s="1" t="s">
        <v>1801</v>
      </c>
      <c r="Z29" s="1" t="s">
        <v>89</v>
      </c>
      <c r="AA29" s="1" t="s">
        <v>90</v>
      </c>
      <c r="AB29" s="1">
        <v>1760</v>
      </c>
      <c r="AC29" s="1">
        <v>1849</v>
      </c>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t="s">
        <v>268</v>
      </c>
      <c r="BG29" s="1">
        <v>1825</v>
      </c>
      <c r="BH29" s="1">
        <v>1829</v>
      </c>
      <c r="BI29" s="1">
        <v>1</v>
      </c>
      <c r="BJ29" s="1"/>
      <c r="BK29" s="1" t="s">
        <v>1760</v>
      </c>
      <c r="BL29" s="1" t="s">
        <v>1746</v>
      </c>
      <c r="BM29" s="1"/>
      <c r="BN29" s="1" t="s">
        <v>269</v>
      </c>
      <c r="BO29" s="12">
        <v>20.375</v>
      </c>
      <c r="BP29" s="12">
        <v>9.125</v>
      </c>
      <c r="BQ29" s="12"/>
      <c r="BR29" s="1">
        <v>51.8</v>
      </c>
      <c r="BS29" s="1">
        <v>23.2</v>
      </c>
      <c r="BT29" s="1"/>
      <c r="BU29" s="1"/>
      <c r="BV29" s="1" t="s">
        <v>270</v>
      </c>
      <c r="BW29" s="1" t="s">
        <v>94</v>
      </c>
      <c r="BX29" s="1" t="s">
        <v>271</v>
      </c>
      <c r="BY29" s="1">
        <v>1911</v>
      </c>
      <c r="BZ29" s="1"/>
      <c r="CA29" s="1"/>
      <c r="CB29" s="1"/>
      <c r="CN29" s="1" t="s">
        <v>96</v>
      </c>
      <c r="CP29" s="8" t="str">
        <f>HYPERLINK("http://www.metmuseum.org/art/collection/search/37107","http://www.metmuseum.org/art/collection/search/37107")</f>
        <v>http://www.metmuseum.org/art/collection/search/37107</v>
      </c>
      <c r="CQ29" s="4">
        <v>42842.333402777775</v>
      </c>
      <c r="CR29" s="1" t="s">
        <v>97</v>
      </c>
    </row>
    <row r="30" spans="1:96" ht="52.5" customHeight="1" x14ac:dyDescent="0.2">
      <c r="A30" s="1" t="s">
        <v>272</v>
      </c>
      <c r="B30" s="1" t="b">
        <v>0</v>
      </c>
      <c r="C30" s="1" t="b">
        <v>1</v>
      </c>
      <c r="D30" s="1">
        <v>37189</v>
      </c>
      <c r="E30" s="1" t="s">
        <v>85</v>
      </c>
      <c r="F30" s="1" t="s">
        <v>86</v>
      </c>
      <c r="G30" s="1" t="s">
        <v>273</v>
      </c>
      <c r="H30" s="1" t="s">
        <v>274</v>
      </c>
      <c r="I30" s="1" t="s">
        <v>275</v>
      </c>
      <c r="J30" s="1" t="s">
        <v>276</v>
      </c>
      <c r="K30" s="1"/>
      <c r="L30" s="1"/>
      <c r="M30" s="1"/>
      <c r="N30" s="1" t="s">
        <v>87</v>
      </c>
      <c r="O30" s="1" t="s">
        <v>1798</v>
      </c>
      <c r="P30" s="1">
        <v>1615</v>
      </c>
      <c r="Q30" s="1">
        <v>1868</v>
      </c>
      <c r="U30" s="1" t="s">
        <v>88</v>
      </c>
      <c r="W30" s="1" t="s">
        <v>89</v>
      </c>
      <c r="X30" s="1" t="s">
        <v>1801</v>
      </c>
      <c r="Z30" s="1" t="s">
        <v>89</v>
      </c>
      <c r="AA30" s="1" t="s">
        <v>90</v>
      </c>
      <c r="AB30" s="1">
        <v>1760</v>
      </c>
      <c r="AC30" s="1">
        <v>1849</v>
      </c>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t="s">
        <v>277</v>
      </c>
      <c r="BG30" s="1">
        <v>1790</v>
      </c>
      <c r="BH30" s="1">
        <v>1793</v>
      </c>
      <c r="BI30" s="1">
        <v>1</v>
      </c>
      <c r="BJ30" s="1"/>
      <c r="BK30" s="1" t="s">
        <v>1760</v>
      </c>
      <c r="BL30" s="1" t="s">
        <v>1746</v>
      </c>
      <c r="BM30" s="1"/>
      <c r="BN30" s="1" t="s">
        <v>278</v>
      </c>
      <c r="BO30" s="12">
        <v>12.333333333333334</v>
      </c>
      <c r="BP30" s="11">
        <v>5.09375</v>
      </c>
      <c r="BQ30" s="11"/>
      <c r="BR30" s="1">
        <v>30.6</v>
      </c>
      <c r="BS30" s="1">
        <v>12.9</v>
      </c>
      <c r="BT30" s="1"/>
      <c r="BU30" s="1"/>
      <c r="BV30" s="1" t="s">
        <v>279</v>
      </c>
      <c r="BW30" s="1" t="s">
        <v>94</v>
      </c>
      <c r="BX30" s="1" t="s">
        <v>271</v>
      </c>
      <c r="BY30" s="1">
        <v>1911</v>
      </c>
      <c r="BZ30" s="1" t="s">
        <v>280</v>
      </c>
      <c r="CA30" s="1"/>
      <c r="CB30" s="1"/>
      <c r="CN30" s="1" t="s">
        <v>96</v>
      </c>
      <c r="CP30" s="8" t="str">
        <f>HYPERLINK("http://www.metmuseum.org/art/collection/search/37189","http://www.metmuseum.org/art/collection/search/37189")</f>
        <v>http://www.metmuseum.org/art/collection/search/37189</v>
      </c>
      <c r="CQ30" s="4">
        <v>42842.333402777775</v>
      </c>
      <c r="CR30" s="1" t="s">
        <v>97</v>
      </c>
    </row>
    <row r="31" spans="1:96" ht="52.5" customHeight="1" x14ac:dyDescent="0.2">
      <c r="A31" s="1" t="s">
        <v>281</v>
      </c>
      <c r="B31" s="1" t="b">
        <v>0</v>
      </c>
      <c r="C31" s="1" t="b">
        <v>1</v>
      </c>
      <c r="D31" s="1">
        <v>37190</v>
      </c>
      <c r="E31" s="1" t="s">
        <v>85</v>
      </c>
      <c r="F31" s="1" t="s">
        <v>86</v>
      </c>
      <c r="G31" s="1" t="s">
        <v>282</v>
      </c>
      <c r="H31" s="1" t="s">
        <v>283</v>
      </c>
      <c r="I31" s="1" t="s">
        <v>284</v>
      </c>
      <c r="J31" s="1" t="s">
        <v>285</v>
      </c>
      <c r="K31" s="1"/>
      <c r="L31" s="1"/>
      <c r="M31" s="1"/>
      <c r="N31" s="1" t="s">
        <v>87</v>
      </c>
      <c r="O31" s="1" t="s">
        <v>1798</v>
      </c>
      <c r="P31" s="1">
        <v>1615</v>
      </c>
      <c r="Q31" s="1">
        <v>1868</v>
      </c>
      <c r="U31" s="1" t="s">
        <v>88</v>
      </c>
      <c r="W31" s="1" t="s">
        <v>89</v>
      </c>
      <c r="X31" s="1" t="s">
        <v>1801</v>
      </c>
      <c r="Z31" s="1" t="s">
        <v>89</v>
      </c>
      <c r="AA31" s="1" t="s">
        <v>90</v>
      </c>
      <c r="AB31" s="1">
        <v>1760</v>
      </c>
      <c r="AC31" s="1">
        <v>1849</v>
      </c>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t="s">
        <v>286</v>
      </c>
      <c r="BG31" s="1">
        <v>1773</v>
      </c>
      <c r="BH31" s="1">
        <v>1793</v>
      </c>
      <c r="BI31" s="1">
        <v>1</v>
      </c>
      <c r="BJ31" s="1"/>
      <c r="BK31" s="1" t="s">
        <v>1760</v>
      </c>
      <c r="BL31" s="1" t="s">
        <v>1746</v>
      </c>
      <c r="BM31" s="1"/>
      <c r="BN31" s="1" t="s">
        <v>287</v>
      </c>
      <c r="BO31" s="11">
        <v>12.03125</v>
      </c>
      <c r="BP31" s="11">
        <v>5.09375</v>
      </c>
      <c r="BQ31" s="11"/>
      <c r="BR31" s="1">
        <v>30.6</v>
      </c>
      <c r="BS31" s="1">
        <v>12.9</v>
      </c>
      <c r="BT31" s="1"/>
      <c r="BU31" s="1"/>
      <c r="BV31" s="1" t="s">
        <v>279</v>
      </c>
      <c r="BW31" s="1" t="s">
        <v>94</v>
      </c>
      <c r="BX31" s="1" t="s">
        <v>271</v>
      </c>
      <c r="BY31" s="1">
        <v>1911</v>
      </c>
      <c r="BZ31" s="1" t="s">
        <v>280</v>
      </c>
      <c r="CA31" s="1"/>
      <c r="CB31" s="1"/>
      <c r="CN31" s="1" t="s">
        <v>96</v>
      </c>
      <c r="CP31" s="8" t="str">
        <f>HYPERLINK("http://www.metmuseum.org/art/collection/search/37190","http://www.metmuseum.org/art/collection/search/37190")</f>
        <v>http://www.metmuseum.org/art/collection/search/37190</v>
      </c>
      <c r="CQ31" s="4">
        <v>42842.333402777775</v>
      </c>
      <c r="CR31" s="1" t="s">
        <v>97</v>
      </c>
    </row>
    <row r="32" spans="1:96" ht="52.5" customHeight="1" x14ac:dyDescent="0.2">
      <c r="A32" s="1" t="s">
        <v>288</v>
      </c>
      <c r="B32" s="1" t="b">
        <v>0</v>
      </c>
      <c r="C32" s="1" t="b">
        <v>1</v>
      </c>
      <c r="D32" s="1">
        <v>37191</v>
      </c>
      <c r="E32" s="1" t="s">
        <v>85</v>
      </c>
      <c r="F32" s="1" t="s">
        <v>86</v>
      </c>
      <c r="G32" s="1" t="s">
        <v>289</v>
      </c>
      <c r="H32" s="1" t="s">
        <v>290</v>
      </c>
      <c r="I32" s="1"/>
      <c r="J32" s="1" t="s">
        <v>291</v>
      </c>
      <c r="K32" s="1"/>
      <c r="L32" s="1"/>
      <c r="M32" s="1"/>
      <c r="N32" s="1" t="s">
        <v>87</v>
      </c>
      <c r="O32" s="1" t="s">
        <v>1798</v>
      </c>
      <c r="P32" s="1">
        <v>1615</v>
      </c>
      <c r="Q32" s="1">
        <v>1868</v>
      </c>
      <c r="U32" s="1" t="s">
        <v>88</v>
      </c>
      <c r="W32" s="1" t="s">
        <v>89</v>
      </c>
      <c r="X32" s="1" t="s">
        <v>1801</v>
      </c>
      <c r="Z32" s="1" t="s">
        <v>89</v>
      </c>
      <c r="AA32" s="1" t="s">
        <v>90</v>
      </c>
      <c r="AB32" s="1">
        <v>1760</v>
      </c>
      <c r="AC32" s="1">
        <v>1849</v>
      </c>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t="s">
        <v>292</v>
      </c>
      <c r="BG32" s="1">
        <v>1775</v>
      </c>
      <c r="BH32" s="1">
        <v>1795</v>
      </c>
      <c r="BI32" s="1">
        <v>1</v>
      </c>
      <c r="BJ32" s="1"/>
      <c r="BK32" s="1" t="s">
        <v>1760</v>
      </c>
      <c r="BL32" s="1" t="s">
        <v>1746</v>
      </c>
      <c r="BM32" s="1"/>
      <c r="BN32" s="1" t="s">
        <v>293</v>
      </c>
      <c r="BO32" s="12">
        <v>15.375</v>
      </c>
      <c r="BP32" s="12">
        <v>10.125</v>
      </c>
      <c r="BQ32" s="12"/>
      <c r="BR32" s="1">
        <v>39.1</v>
      </c>
      <c r="BS32" s="1">
        <v>25.7</v>
      </c>
      <c r="BT32" s="1"/>
      <c r="BU32" s="1"/>
      <c r="BV32" s="1" t="s">
        <v>279</v>
      </c>
      <c r="BW32" s="1" t="s">
        <v>94</v>
      </c>
      <c r="BX32" s="1" t="s">
        <v>271</v>
      </c>
      <c r="BY32" s="1">
        <v>1911</v>
      </c>
      <c r="BZ32" s="1" t="s">
        <v>280</v>
      </c>
      <c r="CA32" s="1"/>
      <c r="CB32" s="1"/>
      <c r="CN32" s="1" t="s">
        <v>96</v>
      </c>
      <c r="CP32" s="8" t="str">
        <f>HYPERLINK("http://www.metmuseum.org/art/collection/search/37191","http://www.metmuseum.org/art/collection/search/37191")</f>
        <v>http://www.metmuseum.org/art/collection/search/37191</v>
      </c>
      <c r="CQ32" s="4">
        <v>42842.333402777775</v>
      </c>
      <c r="CR32" s="1" t="s">
        <v>97</v>
      </c>
    </row>
    <row r="33" spans="1:96" ht="52.5" customHeight="1" x14ac:dyDescent="0.2">
      <c r="A33" s="1" t="s">
        <v>294</v>
      </c>
      <c r="B33" s="1" t="b">
        <v>0</v>
      </c>
      <c r="C33" s="1" t="b">
        <v>1</v>
      </c>
      <c r="D33" s="1">
        <v>37192</v>
      </c>
      <c r="E33" s="1" t="s">
        <v>85</v>
      </c>
      <c r="F33" s="1" t="s">
        <v>86</v>
      </c>
      <c r="G33" s="1" t="s">
        <v>295</v>
      </c>
      <c r="H33" s="1" t="s">
        <v>296</v>
      </c>
      <c r="I33" s="1"/>
      <c r="J33" s="1" t="s">
        <v>297</v>
      </c>
      <c r="K33" s="1" t="s">
        <v>298</v>
      </c>
      <c r="L33" s="1"/>
      <c r="M33" s="1"/>
      <c r="N33" s="1" t="s">
        <v>87</v>
      </c>
      <c r="O33" s="1" t="s">
        <v>1798</v>
      </c>
      <c r="P33" s="1">
        <v>1615</v>
      </c>
      <c r="Q33" s="1">
        <v>1868</v>
      </c>
      <c r="U33" s="1" t="s">
        <v>88</v>
      </c>
      <c r="W33" s="1" t="s">
        <v>89</v>
      </c>
      <c r="X33" s="1" t="s">
        <v>1801</v>
      </c>
      <c r="Z33" s="1" t="s">
        <v>89</v>
      </c>
      <c r="AA33" s="1" t="s">
        <v>90</v>
      </c>
      <c r="AB33" s="1">
        <v>1760</v>
      </c>
      <c r="AC33" s="1">
        <v>1849</v>
      </c>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t="s">
        <v>268</v>
      </c>
      <c r="BG33" s="1">
        <v>1824</v>
      </c>
      <c r="BH33" s="1">
        <v>1829</v>
      </c>
      <c r="BI33" s="1">
        <v>1</v>
      </c>
      <c r="BJ33" s="1"/>
      <c r="BK33" s="1" t="s">
        <v>1760</v>
      </c>
      <c r="BL33" s="1" t="s">
        <v>1746</v>
      </c>
      <c r="BM33" s="1"/>
      <c r="BN33" s="1" t="s">
        <v>299</v>
      </c>
      <c r="BO33" s="12">
        <v>9.75</v>
      </c>
      <c r="BP33" s="11">
        <v>14.1875</v>
      </c>
      <c r="BQ33" s="11"/>
      <c r="BR33" s="1">
        <v>24.8</v>
      </c>
      <c r="BS33" s="1">
        <v>36</v>
      </c>
      <c r="BT33" s="1"/>
      <c r="BU33" s="1"/>
      <c r="BV33" s="1" t="s">
        <v>279</v>
      </c>
      <c r="BW33" s="1" t="s">
        <v>94</v>
      </c>
      <c r="BX33" s="1" t="s">
        <v>271</v>
      </c>
      <c r="BY33" s="1">
        <v>1911</v>
      </c>
      <c r="BZ33" s="1" t="s">
        <v>280</v>
      </c>
      <c r="CA33" s="1"/>
      <c r="CB33" s="1"/>
      <c r="CN33" s="1" t="s">
        <v>96</v>
      </c>
      <c r="CP33" s="8" t="str">
        <f>HYPERLINK("http://www.metmuseum.org/art/collection/search/37192","http://www.metmuseum.org/art/collection/search/37192")</f>
        <v>http://www.metmuseum.org/art/collection/search/37192</v>
      </c>
      <c r="CQ33" s="4">
        <v>42842.333402777775</v>
      </c>
      <c r="CR33" s="1" t="s">
        <v>97</v>
      </c>
    </row>
    <row r="34" spans="1:96" ht="52.5" customHeight="1" x14ac:dyDescent="0.2">
      <c r="A34" s="1" t="s">
        <v>300</v>
      </c>
      <c r="B34" s="1" t="b">
        <v>0</v>
      </c>
      <c r="C34" s="1" t="b">
        <v>1</v>
      </c>
      <c r="D34" s="1">
        <v>37193</v>
      </c>
      <c r="E34" s="1" t="s">
        <v>85</v>
      </c>
      <c r="F34" s="1" t="s">
        <v>86</v>
      </c>
      <c r="N34" s="1" t="s">
        <v>87</v>
      </c>
      <c r="O34" s="1" t="s">
        <v>1798</v>
      </c>
      <c r="P34" s="1">
        <v>1615</v>
      </c>
      <c r="Q34" s="1">
        <v>1868</v>
      </c>
      <c r="U34" s="1" t="s">
        <v>88</v>
      </c>
      <c r="W34" s="1" t="s">
        <v>89</v>
      </c>
      <c r="X34" s="1" t="s">
        <v>1801</v>
      </c>
      <c r="Z34" s="1" t="s">
        <v>89</v>
      </c>
      <c r="AA34" s="1" t="s">
        <v>90</v>
      </c>
      <c r="AB34" s="1">
        <v>1760</v>
      </c>
      <c r="AC34" s="1">
        <v>1849</v>
      </c>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t="s">
        <v>301</v>
      </c>
      <c r="BG34" s="1">
        <v>1825</v>
      </c>
      <c r="BH34" s="1">
        <v>1845</v>
      </c>
      <c r="BI34" s="1">
        <v>1</v>
      </c>
      <c r="BJ34" s="1"/>
      <c r="BK34" s="1" t="s">
        <v>1760</v>
      </c>
      <c r="BL34" s="1" t="s">
        <v>1746</v>
      </c>
      <c r="BM34" s="1"/>
      <c r="BN34" s="1" t="s">
        <v>302</v>
      </c>
      <c r="BO34" s="11">
        <v>7.96875</v>
      </c>
      <c r="BP34" s="12">
        <v>12.5</v>
      </c>
      <c r="BQ34" s="12"/>
      <c r="BR34" s="1">
        <v>20.3</v>
      </c>
      <c r="BS34" s="1">
        <v>31.8</v>
      </c>
      <c r="BT34" s="1"/>
      <c r="BU34" s="1"/>
      <c r="BV34" s="1" t="s">
        <v>279</v>
      </c>
      <c r="BW34" s="1" t="s">
        <v>94</v>
      </c>
      <c r="BX34" s="1" t="s">
        <v>271</v>
      </c>
      <c r="BY34" s="1">
        <v>1911</v>
      </c>
      <c r="BZ34" s="1" t="s">
        <v>280</v>
      </c>
      <c r="CA34" s="1"/>
      <c r="CB34" s="1"/>
      <c r="CN34" s="1" t="s">
        <v>96</v>
      </c>
      <c r="CP34" s="8" t="str">
        <f>HYPERLINK("http://www.metmuseum.org/art/collection/search/37193","http://www.metmuseum.org/art/collection/search/37193")</f>
        <v>http://www.metmuseum.org/art/collection/search/37193</v>
      </c>
      <c r="CQ34" s="4">
        <v>42842.333402777775</v>
      </c>
      <c r="CR34" s="1" t="s">
        <v>97</v>
      </c>
    </row>
    <row r="35" spans="1:96" ht="66" customHeight="1" x14ac:dyDescent="0.2">
      <c r="A35" s="1" t="s">
        <v>303</v>
      </c>
      <c r="B35" s="1" t="b">
        <v>0</v>
      </c>
      <c r="C35" s="1" t="b">
        <v>1</v>
      </c>
      <c r="D35" s="1">
        <v>37319</v>
      </c>
      <c r="E35" s="1" t="s">
        <v>85</v>
      </c>
      <c r="F35" s="1" t="s">
        <v>99</v>
      </c>
      <c r="G35" s="1" t="s">
        <v>304</v>
      </c>
      <c r="H35" s="1" t="s">
        <v>305</v>
      </c>
      <c r="I35" s="1" t="s">
        <v>306</v>
      </c>
      <c r="J35" s="1" t="s">
        <v>307</v>
      </c>
      <c r="K35" s="1" t="s">
        <v>165</v>
      </c>
      <c r="L35" s="1" t="s">
        <v>156</v>
      </c>
      <c r="M35" s="1" t="s">
        <v>157</v>
      </c>
      <c r="N35" s="1" t="s">
        <v>87</v>
      </c>
      <c r="O35" s="1" t="s">
        <v>1798</v>
      </c>
      <c r="P35" s="1">
        <v>1615</v>
      </c>
      <c r="Q35" s="1">
        <v>1868</v>
      </c>
      <c r="U35" s="1" t="s">
        <v>88</v>
      </c>
      <c r="W35" s="1" t="s">
        <v>89</v>
      </c>
      <c r="X35" s="1" t="s">
        <v>1801</v>
      </c>
      <c r="Z35" s="1" t="s">
        <v>89</v>
      </c>
      <c r="AA35" s="1" t="s">
        <v>90</v>
      </c>
      <c r="AB35" s="1">
        <v>1760</v>
      </c>
      <c r="AC35" s="1">
        <v>1849</v>
      </c>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t="s">
        <v>158</v>
      </c>
      <c r="BG35" s="1">
        <v>1823</v>
      </c>
      <c r="BH35" s="1">
        <v>1843</v>
      </c>
      <c r="BI35" s="1">
        <v>1</v>
      </c>
      <c r="BJ35" s="1"/>
      <c r="BK35" s="1" t="s">
        <v>1760</v>
      </c>
      <c r="BL35" s="1" t="s">
        <v>1746</v>
      </c>
      <c r="BM35" s="1"/>
      <c r="BN35" s="1" t="s">
        <v>308</v>
      </c>
      <c r="BO35" s="11">
        <v>9.9375</v>
      </c>
      <c r="BP35" s="11">
        <v>14.6875</v>
      </c>
      <c r="BQ35" s="11"/>
      <c r="BR35" s="1">
        <v>25.2</v>
      </c>
      <c r="BS35" s="1">
        <v>37.299999999999997</v>
      </c>
      <c r="BT35" s="1"/>
      <c r="BU35" s="1"/>
      <c r="BV35" s="1" t="s">
        <v>309</v>
      </c>
      <c r="BW35" s="1" t="s">
        <v>94</v>
      </c>
      <c r="BX35" s="1" t="s">
        <v>95</v>
      </c>
      <c r="BY35" s="1">
        <v>1922</v>
      </c>
      <c r="BZ35" s="1"/>
      <c r="CA35" s="1"/>
      <c r="CB35" s="1"/>
      <c r="CN35" s="1" t="s">
        <v>96</v>
      </c>
      <c r="CP35" s="8" t="str">
        <f>HYPERLINK("http://www.metmuseum.org/art/collection/search/37319","http://www.metmuseum.org/art/collection/search/37319")</f>
        <v>http://www.metmuseum.org/art/collection/search/37319</v>
      </c>
      <c r="CQ35" s="4">
        <v>42842.333402777775</v>
      </c>
      <c r="CR35" s="1" t="s">
        <v>97</v>
      </c>
    </row>
    <row r="36" spans="1:96" ht="52.5" customHeight="1" x14ac:dyDescent="0.2">
      <c r="A36" s="1" t="s">
        <v>310</v>
      </c>
      <c r="B36" s="1" t="b">
        <v>0</v>
      </c>
      <c r="C36" s="1" t="b">
        <v>1</v>
      </c>
      <c r="D36" s="1">
        <v>37320</v>
      </c>
      <c r="E36" s="1" t="s">
        <v>85</v>
      </c>
      <c r="F36" s="1" t="s">
        <v>99</v>
      </c>
      <c r="G36" s="1" t="s">
        <v>311</v>
      </c>
      <c r="H36" s="1" t="s">
        <v>312</v>
      </c>
      <c r="I36" s="1" t="s">
        <v>313</v>
      </c>
      <c r="J36" s="1" t="s">
        <v>314</v>
      </c>
      <c r="K36" s="1" t="s">
        <v>165</v>
      </c>
      <c r="L36" s="1" t="s">
        <v>156</v>
      </c>
      <c r="M36" s="1" t="s">
        <v>157</v>
      </c>
      <c r="N36" s="1" t="s">
        <v>87</v>
      </c>
      <c r="O36" s="1" t="s">
        <v>1798</v>
      </c>
      <c r="P36" s="1">
        <v>1615</v>
      </c>
      <c r="Q36" s="1">
        <v>1868</v>
      </c>
      <c r="U36" s="1" t="s">
        <v>88</v>
      </c>
      <c r="W36" s="1" t="s">
        <v>89</v>
      </c>
      <c r="X36" s="1" t="s">
        <v>1801</v>
      </c>
      <c r="Z36" s="1" t="s">
        <v>89</v>
      </c>
      <c r="AA36" s="1" t="s">
        <v>90</v>
      </c>
      <c r="AB36" s="1">
        <v>1760</v>
      </c>
      <c r="AC36" s="1">
        <v>1849</v>
      </c>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t="s">
        <v>158</v>
      </c>
      <c r="BG36" s="1">
        <v>1820</v>
      </c>
      <c r="BH36" s="1">
        <v>1842</v>
      </c>
      <c r="BI36" s="1">
        <v>1</v>
      </c>
      <c r="BJ36" s="1"/>
      <c r="BK36" s="1" t="s">
        <v>1760</v>
      </c>
      <c r="BL36" s="1" t="s">
        <v>1746</v>
      </c>
      <c r="BM36" s="1"/>
      <c r="BN36" s="1" t="s">
        <v>315</v>
      </c>
      <c r="BO36" s="11">
        <v>9.8125</v>
      </c>
      <c r="BP36" s="12">
        <v>14.625</v>
      </c>
      <c r="BQ36" s="12"/>
      <c r="BR36" s="1">
        <v>24.9</v>
      </c>
      <c r="BS36" s="1">
        <v>37.1</v>
      </c>
      <c r="BT36" s="1"/>
      <c r="BU36" s="1"/>
      <c r="BV36" s="1" t="s">
        <v>309</v>
      </c>
      <c r="BW36" s="1" t="s">
        <v>94</v>
      </c>
      <c r="BX36" s="1" t="s">
        <v>95</v>
      </c>
      <c r="BY36" s="1">
        <v>1922</v>
      </c>
      <c r="BZ36" s="1"/>
      <c r="CA36" s="1"/>
      <c r="CB36" s="1"/>
      <c r="CN36" s="1" t="s">
        <v>96</v>
      </c>
      <c r="CP36" s="8" t="str">
        <f>HYPERLINK("http://www.metmuseum.org/art/collection/search/37320","http://www.metmuseum.org/art/collection/search/37320")</f>
        <v>http://www.metmuseum.org/art/collection/search/37320</v>
      </c>
      <c r="CQ36" s="4">
        <v>42842.333402777775</v>
      </c>
      <c r="CR36" s="1" t="s">
        <v>97</v>
      </c>
    </row>
    <row r="37" spans="1:96" ht="52.5" customHeight="1" x14ac:dyDescent="0.2">
      <c r="A37" s="1" t="s">
        <v>316</v>
      </c>
      <c r="B37" s="1" t="b">
        <v>0</v>
      </c>
      <c r="C37" s="1" t="b">
        <v>1</v>
      </c>
      <c r="D37" s="1">
        <v>37321</v>
      </c>
      <c r="E37" s="1" t="s">
        <v>85</v>
      </c>
      <c r="F37" s="1" t="s">
        <v>99</v>
      </c>
      <c r="G37" s="1" t="s">
        <v>317</v>
      </c>
      <c r="H37" s="1" t="s">
        <v>318</v>
      </c>
      <c r="I37" s="1" t="s">
        <v>319</v>
      </c>
      <c r="J37" s="1" t="s">
        <v>320</v>
      </c>
      <c r="K37" s="1" t="s">
        <v>165</v>
      </c>
      <c r="L37" s="1" t="s">
        <v>156</v>
      </c>
      <c r="M37" s="1" t="s">
        <v>157</v>
      </c>
      <c r="N37" s="1" t="s">
        <v>87</v>
      </c>
      <c r="O37" s="1" t="s">
        <v>1798</v>
      </c>
      <c r="P37" s="1">
        <v>1615</v>
      </c>
      <c r="Q37" s="1">
        <v>1868</v>
      </c>
      <c r="U37" s="1" t="s">
        <v>88</v>
      </c>
      <c r="W37" s="1" t="s">
        <v>89</v>
      </c>
      <c r="X37" s="1" t="s">
        <v>1801</v>
      </c>
      <c r="Z37" s="1" t="s">
        <v>89</v>
      </c>
      <c r="AA37" s="1" t="s">
        <v>90</v>
      </c>
      <c r="AB37" s="1">
        <v>1760</v>
      </c>
      <c r="AC37" s="1">
        <v>1849</v>
      </c>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t="s">
        <v>158</v>
      </c>
      <c r="BG37" s="1">
        <v>1820</v>
      </c>
      <c r="BH37" s="1">
        <v>1842</v>
      </c>
      <c r="BI37" s="1">
        <v>1</v>
      </c>
      <c r="BJ37" s="1"/>
      <c r="BK37" s="1" t="s">
        <v>1760</v>
      </c>
      <c r="BL37" s="1" t="s">
        <v>1746</v>
      </c>
      <c r="BM37" s="1"/>
      <c r="BN37" s="1" t="s">
        <v>321</v>
      </c>
      <c r="BO37" s="11">
        <v>10.0625</v>
      </c>
      <c r="BP37" s="12">
        <v>14.625</v>
      </c>
      <c r="BQ37" s="12"/>
      <c r="BR37" s="1">
        <v>25.6</v>
      </c>
      <c r="BS37" s="1">
        <v>37.1</v>
      </c>
      <c r="BT37" s="1"/>
      <c r="BU37" s="1"/>
      <c r="BV37" s="1" t="s">
        <v>309</v>
      </c>
      <c r="BW37" s="1" t="s">
        <v>94</v>
      </c>
      <c r="BX37" s="1" t="s">
        <v>95</v>
      </c>
      <c r="BY37" s="1">
        <v>1922</v>
      </c>
      <c r="BZ37" s="1"/>
      <c r="CA37" s="1"/>
      <c r="CB37" s="1"/>
      <c r="CN37" s="1" t="s">
        <v>96</v>
      </c>
      <c r="CP37" s="8" t="str">
        <f>HYPERLINK("http://www.metmuseum.org/art/collection/search/37321","http://www.metmuseum.org/art/collection/search/37321")</f>
        <v>http://www.metmuseum.org/art/collection/search/37321</v>
      </c>
      <c r="CQ37" s="4">
        <v>42842.333402777775</v>
      </c>
      <c r="CR37" s="1" t="s">
        <v>97</v>
      </c>
    </row>
    <row r="38" spans="1:96" ht="52.5" customHeight="1" x14ac:dyDescent="0.2">
      <c r="A38" s="1" t="s">
        <v>322</v>
      </c>
      <c r="B38" s="1" t="b">
        <v>0</v>
      </c>
      <c r="C38" s="1" t="b">
        <v>1</v>
      </c>
      <c r="D38" s="1">
        <v>37322</v>
      </c>
      <c r="E38" s="1" t="s">
        <v>85</v>
      </c>
      <c r="F38" s="1" t="s">
        <v>99</v>
      </c>
      <c r="G38" s="1" t="s">
        <v>323</v>
      </c>
      <c r="H38" s="1" t="s">
        <v>324</v>
      </c>
      <c r="I38" s="1" t="s">
        <v>325</v>
      </c>
      <c r="J38" s="1" t="s">
        <v>326</v>
      </c>
      <c r="K38" s="1" t="s">
        <v>165</v>
      </c>
      <c r="L38" s="1" t="s">
        <v>156</v>
      </c>
      <c r="M38" s="1" t="s">
        <v>157</v>
      </c>
      <c r="N38" s="1" t="s">
        <v>87</v>
      </c>
      <c r="O38" s="1" t="s">
        <v>1798</v>
      </c>
      <c r="P38" s="1">
        <v>1615</v>
      </c>
      <c r="Q38" s="1">
        <v>1868</v>
      </c>
      <c r="U38" s="1" t="s">
        <v>88</v>
      </c>
      <c r="W38" s="1" t="s">
        <v>89</v>
      </c>
      <c r="X38" s="1" t="s">
        <v>1801</v>
      </c>
      <c r="Z38" s="1" t="s">
        <v>89</v>
      </c>
      <c r="AA38" s="1" t="s">
        <v>90</v>
      </c>
      <c r="AB38" s="1">
        <v>1760</v>
      </c>
      <c r="AC38" s="1">
        <v>1849</v>
      </c>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t="s">
        <v>158</v>
      </c>
      <c r="BG38" s="1">
        <v>1820</v>
      </c>
      <c r="BH38" s="1">
        <v>1842</v>
      </c>
      <c r="BI38" s="1">
        <v>1</v>
      </c>
      <c r="BJ38" s="1"/>
      <c r="BK38" s="1" t="s">
        <v>1760</v>
      </c>
      <c r="BL38" s="1" t="s">
        <v>1746</v>
      </c>
      <c r="BM38" s="1"/>
      <c r="BN38" s="1" t="s">
        <v>327</v>
      </c>
      <c r="BO38" s="1">
        <v>10</v>
      </c>
      <c r="BP38" s="12">
        <v>14.875</v>
      </c>
      <c r="BQ38" s="12"/>
      <c r="BR38" s="1">
        <v>25.4</v>
      </c>
      <c r="BS38" s="1">
        <v>37.799999999999997</v>
      </c>
      <c r="BT38" s="1"/>
      <c r="BU38" s="1"/>
      <c r="BV38" s="1" t="s">
        <v>309</v>
      </c>
      <c r="BW38" s="1" t="s">
        <v>94</v>
      </c>
      <c r="BX38" s="1" t="s">
        <v>95</v>
      </c>
      <c r="BY38" s="1">
        <v>1922</v>
      </c>
      <c r="BZ38" s="1"/>
      <c r="CA38" s="1"/>
      <c r="CB38" s="1"/>
      <c r="CN38" s="1" t="s">
        <v>96</v>
      </c>
      <c r="CP38" s="8" t="str">
        <f>HYPERLINK("http://www.metmuseum.org/art/collection/search/37322","http://www.metmuseum.org/art/collection/search/37322")</f>
        <v>http://www.metmuseum.org/art/collection/search/37322</v>
      </c>
      <c r="CQ38" s="4">
        <v>42842.333402777775</v>
      </c>
      <c r="CR38" s="1" t="s">
        <v>97</v>
      </c>
    </row>
    <row r="39" spans="1:96" ht="52.5" customHeight="1" x14ac:dyDescent="0.2">
      <c r="A39" s="1" t="s">
        <v>328</v>
      </c>
      <c r="B39" s="1" t="b">
        <v>0</v>
      </c>
      <c r="C39" s="1" t="b">
        <v>1</v>
      </c>
      <c r="D39" s="1">
        <v>37323</v>
      </c>
      <c r="E39" s="1" t="s">
        <v>85</v>
      </c>
      <c r="F39" s="1" t="s">
        <v>99</v>
      </c>
      <c r="G39" s="1" t="s">
        <v>329</v>
      </c>
      <c r="H39" s="1" t="s">
        <v>330</v>
      </c>
      <c r="I39" s="1" t="s">
        <v>331</v>
      </c>
      <c r="J39" s="1" t="s">
        <v>332</v>
      </c>
      <c r="K39" s="1" t="s">
        <v>333</v>
      </c>
      <c r="L39" s="1" t="s">
        <v>116</v>
      </c>
      <c r="M39" s="1" t="s">
        <v>117</v>
      </c>
      <c r="N39" s="1" t="s">
        <v>87</v>
      </c>
      <c r="O39" s="6" t="s">
        <v>1798</v>
      </c>
      <c r="P39" s="1">
        <v>1615</v>
      </c>
      <c r="Q39" s="1">
        <v>1868</v>
      </c>
      <c r="U39" s="1" t="s">
        <v>88</v>
      </c>
      <c r="W39" s="1" t="s">
        <v>89</v>
      </c>
      <c r="X39" s="1" t="s">
        <v>1801</v>
      </c>
      <c r="Z39" s="1" t="s">
        <v>89</v>
      </c>
      <c r="AA39" s="1" t="s">
        <v>90</v>
      </c>
      <c r="AB39" s="1">
        <v>1760</v>
      </c>
      <c r="AC39" s="1">
        <v>1849</v>
      </c>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v>1839</v>
      </c>
      <c r="BG39" s="1">
        <v>1839</v>
      </c>
      <c r="BH39" s="1">
        <v>1839</v>
      </c>
      <c r="BI39" s="1">
        <v>1</v>
      </c>
      <c r="BJ39" s="1"/>
      <c r="BK39" s="1" t="s">
        <v>1760</v>
      </c>
      <c r="BL39" s="1" t="s">
        <v>1746</v>
      </c>
      <c r="BM39" s="1"/>
      <c r="BN39" s="1" t="s">
        <v>334</v>
      </c>
      <c r="BO39" s="11">
        <v>9.9375</v>
      </c>
      <c r="BP39" s="12">
        <v>14.375</v>
      </c>
      <c r="BQ39" s="12"/>
      <c r="BR39" s="1">
        <v>25.2</v>
      </c>
      <c r="BS39" s="1">
        <v>36.5</v>
      </c>
      <c r="BT39" s="1"/>
      <c r="BU39" s="1"/>
      <c r="BV39" s="1" t="s">
        <v>309</v>
      </c>
      <c r="BW39" s="1" t="s">
        <v>94</v>
      </c>
      <c r="BX39" s="1" t="s">
        <v>95</v>
      </c>
      <c r="BY39" s="1">
        <v>1922</v>
      </c>
      <c r="BZ39" s="1"/>
      <c r="CA39" s="1"/>
      <c r="CB39" s="1"/>
      <c r="CN39" s="1" t="s">
        <v>96</v>
      </c>
      <c r="CP39" s="8" t="str">
        <f>HYPERLINK("http://www.metmuseum.org/art/collection/search/37323","http://www.metmuseum.org/art/collection/search/37323")</f>
        <v>http://www.metmuseum.org/art/collection/search/37323</v>
      </c>
      <c r="CQ39" s="4">
        <v>42842.333402777775</v>
      </c>
      <c r="CR39" s="1" t="s">
        <v>97</v>
      </c>
    </row>
    <row r="40" spans="1:96" ht="52.5" customHeight="1" x14ac:dyDescent="0.2">
      <c r="A40" s="1" t="s">
        <v>335</v>
      </c>
      <c r="B40" s="1" t="b">
        <v>0</v>
      </c>
      <c r="C40" s="1" t="b">
        <v>1</v>
      </c>
      <c r="D40" s="1">
        <v>37324</v>
      </c>
      <c r="E40" s="1" t="s">
        <v>85</v>
      </c>
      <c r="F40" s="1" t="s">
        <v>99</v>
      </c>
      <c r="G40" s="1" t="s">
        <v>336</v>
      </c>
      <c r="H40" s="1" t="s">
        <v>337</v>
      </c>
      <c r="I40" s="1" t="s">
        <v>338</v>
      </c>
      <c r="J40" s="1" t="s">
        <v>339</v>
      </c>
      <c r="K40" s="1" t="s">
        <v>340</v>
      </c>
      <c r="L40" s="1" t="s">
        <v>116</v>
      </c>
      <c r="M40" s="1" t="s">
        <v>117</v>
      </c>
      <c r="N40" s="1" t="s">
        <v>87</v>
      </c>
      <c r="O40" s="1" t="s">
        <v>1798</v>
      </c>
      <c r="P40" s="1">
        <v>1615</v>
      </c>
      <c r="Q40" s="1">
        <v>1868</v>
      </c>
      <c r="U40" s="1" t="s">
        <v>88</v>
      </c>
      <c r="W40" s="1" t="s">
        <v>89</v>
      </c>
      <c r="X40" s="1" t="s">
        <v>1801</v>
      </c>
      <c r="Z40" s="1" t="s">
        <v>89</v>
      </c>
      <c r="AA40" s="1" t="s">
        <v>90</v>
      </c>
      <c r="AB40" s="1">
        <v>1760</v>
      </c>
      <c r="AC40" s="1">
        <v>1849</v>
      </c>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v>1839</v>
      </c>
      <c r="BG40" s="1">
        <v>1839</v>
      </c>
      <c r="BH40" s="1">
        <v>1839</v>
      </c>
      <c r="BI40" s="1">
        <v>1</v>
      </c>
      <c r="BJ40" s="1"/>
      <c r="BK40" s="1" t="s">
        <v>1760</v>
      </c>
      <c r="BL40" s="1" t="s">
        <v>1746</v>
      </c>
      <c r="BM40" s="1"/>
      <c r="BN40" s="1" t="s">
        <v>334</v>
      </c>
      <c r="BO40" s="11">
        <v>9.9375</v>
      </c>
      <c r="BP40" s="12">
        <v>14.375</v>
      </c>
      <c r="BQ40" s="12"/>
      <c r="BR40" s="1">
        <v>25.2</v>
      </c>
      <c r="BS40" s="1">
        <v>36.5</v>
      </c>
      <c r="BT40" s="1"/>
      <c r="BU40" s="1"/>
      <c r="BV40" s="1" t="s">
        <v>309</v>
      </c>
      <c r="BW40" s="1" t="s">
        <v>94</v>
      </c>
      <c r="BX40" s="1" t="s">
        <v>95</v>
      </c>
      <c r="BY40" s="1">
        <v>1922</v>
      </c>
      <c r="BZ40" s="1"/>
      <c r="CA40" s="1"/>
      <c r="CB40" s="1"/>
      <c r="CN40" s="1" t="s">
        <v>96</v>
      </c>
      <c r="CP40" s="8" t="str">
        <f>HYPERLINK("http://www.metmuseum.org/art/collection/search/37324","http://www.metmuseum.org/art/collection/search/37324")</f>
        <v>http://www.metmuseum.org/art/collection/search/37324</v>
      </c>
      <c r="CQ40" s="4">
        <v>42842.333402777775</v>
      </c>
      <c r="CR40" s="1" t="s">
        <v>97</v>
      </c>
    </row>
    <row r="41" spans="1:96" ht="66" customHeight="1" x14ac:dyDescent="0.2">
      <c r="A41" s="1" t="s">
        <v>341</v>
      </c>
      <c r="B41" s="1" t="b">
        <v>0</v>
      </c>
      <c r="C41" s="1" t="b">
        <v>1</v>
      </c>
      <c r="D41" s="1">
        <v>37362</v>
      </c>
      <c r="E41" s="1" t="s">
        <v>85</v>
      </c>
      <c r="F41" s="1" t="s">
        <v>99</v>
      </c>
      <c r="G41" s="1" t="s">
        <v>304</v>
      </c>
      <c r="H41" s="1" t="s">
        <v>305</v>
      </c>
      <c r="I41" s="1" t="s">
        <v>306</v>
      </c>
      <c r="J41" s="1" t="s">
        <v>342</v>
      </c>
      <c r="K41" s="1" t="s">
        <v>165</v>
      </c>
      <c r="L41" s="1" t="s">
        <v>156</v>
      </c>
      <c r="M41" s="1" t="s">
        <v>157</v>
      </c>
      <c r="N41" s="1" t="s">
        <v>87</v>
      </c>
      <c r="O41" s="1" t="s">
        <v>1798</v>
      </c>
      <c r="P41" s="1">
        <v>1615</v>
      </c>
      <c r="Q41" s="1">
        <v>1868</v>
      </c>
      <c r="U41" s="1" t="s">
        <v>88</v>
      </c>
      <c r="W41" s="1" t="s">
        <v>89</v>
      </c>
      <c r="X41" s="1" t="s">
        <v>1801</v>
      </c>
      <c r="Z41" s="1" t="s">
        <v>89</v>
      </c>
      <c r="AA41" s="1" t="s">
        <v>90</v>
      </c>
      <c r="AB41" s="1">
        <v>1760</v>
      </c>
      <c r="AC41" s="1">
        <v>1849</v>
      </c>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t="s">
        <v>343</v>
      </c>
      <c r="BG41" s="1">
        <v>1820</v>
      </c>
      <c r="BH41" s="1">
        <v>1842</v>
      </c>
      <c r="BI41" s="1">
        <v>1</v>
      </c>
      <c r="BJ41" s="1"/>
      <c r="BK41" s="1" t="s">
        <v>1760</v>
      </c>
      <c r="BL41" s="1" t="s">
        <v>1746</v>
      </c>
      <c r="BM41" s="1"/>
      <c r="BN41" s="1" t="s">
        <v>344</v>
      </c>
      <c r="BO41" s="12">
        <v>9.625</v>
      </c>
      <c r="BP41" s="12">
        <v>14.75</v>
      </c>
      <c r="BQ41" s="12"/>
      <c r="BR41" s="1">
        <v>24.4</v>
      </c>
      <c r="BS41" s="1">
        <v>37.5</v>
      </c>
      <c r="BT41" s="1"/>
      <c r="BU41" s="1"/>
      <c r="BV41" s="1" t="s">
        <v>345</v>
      </c>
      <c r="BW41" s="1" t="s">
        <v>346</v>
      </c>
      <c r="BX41" s="1"/>
      <c r="BY41" s="1">
        <v>1939</v>
      </c>
      <c r="BZ41" s="1" t="s">
        <v>347</v>
      </c>
      <c r="CA41" s="1" t="s">
        <v>348</v>
      </c>
      <c r="CB41" s="1"/>
      <c r="CN41" s="1" t="s">
        <v>96</v>
      </c>
      <c r="CP41" s="8" t="str">
        <f>HYPERLINK("http://www.metmuseum.org/art/collection/search/37362","http://www.metmuseum.org/art/collection/search/37362")</f>
        <v>http://www.metmuseum.org/art/collection/search/37362</v>
      </c>
      <c r="CQ41" s="4">
        <v>42842.333402777775</v>
      </c>
      <c r="CR41" s="1" t="s">
        <v>97</v>
      </c>
    </row>
    <row r="42" spans="1:96" ht="52.5" customHeight="1" x14ac:dyDescent="0.2">
      <c r="A42" s="1" t="s">
        <v>349</v>
      </c>
      <c r="B42" s="1" t="b">
        <v>0</v>
      </c>
      <c r="C42" s="1" t="b">
        <v>1</v>
      </c>
      <c r="D42" s="1">
        <v>37391</v>
      </c>
      <c r="E42" s="1" t="s">
        <v>85</v>
      </c>
      <c r="F42" s="1" t="s">
        <v>86</v>
      </c>
      <c r="G42" s="1" t="s">
        <v>350</v>
      </c>
      <c r="H42" s="1" t="s">
        <v>351</v>
      </c>
      <c r="I42" s="1" t="s">
        <v>352</v>
      </c>
      <c r="J42" s="1" t="s">
        <v>352</v>
      </c>
      <c r="K42" s="1"/>
      <c r="L42" s="1"/>
      <c r="M42" s="1"/>
      <c r="N42" s="1" t="s">
        <v>87</v>
      </c>
      <c r="O42" s="1" t="s">
        <v>1798</v>
      </c>
      <c r="P42" s="1">
        <v>1615</v>
      </c>
      <c r="Q42" s="1">
        <v>1868</v>
      </c>
      <c r="U42" s="1" t="s">
        <v>88</v>
      </c>
      <c r="W42" s="1" t="s">
        <v>89</v>
      </c>
      <c r="X42" s="1" t="s">
        <v>1801</v>
      </c>
      <c r="Z42" s="1" t="s">
        <v>89</v>
      </c>
      <c r="AA42" s="1" t="s">
        <v>90</v>
      </c>
      <c r="AB42" s="1">
        <v>1760</v>
      </c>
      <c r="AC42" s="1">
        <v>1849</v>
      </c>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t="s">
        <v>353</v>
      </c>
      <c r="BG42" s="1">
        <v>1795</v>
      </c>
      <c r="BH42" s="1">
        <v>1815</v>
      </c>
      <c r="BI42" s="1">
        <v>1</v>
      </c>
      <c r="BJ42" s="1"/>
      <c r="BK42" s="1" t="s">
        <v>1760</v>
      </c>
      <c r="BL42" s="1" t="s">
        <v>1746</v>
      </c>
      <c r="BM42" s="1"/>
      <c r="BN42" s="1" t="s">
        <v>354</v>
      </c>
      <c r="BO42" s="11">
        <v>4.9375</v>
      </c>
      <c r="BP42" s="11">
        <v>14.1875</v>
      </c>
      <c r="BQ42" s="11"/>
      <c r="BR42" s="1">
        <v>12.5</v>
      </c>
      <c r="BS42" s="1">
        <v>36</v>
      </c>
      <c r="BT42" s="1"/>
      <c r="BU42" s="1"/>
      <c r="BV42" s="1" t="s">
        <v>93</v>
      </c>
      <c r="BW42" s="1" t="s">
        <v>94</v>
      </c>
      <c r="BX42" s="1" t="s">
        <v>95</v>
      </c>
      <c r="BY42" s="1">
        <v>1914</v>
      </c>
      <c r="BZ42" s="1"/>
      <c r="CA42" s="1"/>
      <c r="CB42" s="1"/>
      <c r="CC42" s="1"/>
      <c r="CN42" s="1" t="s">
        <v>96</v>
      </c>
      <c r="CP42" s="8" t="str">
        <f>HYPERLINK("http://www.metmuseum.org/art/collection/search/37391","http://www.metmuseum.org/art/collection/search/37391")</f>
        <v>http://www.metmuseum.org/art/collection/search/37391</v>
      </c>
      <c r="CQ42" s="4">
        <v>42842.333402777775</v>
      </c>
      <c r="CR42" s="1" t="s">
        <v>97</v>
      </c>
    </row>
    <row r="43" spans="1:96" ht="52.5" customHeight="1" x14ac:dyDescent="0.2">
      <c r="A43" s="1" t="s">
        <v>355</v>
      </c>
      <c r="B43" s="1" t="b">
        <v>0</v>
      </c>
      <c r="C43" s="1" t="b">
        <v>1</v>
      </c>
      <c r="D43" s="1">
        <v>39655</v>
      </c>
      <c r="E43" s="1" t="s">
        <v>85</v>
      </c>
      <c r="F43" s="1" t="s">
        <v>99</v>
      </c>
      <c r="G43" s="1" t="s">
        <v>356</v>
      </c>
      <c r="H43" s="1" t="s">
        <v>357</v>
      </c>
      <c r="I43" s="1" t="s">
        <v>358</v>
      </c>
      <c r="J43" s="1" t="s">
        <v>359</v>
      </c>
      <c r="K43" s="1" t="s">
        <v>165</v>
      </c>
      <c r="L43" s="1" t="s">
        <v>156</v>
      </c>
      <c r="M43" s="1" t="s">
        <v>157</v>
      </c>
      <c r="N43" s="1" t="s">
        <v>87</v>
      </c>
      <c r="O43" s="1" t="s">
        <v>1798</v>
      </c>
      <c r="P43" s="1">
        <v>1615</v>
      </c>
      <c r="Q43" s="1">
        <v>1868</v>
      </c>
      <c r="U43" s="1" t="s">
        <v>88</v>
      </c>
      <c r="W43" s="1" t="s">
        <v>89</v>
      </c>
      <c r="X43" s="1" t="s">
        <v>1801</v>
      </c>
      <c r="Z43" s="1" t="s">
        <v>89</v>
      </c>
      <c r="AA43" s="1" t="s">
        <v>90</v>
      </c>
      <c r="AB43" s="1">
        <v>1760</v>
      </c>
      <c r="AC43" s="1">
        <v>1849</v>
      </c>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t="s">
        <v>158</v>
      </c>
      <c r="BG43" s="1">
        <v>1820</v>
      </c>
      <c r="BH43" s="1">
        <v>1842</v>
      </c>
      <c r="BI43" s="1">
        <v>1</v>
      </c>
      <c r="BJ43" s="1"/>
      <c r="BK43" s="1" t="s">
        <v>1760</v>
      </c>
      <c r="BL43" s="1" t="s">
        <v>1746</v>
      </c>
      <c r="BM43" s="1"/>
      <c r="BN43" s="1" t="s">
        <v>360</v>
      </c>
      <c r="BO43" s="12">
        <v>10.25</v>
      </c>
      <c r="BP43" s="11">
        <v>15.1875</v>
      </c>
      <c r="BQ43" s="11"/>
      <c r="BR43" s="1">
        <v>26</v>
      </c>
      <c r="BS43" s="1">
        <v>38.6</v>
      </c>
      <c r="BT43" s="1"/>
      <c r="BU43" s="1"/>
      <c r="BV43" s="1" t="s">
        <v>309</v>
      </c>
      <c r="BW43" s="1" t="s">
        <v>94</v>
      </c>
      <c r="BX43" s="1" t="s">
        <v>95</v>
      </c>
      <c r="BY43" s="1">
        <v>1922</v>
      </c>
      <c r="BZ43" s="1"/>
      <c r="CA43" s="1"/>
      <c r="CB43" s="1"/>
      <c r="CN43" s="1" t="s">
        <v>96</v>
      </c>
      <c r="CP43" s="8" t="str">
        <f>HYPERLINK("http://www.metmuseum.org/art/collection/search/39655","http://www.metmuseum.org/art/collection/search/39655")</f>
        <v>http://www.metmuseum.org/art/collection/search/39655</v>
      </c>
      <c r="CQ43" s="4">
        <v>42842.333402777775</v>
      </c>
      <c r="CR43" s="1" t="s">
        <v>97</v>
      </c>
    </row>
    <row r="44" spans="1:96" ht="52.5" customHeight="1" x14ac:dyDescent="0.2">
      <c r="A44" s="1" t="s">
        <v>361</v>
      </c>
      <c r="B44" s="1" t="b">
        <v>0</v>
      </c>
      <c r="C44" s="1" t="b">
        <v>1</v>
      </c>
      <c r="D44" s="1">
        <v>39656</v>
      </c>
      <c r="E44" s="1" t="s">
        <v>85</v>
      </c>
      <c r="F44" s="1" t="s">
        <v>99</v>
      </c>
      <c r="G44" s="1" t="s">
        <v>362</v>
      </c>
      <c r="H44" s="1" t="s">
        <v>363</v>
      </c>
      <c r="I44" s="1" t="s">
        <v>364</v>
      </c>
      <c r="J44" s="1" t="s">
        <v>365</v>
      </c>
      <c r="K44" s="1" t="s">
        <v>165</v>
      </c>
      <c r="L44" s="1" t="s">
        <v>156</v>
      </c>
      <c r="M44" s="1"/>
      <c r="N44" s="1" t="s">
        <v>87</v>
      </c>
      <c r="O44" s="1" t="s">
        <v>1798</v>
      </c>
      <c r="P44" s="1">
        <v>1615</v>
      </c>
      <c r="Q44" s="1">
        <v>1868</v>
      </c>
      <c r="U44" s="1" t="s">
        <v>88</v>
      </c>
      <c r="W44" s="1" t="s">
        <v>89</v>
      </c>
      <c r="X44" s="1" t="s">
        <v>1801</v>
      </c>
      <c r="Z44" s="1" t="s">
        <v>89</v>
      </c>
      <c r="AA44" s="1" t="s">
        <v>90</v>
      </c>
      <c r="AB44" s="1">
        <v>1760</v>
      </c>
      <c r="AC44" s="1">
        <v>1849</v>
      </c>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t="s">
        <v>158</v>
      </c>
      <c r="BG44" s="1">
        <v>1820</v>
      </c>
      <c r="BH44" s="1">
        <v>1842</v>
      </c>
      <c r="BI44" s="1">
        <v>1</v>
      </c>
      <c r="BJ44" s="1"/>
      <c r="BK44" s="1" t="s">
        <v>1760</v>
      </c>
      <c r="BL44" s="1" t="s">
        <v>1746</v>
      </c>
      <c r="BM44" s="1"/>
      <c r="BN44" s="1" t="s">
        <v>263</v>
      </c>
      <c r="BO44" s="1">
        <v>10</v>
      </c>
      <c r="BP44" s="1">
        <v>15</v>
      </c>
      <c r="BQ44" s="1"/>
      <c r="BR44" s="1">
        <v>25.4</v>
      </c>
      <c r="BS44" s="1">
        <v>38.1</v>
      </c>
      <c r="BT44" s="1"/>
      <c r="BU44" s="1"/>
      <c r="BV44" s="1" t="s">
        <v>309</v>
      </c>
      <c r="BW44" s="1" t="s">
        <v>94</v>
      </c>
      <c r="BX44" s="1" t="s">
        <v>95</v>
      </c>
      <c r="BY44" s="1">
        <v>1922</v>
      </c>
      <c r="BZ44" s="1"/>
      <c r="CA44" s="1"/>
      <c r="CB44" s="1"/>
      <c r="CN44" s="1" t="s">
        <v>96</v>
      </c>
      <c r="CP44" s="8" t="str">
        <f>HYPERLINK("http://www.metmuseum.org/art/collection/search/39656","http://www.metmuseum.org/art/collection/search/39656")</f>
        <v>http://www.metmuseum.org/art/collection/search/39656</v>
      </c>
      <c r="CQ44" s="4">
        <v>42842.333402777775</v>
      </c>
      <c r="CR44" s="1" t="s">
        <v>97</v>
      </c>
    </row>
    <row r="45" spans="1:96" ht="52.5" customHeight="1" x14ac:dyDescent="0.2">
      <c r="A45" s="1" t="s">
        <v>366</v>
      </c>
      <c r="B45" s="1" t="b">
        <v>0</v>
      </c>
      <c r="C45" s="1" t="b">
        <v>1</v>
      </c>
      <c r="D45" s="1">
        <v>39798</v>
      </c>
      <c r="E45" s="1" t="s">
        <v>85</v>
      </c>
      <c r="F45" s="1" t="s">
        <v>99</v>
      </c>
      <c r="G45" s="1" t="s">
        <v>367</v>
      </c>
      <c r="H45" s="1" t="s">
        <v>368</v>
      </c>
      <c r="I45" s="1" t="s">
        <v>369</v>
      </c>
      <c r="J45" s="1" t="s">
        <v>370</v>
      </c>
      <c r="K45" s="1" t="s">
        <v>165</v>
      </c>
      <c r="L45" s="1" t="s">
        <v>156</v>
      </c>
      <c r="M45" s="1"/>
      <c r="N45" s="1" t="s">
        <v>87</v>
      </c>
      <c r="O45" s="1" t="s">
        <v>1798</v>
      </c>
      <c r="P45" s="1">
        <v>1615</v>
      </c>
      <c r="Q45" s="1">
        <v>1868</v>
      </c>
      <c r="U45" s="1" t="s">
        <v>88</v>
      </c>
      <c r="W45" s="1" t="s">
        <v>89</v>
      </c>
      <c r="X45" s="1" t="s">
        <v>1801</v>
      </c>
      <c r="Z45" s="1" t="s">
        <v>89</v>
      </c>
      <c r="AA45" s="1" t="s">
        <v>90</v>
      </c>
      <c r="AB45" s="1">
        <v>1760</v>
      </c>
      <c r="AC45" s="1">
        <v>1849</v>
      </c>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t="s">
        <v>158</v>
      </c>
      <c r="BG45" s="1">
        <v>1820</v>
      </c>
      <c r="BH45" s="1">
        <v>1842</v>
      </c>
      <c r="BI45" s="1">
        <v>1</v>
      </c>
      <c r="BJ45" s="1"/>
      <c r="BK45" s="1" t="s">
        <v>1760</v>
      </c>
      <c r="BL45" s="1" t="s">
        <v>1746</v>
      </c>
      <c r="BM45" s="1"/>
      <c r="BN45" s="1" t="s">
        <v>371</v>
      </c>
      <c r="BO45" s="12">
        <v>9.75</v>
      </c>
      <c r="BP45" s="12">
        <v>14.875</v>
      </c>
      <c r="BQ45" s="12"/>
      <c r="BR45" s="1">
        <v>24.8</v>
      </c>
      <c r="BS45" s="1">
        <v>37.799999999999997</v>
      </c>
      <c r="BT45" s="1"/>
      <c r="BU45" s="1"/>
      <c r="BV45" s="1" t="s">
        <v>372</v>
      </c>
      <c r="BW45" s="1" t="s">
        <v>94</v>
      </c>
      <c r="BX45" s="1" t="s">
        <v>95</v>
      </c>
      <c r="BY45" s="1">
        <v>1936</v>
      </c>
      <c r="BZ45" s="1" t="s">
        <v>373</v>
      </c>
      <c r="CA45" s="1"/>
      <c r="CB45" s="1"/>
      <c r="CN45" s="1" t="s">
        <v>96</v>
      </c>
      <c r="CP45" s="8" t="str">
        <f>HYPERLINK("http://www.metmuseum.org/art/collection/search/39798","http://www.metmuseum.org/art/collection/search/39798")</f>
        <v>http://www.metmuseum.org/art/collection/search/39798</v>
      </c>
      <c r="CQ45" s="4">
        <v>42842.333402777775</v>
      </c>
      <c r="CR45" s="1" t="s">
        <v>97</v>
      </c>
    </row>
    <row r="46" spans="1:96" ht="52.5" customHeight="1" x14ac:dyDescent="0.2">
      <c r="A46" s="1" t="s">
        <v>374</v>
      </c>
      <c r="B46" s="1" t="b">
        <v>0</v>
      </c>
      <c r="C46" s="1" t="b">
        <v>1</v>
      </c>
      <c r="D46" s="1">
        <v>39799</v>
      </c>
      <c r="E46" s="1" t="s">
        <v>85</v>
      </c>
      <c r="F46" s="1" t="s">
        <v>99</v>
      </c>
      <c r="G46" s="1" t="s">
        <v>375</v>
      </c>
      <c r="H46" s="1" t="s">
        <v>162</v>
      </c>
      <c r="I46" s="1" t="s">
        <v>163</v>
      </c>
      <c r="J46" s="1" t="s">
        <v>164</v>
      </c>
      <c r="K46" s="1" t="s">
        <v>165</v>
      </c>
      <c r="L46" s="1" t="s">
        <v>156</v>
      </c>
      <c r="M46" s="1"/>
      <c r="N46" s="1" t="s">
        <v>87</v>
      </c>
      <c r="O46" s="1" t="s">
        <v>1798</v>
      </c>
      <c r="P46" s="1">
        <v>1615</v>
      </c>
      <c r="Q46" s="1">
        <v>1868</v>
      </c>
      <c r="U46" s="1" t="s">
        <v>88</v>
      </c>
      <c r="W46" s="1" t="s">
        <v>89</v>
      </c>
      <c r="X46" s="1" t="s">
        <v>1801</v>
      </c>
      <c r="Z46" s="1" t="s">
        <v>89</v>
      </c>
      <c r="AA46" s="1" t="s">
        <v>90</v>
      </c>
      <c r="AB46" s="1">
        <v>1760</v>
      </c>
      <c r="AC46" s="1">
        <v>1849</v>
      </c>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t="s">
        <v>158</v>
      </c>
      <c r="BG46" s="1">
        <v>1820</v>
      </c>
      <c r="BH46" s="1">
        <v>1842</v>
      </c>
      <c r="BI46" s="1">
        <v>1</v>
      </c>
      <c r="BJ46" s="1"/>
      <c r="BK46" s="1" t="s">
        <v>1760</v>
      </c>
      <c r="BL46" s="1" t="s">
        <v>1746</v>
      </c>
      <c r="BM46" s="1"/>
      <c r="BN46" s="1" t="s">
        <v>263</v>
      </c>
      <c r="BO46" s="1">
        <v>10</v>
      </c>
      <c r="BP46" s="1">
        <v>15</v>
      </c>
      <c r="BQ46" s="1"/>
      <c r="BR46" s="1">
        <v>25.4</v>
      </c>
      <c r="BS46" s="1">
        <v>38.1</v>
      </c>
      <c r="BT46" s="1"/>
      <c r="BU46" s="1"/>
      <c r="BV46" s="1" t="s">
        <v>372</v>
      </c>
      <c r="BW46" s="1" t="s">
        <v>94</v>
      </c>
      <c r="BX46" s="1" t="s">
        <v>95</v>
      </c>
      <c r="BY46" s="1">
        <v>1936</v>
      </c>
      <c r="BZ46" s="1" t="s">
        <v>373</v>
      </c>
      <c r="CA46" s="1"/>
      <c r="CB46" s="1"/>
      <c r="CN46" s="1" t="s">
        <v>96</v>
      </c>
      <c r="CP46" s="8" t="str">
        <f>HYPERLINK("http://www.metmuseum.org/art/collection/search/39799","http://www.metmuseum.org/art/collection/search/39799")</f>
        <v>http://www.metmuseum.org/art/collection/search/39799</v>
      </c>
      <c r="CQ46" s="4">
        <v>42842.333402777775</v>
      </c>
      <c r="CR46" s="1" t="s">
        <v>97</v>
      </c>
    </row>
    <row r="47" spans="1:96" ht="52.5" customHeight="1" x14ac:dyDescent="0.2">
      <c r="A47" s="1" t="s">
        <v>376</v>
      </c>
      <c r="B47" s="1" t="b">
        <v>0</v>
      </c>
      <c r="C47" s="1" t="b">
        <v>1</v>
      </c>
      <c r="D47" s="1">
        <v>39800</v>
      </c>
      <c r="E47" s="1" t="s">
        <v>85</v>
      </c>
      <c r="F47" s="1" t="s">
        <v>99</v>
      </c>
      <c r="G47" s="1" t="s">
        <v>362</v>
      </c>
      <c r="H47" s="1" t="s">
        <v>363</v>
      </c>
      <c r="I47" s="1" t="s">
        <v>364</v>
      </c>
      <c r="J47" s="1" t="s">
        <v>365</v>
      </c>
      <c r="K47" s="1" t="s">
        <v>165</v>
      </c>
      <c r="L47" s="1" t="s">
        <v>156</v>
      </c>
      <c r="M47" s="1"/>
      <c r="N47" s="1" t="s">
        <v>87</v>
      </c>
      <c r="O47" s="1" t="s">
        <v>1798</v>
      </c>
      <c r="P47" s="1">
        <v>1615</v>
      </c>
      <c r="Q47" s="1">
        <v>1868</v>
      </c>
      <c r="U47" s="1" t="s">
        <v>88</v>
      </c>
      <c r="W47" s="1" t="s">
        <v>89</v>
      </c>
      <c r="X47" s="1" t="s">
        <v>1801</v>
      </c>
      <c r="Z47" s="1" t="s">
        <v>89</v>
      </c>
      <c r="AA47" s="1" t="s">
        <v>90</v>
      </c>
      <c r="AB47" s="1">
        <v>1760</v>
      </c>
      <c r="AC47" s="1">
        <v>1849</v>
      </c>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t="s">
        <v>158</v>
      </c>
      <c r="BG47" s="1">
        <v>1820</v>
      </c>
      <c r="BH47" s="1">
        <v>1842</v>
      </c>
      <c r="BI47" s="1">
        <v>1</v>
      </c>
      <c r="BJ47" s="1"/>
      <c r="BK47" s="1" t="s">
        <v>1760</v>
      </c>
      <c r="BL47" s="1" t="s">
        <v>1746</v>
      </c>
      <c r="BM47" s="1"/>
      <c r="BN47" s="1" t="s">
        <v>377</v>
      </c>
      <c r="BO47" s="12">
        <v>10.25</v>
      </c>
      <c r="BP47" s="12">
        <v>15.125</v>
      </c>
      <c r="BQ47" s="12"/>
      <c r="BR47" s="1">
        <v>26</v>
      </c>
      <c r="BS47" s="1">
        <v>38.4</v>
      </c>
      <c r="BT47" s="1"/>
      <c r="BU47" s="1"/>
      <c r="BV47" s="1" t="s">
        <v>345</v>
      </c>
      <c r="BW47" s="1" t="s">
        <v>346</v>
      </c>
      <c r="BX47" s="1"/>
      <c r="BY47" s="1">
        <v>1939</v>
      </c>
      <c r="BZ47" s="1" t="s">
        <v>347</v>
      </c>
      <c r="CA47" s="1" t="s">
        <v>348</v>
      </c>
      <c r="CB47" s="1"/>
      <c r="CN47" s="1" t="s">
        <v>96</v>
      </c>
      <c r="CP47" s="8" t="str">
        <f>HYPERLINK("http://www.metmuseum.org/art/collection/search/39800","http://www.metmuseum.org/art/collection/search/39800")</f>
        <v>http://www.metmuseum.org/art/collection/search/39800</v>
      </c>
      <c r="CQ47" s="4">
        <v>42842.333402777775</v>
      </c>
      <c r="CR47" s="1" t="s">
        <v>97</v>
      </c>
    </row>
    <row r="48" spans="1:96" ht="66" customHeight="1" x14ac:dyDescent="0.2">
      <c r="A48" s="1" t="s">
        <v>378</v>
      </c>
      <c r="B48" s="1" t="b">
        <v>0</v>
      </c>
      <c r="C48" s="1" t="b">
        <v>1</v>
      </c>
      <c r="D48" s="1">
        <v>40011</v>
      </c>
      <c r="E48" s="1" t="s">
        <v>85</v>
      </c>
      <c r="F48" s="1" t="s">
        <v>379</v>
      </c>
      <c r="G48" s="1" t="s">
        <v>380</v>
      </c>
      <c r="H48" s="1" t="s">
        <v>381</v>
      </c>
      <c r="I48" s="1"/>
      <c r="J48" s="1" t="s">
        <v>382</v>
      </c>
      <c r="K48" s="1"/>
      <c r="L48" s="1"/>
      <c r="M48" s="1"/>
      <c r="N48" s="1" t="s">
        <v>87</v>
      </c>
      <c r="O48" s="1" t="s">
        <v>1798</v>
      </c>
      <c r="P48" s="1">
        <v>1615</v>
      </c>
      <c r="Q48" s="1">
        <v>1868</v>
      </c>
      <c r="U48" s="1" t="s">
        <v>88</v>
      </c>
      <c r="W48" s="1" t="s">
        <v>89</v>
      </c>
      <c r="X48" s="1" t="s">
        <v>1801</v>
      </c>
      <c r="Z48" s="1" t="s">
        <v>89</v>
      </c>
      <c r="AA48" s="1" t="s">
        <v>90</v>
      </c>
      <c r="AB48" s="1">
        <v>1760</v>
      </c>
      <c r="AC48" s="1">
        <v>1849</v>
      </c>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t="s">
        <v>383</v>
      </c>
      <c r="BG48" s="1">
        <v>1800</v>
      </c>
      <c r="BH48" s="1">
        <v>1868</v>
      </c>
      <c r="BI48" s="1">
        <v>97</v>
      </c>
      <c r="BJ48" s="1"/>
      <c r="BK48" s="6" t="s">
        <v>1761</v>
      </c>
      <c r="BL48" s="1" t="s">
        <v>1746</v>
      </c>
      <c r="BM48" s="1"/>
      <c r="BN48" s="1" t="s">
        <v>384</v>
      </c>
      <c r="BO48" s="12">
        <v>15.5</v>
      </c>
      <c r="BP48" s="12">
        <v>10.5</v>
      </c>
      <c r="BQ48" s="12"/>
      <c r="BR48" s="1">
        <v>24</v>
      </c>
      <c r="BS48" s="1">
        <v>26.7</v>
      </c>
      <c r="BT48" s="1"/>
      <c r="BU48" s="1"/>
      <c r="BV48" s="1" t="s">
        <v>385</v>
      </c>
      <c r="BW48" s="1" t="s">
        <v>386</v>
      </c>
      <c r="BX48" s="1"/>
      <c r="BY48" s="1">
        <v>1914</v>
      </c>
      <c r="BZ48" s="1" t="s">
        <v>387</v>
      </c>
      <c r="CA48" s="9" t="s">
        <v>388</v>
      </c>
      <c r="CB48" s="9" t="s">
        <v>389</v>
      </c>
      <c r="CN48" s="1" t="s">
        <v>390</v>
      </c>
      <c r="CP48" s="8" t="str">
        <f>HYPERLINK("http://www.metmuseum.org/art/collection/search/40011","http://www.metmuseum.org/art/collection/search/40011")</f>
        <v>http://www.metmuseum.org/art/collection/search/40011</v>
      </c>
      <c r="CQ48" s="4">
        <v>42842.333402777775</v>
      </c>
      <c r="CR48" s="1" t="s">
        <v>97</v>
      </c>
    </row>
    <row r="49" spans="1:96" ht="52.5" customHeight="1" x14ac:dyDescent="0.2">
      <c r="A49" s="1">
        <v>1991.1510000000001</v>
      </c>
      <c r="B49" s="1" t="b">
        <v>0</v>
      </c>
      <c r="C49" s="1" t="b">
        <v>1</v>
      </c>
      <c r="D49" s="1">
        <v>44634</v>
      </c>
      <c r="E49" s="1" t="s">
        <v>85</v>
      </c>
      <c r="F49" s="1" t="s">
        <v>391</v>
      </c>
      <c r="N49" s="1" t="s">
        <v>87</v>
      </c>
      <c r="O49" s="1" t="s">
        <v>1798</v>
      </c>
      <c r="P49" s="1">
        <v>1615</v>
      </c>
      <c r="Q49" s="1">
        <v>1868</v>
      </c>
      <c r="U49" s="1" t="s">
        <v>88</v>
      </c>
      <c r="W49" s="1" t="s">
        <v>89</v>
      </c>
      <c r="X49" s="1" t="s">
        <v>1801</v>
      </c>
      <c r="Z49" s="1" t="s">
        <v>89</v>
      </c>
      <c r="AA49" s="1" t="s">
        <v>90</v>
      </c>
      <c r="AB49" s="1">
        <v>1760</v>
      </c>
      <c r="AC49" s="1">
        <v>1849</v>
      </c>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t="s">
        <v>392</v>
      </c>
      <c r="BG49" s="1">
        <v>1800</v>
      </c>
      <c r="BH49" s="1">
        <v>1820</v>
      </c>
      <c r="BI49" s="1">
        <v>1</v>
      </c>
      <c r="BJ49" s="6"/>
      <c r="BK49" s="6" t="s">
        <v>1762</v>
      </c>
      <c r="BL49" s="1" t="s">
        <v>1746</v>
      </c>
      <c r="BM49" s="1"/>
      <c r="BN49" s="1" t="s">
        <v>393</v>
      </c>
      <c r="BO49" s="11">
        <v>9.4375</v>
      </c>
      <c r="BP49" s="11">
        <v>20.1875</v>
      </c>
      <c r="BQ49" s="11"/>
      <c r="BR49" s="1">
        <v>24</v>
      </c>
      <c r="BS49" s="1">
        <v>51.3</v>
      </c>
      <c r="BT49" s="1"/>
      <c r="BU49" s="9" t="s">
        <v>394</v>
      </c>
      <c r="BV49" s="1" t="s">
        <v>395</v>
      </c>
      <c r="BW49" s="1" t="s">
        <v>94</v>
      </c>
      <c r="BX49" s="1" t="s">
        <v>396</v>
      </c>
      <c r="BY49" s="1">
        <v>1991</v>
      </c>
      <c r="BZ49" s="1"/>
      <c r="CA49" s="1"/>
      <c r="CB49" s="1"/>
      <c r="CN49" s="1" t="s">
        <v>390</v>
      </c>
      <c r="CP49" s="8" t="str">
        <f>HYPERLINK("http://www.metmuseum.org/art/collection/search/44634","http://www.metmuseum.org/art/collection/search/44634")</f>
        <v>http://www.metmuseum.org/art/collection/search/44634</v>
      </c>
      <c r="CQ49" s="4">
        <v>42842.333402777775</v>
      </c>
      <c r="CR49" s="1" t="s">
        <v>97</v>
      </c>
    </row>
    <row r="50" spans="1:96" ht="92.25" customHeight="1" x14ac:dyDescent="0.2">
      <c r="A50" s="1" t="s">
        <v>397</v>
      </c>
      <c r="B50" s="1" t="b">
        <v>0</v>
      </c>
      <c r="C50" s="1" t="b">
        <v>1</v>
      </c>
      <c r="D50" s="1">
        <v>44900</v>
      </c>
      <c r="E50" s="1" t="s">
        <v>85</v>
      </c>
      <c r="F50" s="1" t="s">
        <v>86</v>
      </c>
      <c r="G50" s="1" t="s">
        <v>398</v>
      </c>
      <c r="H50" s="1" t="s">
        <v>399</v>
      </c>
      <c r="I50" s="1" t="s">
        <v>400</v>
      </c>
      <c r="J50" s="1" t="s">
        <v>401</v>
      </c>
      <c r="K50" s="1" t="s">
        <v>402</v>
      </c>
      <c r="L50" s="1" t="s">
        <v>403</v>
      </c>
      <c r="M50" s="1" t="s">
        <v>401</v>
      </c>
      <c r="N50" s="1" t="s">
        <v>87</v>
      </c>
      <c r="O50" s="1" t="s">
        <v>1798</v>
      </c>
      <c r="P50" s="1">
        <v>1615</v>
      </c>
      <c r="Q50" s="1">
        <v>1868</v>
      </c>
      <c r="U50" s="1" t="s">
        <v>88</v>
      </c>
      <c r="W50" s="1" t="s">
        <v>89</v>
      </c>
      <c r="X50" s="1" t="s">
        <v>1801</v>
      </c>
      <c r="Z50" s="1" t="s">
        <v>89</v>
      </c>
      <c r="AA50" s="1" t="s">
        <v>90</v>
      </c>
      <c r="AB50" s="1">
        <v>1760</v>
      </c>
      <c r="AC50" s="1">
        <v>1849</v>
      </c>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t="s">
        <v>404</v>
      </c>
      <c r="BG50" s="1">
        <v>1822</v>
      </c>
      <c r="BH50" s="1">
        <v>1842</v>
      </c>
      <c r="BI50" s="1">
        <v>1</v>
      </c>
      <c r="BJ50" s="1"/>
      <c r="BK50" s="1" t="s">
        <v>1760</v>
      </c>
      <c r="BL50" s="1" t="s">
        <v>1746</v>
      </c>
      <c r="BM50" s="1"/>
      <c r="BN50" s="1" t="s">
        <v>405</v>
      </c>
      <c r="BO50" s="12">
        <v>20.375</v>
      </c>
      <c r="BP50" s="1">
        <v>9</v>
      </c>
      <c r="BQ50" s="1"/>
      <c r="BR50" s="1">
        <v>51.8</v>
      </c>
      <c r="BS50" s="1">
        <v>22.9</v>
      </c>
      <c r="BT50" s="1"/>
      <c r="BU50" s="1"/>
      <c r="BV50" s="1" t="s">
        <v>406</v>
      </c>
      <c r="BW50" s="1" t="s">
        <v>407</v>
      </c>
      <c r="BX50" s="17" t="s">
        <v>1814</v>
      </c>
      <c r="BY50" s="1">
        <v>1975</v>
      </c>
      <c r="BZ50" s="1" t="s">
        <v>408</v>
      </c>
      <c r="CA50" s="1" t="s">
        <v>409</v>
      </c>
      <c r="CB50" s="1"/>
      <c r="CN50" s="1" t="s">
        <v>96</v>
      </c>
      <c r="CP50" s="8" t="str">
        <f>HYPERLINK("http://www.metmuseum.org/art/collection/search/44900","http://www.metmuseum.org/art/collection/search/44900")</f>
        <v>http://www.metmuseum.org/art/collection/search/44900</v>
      </c>
      <c r="CQ50" s="4">
        <v>42842.333402777775</v>
      </c>
      <c r="CR50" s="1" t="s">
        <v>97</v>
      </c>
    </row>
    <row r="51" spans="1:96" ht="52.5" customHeight="1" x14ac:dyDescent="0.2">
      <c r="A51" s="1" t="s">
        <v>410</v>
      </c>
      <c r="B51" s="1" t="b">
        <v>0</v>
      </c>
      <c r="C51" s="1" t="b">
        <v>1</v>
      </c>
      <c r="D51" s="1">
        <v>44981</v>
      </c>
      <c r="E51" s="1" t="s">
        <v>85</v>
      </c>
      <c r="F51" s="1" t="s">
        <v>99</v>
      </c>
      <c r="G51" s="1" t="s">
        <v>411</v>
      </c>
      <c r="H51" s="1" t="s">
        <v>412</v>
      </c>
      <c r="I51" s="1" t="s">
        <v>413</v>
      </c>
      <c r="J51" s="1" t="s">
        <v>414</v>
      </c>
      <c r="K51" s="1" t="s">
        <v>415</v>
      </c>
      <c r="L51" s="1" t="s">
        <v>416</v>
      </c>
      <c r="M51" s="1" t="s">
        <v>417</v>
      </c>
      <c r="N51" s="1" t="s">
        <v>87</v>
      </c>
      <c r="O51" s="1" t="s">
        <v>1798</v>
      </c>
      <c r="P51" s="1">
        <v>1615</v>
      </c>
      <c r="Q51" s="1">
        <v>1868</v>
      </c>
      <c r="U51" s="1" t="s">
        <v>88</v>
      </c>
      <c r="W51" s="1" t="s">
        <v>89</v>
      </c>
      <c r="X51" s="1" t="s">
        <v>1801</v>
      </c>
      <c r="Z51" s="1" t="s">
        <v>89</v>
      </c>
      <c r="AA51" s="1" t="s">
        <v>90</v>
      </c>
      <c r="AB51" s="1">
        <v>1760</v>
      </c>
      <c r="AC51" s="1">
        <v>1849</v>
      </c>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t="s">
        <v>418</v>
      </c>
      <c r="BG51" s="1">
        <v>1823</v>
      </c>
      <c r="BH51" s="1">
        <v>1843</v>
      </c>
      <c r="BI51" s="1">
        <v>1</v>
      </c>
      <c r="BJ51" s="1"/>
      <c r="BK51" s="1" t="s">
        <v>1760</v>
      </c>
      <c r="BL51" s="1" t="s">
        <v>1746</v>
      </c>
      <c r="BM51" s="1"/>
      <c r="BN51" s="1" t="s">
        <v>419</v>
      </c>
      <c r="BO51" s="12">
        <v>9.75</v>
      </c>
      <c r="BP51" s="12">
        <v>14.5</v>
      </c>
      <c r="BQ51" s="12"/>
      <c r="BR51" s="1">
        <v>24.8</v>
      </c>
      <c r="BS51" s="1">
        <v>36.799999999999997</v>
      </c>
      <c r="BT51" s="1"/>
      <c r="BU51" s="1"/>
      <c r="BV51" s="1" t="s">
        <v>345</v>
      </c>
      <c r="BW51" s="1" t="s">
        <v>346</v>
      </c>
      <c r="BX51" s="1"/>
      <c r="BY51" s="1">
        <v>1939</v>
      </c>
      <c r="BZ51" s="1" t="s">
        <v>347</v>
      </c>
      <c r="CA51" s="1" t="s">
        <v>348</v>
      </c>
      <c r="CB51" s="1"/>
      <c r="CN51" s="1" t="s">
        <v>96</v>
      </c>
      <c r="CP51" s="8" t="str">
        <f>HYPERLINK("http://www.metmuseum.org/art/collection/search/44981","http://www.metmuseum.org/art/collection/search/44981")</f>
        <v>http://www.metmuseum.org/art/collection/search/44981</v>
      </c>
      <c r="CQ51" s="4">
        <v>42842.333402777775</v>
      </c>
      <c r="CR51" s="1" t="s">
        <v>97</v>
      </c>
    </row>
    <row r="52" spans="1:96" ht="52.5" customHeight="1" x14ac:dyDescent="0.2">
      <c r="A52" s="1" t="s">
        <v>420</v>
      </c>
      <c r="B52" s="1" t="b">
        <v>0</v>
      </c>
      <c r="C52" s="1" t="b">
        <v>1</v>
      </c>
      <c r="D52" s="1">
        <v>45026</v>
      </c>
      <c r="E52" s="1" t="s">
        <v>85</v>
      </c>
      <c r="F52" s="1" t="s">
        <v>99</v>
      </c>
      <c r="G52" s="1" t="s">
        <v>421</v>
      </c>
      <c r="H52" s="1" t="s">
        <v>422</v>
      </c>
      <c r="I52" s="1" t="s">
        <v>423</v>
      </c>
      <c r="J52" s="1" t="s">
        <v>424</v>
      </c>
      <c r="K52" s="1" t="s">
        <v>145</v>
      </c>
      <c r="L52" s="1" t="s">
        <v>146</v>
      </c>
      <c r="M52" s="1" t="s">
        <v>147</v>
      </c>
      <c r="N52" s="1" t="s">
        <v>87</v>
      </c>
      <c r="O52" s="1" t="s">
        <v>1798</v>
      </c>
      <c r="P52" s="1">
        <v>1615</v>
      </c>
      <c r="Q52" s="1">
        <v>1868</v>
      </c>
      <c r="U52" s="1" t="s">
        <v>88</v>
      </c>
      <c r="W52" s="1" t="s">
        <v>89</v>
      </c>
      <c r="X52" s="1" t="s">
        <v>1801</v>
      </c>
      <c r="Z52" s="1" t="s">
        <v>89</v>
      </c>
      <c r="AA52" s="1" t="s">
        <v>90</v>
      </c>
      <c r="AB52" s="1">
        <v>1760</v>
      </c>
      <c r="AC52" s="1">
        <v>1849</v>
      </c>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t="s">
        <v>425</v>
      </c>
      <c r="BG52" s="1">
        <v>1824</v>
      </c>
      <c r="BH52" s="1">
        <v>1844</v>
      </c>
      <c r="BI52" s="1">
        <v>1</v>
      </c>
      <c r="BJ52" s="1"/>
      <c r="BK52" s="1" t="s">
        <v>1760</v>
      </c>
      <c r="BL52" s="1" t="s">
        <v>1746</v>
      </c>
      <c r="BM52" s="1"/>
      <c r="BN52" s="1" t="s">
        <v>426</v>
      </c>
      <c r="BO52" s="12">
        <v>9.125</v>
      </c>
      <c r="BP52" s="12">
        <v>14.625</v>
      </c>
      <c r="BQ52" s="12"/>
      <c r="BR52" s="1">
        <v>23.2</v>
      </c>
      <c r="BS52" s="1">
        <v>37.1</v>
      </c>
      <c r="BT52" s="1"/>
      <c r="BU52" s="1"/>
      <c r="BV52" s="1" t="s">
        <v>309</v>
      </c>
      <c r="BW52" s="1" t="s">
        <v>94</v>
      </c>
      <c r="BX52" s="1" t="s">
        <v>95</v>
      </c>
      <c r="BY52" s="1">
        <v>1922</v>
      </c>
      <c r="BZ52" s="1"/>
      <c r="CA52" s="1"/>
      <c r="CB52" s="1"/>
      <c r="CN52" s="1" t="s">
        <v>96</v>
      </c>
      <c r="CP52" s="8" t="str">
        <f>HYPERLINK("http://www.metmuseum.org/art/collection/search/45026","http://www.metmuseum.org/art/collection/search/45026")</f>
        <v>http://www.metmuseum.org/art/collection/search/45026</v>
      </c>
      <c r="CQ52" s="4">
        <v>42842.333402777775</v>
      </c>
      <c r="CR52" s="1" t="s">
        <v>97</v>
      </c>
    </row>
    <row r="53" spans="1:96" ht="66" customHeight="1" x14ac:dyDescent="0.2">
      <c r="A53" s="1" t="s">
        <v>427</v>
      </c>
      <c r="B53" s="1" t="b">
        <v>0</v>
      </c>
      <c r="C53" s="1" t="b">
        <v>1</v>
      </c>
      <c r="D53" s="1">
        <v>45027</v>
      </c>
      <c r="E53" s="1" t="s">
        <v>85</v>
      </c>
      <c r="F53" s="1" t="s">
        <v>99</v>
      </c>
      <c r="G53" s="1" t="s">
        <v>428</v>
      </c>
      <c r="H53" s="1" t="s">
        <v>429</v>
      </c>
      <c r="I53" s="1" t="s">
        <v>430</v>
      </c>
      <c r="J53" s="1" t="s">
        <v>431</v>
      </c>
      <c r="K53" s="1" t="s">
        <v>432</v>
      </c>
      <c r="L53" s="1" t="s">
        <v>105</v>
      </c>
      <c r="M53" s="1" t="s">
        <v>433</v>
      </c>
      <c r="N53" s="1" t="s">
        <v>87</v>
      </c>
      <c r="O53" s="1" t="s">
        <v>1798</v>
      </c>
      <c r="P53" s="1">
        <v>1615</v>
      </c>
      <c r="Q53" s="1">
        <v>1868</v>
      </c>
      <c r="U53" s="1" t="s">
        <v>88</v>
      </c>
      <c r="W53" s="1" t="s">
        <v>89</v>
      </c>
      <c r="X53" s="1" t="s">
        <v>1801</v>
      </c>
      <c r="Z53" s="1" t="s">
        <v>89</v>
      </c>
      <c r="AA53" s="1" t="s">
        <v>90</v>
      </c>
      <c r="AB53" s="1">
        <v>1760</v>
      </c>
      <c r="AC53" s="1">
        <v>1849</v>
      </c>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t="s">
        <v>404</v>
      </c>
      <c r="BG53" s="1">
        <v>1822</v>
      </c>
      <c r="BH53" s="1">
        <v>1842</v>
      </c>
      <c r="BI53" s="1">
        <v>1</v>
      </c>
      <c r="BJ53" s="1"/>
      <c r="BK53" s="1" t="s">
        <v>1760</v>
      </c>
      <c r="BL53" s="1" t="s">
        <v>1746</v>
      </c>
      <c r="BM53" s="1"/>
      <c r="BN53" s="1" t="s">
        <v>434</v>
      </c>
      <c r="BO53" s="12">
        <v>14.625</v>
      </c>
      <c r="BP53" s="1">
        <v>10</v>
      </c>
      <c r="BQ53" s="1"/>
      <c r="BR53" s="1">
        <v>37.1</v>
      </c>
      <c r="BS53" s="1">
        <v>25.4</v>
      </c>
      <c r="BT53" s="1"/>
      <c r="BU53" s="1"/>
      <c r="BV53" s="1" t="s">
        <v>435</v>
      </c>
      <c r="BW53" s="1" t="s">
        <v>94</v>
      </c>
      <c r="BX53" s="1" t="s">
        <v>95</v>
      </c>
      <c r="BY53" s="1">
        <v>1936</v>
      </c>
      <c r="BZ53" s="1"/>
      <c r="CA53" s="1"/>
      <c r="CB53" s="1"/>
      <c r="CN53" s="1" t="s">
        <v>96</v>
      </c>
      <c r="CP53" s="8" t="str">
        <f>HYPERLINK("http://www.metmuseum.org/art/collection/search/45027","http://www.metmuseum.org/art/collection/search/45027")</f>
        <v>http://www.metmuseum.org/art/collection/search/45027</v>
      </c>
      <c r="CQ53" s="4">
        <v>42842.333402777775</v>
      </c>
      <c r="CR53" s="1" t="s">
        <v>97</v>
      </c>
    </row>
    <row r="54" spans="1:96" ht="52.5" customHeight="1" x14ac:dyDescent="0.2">
      <c r="A54" s="1" t="s">
        <v>436</v>
      </c>
      <c r="B54" s="1" t="b">
        <v>0</v>
      </c>
      <c r="C54" s="1" t="b">
        <v>1</v>
      </c>
      <c r="D54" s="1">
        <v>45028</v>
      </c>
      <c r="E54" s="1" t="s">
        <v>85</v>
      </c>
      <c r="F54" s="1" t="s">
        <v>86</v>
      </c>
      <c r="G54" s="1" t="s">
        <v>437</v>
      </c>
      <c r="H54" s="1" t="s">
        <v>438</v>
      </c>
      <c r="I54" s="1"/>
      <c r="J54" s="1" t="s">
        <v>439</v>
      </c>
      <c r="K54" s="1"/>
      <c r="L54" s="1"/>
      <c r="M54" s="1"/>
      <c r="N54" s="1" t="s">
        <v>87</v>
      </c>
      <c r="O54" s="1" t="s">
        <v>1798</v>
      </c>
      <c r="P54" s="1">
        <v>1615</v>
      </c>
      <c r="Q54" s="1">
        <v>1868</v>
      </c>
      <c r="U54" s="1" t="s">
        <v>88</v>
      </c>
      <c r="V54" s="1"/>
      <c r="W54" s="1" t="s">
        <v>89</v>
      </c>
      <c r="X54" s="1" t="s">
        <v>1801</v>
      </c>
      <c r="Z54" s="1" t="s">
        <v>440</v>
      </c>
      <c r="AA54" s="1" t="s">
        <v>90</v>
      </c>
      <c r="AB54" s="1">
        <v>1760</v>
      </c>
      <c r="AC54" s="1">
        <v>1849</v>
      </c>
      <c r="AD54" s="1" t="s">
        <v>441</v>
      </c>
      <c r="AE54" s="1" t="s">
        <v>442</v>
      </c>
      <c r="AF54" s="1" t="s">
        <v>443</v>
      </c>
      <c r="AG54" s="1"/>
      <c r="AH54" s="1" t="s">
        <v>444</v>
      </c>
      <c r="AI54" s="1">
        <v>1141</v>
      </c>
      <c r="AJ54" s="1">
        <v>1208</v>
      </c>
      <c r="AK54" s="1"/>
      <c r="AL54" s="1"/>
      <c r="AM54" s="1"/>
      <c r="AN54" s="1"/>
      <c r="AO54" s="1"/>
      <c r="AP54" s="1"/>
      <c r="AQ54" s="1"/>
      <c r="AR54" s="1"/>
      <c r="AS54" s="1"/>
      <c r="AT54" s="1"/>
      <c r="AU54" s="1"/>
      <c r="AV54" s="1"/>
      <c r="AW54" s="1"/>
      <c r="AX54" s="1"/>
      <c r="AY54" s="1"/>
      <c r="AZ54" s="1"/>
      <c r="BA54" s="1"/>
      <c r="BB54" s="1"/>
      <c r="BC54" s="1"/>
      <c r="BD54" s="1"/>
      <c r="BE54" s="1"/>
      <c r="BF54" s="1" t="s">
        <v>445</v>
      </c>
      <c r="BG54" s="1">
        <v>1816</v>
      </c>
      <c r="BH54" s="1">
        <v>1820</v>
      </c>
      <c r="BI54" s="1">
        <v>1</v>
      </c>
      <c r="BJ54" s="1"/>
      <c r="BK54" s="1" t="s">
        <v>1760</v>
      </c>
      <c r="BL54" s="1" t="s">
        <v>1746</v>
      </c>
      <c r="BM54" s="1"/>
      <c r="BN54" s="1" t="s">
        <v>446</v>
      </c>
      <c r="BO54" s="11">
        <v>14.4375</v>
      </c>
      <c r="BP54" s="11">
        <v>10.0625</v>
      </c>
      <c r="BQ54" s="11"/>
      <c r="BR54" s="1">
        <v>36.700000000000003</v>
      </c>
      <c r="BS54" s="1">
        <v>25.6</v>
      </c>
      <c r="BT54" s="1"/>
      <c r="BU54" s="1"/>
      <c r="BV54" s="1" t="s">
        <v>447</v>
      </c>
      <c r="BW54" s="1" t="s">
        <v>346</v>
      </c>
      <c r="BX54" s="1"/>
      <c r="BY54" s="1">
        <v>1929</v>
      </c>
      <c r="BZ54" s="1" t="s">
        <v>448</v>
      </c>
      <c r="CA54" s="1" t="s">
        <v>449</v>
      </c>
      <c r="CB54" s="1"/>
      <c r="CN54" s="1" t="s">
        <v>96</v>
      </c>
      <c r="CP54" s="8" t="str">
        <f>HYPERLINK("http://www.metmuseum.org/art/collection/search/45028","http://www.metmuseum.org/art/collection/search/45028")</f>
        <v>http://www.metmuseum.org/art/collection/search/45028</v>
      </c>
      <c r="CQ54" s="4">
        <v>42842.333402777775</v>
      </c>
      <c r="CR54" s="1" t="s">
        <v>97</v>
      </c>
    </row>
    <row r="55" spans="1:96" ht="52.5" customHeight="1" x14ac:dyDescent="0.2">
      <c r="A55" s="1" t="s">
        <v>450</v>
      </c>
      <c r="B55" s="1" t="b">
        <v>0</v>
      </c>
      <c r="C55" s="1" t="b">
        <v>1</v>
      </c>
      <c r="D55" s="1">
        <v>45029</v>
      </c>
      <c r="E55" s="1" t="s">
        <v>85</v>
      </c>
      <c r="F55" s="1" t="s">
        <v>86</v>
      </c>
      <c r="N55" s="1" t="s">
        <v>87</v>
      </c>
      <c r="O55" s="1" t="s">
        <v>1798</v>
      </c>
      <c r="P55" s="1">
        <v>1615</v>
      </c>
      <c r="Q55" s="1">
        <v>1868</v>
      </c>
      <c r="U55" s="1" t="s">
        <v>88</v>
      </c>
      <c r="V55" s="1"/>
      <c r="W55" s="1" t="s">
        <v>89</v>
      </c>
      <c r="X55" s="1" t="s">
        <v>1801</v>
      </c>
      <c r="Z55" s="1" t="s">
        <v>451</v>
      </c>
      <c r="AA55" s="1" t="s">
        <v>90</v>
      </c>
      <c r="AB55" s="1">
        <v>1760</v>
      </c>
      <c r="AC55" s="1">
        <v>1849</v>
      </c>
      <c r="AD55" s="1" t="s">
        <v>441</v>
      </c>
      <c r="AE55" s="1" t="s">
        <v>442</v>
      </c>
      <c r="AF55" s="1" t="s">
        <v>452</v>
      </c>
      <c r="AG55" s="1"/>
      <c r="AH55" s="1" t="s">
        <v>444</v>
      </c>
      <c r="AI55" s="1"/>
      <c r="AJ55" s="1"/>
      <c r="AK55" s="1"/>
      <c r="AL55" s="1"/>
      <c r="AM55" s="1"/>
      <c r="AN55" s="1"/>
      <c r="AO55" s="1"/>
      <c r="AP55" s="1"/>
      <c r="AQ55" s="1"/>
      <c r="AR55" s="1"/>
      <c r="AS55" s="1"/>
      <c r="AT55" s="1"/>
      <c r="AU55" s="1"/>
      <c r="AV55" s="1"/>
      <c r="AW55" s="1"/>
      <c r="AX55" s="1"/>
      <c r="AY55" s="1"/>
      <c r="AZ55" s="1"/>
      <c r="BA55" s="1"/>
      <c r="BB55" s="1"/>
      <c r="BC55" s="1"/>
      <c r="BD55" s="1"/>
      <c r="BE55" s="1"/>
      <c r="BF55" s="1" t="s">
        <v>445</v>
      </c>
      <c r="BG55" s="1">
        <v>1816</v>
      </c>
      <c r="BH55" s="1">
        <v>1820</v>
      </c>
      <c r="BI55" s="1">
        <v>1</v>
      </c>
      <c r="BJ55" s="1"/>
      <c r="BK55" s="1" t="s">
        <v>1760</v>
      </c>
      <c r="BL55" s="1" t="s">
        <v>1746</v>
      </c>
      <c r="BM55" s="1"/>
      <c r="BN55" s="1" t="s">
        <v>453</v>
      </c>
      <c r="BO55" s="11">
        <v>14.1875</v>
      </c>
      <c r="BP55" s="12">
        <v>9.625</v>
      </c>
      <c r="BQ55" s="12"/>
      <c r="BR55" s="1">
        <v>36</v>
      </c>
      <c r="BS55" s="1">
        <v>24.4</v>
      </c>
      <c r="BT55" s="1"/>
      <c r="BU55" s="1"/>
      <c r="BV55" s="1" t="s">
        <v>447</v>
      </c>
      <c r="BW55" s="1" t="s">
        <v>346</v>
      </c>
      <c r="BX55" s="1"/>
      <c r="BY55" s="1">
        <v>1929</v>
      </c>
      <c r="BZ55" s="1" t="s">
        <v>448</v>
      </c>
      <c r="CA55" s="1" t="s">
        <v>449</v>
      </c>
      <c r="CB55" s="1"/>
      <c r="CN55" s="1" t="s">
        <v>96</v>
      </c>
      <c r="CP55" s="8" t="str">
        <f>HYPERLINK("http://www.metmuseum.org/art/collection/search/45029","http://www.metmuseum.org/art/collection/search/45029")</f>
        <v>http://www.metmuseum.org/art/collection/search/45029</v>
      </c>
      <c r="CQ55" s="4">
        <v>42842.333402777775</v>
      </c>
      <c r="CR55" s="1" t="s">
        <v>97</v>
      </c>
    </row>
    <row r="56" spans="1:96" ht="52.5" customHeight="1" x14ac:dyDescent="0.2">
      <c r="A56" s="1" t="s">
        <v>454</v>
      </c>
      <c r="B56" s="1" t="b">
        <v>0</v>
      </c>
      <c r="C56" s="1" t="b">
        <v>1</v>
      </c>
      <c r="D56" s="1">
        <v>45030</v>
      </c>
      <c r="E56" s="1" t="s">
        <v>85</v>
      </c>
      <c r="F56" s="1" t="s">
        <v>99</v>
      </c>
      <c r="G56" s="1" t="s">
        <v>455</v>
      </c>
      <c r="H56" s="1" t="s">
        <v>456</v>
      </c>
      <c r="I56" s="1" t="s">
        <v>457</v>
      </c>
      <c r="J56" s="1" t="s">
        <v>458</v>
      </c>
      <c r="K56" s="1" t="s">
        <v>165</v>
      </c>
      <c r="L56" s="1" t="s">
        <v>156</v>
      </c>
      <c r="M56" s="1" t="s">
        <v>157</v>
      </c>
      <c r="N56" s="1" t="s">
        <v>87</v>
      </c>
      <c r="O56" s="6" t="s">
        <v>1798</v>
      </c>
      <c r="P56" s="1">
        <v>1615</v>
      </c>
      <c r="Q56" s="1">
        <v>1868</v>
      </c>
      <c r="U56" s="1" t="s">
        <v>88</v>
      </c>
      <c r="W56" s="1" t="s">
        <v>89</v>
      </c>
      <c r="X56" s="1" t="s">
        <v>1801</v>
      </c>
      <c r="Z56" s="1" t="s">
        <v>89</v>
      </c>
      <c r="AA56" s="1" t="s">
        <v>90</v>
      </c>
      <c r="AB56" s="1">
        <v>1760</v>
      </c>
      <c r="AC56" s="1">
        <v>1849</v>
      </c>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t="s">
        <v>459</v>
      </c>
      <c r="BG56" s="1">
        <v>1820</v>
      </c>
      <c r="BH56" s="1">
        <v>1842</v>
      </c>
      <c r="BI56" s="1">
        <v>1</v>
      </c>
      <c r="BJ56" s="1"/>
      <c r="BK56" s="1" t="s">
        <v>1760</v>
      </c>
      <c r="BL56" s="1" t="s">
        <v>1746</v>
      </c>
      <c r="BM56" s="1"/>
      <c r="BN56" s="1" t="s">
        <v>460</v>
      </c>
      <c r="BO56" s="12">
        <v>9.875</v>
      </c>
      <c r="BP56" s="12">
        <v>14.875</v>
      </c>
      <c r="BQ56" s="12"/>
      <c r="BR56" s="1">
        <v>25.1</v>
      </c>
      <c r="BS56" s="1">
        <v>37.799999999999997</v>
      </c>
      <c r="BT56" s="1"/>
      <c r="BU56" s="1"/>
      <c r="BV56" s="1" t="s">
        <v>345</v>
      </c>
      <c r="BW56" s="1" t="s">
        <v>346</v>
      </c>
      <c r="BX56" s="1"/>
      <c r="BY56" s="1">
        <v>1939</v>
      </c>
      <c r="BZ56" s="1" t="s">
        <v>347</v>
      </c>
      <c r="CA56" s="1" t="s">
        <v>348</v>
      </c>
      <c r="CB56" s="1"/>
      <c r="CN56" s="1" t="s">
        <v>96</v>
      </c>
      <c r="CP56" s="8" t="str">
        <f>HYPERLINK("http://www.metmuseum.org/art/collection/search/45030","http://www.metmuseum.org/art/collection/search/45030")</f>
        <v>http://www.metmuseum.org/art/collection/search/45030</v>
      </c>
      <c r="CQ56" s="4">
        <v>42842.333402777775</v>
      </c>
      <c r="CR56" s="1" t="s">
        <v>97</v>
      </c>
    </row>
    <row r="57" spans="1:96" ht="52.5" customHeight="1" x14ac:dyDescent="0.2">
      <c r="A57" s="1" t="s">
        <v>461</v>
      </c>
      <c r="B57" s="1" t="b">
        <v>0</v>
      </c>
      <c r="C57" s="1" t="b">
        <v>1</v>
      </c>
      <c r="D57" s="1">
        <v>45034</v>
      </c>
      <c r="E57" s="1" t="s">
        <v>85</v>
      </c>
      <c r="F57" s="1" t="s">
        <v>86</v>
      </c>
      <c r="N57" s="1" t="s">
        <v>87</v>
      </c>
      <c r="O57" s="1" t="s">
        <v>1798</v>
      </c>
      <c r="P57" s="1">
        <v>1615</v>
      </c>
      <c r="Q57" s="1">
        <v>1868</v>
      </c>
      <c r="U57" s="1" t="s">
        <v>88</v>
      </c>
      <c r="W57" s="1" t="s">
        <v>89</v>
      </c>
      <c r="X57" s="1" t="s">
        <v>1801</v>
      </c>
      <c r="Z57" s="1" t="s">
        <v>89</v>
      </c>
      <c r="AA57" s="1" t="s">
        <v>90</v>
      </c>
      <c r="AB57" s="1">
        <v>1760</v>
      </c>
      <c r="AC57" s="1">
        <v>1849</v>
      </c>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G57" s="1">
        <v>1760</v>
      </c>
      <c r="BH57" s="1">
        <v>1849</v>
      </c>
      <c r="BI57" s="1">
        <v>1</v>
      </c>
      <c r="BJ57" s="1"/>
      <c r="BK57" s="1" t="s">
        <v>1760</v>
      </c>
      <c r="BL57" s="1" t="s">
        <v>1746</v>
      </c>
      <c r="BM57" s="1"/>
      <c r="BN57" s="1" t="s">
        <v>462</v>
      </c>
      <c r="BO57" s="12">
        <v>7.875</v>
      </c>
      <c r="BP57" s="12">
        <v>21.875</v>
      </c>
      <c r="BQ57" s="12"/>
      <c r="BR57" s="1">
        <v>20</v>
      </c>
      <c r="BS57" s="1">
        <v>55.6</v>
      </c>
      <c r="BT57" s="1"/>
      <c r="BU57" s="1"/>
      <c r="BV57" s="1" t="s">
        <v>447</v>
      </c>
      <c r="BW57" s="1" t="s">
        <v>346</v>
      </c>
      <c r="BX57" s="1"/>
      <c r="BY57" s="1">
        <v>1929</v>
      </c>
      <c r="BZ57" s="1" t="s">
        <v>448</v>
      </c>
      <c r="CA57" s="1" t="s">
        <v>449</v>
      </c>
      <c r="CB57" s="1"/>
      <c r="CN57" s="1" t="s">
        <v>96</v>
      </c>
      <c r="CP57" s="8" t="str">
        <f>HYPERLINK("http://www.metmuseum.org/art/collection/search/45034","http://www.metmuseum.org/art/collection/search/45034")</f>
        <v>http://www.metmuseum.org/art/collection/search/45034</v>
      </c>
      <c r="CQ57" s="4">
        <v>42842.333402777775</v>
      </c>
      <c r="CR57" s="1" t="s">
        <v>97</v>
      </c>
    </row>
    <row r="58" spans="1:96" ht="52.5" customHeight="1" x14ac:dyDescent="0.2">
      <c r="A58" s="1" t="s">
        <v>463</v>
      </c>
      <c r="B58" s="1" t="b">
        <v>0</v>
      </c>
      <c r="C58" s="1" t="b">
        <v>1</v>
      </c>
      <c r="D58" s="1">
        <v>45218</v>
      </c>
      <c r="E58" s="1" t="s">
        <v>85</v>
      </c>
      <c r="F58" s="1" t="s">
        <v>86</v>
      </c>
      <c r="G58" s="1" t="s">
        <v>464</v>
      </c>
      <c r="H58" s="1" t="s">
        <v>465</v>
      </c>
      <c r="I58" s="1" t="s">
        <v>466</v>
      </c>
      <c r="J58" s="1" t="s">
        <v>467</v>
      </c>
      <c r="K58" s="1" t="s">
        <v>468</v>
      </c>
      <c r="L58" s="1" t="s">
        <v>469</v>
      </c>
      <c r="M58" s="1" t="s">
        <v>470</v>
      </c>
      <c r="N58" s="1" t="s">
        <v>87</v>
      </c>
      <c r="O58" s="1" t="s">
        <v>1798</v>
      </c>
      <c r="P58" s="1">
        <v>1615</v>
      </c>
      <c r="Q58" s="1">
        <v>1868</v>
      </c>
      <c r="U58" s="1" t="s">
        <v>88</v>
      </c>
      <c r="W58" s="1" t="s">
        <v>89</v>
      </c>
      <c r="X58" s="1" t="s">
        <v>1801</v>
      </c>
      <c r="Z58" s="1" t="s">
        <v>89</v>
      </c>
      <c r="AA58" s="1" t="s">
        <v>90</v>
      </c>
      <c r="AB58" s="1">
        <v>1760</v>
      </c>
      <c r="AC58" s="1">
        <v>1849</v>
      </c>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t="s">
        <v>471</v>
      </c>
      <c r="BG58" s="1">
        <v>1788</v>
      </c>
      <c r="BH58" s="1">
        <v>1808</v>
      </c>
      <c r="BI58" s="1">
        <v>1</v>
      </c>
      <c r="BJ58" s="1"/>
      <c r="BK58" s="1" t="s">
        <v>1760</v>
      </c>
      <c r="BL58" s="1" t="s">
        <v>1746</v>
      </c>
      <c r="BM58" s="1"/>
      <c r="BN58" s="1" t="s">
        <v>472</v>
      </c>
      <c r="BO58" s="11">
        <v>14.3125</v>
      </c>
      <c r="BP58" s="12">
        <v>9.75</v>
      </c>
      <c r="BQ58" s="12"/>
      <c r="BR58" s="1">
        <v>36.4</v>
      </c>
      <c r="BS58" s="1">
        <v>24.8</v>
      </c>
      <c r="BT58" s="1"/>
      <c r="BU58" s="1"/>
      <c r="BV58" s="1" t="s">
        <v>309</v>
      </c>
      <c r="BW58" s="1" t="s">
        <v>94</v>
      </c>
      <c r="BX58" s="1" t="s">
        <v>95</v>
      </c>
      <c r="BY58" s="1">
        <v>1922</v>
      </c>
      <c r="BZ58" s="1"/>
      <c r="CA58" s="1"/>
      <c r="CB58" s="1"/>
      <c r="CN58" s="1" t="s">
        <v>96</v>
      </c>
      <c r="CP58" s="8" t="str">
        <f>HYPERLINK("http://www.metmuseum.org/art/collection/search/45218","http://www.metmuseum.org/art/collection/search/45218")</f>
        <v>http://www.metmuseum.org/art/collection/search/45218</v>
      </c>
      <c r="CQ58" s="4">
        <v>42842.333402777775</v>
      </c>
      <c r="CR58" s="1" t="s">
        <v>97</v>
      </c>
    </row>
    <row r="59" spans="1:96" ht="52.5" customHeight="1" x14ac:dyDescent="0.2">
      <c r="A59" s="1" t="s">
        <v>473</v>
      </c>
      <c r="B59" s="1" t="b">
        <v>0</v>
      </c>
      <c r="C59" s="1" t="b">
        <v>1</v>
      </c>
      <c r="D59" s="1">
        <v>45261</v>
      </c>
      <c r="E59" s="1" t="s">
        <v>85</v>
      </c>
      <c r="F59" s="1" t="s">
        <v>99</v>
      </c>
      <c r="G59" s="1" t="s">
        <v>474</v>
      </c>
      <c r="H59" s="1" t="s">
        <v>475</v>
      </c>
      <c r="I59" s="1" t="s">
        <v>476</v>
      </c>
      <c r="J59" s="1" t="s">
        <v>477</v>
      </c>
      <c r="K59" s="1" t="s">
        <v>478</v>
      </c>
      <c r="L59" s="1" t="s">
        <v>116</v>
      </c>
      <c r="M59" s="1" t="s">
        <v>117</v>
      </c>
      <c r="N59" s="1" t="s">
        <v>87</v>
      </c>
      <c r="O59" s="1" t="s">
        <v>1798</v>
      </c>
      <c r="P59" s="1">
        <v>1615</v>
      </c>
      <c r="Q59" s="1">
        <v>1868</v>
      </c>
      <c r="U59" s="1" t="s">
        <v>88</v>
      </c>
      <c r="W59" s="1" t="s">
        <v>89</v>
      </c>
      <c r="X59" s="1" t="s">
        <v>1801</v>
      </c>
      <c r="Z59" s="1" t="s">
        <v>89</v>
      </c>
      <c r="AA59" s="1" t="s">
        <v>90</v>
      </c>
      <c r="AB59" s="1">
        <v>1760</v>
      </c>
      <c r="AC59" s="1">
        <v>1849</v>
      </c>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t="s">
        <v>301</v>
      </c>
      <c r="BG59" s="1">
        <v>1825</v>
      </c>
      <c r="BH59" s="1">
        <v>1845</v>
      </c>
      <c r="BI59" s="1">
        <v>1</v>
      </c>
      <c r="BJ59" s="1"/>
      <c r="BK59" s="1" t="s">
        <v>1760</v>
      </c>
      <c r="BL59" s="1" t="s">
        <v>1746</v>
      </c>
      <c r="BM59" s="1"/>
      <c r="BN59" s="1" t="s">
        <v>479</v>
      </c>
      <c r="BO59" s="12">
        <v>10.625</v>
      </c>
      <c r="BP59" s="12">
        <v>14.5</v>
      </c>
      <c r="BQ59" s="12"/>
      <c r="BR59" s="1">
        <v>27</v>
      </c>
      <c r="BS59" s="1">
        <v>36.799999999999997</v>
      </c>
      <c r="BT59" s="1"/>
      <c r="BU59" s="1"/>
      <c r="BV59" s="1" t="s">
        <v>480</v>
      </c>
      <c r="BW59" s="1" t="s">
        <v>346</v>
      </c>
      <c r="BX59" s="1"/>
      <c r="BY59" s="1">
        <v>1939</v>
      </c>
      <c r="BZ59" s="1" t="s">
        <v>347</v>
      </c>
      <c r="CA59" s="1" t="s">
        <v>348</v>
      </c>
      <c r="CB59" s="1"/>
      <c r="CN59" s="1" t="s">
        <v>96</v>
      </c>
      <c r="CP59" s="8" t="str">
        <f>HYPERLINK("http://www.metmuseum.org/art/collection/search/45261","http://www.metmuseum.org/art/collection/search/45261")</f>
        <v>http://www.metmuseum.org/art/collection/search/45261</v>
      </c>
      <c r="CQ59" s="4">
        <v>42842.333402777775</v>
      </c>
      <c r="CR59" s="1" t="s">
        <v>97</v>
      </c>
    </row>
    <row r="60" spans="1:96" ht="52.5" customHeight="1" x14ac:dyDescent="0.2">
      <c r="A60" s="1" t="s">
        <v>481</v>
      </c>
      <c r="B60" s="1" t="b">
        <v>0</v>
      </c>
      <c r="C60" s="1" t="b">
        <v>1</v>
      </c>
      <c r="D60" s="1">
        <v>45274</v>
      </c>
      <c r="E60" s="1" t="s">
        <v>85</v>
      </c>
      <c r="F60" s="1" t="s">
        <v>482</v>
      </c>
      <c r="G60" s="1" t="s">
        <v>483</v>
      </c>
      <c r="H60" s="1"/>
      <c r="I60" s="1" t="s">
        <v>484</v>
      </c>
      <c r="J60" s="1" t="s">
        <v>485</v>
      </c>
      <c r="K60" s="1"/>
      <c r="L60" s="1"/>
      <c r="M60" s="1"/>
      <c r="N60" s="1" t="s">
        <v>87</v>
      </c>
      <c r="O60" s="1" t="s">
        <v>1798</v>
      </c>
      <c r="P60" s="1">
        <v>1615</v>
      </c>
      <c r="Q60" s="1">
        <v>1868</v>
      </c>
      <c r="U60" s="1" t="s">
        <v>88</v>
      </c>
      <c r="W60" s="1" t="s">
        <v>89</v>
      </c>
      <c r="X60" s="1" t="s">
        <v>1801</v>
      </c>
      <c r="Z60" s="1" t="s">
        <v>89</v>
      </c>
      <c r="AA60" s="1" t="s">
        <v>90</v>
      </c>
      <c r="AB60" s="1">
        <v>1760</v>
      </c>
      <c r="AC60" s="1">
        <v>1849</v>
      </c>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v>1800</v>
      </c>
      <c r="BG60" s="1">
        <v>1700</v>
      </c>
      <c r="BH60" s="1">
        <v>1868</v>
      </c>
      <c r="BI60" s="1">
        <v>2</v>
      </c>
      <c r="BJ60" s="1"/>
      <c r="BK60" s="6" t="s">
        <v>1763</v>
      </c>
      <c r="BL60" s="1" t="s">
        <v>1746</v>
      </c>
      <c r="BM60" s="1"/>
      <c r="BN60" s="1" t="s">
        <v>486</v>
      </c>
      <c r="BO60" s="11">
        <v>10.0625</v>
      </c>
      <c r="BP60" s="12">
        <v>6.625</v>
      </c>
      <c r="BQ60" s="12"/>
      <c r="BR60" s="1">
        <v>25.6</v>
      </c>
      <c r="BS60" s="1">
        <v>16.8</v>
      </c>
      <c r="BT60" s="1"/>
      <c r="BU60" s="1" t="s">
        <v>487</v>
      </c>
      <c r="BV60" s="1" t="s">
        <v>488</v>
      </c>
      <c r="BW60" s="1" t="s">
        <v>386</v>
      </c>
      <c r="BX60" s="1"/>
      <c r="BY60" s="1">
        <v>1894</v>
      </c>
      <c r="BZ60" s="1"/>
      <c r="CA60" s="1" t="s">
        <v>489</v>
      </c>
      <c r="CB60" s="1"/>
      <c r="CN60" s="1" t="s">
        <v>490</v>
      </c>
      <c r="CP60" s="8" t="str">
        <f>HYPERLINK("http://www.metmuseum.org/art/collection/search/45274","http://www.metmuseum.org/art/collection/search/45274")</f>
        <v>http://www.metmuseum.org/art/collection/search/45274</v>
      </c>
      <c r="CQ60" s="4">
        <v>42842.333402777775</v>
      </c>
      <c r="CR60" s="1" t="s">
        <v>97</v>
      </c>
    </row>
    <row r="61" spans="1:96" ht="52.5" customHeight="1" x14ac:dyDescent="0.2">
      <c r="A61" s="1" t="s">
        <v>491</v>
      </c>
      <c r="B61" s="1" t="b">
        <v>0</v>
      </c>
      <c r="C61" s="1" t="b">
        <v>1</v>
      </c>
      <c r="D61" s="1">
        <v>45434</v>
      </c>
      <c r="E61" s="1" t="s">
        <v>85</v>
      </c>
      <c r="F61" s="1" t="s">
        <v>99</v>
      </c>
      <c r="G61" s="1" t="s">
        <v>492</v>
      </c>
      <c r="H61" s="1" t="s">
        <v>162</v>
      </c>
      <c r="I61" s="1" t="s">
        <v>163</v>
      </c>
      <c r="J61" s="1" t="s">
        <v>164</v>
      </c>
      <c r="K61" s="1" t="s">
        <v>155</v>
      </c>
      <c r="L61" s="1" t="s">
        <v>156</v>
      </c>
      <c r="M61" s="1" t="s">
        <v>157</v>
      </c>
      <c r="N61" s="1" t="s">
        <v>87</v>
      </c>
      <c r="O61" s="1" t="s">
        <v>1798</v>
      </c>
      <c r="P61" s="1">
        <v>1615</v>
      </c>
      <c r="Q61" s="1">
        <v>1868</v>
      </c>
      <c r="U61" s="1" t="s">
        <v>88</v>
      </c>
      <c r="W61" s="1" t="s">
        <v>89</v>
      </c>
      <c r="X61" s="1" t="s">
        <v>1801</v>
      </c>
      <c r="Z61" s="1" t="s">
        <v>89</v>
      </c>
      <c r="AA61" s="1" t="s">
        <v>90</v>
      </c>
      <c r="AB61" s="1">
        <v>1760</v>
      </c>
      <c r="AC61" s="1">
        <v>1849</v>
      </c>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t="s">
        <v>158</v>
      </c>
      <c r="BG61" s="1">
        <v>1820</v>
      </c>
      <c r="BH61" s="1">
        <v>1842</v>
      </c>
      <c r="BI61" s="1">
        <v>1</v>
      </c>
      <c r="BJ61" s="1"/>
      <c r="BK61" s="6" t="s">
        <v>1760</v>
      </c>
      <c r="BL61" s="1" t="s">
        <v>1746</v>
      </c>
      <c r="BM61" s="1"/>
      <c r="BN61" s="1" t="s">
        <v>493</v>
      </c>
      <c r="BO61" s="12">
        <v>10.125</v>
      </c>
      <c r="BP61" s="11">
        <v>14.9375</v>
      </c>
      <c r="BQ61" s="11"/>
      <c r="BR61" s="1">
        <v>25.7</v>
      </c>
      <c r="BS61" s="1">
        <v>37.9</v>
      </c>
      <c r="BT61" s="1"/>
      <c r="BU61" s="1"/>
      <c r="BV61" s="1" t="s">
        <v>447</v>
      </c>
      <c r="BW61" s="1" t="s">
        <v>346</v>
      </c>
      <c r="BX61" s="1"/>
      <c r="BY61" s="1">
        <v>1929</v>
      </c>
      <c r="BZ61" s="1" t="s">
        <v>448</v>
      </c>
      <c r="CA61" s="1" t="s">
        <v>449</v>
      </c>
      <c r="CB61" s="1"/>
      <c r="CN61" s="1" t="s">
        <v>96</v>
      </c>
      <c r="CP61" s="8" t="str">
        <f>HYPERLINK("http://www.metmuseum.org/art/collection/search/45434","http://www.metmuseum.org/art/collection/search/45434")</f>
        <v>http://www.metmuseum.org/art/collection/search/45434</v>
      </c>
      <c r="CQ61" s="4">
        <v>42842.333402777775</v>
      </c>
      <c r="CR61" s="1" t="s">
        <v>97</v>
      </c>
    </row>
    <row r="62" spans="1:96" ht="52.5" customHeight="1" x14ac:dyDescent="0.2">
      <c r="A62" s="1" t="s">
        <v>494</v>
      </c>
      <c r="B62" s="1" t="b">
        <v>0</v>
      </c>
      <c r="C62" s="1" t="b">
        <v>1</v>
      </c>
      <c r="D62" s="1">
        <v>45444</v>
      </c>
      <c r="E62" s="1" t="s">
        <v>85</v>
      </c>
      <c r="F62" s="1" t="s">
        <v>482</v>
      </c>
      <c r="G62" s="1" t="s">
        <v>495</v>
      </c>
      <c r="H62" s="1"/>
      <c r="I62" s="1" t="s">
        <v>496</v>
      </c>
      <c r="J62" s="1" t="s">
        <v>497</v>
      </c>
      <c r="K62" s="1"/>
      <c r="L62" s="1"/>
      <c r="M62" s="1"/>
      <c r="N62" s="1" t="s">
        <v>87</v>
      </c>
      <c r="O62" s="1" t="s">
        <v>1798</v>
      </c>
      <c r="P62" s="1">
        <v>1615</v>
      </c>
      <c r="Q62" s="1">
        <v>1868</v>
      </c>
      <c r="U62" s="1" t="s">
        <v>88</v>
      </c>
      <c r="W62" s="1" t="s">
        <v>89</v>
      </c>
      <c r="X62" s="1" t="s">
        <v>1801</v>
      </c>
      <c r="Z62" s="1" t="s">
        <v>89</v>
      </c>
      <c r="AA62" s="1" t="s">
        <v>90</v>
      </c>
      <c r="AB62" s="1">
        <v>1760</v>
      </c>
      <c r="AC62" s="1">
        <v>1849</v>
      </c>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v>1836</v>
      </c>
      <c r="BG62" s="1">
        <v>1700</v>
      </c>
      <c r="BH62" s="1">
        <v>1868</v>
      </c>
      <c r="BI62" s="1">
        <v>1</v>
      </c>
      <c r="BJ62" s="1"/>
      <c r="BK62" s="1" t="s">
        <v>498</v>
      </c>
      <c r="BL62" s="1" t="s">
        <v>1746</v>
      </c>
      <c r="BM62" s="1"/>
      <c r="BN62" s="1" t="s">
        <v>499</v>
      </c>
      <c r="BO62" s="12">
        <v>8.875</v>
      </c>
      <c r="BP62" s="12">
        <v>6.125</v>
      </c>
      <c r="BQ62" s="12"/>
      <c r="BR62" s="1">
        <v>22.5</v>
      </c>
      <c r="BS62" s="1">
        <v>15.6</v>
      </c>
      <c r="BT62" s="1"/>
      <c r="BU62" s="1"/>
      <c r="BV62" s="1" t="s">
        <v>500</v>
      </c>
      <c r="BW62" s="1" t="s">
        <v>386</v>
      </c>
      <c r="BX62" s="1"/>
      <c r="BY62" s="1">
        <v>1936</v>
      </c>
      <c r="BZ62" s="1" t="s">
        <v>373</v>
      </c>
      <c r="CA62" s="1" t="s">
        <v>501</v>
      </c>
      <c r="CB62" s="1"/>
      <c r="CN62" s="1" t="s">
        <v>490</v>
      </c>
      <c r="CP62" s="8" t="str">
        <f>HYPERLINK("http://www.metmuseum.org/art/collection/search/45444","http://www.metmuseum.org/art/collection/search/45444")</f>
        <v>http://www.metmuseum.org/art/collection/search/45444</v>
      </c>
      <c r="CQ62" s="4">
        <v>42842.333402777775</v>
      </c>
      <c r="CR62" s="1" t="s">
        <v>97</v>
      </c>
    </row>
    <row r="63" spans="1:96" ht="52.5" customHeight="1" x14ac:dyDescent="0.2">
      <c r="A63" s="1" t="s">
        <v>502</v>
      </c>
      <c r="B63" s="1" t="b">
        <v>0</v>
      </c>
      <c r="C63" s="1" t="b">
        <v>1</v>
      </c>
      <c r="D63" s="1">
        <v>45445</v>
      </c>
      <c r="E63" s="1" t="s">
        <v>85</v>
      </c>
      <c r="F63" s="1" t="s">
        <v>482</v>
      </c>
      <c r="G63" s="1" t="s">
        <v>503</v>
      </c>
      <c r="H63" s="1"/>
      <c r="I63" s="1" t="s">
        <v>504</v>
      </c>
      <c r="J63" s="1" t="s">
        <v>505</v>
      </c>
      <c r="K63" s="1"/>
      <c r="L63" s="1"/>
      <c r="M63" s="1"/>
      <c r="N63" s="1" t="s">
        <v>87</v>
      </c>
      <c r="O63" s="1" t="s">
        <v>1798</v>
      </c>
      <c r="P63" s="1">
        <v>1615</v>
      </c>
      <c r="Q63" s="1">
        <v>1868</v>
      </c>
      <c r="U63" s="1" t="s">
        <v>88</v>
      </c>
      <c r="W63" s="1" t="s">
        <v>89</v>
      </c>
      <c r="X63" s="1" t="s">
        <v>1801</v>
      </c>
      <c r="Z63" s="1" t="s">
        <v>89</v>
      </c>
      <c r="AA63" s="1" t="s">
        <v>90</v>
      </c>
      <c r="AB63" s="1">
        <v>1760</v>
      </c>
      <c r="AC63" s="1">
        <v>1849</v>
      </c>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t="s">
        <v>506</v>
      </c>
      <c r="BG63" s="1">
        <v>1820</v>
      </c>
      <c r="BH63" s="1">
        <v>1829</v>
      </c>
      <c r="BI63" s="1">
        <v>1</v>
      </c>
      <c r="BJ63" s="1"/>
      <c r="BK63" s="6" t="s">
        <v>1764</v>
      </c>
      <c r="BL63" s="1" t="s">
        <v>1746</v>
      </c>
      <c r="BM63" s="1"/>
      <c r="BN63" s="1" t="s">
        <v>507</v>
      </c>
      <c r="BO63" s="1">
        <v>9</v>
      </c>
      <c r="BP63" s="12">
        <v>6.25</v>
      </c>
      <c r="BQ63" s="12"/>
      <c r="BR63" s="1">
        <v>22.9</v>
      </c>
      <c r="BS63" s="1">
        <v>15.9</v>
      </c>
      <c r="BT63" s="1"/>
      <c r="BU63" s="1"/>
      <c r="BV63" s="1" t="s">
        <v>508</v>
      </c>
      <c r="BW63" s="1" t="s">
        <v>94</v>
      </c>
      <c r="BX63" s="1" t="s">
        <v>95</v>
      </c>
      <c r="BY63" s="1">
        <v>1918</v>
      </c>
      <c r="BZ63" s="1"/>
      <c r="CA63" s="1"/>
      <c r="CB63" s="1"/>
      <c r="CN63" s="1" t="s">
        <v>490</v>
      </c>
      <c r="CP63" s="8" t="str">
        <f>HYPERLINK("http://www.metmuseum.org/art/collection/search/45445","http://www.metmuseum.org/art/collection/search/45445")</f>
        <v>http://www.metmuseum.org/art/collection/search/45445</v>
      </c>
      <c r="CQ63" s="4">
        <v>42842.333402777775</v>
      </c>
      <c r="CR63" s="1" t="s">
        <v>97</v>
      </c>
    </row>
    <row r="64" spans="1:96" ht="52.5" customHeight="1" x14ac:dyDescent="0.2">
      <c r="A64" s="1" t="s">
        <v>509</v>
      </c>
      <c r="B64" s="1" t="b">
        <v>0</v>
      </c>
      <c r="C64" s="1" t="b">
        <v>1</v>
      </c>
      <c r="D64" s="1">
        <v>45494</v>
      </c>
      <c r="E64" s="1" t="s">
        <v>85</v>
      </c>
      <c r="F64" s="1" t="s">
        <v>86</v>
      </c>
      <c r="N64" s="1" t="s">
        <v>87</v>
      </c>
      <c r="O64" s="1" t="s">
        <v>1798</v>
      </c>
      <c r="P64" s="1">
        <v>1615</v>
      </c>
      <c r="Q64" s="1">
        <v>1868</v>
      </c>
      <c r="U64" s="1" t="s">
        <v>88</v>
      </c>
      <c r="W64" s="1" t="s">
        <v>89</v>
      </c>
      <c r="X64" s="1" t="s">
        <v>1801</v>
      </c>
      <c r="Y64" s="1"/>
      <c r="Z64" s="1" t="s">
        <v>89</v>
      </c>
      <c r="AA64" s="1" t="s">
        <v>90</v>
      </c>
      <c r="AB64" s="1">
        <v>1760</v>
      </c>
      <c r="AC64" s="1">
        <v>1849</v>
      </c>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t="s">
        <v>510</v>
      </c>
      <c r="BG64" s="1">
        <v>1786</v>
      </c>
      <c r="BH64" s="1">
        <v>1806</v>
      </c>
      <c r="BI64" s="1">
        <v>1</v>
      </c>
      <c r="BJ64" s="1"/>
      <c r="BK64" s="6" t="s">
        <v>1760</v>
      </c>
      <c r="BL64" s="1" t="s">
        <v>1746</v>
      </c>
      <c r="BM64" s="1"/>
      <c r="BN64" s="1" t="s">
        <v>511</v>
      </c>
      <c r="BO64" s="12">
        <v>8.5</v>
      </c>
      <c r="BP64" s="1">
        <v>6</v>
      </c>
      <c r="BQ64" s="1"/>
      <c r="BR64" s="1">
        <v>21.6</v>
      </c>
      <c r="BS64" s="1">
        <v>15.2</v>
      </c>
      <c r="BT64" s="1"/>
      <c r="BU64" s="1"/>
      <c r="BV64" s="1" t="s">
        <v>512</v>
      </c>
      <c r="BW64" s="1" t="s">
        <v>94</v>
      </c>
      <c r="BX64" s="1" t="s">
        <v>95</v>
      </c>
      <c r="BY64" s="1">
        <v>1936</v>
      </c>
      <c r="BZ64" s="1" t="s">
        <v>373</v>
      </c>
      <c r="CA64" s="1"/>
      <c r="CB64" s="1"/>
      <c r="CN64" s="1" t="s">
        <v>96</v>
      </c>
      <c r="CP64" s="8" t="str">
        <f>HYPERLINK("http://www.metmuseum.org/art/collection/search/45494","http://www.metmuseum.org/art/collection/search/45494")</f>
        <v>http://www.metmuseum.org/art/collection/search/45494</v>
      </c>
      <c r="CQ64" s="4">
        <v>42842.333402777775</v>
      </c>
      <c r="CR64" s="1" t="s">
        <v>97</v>
      </c>
    </row>
    <row r="65" spans="1:96" ht="132" customHeight="1" x14ac:dyDescent="0.2">
      <c r="A65" s="1" t="s">
        <v>513</v>
      </c>
      <c r="B65" s="1" t="b">
        <v>0</v>
      </c>
      <c r="C65" s="1" t="b">
        <v>1</v>
      </c>
      <c r="D65" s="1">
        <v>45811</v>
      </c>
      <c r="E65" s="1" t="s">
        <v>85</v>
      </c>
      <c r="F65" s="1" t="s">
        <v>391</v>
      </c>
      <c r="N65" s="1" t="s">
        <v>87</v>
      </c>
      <c r="O65" s="1" t="s">
        <v>1798</v>
      </c>
      <c r="P65" s="1">
        <v>1615</v>
      </c>
      <c r="Q65" s="1">
        <v>1868</v>
      </c>
      <c r="U65" s="1" t="s">
        <v>88</v>
      </c>
      <c r="W65" s="1" t="s">
        <v>89</v>
      </c>
      <c r="X65" s="1" t="s">
        <v>1801</v>
      </c>
      <c r="Z65" s="1" t="s">
        <v>89</v>
      </c>
      <c r="AA65" s="1" t="s">
        <v>90</v>
      </c>
      <c r="AB65" s="1">
        <v>1760</v>
      </c>
      <c r="AC65" s="1">
        <v>1849</v>
      </c>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t="s">
        <v>514</v>
      </c>
      <c r="BG65" s="1">
        <v>1847</v>
      </c>
      <c r="BH65" s="1">
        <v>1847</v>
      </c>
      <c r="BI65" s="1">
        <v>1</v>
      </c>
      <c r="BJ65" s="1"/>
      <c r="BK65" s="6" t="s">
        <v>391</v>
      </c>
      <c r="BL65" s="1" t="s">
        <v>1747</v>
      </c>
      <c r="BM65" s="1"/>
      <c r="BN65" s="1" t="s">
        <v>515</v>
      </c>
      <c r="BO65" s="12">
        <v>31.75</v>
      </c>
      <c r="BP65" s="12">
        <v>12.5</v>
      </c>
      <c r="BQ65" s="12"/>
      <c r="BR65" s="1">
        <v>80.7</v>
      </c>
      <c r="BS65" s="1">
        <v>31.7</v>
      </c>
      <c r="BT65" s="1"/>
      <c r="BU65" s="1" t="s">
        <v>516</v>
      </c>
      <c r="BV65" s="1" t="s">
        <v>385</v>
      </c>
      <c r="BW65" s="1" t="s">
        <v>386</v>
      </c>
      <c r="BX65" s="1"/>
      <c r="BY65" s="1">
        <v>1914</v>
      </c>
      <c r="BZ65" s="1" t="s">
        <v>387</v>
      </c>
      <c r="CA65" s="9" t="s">
        <v>388</v>
      </c>
      <c r="CB65" s="9" t="s">
        <v>389</v>
      </c>
      <c r="CN65" s="1" t="s">
        <v>390</v>
      </c>
      <c r="CP65" s="8" t="str">
        <f>HYPERLINK("http://www.metmuseum.org/art/collection/search/45811","http://www.metmuseum.org/art/collection/search/45811")</f>
        <v>http://www.metmuseum.org/art/collection/search/45811</v>
      </c>
      <c r="CQ65" s="4">
        <v>42842.333402777775</v>
      </c>
      <c r="CR65" s="1" t="s">
        <v>97</v>
      </c>
    </row>
    <row r="66" spans="1:96" ht="52.5" customHeight="1" x14ac:dyDescent="0.2">
      <c r="A66" s="1">
        <v>59.37</v>
      </c>
      <c r="B66" s="1" t="b">
        <v>0</v>
      </c>
      <c r="C66" s="1" t="b">
        <v>1</v>
      </c>
      <c r="D66" s="1">
        <v>45813</v>
      </c>
      <c r="E66" s="1" t="s">
        <v>85</v>
      </c>
      <c r="F66" s="1" t="s">
        <v>391</v>
      </c>
      <c r="N66" s="1" t="s">
        <v>87</v>
      </c>
      <c r="O66" s="1" t="s">
        <v>1798</v>
      </c>
      <c r="P66" s="1">
        <v>1615</v>
      </c>
      <c r="Q66" s="1">
        <v>1868</v>
      </c>
      <c r="U66" s="1" t="s">
        <v>88</v>
      </c>
      <c r="W66" s="1" t="s">
        <v>89</v>
      </c>
      <c r="X66" s="1" t="s">
        <v>1801</v>
      </c>
      <c r="Z66" s="1" t="s">
        <v>89</v>
      </c>
      <c r="AA66" s="1" t="s">
        <v>90</v>
      </c>
      <c r="AB66" s="1">
        <v>1760</v>
      </c>
      <c r="AC66" s="1">
        <v>1849</v>
      </c>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t="s">
        <v>383</v>
      </c>
      <c r="BG66" s="1">
        <v>1800</v>
      </c>
      <c r="BH66" s="1">
        <v>1849</v>
      </c>
      <c r="BI66" s="1">
        <v>1</v>
      </c>
      <c r="BJ66" s="1"/>
      <c r="BK66" s="6" t="s">
        <v>391</v>
      </c>
      <c r="BL66" s="1" t="s">
        <v>1747</v>
      </c>
      <c r="BM66" s="1"/>
      <c r="BN66" s="1" t="s">
        <v>517</v>
      </c>
      <c r="BO66" s="11">
        <v>33.6875</v>
      </c>
      <c r="BP66" s="11">
        <v>13.5625</v>
      </c>
      <c r="BQ66" s="11"/>
      <c r="BR66" s="1">
        <v>85.5</v>
      </c>
      <c r="BS66" s="1">
        <v>34.5</v>
      </c>
      <c r="BT66" s="1"/>
      <c r="BU66" s="1" t="s">
        <v>518</v>
      </c>
      <c r="BV66" s="1" t="s">
        <v>519</v>
      </c>
      <c r="BW66" s="1" t="s">
        <v>520</v>
      </c>
      <c r="BX66" s="1" t="s">
        <v>521</v>
      </c>
      <c r="BY66" s="1">
        <v>1959</v>
      </c>
      <c r="BZ66" s="1"/>
      <c r="CA66" s="1"/>
      <c r="CB66" s="1"/>
      <c r="CN66" s="1" t="s">
        <v>390</v>
      </c>
      <c r="CP66" s="8" t="str">
        <f>HYPERLINK("http://www.metmuseum.org/art/collection/search/45813","http://www.metmuseum.org/art/collection/search/45813")</f>
        <v>http://www.metmuseum.org/art/collection/search/45813</v>
      </c>
      <c r="CQ66" s="4">
        <v>42842.333402777775</v>
      </c>
      <c r="CR66" s="1" t="s">
        <v>97</v>
      </c>
    </row>
    <row r="67" spans="1:96" ht="132" customHeight="1" x14ac:dyDescent="0.2">
      <c r="A67" s="1" t="s">
        <v>522</v>
      </c>
      <c r="B67" s="1" t="b">
        <v>0</v>
      </c>
      <c r="C67" s="1" t="b">
        <v>1</v>
      </c>
      <c r="D67" s="1">
        <v>45816</v>
      </c>
      <c r="E67" s="1" t="s">
        <v>85</v>
      </c>
      <c r="F67" s="1" t="s">
        <v>391</v>
      </c>
      <c r="G67" s="1" t="s">
        <v>523</v>
      </c>
      <c r="H67" s="1" t="s">
        <v>524</v>
      </c>
      <c r="I67" s="1"/>
      <c r="J67" s="1" t="s">
        <v>525</v>
      </c>
      <c r="K67" s="1"/>
      <c r="L67" s="1"/>
      <c r="M67" s="1"/>
      <c r="N67" s="1" t="s">
        <v>87</v>
      </c>
      <c r="O67" s="1" t="s">
        <v>1798</v>
      </c>
      <c r="P67" s="1">
        <v>1615</v>
      </c>
      <c r="Q67" s="1">
        <v>1868</v>
      </c>
      <c r="U67" s="1" t="s">
        <v>88</v>
      </c>
      <c r="W67" s="1" t="s">
        <v>89</v>
      </c>
      <c r="X67" s="1" t="s">
        <v>1801</v>
      </c>
      <c r="Z67" s="1" t="s">
        <v>89</v>
      </c>
      <c r="AA67" s="1" t="s">
        <v>90</v>
      </c>
      <c r="AB67" s="1">
        <v>1760</v>
      </c>
      <c r="AC67" s="1">
        <v>1849</v>
      </c>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t="s">
        <v>526</v>
      </c>
      <c r="BG67" s="1">
        <v>1838</v>
      </c>
      <c r="BH67" s="1">
        <v>1838</v>
      </c>
      <c r="BI67" s="1">
        <v>1</v>
      </c>
      <c r="BJ67" s="1"/>
      <c r="BK67" s="6" t="s">
        <v>391</v>
      </c>
      <c r="BL67" s="1" t="s">
        <v>1747</v>
      </c>
      <c r="BM67" s="1"/>
      <c r="BN67" s="1" t="s">
        <v>527</v>
      </c>
      <c r="BO67" s="12">
        <v>21.75</v>
      </c>
      <c r="BP67" s="11">
        <v>33.4375</v>
      </c>
      <c r="BQ67" s="11"/>
      <c r="BR67" s="1">
        <v>55.3</v>
      </c>
      <c r="BS67" s="1">
        <v>85</v>
      </c>
      <c r="BT67" s="1"/>
      <c r="BU67" s="1" t="s">
        <v>528</v>
      </c>
      <c r="BV67" s="1" t="s">
        <v>385</v>
      </c>
      <c r="BW67" s="1" t="s">
        <v>386</v>
      </c>
      <c r="BX67" s="1"/>
      <c r="BY67" s="1">
        <v>1914</v>
      </c>
      <c r="BZ67" s="1" t="s">
        <v>387</v>
      </c>
      <c r="CA67" s="9" t="s">
        <v>388</v>
      </c>
      <c r="CB67" s="9" t="s">
        <v>389</v>
      </c>
      <c r="CN67" s="1" t="s">
        <v>390</v>
      </c>
      <c r="CP67" s="8" t="str">
        <f>HYPERLINK("http://www.metmuseum.org/art/collection/search/45816","http://www.metmuseum.org/art/collection/search/45816")</f>
        <v>http://www.metmuseum.org/art/collection/search/45816</v>
      </c>
      <c r="CQ67" s="4">
        <v>42842.333402777775</v>
      </c>
      <c r="CR67" s="1" t="s">
        <v>97</v>
      </c>
    </row>
    <row r="68" spans="1:96" ht="52.5" customHeight="1" x14ac:dyDescent="0.2">
      <c r="A68" s="1" t="s">
        <v>529</v>
      </c>
      <c r="B68" s="1" t="b">
        <v>0</v>
      </c>
      <c r="C68" s="1" t="b">
        <v>1</v>
      </c>
      <c r="D68" s="1">
        <v>45817</v>
      </c>
      <c r="E68" s="1" t="s">
        <v>85</v>
      </c>
      <c r="F68" s="1" t="s">
        <v>391</v>
      </c>
      <c r="N68" s="1" t="s">
        <v>87</v>
      </c>
      <c r="O68" s="1" t="s">
        <v>1798</v>
      </c>
      <c r="P68" s="1">
        <v>1615</v>
      </c>
      <c r="Q68" s="1">
        <v>1868</v>
      </c>
      <c r="U68" s="1" t="s">
        <v>88</v>
      </c>
      <c r="V68" s="1" t="s">
        <v>530</v>
      </c>
      <c r="W68" s="1" t="s">
        <v>89</v>
      </c>
      <c r="X68" s="1" t="s">
        <v>1801</v>
      </c>
      <c r="Z68" s="1" t="s">
        <v>89</v>
      </c>
      <c r="AA68" s="1" t="s">
        <v>90</v>
      </c>
      <c r="AB68" s="1">
        <v>1760</v>
      </c>
      <c r="AC68" s="1">
        <v>1849</v>
      </c>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t="s">
        <v>383</v>
      </c>
      <c r="BG68" s="1">
        <v>1800</v>
      </c>
      <c r="BH68" s="1">
        <v>1849</v>
      </c>
      <c r="BI68" s="1">
        <v>1</v>
      </c>
      <c r="BJ68" s="1"/>
      <c r="BK68" s="6" t="s">
        <v>391</v>
      </c>
      <c r="BL68" s="1" t="s">
        <v>1747</v>
      </c>
      <c r="BM68" s="1"/>
      <c r="BN68" s="1" t="s">
        <v>531</v>
      </c>
      <c r="BO68" s="12">
        <v>27.375</v>
      </c>
      <c r="BP68" s="11">
        <v>10.9375</v>
      </c>
      <c r="BQ68" s="11"/>
      <c r="BR68" s="1">
        <v>69.5</v>
      </c>
      <c r="BS68" s="1">
        <v>27.8</v>
      </c>
      <c r="BT68" s="1"/>
      <c r="BU68" s="1" t="s">
        <v>532</v>
      </c>
      <c r="BV68" s="1" t="s">
        <v>372</v>
      </c>
      <c r="BW68" s="1" t="s">
        <v>94</v>
      </c>
      <c r="BX68" s="1" t="s">
        <v>95</v>
      </c>
      <c r="BY68" s="1">
        <v>1936</v>
      </c>
      <c r="BZ68" s="1" t="s">
        <v>373</v>
      </c>
      <c r="CA68" s="1"/>
      <c r="CB68" s="1"/>
      <c r="CN68" s="1" t="s">
        <v>390</v>
      </c>
      <c r="CP68" s="8" t="str">
        <f>HYPERLINK("http://www.metmuseum.org/art/collection/search/45817","http://www.metmuseum.org/art/collection/search/45817")</f>
        <v>http://www.metmuseum.org/art/collection/search/45817</v>
      </c>
      <c r="CQ68" s="4">
        <v>42842.333402777775</v>
      </c>
      <c r="CR68" s="1" t="s">
        <v>97</v>
      </c>
    </row>
    <row r="69" spans="1:96" ht="132" customHeight="1" x14ac:dyDescent="0.2">
      <c r="A69" s="1" t="s">
        <v>533</v>
      </c>
      <c r="B69" s="1" t="b">
        <v>0</v>
      </c>
      <c r="C69" s="1" t="b">
        <v>1</v>
      </c>
      <c r="D69" s="1">
        <v>45818</v>
      </c>
      <c r="E69" s="1" t="s">
        <v>85</v>
      </c>
      <c r="F69" s="1" t="s">
        <v>391</v>
      </c>
      <c r="N69" s="1" t="s">
        <v>87</v>
      </c>
      <c r="O69" s="1" t="s">
        <v>1798</v>
      </c>
      <c r="P69" s="1">
        <v>1615</v>
      </c>
      <c r="Q69" s="1">
        <v>1868</v>
      </c>
      <c r="U69" s="1" t="s">
        <v>88</v>
      </c>
      <c r="W69" s="1" t="s">
        <v>89</v>
      </c>
      <c r="X69" s="1" t="s">
        <v>1801</v>
      </c>
      <c r="Z69" s="1" t="s">
        <v>89</v>
      </c>
      <c r="AA69" s="1" t="s">
        <v>90</v>
      </c>
      <c r="AB69" s="1">
        <v>1760</v>
      </c>
      <c r="AC69" s="1">
        <v>1849</v>
      </c>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t="s">
        <v>514</v>
      </c>
      <c r="BG69" s="1">
        <v>1847</v>
      </c>
      <c r="BH69" s="1">
        <v>1847</v>
      </c>
      <c r="BI69" s="1">
        <v>1</v>
      </c>
      <c r="BJ69" s="1"/>
      <c r="BK69" s="6" t="s">
        <v>391</v>
      </c>
      <c r="BL69" s="1" t="s">
        <v>1747</v>
      </c>
      <c r="BM69" s="1"/>
      <c r="BN69" s="1" t="s">
        <v>534</v>
      </c>
      <c r="BO69" s="12">
        <v>23.25</v>
      </c>
      <c r="BP69" s="12">
        <v>11.875</v>
      </c>
      <c r="BQ69" s="12"/>
      <c r="BR69" s="1">
        <v>59.1</v>
      </c>
      <c r="BS69" s="1">
        <v>30.2</v>
      </c>
      <c r="BT69" s="1"/>
      <c r="BU69" s="1" t="s">
        <v>535</v>
      </c>
      <c r="BV69" s="1" t="s">
        <v>385</v>
      </c>
      <c r="BW69" s="1" t="s">
        <v>386</v>
      </c>
      <c r="BX69" s="1"/>
      <c r="BY69" s="1">
        <v>1914</v>
      </c>
      <c r="BZ69" s="1" t="s">
        <v>387</v>
      </c>
      <c r="CA69" s="9" t="s">
        <v>388</v>
      </c>
      <c r="CB69" s="9" t="s">
        <v>389</v>
      </c>
      <c r="CC69" s="10"/>
      <c r="CN69" s="1" t="s">
        <v>390</v>
      </c>
      <c r="CP69" s="8" t="str">
        <f>HYPERLINK("http://www.metmuseum.org/art/collection/search/45818","http://www.metmuseum.org/art/collection/search/45818")</f>
        <v>http://www.metmuseum.org/art/collection/search/45818</v>
      </c>
      <c r="CQ69" s="4">
        <v>42842.333402777775</v>
      </c>
      <c r="CR69" s="1" t="s">
        <v>97</v>
      </c>
    </row>
    <row r="70" spans="1:96" ht="132" customHeight="1" x14ac:dyDescent="0.2">
      <c r="A70" s="1" t="s">
        <v>536</v>
      </c>
      <c r="B70" s="1" t="b">
        <v>0</v>
      </c>
      <c r="C70" s="1" t="b">
        <v>1</v>
      </c>
      <c r="D70" s="1">
        <v>45819</v>
      </c>
      <c r="E70" s="1" t="s">
        <v>85</v>
      </c>
      <c r="F70" s="1" t="s">
        <v>391</v>
      </c>
      <c r="N70" s="1" t="s">
        <v>87</v>
      </c>
      <c r="O70" s="1" t="s">
        <v>1798</v>
      </c>
      <c r="P70" s="1">
        <v>1615</v>
      </c>
      <c r="Q70" s="1">
        <v>1868</v>
      </c>
      <c r="U70" s="1" t="s">
        <v>88</v>
      </c>
      <c r="W70" s="1" t="s">
        <v>89</v>
      </c>
      <c r="X70" s="1" t="s">
        <v>1801</v>
      </c>
      <c r="Z70" s="1" t="s">
        <v>89</v>
      </c>
      <c r="AA70" s="1" t="s">
        <v>90</v>
      </c>
      <c r="AB70" s="1">
        <v>1760</v>
      </c>
      <c r="AC70" s="1">
        <v>1849</v>
      </c>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v>1849</v>
      </c>
      <c r="BG70" s="1">
        <v>1615</v>
      </c>
      <c r="BH70" s="1">
        <v>1868</v>
      </c>
      <c r="BI70" s="1">
        <v>1</v>
      </c>
      <c r="BJ70" s="1"/>
      <c r="BK70" s="6" t="s">
        <v>391</v>
      </c>
      <c r="BL70" s="1" t="s">
        <v>1748</v>
      </c>
      <c r="BM70" s="1"/>
      <c r="BN70" s="1" t="s">
        <v>537</v>
      </c>
      <c r="BO70" s="12">
        <v>42.25</v>
      </c>
      <c r="BP70" s="11">
        <v>14.1875</v>
      </c>
      <c r="BQ70" s="11"/>
      <c r="BR70" s="1">
        <v>107.3</v>
      </c>
      <c r="BS70" s="1">
        <v>36</v>
      </c>
      <c r="BT70" s="1"/>
      <c r="BU70" s="1" t="s">
        <v>538</v>
      </c>
      <c r="BV70" s="1" t="s">
        <v>385</v>
      </c>
      <c r="BW70" s="1" t="s">
        <v>386</v>
      </c>
      <c r="BX70" s="1"/>
      <c r="BY70" s="1">
        <v>1914</v>
      </c>
      <c r="BZ70" s="1" t="s">
        <v>387</v>
      </c>
      <c r="CA70" s="9" t="s">
        <v>388</v>
      </c>
      <c r="CB70" s="9" t="s">
        <v>389</v>
      </c>
      <c r="CC70" s="9"/>
      <c r="CN70" s="1" t="s">
        <v>390</v>
      </c>
      <c r="CP70" s="8" t="str">
        <f>HYPERLINK("http://www.metmuseum.org/art/collection/search/45819","http://www.metmuseum.org/art/collection/search/45819")</f>
        <v>http://www.metmuseum.org/art/collection/search/45819</v>
      </c>
      <c r="CQ70" s="4">
        <v>42842.333402777775</v>
      </c>
      <c r="CR70" s="1" t="s">
        <v>97</v>
      </c>
    </row>
    <row r="71" spans="1:96" ht="52.5" customHeight="1" x14ac:dyDescent="0.2">
      <c r="A71" s="1" t="s">
        <v>539</v>
      </c>
      <c r="B71" s="1" t="b">
        <v>0</v>
      </c>
      <c r="C71" s="1" t="b">
        <v>1</v>
      </c>
      <c r="D71" s="1">
        <v>45820</v>
      </c>
      <c r="E71" s="1" t="s">
        <v>85</v>
      </c>
      <c r="F71" s="1" t="s">
        <v>391</v>
      </c>
      <c r="N71" s="1" t="s">
        <v>87</v>
      </c>
      <c r="O71" s="1" t="s">
        <v>1798</v>
      </c>
      <c r="P71" s="1">
        <v>1615</v>
      </c>
      <c r="Q71" s="1">
        <v>1868</v>
      </c>
      <c r="U71" s="1" t="s">
        <v>88</v>
      </c>
      <c r="W71" s="1" t="s">
        <v>89</v>
      </c>
      <c r="X71" s="1" t="s">
        <v>1801</v>
      </c>
      <c r="Z71" s="1" t="s">
        <v>89</v>
      </c>
      <c r="AA71" s="1" t="s">
        <v>90</v>
      </c>
      <c r="AB71" s="1">
        <v>1760</v>
      </c>
      <c r="AC71" s="1">
        <v>1849</v>
      </c>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t="s">
        <v>383</v>
      </c>
      <c r="BG71" s="1">
        <v>1800</v>
      </c>
      <c r="BH71" s="1">
        <v>1849</v>
      </c>
      <c r="BI71" s="1">
        <v>1</v>
      </c>
      <c r="BJ71" s="1"/>
      <c r="BK71" s="6" t="s">
        <v>391</v>
      </c>
      <c r="BL71" s="1" t="s">
        <v>1746</v>
      </c>
      <c r="BM71" s="1"/>
      <c r="BN71" s="1" t="s">
        <v>540</v>
      </c>
      <c r="BO71" s="12">
        <v>30.875</v>
      </c>
      <c r="BP71" s="12">
        <v>9.625</v>
      </c>
      <c r="BQ71" s="12"/>
      <c r="BR71" s="1">
        <v>78.5</v>
      </c>
      <c r="BS71" s="1">
        <v>24.5</v>
      </c>
      <c r="BT71" s="1"/>
      <c r="BU71" s="1" t="s">
        <v>541</v>
      </c>
      <c r="BV71" s="1" t="s">
        <v>447</v>
      </c>
      <c r="BW71" s="1" t="s">
        <v>346</v>
      </c>
      <c r="BX71" s="1"/>
      <c r="BY71" s="1">
        <v>1929</v>
      </c>
      <c r="BZ71" s="1" t="s">
        <v>448</v>
      </c>
      <c r="CA71" s="1" t="s">
        <v>449</v>
      </c>
      <c r="CB71" s="1"/>
      <c r="CN71" s="1" t="s">
        <v>390</v>
      </c>
      <c r="CP71" s="8" t="str">
        <f>HYPERLINK("http://www.metmuseum.org/art/collection/search/45820","http://www.metmuseum.org/art/collection/search/45820")</f>
        <v>http://www.metmuseum.org/art/collection/search/45820</v>
      </c>
      <c r="CQ71" s="4">
        <v>42842.333402777775</v>
      </c>
      <c r="CR71" s="1" t="s">
        <v>97</v>
      </c>
    </row>
    <row r="72" spans="1:96" ht="132" customHeight="1" x14ac:dyDescent="0.2">
      <c r="A72" s="1" t="s">
        <v>542</v>
      </c>
      <c r="B72" s="1" t="b">
        <v>0</v>
      </c>
      <c r="C72" s="1" t="b">
        <v>1</v>
      </c>
      <c r="D72" s="1">
        <v>45822</v>
      </c>
      <c r="E72" s="1" t="s">
        <v>85</v>
      </c>
      <c r="F72" s="1" t="s">
        <v>391</v>
      </c>
      <c r="N72" s="1" t="s">
        <v>87</v>
      </c>
      <c r="O72" s="1" t="s">
        <v>1798</v>
      </c>
      <c r="P72" s="1">
        <v>1615</v>
      </c>
      <c r="Q72" s="1">
        <v>1868</v>
      </c>
      <c r="U72" s="1" t="s">
        <v>88</v>
      </c>
      <c r="W72" s="1" t="s">
        <v>89</v>
      </c>
      <c r="X72" s="1" t="s">
        <v>1801</v>
      </c>
      <c r="Z72" s="1" t="s">
        <v>89</v>
      </c>
      <c r="AA72" s="1" t="s">
        <v>90</v>
      </c>
      <c r="AB72" s="1">
        <v>1760</v>
      </c>
      <c r="AC72" s="1">
        <v>1849</v>
      </c>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t="s">
        <v>543</v>
      </c>
      <c r="BG72" s="1">
        <v>1790</v>
      </c>
      <c r="BH72" s="1">
        <v>1790</v>
      </c>
      <c r="BI72" s="1">
        <v>1</v>
      </c>
      <c r="BJ72" s="1"/>
      <c r="BK72" s="6" t="s">
        <v>391</v>
      </c>
      <c r="BL72" s="1" t="s">
        <v>1747</v>
      </c>
      <c r="BM72" s="1"/>
      <c r="BN72" s="1" t="s">
        <v>544</v>
      </c>
      <c r="BO72" s="12">
        <v>33.75</v>
      </c>
      <c r="BP72" s="11">
        <v>12.3125</v>
      </c>
      <c r="BQ72" s="11"/>
      <c r="BR72" s="1">
        <v>85.8</v>
      </c>
      <c r="BS72" s="1">
        <v>31.3</v>
      </c>
      <c r="BT72" s="1"/>
      <c r="BU72" s="1" t="s">
        <v>545</v>
      </c>
      <c r="BV72" s="1" t="s">
        <v>385</v>
      </c>
      <c r="BW72" s="1" t="s">
        <v>386</v>
      </c>
      <c r="BX72" s="1"/>
      <c r="BY72" s="1">
        <v>1914</v>
      </c>
      <c r="BZ72" s="1" t="s">
        <v>387</v>
      </c>
      <c r="CA72" s="9" t="s">
        <v>388</v>
      </c>
      <c r="CB72" s="9" t="s">
        <v>389</v>
      </c>
      <c r="CC72" s="9"/>
      <c r="CN72" s="1" t="s">
        <v>390</v>
      </c>
      <c r="CP72" s="8" t="str">
        <f>HYPERLINK("http://www.metmuseum.org/art/collection/search/45822","http://www.metmuseum.org/art/collection/search/45822")</f>
        <v>http://www.metmuseum.org/art/collection/search/45822</v>
      </c>
      <c r="CQ72" s="4">
        <v>42842.333402777775</v>
      </c>
      <c r="CR72" s="1" t="s">
        <v>97</v>
      </c>
    </row>
    <row r="73" spans="1:96" ht="132" customHeight="1" x14ac:dyDescent="0.2">
      <c r="A73" s="1" t="s">
        <v>546</v>
      </c>
      <c r="B73" s="1" t="b">
        <v>0</v>
      </c>
      <c r="C73" s="1" t="b">
        <v>1</v>
      </c>
      <c r="D73" s="1">
        <v>48878</v>
      </c>
      <c r="E73" s="1" t="s">
        <v>85</v>
      </c>
      <c r="F73" s="1" t="s">
        <v>391</v>
      </c>
      <c r="N73" s="1" t="s">
        <v>87</v>
      </c>
      <c r="O73" s="1" t="s">
        <v>1798</v>
      </c>
      <c r="P73" s="1">
        <v>1615</v>
      </c>
      <c r="Q73" s="1">
        <v>1868</v>
      </c>
      <c r="U73" s="1" t="s">
        <v>88</v>
      </c>
      <c r="W73" s="1" t="s">
        <v>89</v>
      </c>
      <c r="X73" s="1" t="s">
        <v>1801</v>
      </c>
      <c r="Z73" s="1" t="s">
        <v>89</v>
      </c>
      <c r="AA73" s="1" t="s">
        <v>90</v>
      </c>
      <c r="AB73" s="1">
        <v>1760</v>
      </c>
      <c r="AC73" s="1">
        <v>1849</v>
      </c>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t="s">
        <v>547</v>
      </c>
      <c r="BG73" s="1">
        <v>1780</v>
      </c>
      <c r="BH73" s="1">
        <v>1780</v>
      </c>
      <c r="BI73" s="1">
        <v>1</v>
      </c>
      <c r="BJ73" s="1"/>
      <c r="BK73" s="6" t="s">
        <v>391</v>
      </c>
      <c r="BL73" s="1" t="s">
        <v>1747</v>
      </c>
      <c r="BM73" s="1"/>
      <c r="BN73" s="1" t="s">
        <v>548</v>
      </c>
      <c r="BO73" s="11">
        <v>49.1875</v>
      </c>
      <c r="BP73" s="12">
        <v>19.625</v>
      </c>
      <c r="BQ73" s="12"/>
      <c r="BR73" s="1">
        <v>125</v>
      </c>
      <c r="BS73" s="1">
        <v>49.8</v>
      </c>
      <c r="BT73" s="1"/>
      <c r="BU73" s="1" t="s">
        <v>549</v>
      </c>
      <c r="BV73" s="1" t="s">
        <v>385</v>
      </c>
      <c r="BW73" s="1" t="s">
        <v>386</v>
      </c>
      <c r="BX73" s="1"/>
      <c r="BY73" s="1">
        <v>1914</v>
      </c>
      <c r="BZ73" s="1" t="s">
        <v>387</v>
      </c>
      <c r="CA73" s="9" t="s">
        <v>388</v>
      </c>
      <c r="CB73" s="9" t="s">
        <v>389</v>
      </c>
      <c r="CC73" s="10"/>
      <c r="CN73" s="1" t="s">
        <v>390</v>
      </c>
      <c r="CP73" s="8" t="str">
        <f>HYPERLINK("http://www.metmuseum.org/art/collection/search/48878","http://www.metmuseum.org/art/collection/search/48878")</f>
        <v>http://www.metmuseum.org/art/collection/search/48878</v>
      </c>
      <c r="CQ73" s="4">
        <v>42842.333402777775</v>
      </c>
      <c r="CR73" s="1" t="s">
        <v>97</v>
      </c>
    </row>
    <row r="74" spans="1:96" ht="52.5" customHeight="1" x14ac:dyDescent="0.2">
      <c r="A74" s="1" t="s">
        <v>550</v>
      </c>
      <c r="B74" s="1" t="b">
        <v>0</v>
      </c>
      <c r="C74" s="1" t="b">
        <v>1</v>
      </c>
      <c r="D74" s="1">
        <v>48880</v>
      </c>
      <c r="E74" s="1" t="s">
        <v>85</v>
      </c>
      <c r="F74" s="1" t="s">
        <v>391</v>
      </c>
      <c r="N74" s="1" t="s">
        <v>87</v>
      </c>
      <c r="O74" s="1" t="s">
        <v>1798</v>
      </c>
      <c r="P74" s="1">
        <v>1615</v>
      </c>
      <c r="Q74" s="1">
        <v>1868</v>
      </c>
      <c r="U74" s="1" t="s">
        <v>88</v>
      </c>
      <c r="W74" s="1" t="s">
        <v>89</v>
      </c>
      <c r="X74" s="1" t="s">
        <v>1801</v>
      </c>
      <c r="Z74" s="1" t="s">
        <v>89</v>
      </c>
      <c r="AA74" s="1" t="s">
        <v>90</v>
      </c>
      <c r="AB74" s="1">
        <v>1760</v>
      </c>
      <c r="AC74" s="1">
        <v>1849</v>
      </c>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v>1839</v>
      </c>
      <c r="BG74" s="1">
        <v>1839</v>
      </c>
      <c r="BH74" s="1">
        <v>1839</v>
      </c>
      <c r="BI74" s="1">
        <v>1</v>
      </c>
      <c r="BJ74" s="1"/>
      <c r="BK74" s="6" t="s">
        <v>391</v>
      </c>
      <c r="BL74" s="1" t="s">
        <v>1746</v>
      </c>
      <c r="BM74" s="1"/>
      <c r="BN74" s="1" t="s">
        <v>551</v>
      </c>
      <c r="BO74" s="11">
        <v>11.1875</v>
      </c>
      <c r="BP74" s="11">
        <v>27.5625</v>
      </c>
      <c r="BQ74" s="11"/>
      <c r="BR74" s="1">
        <v>28.4</v>
      </c>
      <c r="BS74" s="1">
        <v>70</v>
      </c>
      <c r="BT74" s="1"/>
      <c r="BU74" s="1" t="s">
        <v>552</v>
      </c>
      <c r="BV74" s="1" t="s">
        <v>447</v>
      </c>
      <c r="BW74" s="1" t="s">
        <v>346</v>
      </c>
      <c r="BX74" s="1"/>
      <c r="BY74" s="1">
        <v>1929</v>
      </c>
      <c r="BZ74" s="1" t="s">
        <v>448</v>
      </c>
      <c r="CA74" s="1" t="s">
        <v>449</v>
      </c>
      <c r="CB74" s="1"/>
      <c r="CN74" s="1" t="s">
        <v>390</v>
      </c>
      <c r="CP74" s="8" t="str">
        <f>HYPERLINK("http://www.metmuseum.org/art/collection/search/48880","http://www.metmuseum.org/art/collection/search/48880")</f>
        <v>http://www.metmuseum.org/art/collection/search/48880</v>
      </c>
      <c r="CQ74" s="4">
        <v>42842.333402777775</v>
      </c>
      <c r="CR74" s="1" t="s">
        <v>97</v>
      </c>
    </row>
    <row r="75" spans="1:96" ht="52.5" customHeight="1" x14ac:dyDescent="0.2">
      <c r="A75" s="1" t="s">
        <v>553</v>
      </c>
      <c r="B75" s="1" t="b">
        <v>0</v>
      </c>
      <c r="C75" s="1" t="b">
        <v>0</v>
      </c>
      <c r="D75" s="1">
        <v>48882</v>
      </c>
      <c r="E75" s="1" t="s">
        <v>85</v>
      </c>
      <c r="F75" s="1" t="s">
        <v>554</v>
      </c>
      <c r="N75" s="1" t="s">
        <v>87</v>
      </c>
      <c r="O75" s="1" t="s">
        <v>1798</v>
      </c>
      <c r="P75" s="1">
        <v>1615</v>
      </c>
      <c r="Q75" s="1">
        <v>1868</v>
      </c>
      <c r="U75" s="1" t="s">
        <v>88</v>
      </c>
      <c r="V75" s="1" t="s">
        <v>530</v>
      </c>
      <c r="W75" s="1" t="s">
        <v>89</v>
      </c>
      <c r="X75" s="1" t="s">
        <v>1801</v>
      </c>
      <c r="Z75" s="1" t="s">
        <v>89</v>
      </c>
      <c r="AA75" s="1" t="s">
        <v>90</v>
      </c>
      <c r="AB75" s="1">
        <v>1760</v>
      </c>
      <c r="AC75" s="1">
        <v>1849</v>
      </c>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t="s">
        <v>383</v>
      </c>
      <c r="BG75" s="1">
        <v>1800</v>
      </c>
      <c r="BH75" s="1">
        <v>1868</v>
      </c>
      <c r="BI75" s="1">
        <v>1</v>
      </c>
      <c r="BJ75" s="1"/>
      <c r="BK75" s="6" t="s">
        <v>1765</v>
      </c>
      <c r="BL75" s="1" t="s">
        <v>1747</v>
      </c>
      <c r="BM75" s="1"/>
      <c r="BN75" s="1" t="s">
        <v>555</v>
      </c>
      <c r="BO75" s="12">
        <v>13.5</v>
      </c>
      <c r="BP75" s="12">
        <v>9.625</v>
      </c>
      <c r="BQ75" s="12"/>
      <c r="BR75" s="1">
        <v>34.299999999999997</v>
      </c>
      <c r="BS75" s="1">
        <v>24.4</v>
      </c>
      <c r="BT75" s="1"/>
      <c r="BU75" s="1"/>
      <c r="BV75" s="1" t="s">
        <v>447</v>
      </c>
      <c r="BW75" s="1" t="s">
        <v>346</v>
      </c>
      <c r="BX75" s="1"/>
      <c r="BY75" s="1">
        <v>1929</v>
      </c>
      <c r="BZ75" s="1" t="s">
        <v>448</v>
      </c>
      <c r="CA75" s="1" t="s">
        <v>449</v>
      </c>
      <c r="CB75" s="1"/>
      <c r="CN75" s="1" t="s">
        <v>390</v>
      </c>
      <c r="CP75" s="8" t="str">
        <f>HYPERLINK("http://www.metmuseum.org/art/collection/search/48882","http://www.metmuseum.org/art/collection/search/48882")</f>
        <v>http://www.metmuseum.org/art/collection/search/48882</v>
      </c>
      <c r="CQ75" s="4">
        <v>42842.333402777775</v>
      </c>
      <c r="CR75" s="1" t="s">
        <v>97</v>
      </c>
    </row>
    <row r="76" spans="1:96" ht="52.5" customHeight="1" x14ac:dyDescent="0.2">
      <c r="A76" s="1" t="s">
        <v>556</v>
      </c>
      <c r="B76" s="1" t="b">
        <v>0</v>
      </c>
      <c r="C76" s="1" t="b">
        <v>1</v>
      </c>
      <c r="D76" s="1">
        <v>48883</v>
      </c>
      <c r="E76" s="1" t="s">
        <v>85</v>
      </c>
      <c r="F76" s="1" t="s">
        <v>391</v>
      </c>
      <c r="N76" s="1" t="s">
        <v>87</v>
      </c>
      <c r="O76" s="1" t="s">
        <v>1798</v>
      </c>
      <c r="P76" s="1">
        <v>1615</v>
      </c>
      <c r="Q76" s="6">
        <v>1868</v>
      </c>
      <c r="U76" s="1" t="s">
        <v>88</v>
      </c>
      <c r="V76" s="1" t="s">
        <v>530</v>
      </c>
      <c r="W76" s="1" t="s">
        <v>89</v>
      </c>
      <c r="X76" s="1" t="s">
        <v>1801</v>
      </c>
      <c r="Z76" s="1" t="s">
        <v>89</v>
      </c>
      <c r="AA76" s="1" t="s">
        <v>90</v>
      </c>
      <c r="AB76" s="1">
        <v>1760</v>
      </c>
      <c r="AC76" s="1">
        <v>1849</v>
      </c>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t="s">
        <v>383</v>
      </c>
      <c r="BG76" s="1">
        <v>1800</v>
      </c>
      <c r="BH76" s="1">
        <v>1849</v>
      </c>
      <c r="BI76" s="1">
        <v>1</v>
      </c>
      <c r="BJ76" s="1"/>
      <c r="BK76" s="6" t="s">
        <v>391</v>
      </c>
      <c r="BL76" s="1" t="s">
        <v>1746</v>
      </c>
      <c r="BM76" s="1"/>
      <c r="BN76" s="1" t="s">
        <v>557</v>
      </c>
      <c r="BO76" s="11">
        <v>44.3125</v>
      </c>
      <c r="BP76" s="11">
        <v>9.1875</v>
      </c>
      <c r="BQ76" s="11"/>
      <c r="BR76" s="1">
        <v>112.5</v>
      </c>
      <c r="BS76" s="1">
        <v>23.4</v>
      </c>
      <c r="BT76" s="1"/>
      <c r="BU76" s="1" t="s">
        <v>558</v>
      </c>
      <c r="BV76" s="1" t="s">
        <v>372</v>
      </c>
      <c r="BW76" s="1" t="s">
        <v>94</v>
      </c>
      <c r="BX76" s="1" t="s">
        <v>95</v>
      </c>
      <c r="BY76" s="1">
        <v>1936</v>
      </c>
      <c r="BZ76" s="1" t="s">
        <v>373</v>
      </c>
      <c r="CA76" s="1" t="s">
        <v>449</v>
      </c>
      <c r="CB76" s="1"/>
      <c r="CN76" s="1" t="s">
        <v>390</v>
      </c>
      <c r="CP76" s="8" t="str">
        <f>HYPERLINK("http://www.metmuseum.org/art/collection/search/48883","http://www.metmuseum.org/art/collection/search/48883")</f>
        <v>http://www.metmuseum.org/art/collection/search/48883</v>
      </c>
      <c r="CQ76" s="4">
        <v>42842.333402777775</v>
      </c>
      <c r="CR76" s="1" t="s">
        <v>97</v>
      </c>
    </row>
    <row r="77" spans="1:96" ht="132" customHeight="1" x14ac:dyDescent="0.2">
      <c r="A77" s="1" t="s">
        <v>559</v>
      </c>
      <c r="B77" s="1" t="b">
        <v>0</v>
      </c>
      <c r="C77" s="1" t="b">
        <v>1</v>
      </c>
      <c r="D77" s="1">
        <v>48885</v>
      </c>
      <c r="E77" s="1" t="s">
        <v>85</v>
      </c>
      <c r="F77" s="1" t="s">
        <v>391</v>
      </c>
      <c r="N77" s="1" t="s">
        <v>87</v>
      </c>
      <c r="O77" s="1" t="s">
        <v>1798</v>
      </c>
      <c r="P77" s="1">
        <v>1615</v>
      </c>
      <c r="Q77" s="6">
        <v>1868</v>
      </c>
      <c r="U77" s="1" t="s">
        <v>88</v>
      </c>
      <c r="W77" s="1" t="s">
        <v>89</v>
      </c>
      <c r="X77" s="1" t="s">
        <v>1801</v>
      </c>
      <c r="Z77" s="1" t="s">
        <v>89</v>
      </c>
      <c r="AA77" s="1" t="s">
        <v>90</v>
      </c>
      <c r="AB77" s="1">
        <v>1760</v>
      </c>
      <c r="AC77" s="1">
        <v>1849</v>
      </c>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t="s">
        <v>543</v>
      </c>
      <c r="BG77" s="1">
        <v>1615</v>
      </c>
      <c r="BH77" s="1">
        <v>1868</v>
      </c>
      <c r="BI77" s="1">
        <v>1</v>
      </c>
      <c r="BJ77" s="1"/>
      <c r="BK77" s="6" t="s">
        <v>391</v>
      </c>
      <c r="BL77" s="1" t="s">
        <v>1747</v>
      </c>
      <c r="BM77" s="1"/>
      <c r="BN77" s="1" t="s">
        <v>560</v>
      </c>
      <c r="BO77" s="12">
        <v>12.75</v>
      </c>
      <c r="BP77" s="12">
        <v>22.5</v>
      </c>
      <c r="BQ77" s="12"/>
      <c r="BR77" s="1">
        <v>32.4</v>
      </c>
      <c r="BS77" s="1">
        <v>57.2</v>
      </c>
      <c r="BT77" s="1"/>
      <c r="BU77" s="1"/>
      <c r="BV77" s="1" t="s">
        <v>385</v>
      </c>
      <c r="BW77" s="1" t="s">
        <v>386</v>
      </c>
      <c r="BX77" s="1"/>
      <c r="BY77" s="1">
        <v>1914</v>
      </c>
      <c r="BZ77" s="1" t="s">
        <v>387</v>
      </c>
      <c r="CA77" s="9" t="s">
        <v>388</v>
      </c>
      <c r="CB77" s="9" t="s">
        <v>389</v>
      </c>
      <c r="CC77" s="10"/>
      <c r="CN77" s="1" t="s">
        <v>390</v>
      </c>
      <c r="CP77" s="8" t="str">
        <f>HYPERLINK("http://www.metmuseum.org/art/collection/search/48885","http://www.metmuseum.org/art/collection/search/48885")</f>
        <v>http://www.metmuseum.org/art/collection/search/48885</v>
      </c>
      <c r="CQ77" s="4">
        <v>42842.333402777775</v>
      </c>
      <c r="CR77" s="1" t="s">
        <v>97</v>
      </c>
    </row>
    <row r="78" spans="1:96" ht="132" customHeight="1" x14ac:dyDescent="0.2">
      <c r="A78" s="1" t="s">
        <v>561</v>
      </c>
      <c r="B78" s="1" t="b">
        <v>0</v>
      </c>
      <c r="C78" s="1" t="b">
        <v>1</v>
      </c>
      <c r="D78" s="1">
        <v>48886</v>
      </c>
      <c r="E78" s="1" t="s">
        <v>85</v>
      </c>
      <c r="F78" s="1" t="s">
        <v>379</v>
      </c>
      <c r="N78" s="1" t="s">
        <v>87</v>
      </c>
      <c r="O78" s="1" t="s">
        <v>1798</v>
      </c>
      <c r="P78" s="1">
        <v>1615</v>
      </c>
      <c r="Q78" s="1">
        <v>1868</v>
      </c>
      <c r="U78" s="1" t="s">
        <v>88</v>
      </c>
      <c r="W78" s="1" t="s">
        <v>89</v>
      </c>
      <c r="X78" s="1" t="s">
        <v>1801</v>
      </c>
      <c r="Y78" s="1" t="s">
        <v>562</v>
      </c>
      <c r="Z78" s="1" t="s">
        <v>89</v>
      </c>
      <c r="AA78" s="1" t="s">
        <v>90</v>
      </c>
      <c r="AB78" s="1">
        <v>1760</v>
      </c>
      <c r="AC78" s="1">
        <v>1849</v>
      </c>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t="s">
        <v>383</v>
      </c>
      <c r="BG78" s="1">
        <v>1800</v>
      </c>
      <c r="BH78" s="1">
        <v>1868</v>
      </c>
      <c r="BI78" s="1">
        <v>109</v>
      </c>
      <c r="BJ78" s="1"/>
      <c r="BK78" s="6" t="s">
        <v>1766</v>
      </c>
      <c r="BL78" s="1" t="s">
        <v>1746</v>
      </c>
      <c r="BM78" s="1"/>
      <c r="BN78" s="1" t="s">
        <v>563</v>
      </c>
      <c r="BO78" s="12">
        <v>15.375</v>
      </c>
      <c r="BP78" s="11">
        <v>10.6875</v>
      </c>
      <c r="BQ78" s="11"/>
      <c r="BR78" s="1">
        <v>39.1</v>
      </c>
      <c r="BS78" s="1">
        <v>27.1</v>
      </c>
      <c r="BT78" s="1"/>
      <c r="BU78" s="1"/>
      <c r="BV78" s="1" t="s">
        <v>385</v>
      </c>
      <c r="BW78" s="1" t="s">
        <v>386</v>
      </c>
      <c r="BX78" s="1"/>
      <c r="BY78" s="1">
        <v>1914</v>
      </c>
      <c r="BZ78" s="1" t="s">
        <v>387</v>
      </c>
      <c r="CA78" s="9" t="s">
        <v>388</v>
      </c>
      <c r="CB78" s="9" t="s">
        <v>389</v>
      </c>
      <c r="CC78" s="10"/>
      <c r="CN78" s="1" t="s">
        <v>390</v>
      </c>
      <c r="CP78" s="8" t="str">
        <f>HYPERLINK("http://www.metmuseum.org/art/collection/search/48886","http://www.metmuseum.org/art/collection/search/48886")</f>
        <v>http://www.metmuseum.org/art/collection/search/48886</v>
      </c>
      <c r="CQ78" s="4">
        <v>42842.333402777775</v>
      </c>
      <c r="CR78" s="1" t="s">
        <v>97</v>
      </c>
    </row>
    <row r="79" spans="1:96" ht="52.5" customHeight="1" x14ac:dyDescent="0.2">
      <c r="A79" s="1" t="s">
        <v>564</v>
      </c>
      <c r="B79" s="1" t="b">
        <v>0</v>
      </c>
      <c r="C79" s="1" t="b">
        <v>1</v>
      </c>
      <c r="D79" s="1">
        <v>48887</v>
      </c>
      <c r="E79" s="1" t="s">
        <v>85</v>
      </c>
      <c r="F79" s="1" t="s">
        <v>565</v>
      </c>
      <c r="N79" s="1" t="s">
        <v>87</v>
      </c>
      <c r="O79" s="1" t="s">
        <v>1798</v>
      </c>
      <c r="P79" s="1">
        <v>1615</v>
      </c>
      <c r="Q79" s="6">
        <v>1868</v>
      </c>
      <c r="U79" s="1" t="s">
        <v>88</v>
      </c>
      <c r="W79" s="1" t="s">
        <v>89</v>
      </c>
      <c r="X79" s="1" t="s">
        <v>1801</v>
      </c>
      <c r="Z79" s="1" t="s">
        <v>89</v>
      </c>
      <c r="AA79" s="1" t="s">
        <v>90</v>
      </c>
      <c r="AB79" s="1">
        <v>1760</v>
      </c>
      <c r="AC79" s="1">
        <v>1849</v>
      </c>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t="s">
        <v>383</v>
      </c>
      <c r="BG79" s="1">
        <v>1750</v>
      </c>
      <c r="BH79" s="1">
        <v>1900</v>
      </c>
      <c r="BI79" s="1">
        <v>2</v>
      </c>
      <c r="BJ79" s="1"/>
      <c r="BK79" s="6" t="s">
        <v>1767</v>
      </c>
      <c r="BL79" s="1" t="s">
        <v>1746</v>
      </c>
      <c r="BM79" s="1"/>
      <c r="BN79" s="1" t="s">
        <v>566</v>
      </c>
      <c r="BO79" s="12">
        <v>7.75</v>
      </c>
      <c r="BP79" s="12">
        <v>5.25</v>
      </c>
      <c r="BQ79" s="12"/>
      <c r="BR79" s="1">
        <v>19.7</v>
      </c>
      <c r="BS79" s="1">
        <v>13.3</v>
      </c>
      <c r="BT79" s="1"/>
      <c r="BU79" s="1" t="s">
        <v>487</v>
      </c>
      <c r="BV79" s="1" t="s">
        <v>567</v>
      </c>
      <c r="BW79" s="1" t="s">
        <v>94</v>
      </c>
      <c r="BX79" s="1"/>
      <c r="BY79" s="1">
        <v>1941</v>
      </c>
      <c r="BZ79" s="1"/>
      <c r="CA79" s="1"/>
      <c r="CB79" s="1"/>
      <c r="CN79" s="1" t="s">
        <v>490</v>
      </c>
      <c r="CP79" s="8" t="str">
        <f>HYPERLINK("http://www.metmuseum.org/art/collection/search/48887","http://www.metmuseum.org/art/collection/search/48887")</f>
        <v>http://www.metmuseum.org/art/collection/search/48887</v>
      </c>
      <c r="CQ79" s="4">
        <v>42842.333402777775</v>
      </c>
      <c r="CR79" s="1" t="s">
        <v>97</v>
      </c>
    </row>
    <row r="80" spans="1:96" ht="52.5" customHeight="1" x14ac:dyDescent="0.2">
      <c r="A80" s="1" t="s">
        <v>568</v>
      </c>
      <c r="B80" s="1" t="b">
        <v>0</v>
      </c>
      <c r="C80" s="1" t="b">
        <v>1</v>
      </c>
      <c r="D80" s="1">
        <v>48889</v>
      </c>
      <c r="E80" s="1" t="s">
        <v>85</v>
      </c>
      <c r="F80" s="1" t="s">
        <v>554</v>
      </c>
      <c r="N80" s="1" t="s">
        <v>87</v>
      </c>
      <c r="O80" s="1" t="s">
        <v>1798</v>
      </c>
      <c r="P80" s="1">
        <v>1615</v>
      </c>
      <c r="Q80" s="1">
        <v>1868</v>
      </c>
      <c r="U80" s="1" t="s">
        <v>88</v>
      </c>
      <c r="W80" s="1" t="s">
        <v>89</v>
      </c>
      <c r="X80" s="1" t="s">
        <v>1801</v>
      </c>
      <c r="Z80" s="1" t="s">
        <v>89</v>
      </c>
      <c r="AA80" s="1" t="s">
        <v>90</v>
      </c>
      <c r="AB80" s="1">
        <v>1760</v>
      </c>
      <c r="AC80" s="1">
        <v>1849</v>
      </c>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t="s">
        <v>383</v>
      </c>
      <c r="BG80" s="1">
        <v>1800</v>
      </c>
      <c r="BH80" s="1">
        <v>1849</v>
      </c>
      <c r="BI80" s="1">
        <v>1</v>
      </c>
      <c r="BJ80" s="1"/>
      <c r="BK80" s="6" t="s">
        <v>1768</v>
      </c>
      <c r="BL80" s="1" t="s">
        <v>1748</v>
      </c>
      <c r="BM80" s="1"/>
      <c r="BN80" s="1" t="s">
        <v>569</v>
      </c>
      <c r="BO80" s="12">
        <v>10.375</v>
      </c>
      <c r="BP80" s="1">
        <v>14</v>
      </c>
      <c r="BQ80" s="1"/>
      <c r="BR80" s="1">
        <v>26.4</v>
      </c>
      <c r="BS80" s="1">
        <v>35.6</v>
      </c>
      <c r="BT80" s="1"/>
      <c r="BU80" s="1"/>
      <c r="BV80" s="1" t="s">
        <v>570</v>
      </c>
      <c r="BW80" s="1" t="s">
        <v>94</v>
      </c>
      <c r="BX80" s="1" t="s">
        <v>571</v>
      </c>
      <c r="BY80" s="1">
        <v>1937</v>
      </c>
      <c r="BZ80" s="1"/>
      <c r="CA80" s="1"/>
      <c r="CB80" s="1"/>
      <c r="CN80" s="1" t="s">
        <v>390</v>
      </c>
      <c r="CP80" s="8" t="str">
        <f>HYPERLINK("http://www.metmuseum.org/art/collection/search/48889","http://www.metmuseum.org/art/collection/search/48889")</f>
        <v>http://www.metmuseum.org/art/collection/search/48889</v>
      </c>
      <c r="CQ80" s="4">
        <v>42842.333402777775</v>
      </c>
      <c r="CR80" s="1" t="s">
        <v>97</v>
      </c>
    </row>
    <row r="81" spans="1:96" ht="52.5" customHeight="1" x14ac:dyDescent="0.2">
      <c r="A81" s="1" t="s">
        <v>572</v>
      </c>
      <c r="B81" s="1" t="b">
        <v>0</v>
      </c>
      <c r="C81" s="1" t="b">
        <v>1</v>
      </c>
      <c r="D81" s="1">
        <v>48890</v>
      </c>
      <c r="E81" s="1" t="s">
        <v>85</v>
      </c>
      <c r="F81" s="1" t="s">
        <v>554</v>
      </c>
      <c r="N81" s="1" t="s">
        <v>87</v>
      </c>
      <c r="O81" s="1" t="s">
        <v>1798</v>
      </c>
      <c r="P81" s="1">
        <v>1615</v>
      </c>
      <c r="Q81" s="1">
        <v>1868</v>
      </c>
      <c r="U81" s="1" t="s">
        <v>88</v>
      </c>
      <c r="V81" s="1" t="s">
        <v>530</v>
      </c>
      <c r="W81" s="1" t="s">
        <v>89</v>
      </c>
      <c r="X81" s="1" t="s">
        <v>1801</v>
      </c>
      <c r="Z81" s="1" t="s">
        <v>89</v>
      </c>
      <c r="AA81" s="1" t="s">
        <v>90</v>
      </c>
      <c r="AB81" s="1">
        <v>1760</v>
      </c>
      <c r="AC81" s="1">
        <v>1849</v>
      </c>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t="s">
        <v>573</v>
      </c>
      <c r="BG81" s="1">
        <v>1760</v>
      </c>
      <c r="BH81" s="1">
        <v>1849</v>
      </c>
      <c r="BI81" s="1">
        <v>1</v>
      </c>
      <c r="BJ81" s="1"/>
      <c r="BK81" s="6" t="s">
        <v>1769</v>
      </c>
      <c r="BL81" s="1" t="s">
        <v>1748</v>
      </c>
      <c r="BM81" s="1"/>
      <c r="BN81" s="1" t="s">
        <v>574</v>
      </c>
      <c r="BO81" s="12">
        <v>10.75</v>
      </c>
      <c r="BP81" s="12">
        <v>6.875</v>
      </c>
      <c r="BQ81" s="12"/>
      <c r="BR81" s="1">
        <v>27.3</v>
      </c>
      <c r="BS81" s="1">
        <v>17.5</v>
      </c>
      <c r="BT81" s="1"/>
      <c r="BU81" s="1"/>
      <c r="BV81" s="1" t="s">
        <v>575</v>
      </c>
      <c r="BW81" s="1" t="s">
        <v>386</v>
      </c>
      <c r="BX81" s="1"/>
      <c r="BY81" s="1">
        <v>1956</v>
      </c>
      <c r="BZ81" s="1"/>
      <c r="CA81" s="1" t="s">
        <v>576</v>
      </c>
      <c r="CB81" s="1" t="s">
        <v>577</v>
      </c>
      <c r="CN81" s="1" t="s">
        <v>390</v>
      </c>
      <c r="CP81" s="8" t="str">
        <f>HYPERLINK("http://www.metmuseum.org/art/collection/search/48890","http://www.metmuseum.org/art/collection/search/48890")</f>
        <v>http://www.metmuseum.org/art/collection/search/48890</v>
      </c>
      <c r="CQ81" s="4">
        <v>42842.333402777775</v>
      </c>
      <c r="CR81" s="1" t="s">
        <v>97</v>
      </c>
    </row>
    <row r="82" spans="1:96" ht="78.75" customHeight="1" x14ac:dyDescent="0.2">
      <c r="A82" s="1" t="s">
        <v>578</v>
      </c>
      <c r="B82" s="1" t="b">
        <v>0</v>
      </c>
      <c r="C82" s="1" t="b">
        <v>0</v>
      </c>
      <c r="D82" s="1">
        <v>49094</v>
      </c>
      <c r="E82" s="1" t="s">
        <v>85</v>
      </c>
      <c r="F82" s="1" t="s">
        <v>379</v>
      </c>
      <c r="N82" s="1" t="s">
        <v>87</v>
      </c>
      <c r="O82" s="1" t="s">
        <v>1798</v>
      </c>
      <c r="P82" s="1">
        <v>1615</v>
      </c>
      <c r="Q82" s="1">
        <v>1868</v>
      </c>
      <c r="U82" s="1" t="s">
        <v>88</v>
      </c>
      <c r="W82" s="1" t="s">
        <v>579</v>
      </c>
      <c r="X82" s="1" t="s">
        <v>580</v>
      </c>
      <c r="Z82" s="1" t="s">
        <v>581</v>
      </c>
      <c r="AA82" s="1" t="s">
        <v>90</v>
      </c>
      <c r="AB82" s="1">
        <v>1763</v>
      </c>
      <c r="AC82" s="1">
        <v>1840</v>
      </c>
      <c r="AD82" s="1"/>
      <c r="AE82" s="1" t="s">
        <v>88</v>
      </c>
      <c r="AF82" s="1" t="s">
        <v>89</v>
      </c>
      <c r="AG82" s="1" t="s">
        <v>1801</v>
      </c>
      <c r="AH82" s="1" t="s">
        <v>90</v>
      </c>
      <c r="AI82" s="1">
        <v>1760</v>
      </c>
      <c r="AJ82" s="1">
        <v>1849</v>
      </c>
      <c r="AK82" s="1"/>
      <c r="AL82" s="1" t="s">
        <v>88</v>
      </c>
      <c r="AM82" s="1" t="s">
        <v>582</v>
      </c>
      <c r="AN82" s="1" t="s">
        <v>583</v>
      </c>
      <c r="AO82" s="1" t="s">
        <v>90</v>
      </c>
      <c r="AP82" s="1">
        <v>1797</v>
      </c>
      <c r="AQ82" s="1">
        <v>1858</v>
      </c>
      <c r="AR82" s="1"/>
      <c r="AS82" s="1"/>
      <c r="AT82" s="1"/>
      <c r="AU82" s="1"/>
      <c r="AV82" s="1"/>
      <c r="AW82" s="1"/>
      <c r="AX82" s="1"/>
      <c r="AY82" s="1"/>
      <c r="AZ82" s="1"/>
      <c r="BA82" s="1"/>
      <c r="BB82" s="1"/>
      <c r="BC82" s="1"/>
      <c r="BD82" s="1"/>
      <c r="BE82" s="1"/>
      <c r="BF82" s="1" t="s">
        <v>383</v>
      </c>
      <c r="BG82" s="1">
        <v>1800</v>
      </c>
      <c r="BH82" s="1">
        <v>1858</v>
      </c>
      <c r="BI82" s="1">
        <v>1</v>
      </c>
      <c r="BJ82" s="1"/>
      <c r="BK82" s="6" t="s">
        <v>1770</v>
      </c>
      <c r="BL82" s="1" t="s">
        <v>1747</v>
      </c>
      <c r="BM82" s="1"/>
      <c r="BN82" s="1" t="s">
        <v>584</v>
      </c>
      <c r="BO82" s="12">
        <v>6.75</v>
      </c>
      <c r="BP82" s="1">
        <v>6</v>
      </c>
      <c r="BQ82" s="1"/>
      <c r="BR82" s="1">
        <v>17.100000000000001</v>
      </c>
      <c r="BS82" s="1">
        <v>15.2</v>
      </c>
      <c r="BT82" s="1"/>
      <c r="BU82" s="1" t="s">
        <v>585</v>
      </c>
      <c r="BV82" s="1" t="s">
        <v>447</v>
      </c>
      <c r="BW82" s="1" t="s">
        <v>346</v>
      </c>
      <c r="BX82" s="1"/>
      <c r="BY82" s="1">
        <v>1929</v>
      </c>
      <c r="BZ82" s="1" t="s">
        <v>448</v>
      </c>
      <c r="CA82" s="1" t="s">
        <v>449</v>
      </c>
      <c r="CB82" s="1"/>
      <c r="CN82" s="1" t="s">
        <v>390</v>
      </c>
      <c r="CP82" s="8" t="str">
        <f>HYPERLINK("http://www.metmuseum.org/art/collection/search/49094","http://www.metmuseum.org/art/collection/search/49094")</f>
        <v>http://www.metmuseum.org/art/collection/search/49094</v>
      </c>
      <c r="CQ82" s="4">
        <v>42842.333402777775</v>
      </c>
      <c r="CR82" s="1" t="s">
        <v>97</v>
      </c>
    </row>
    <row r="83" spans="1:96" ht="52.5" customHeight="1" x14ac:dyDescent="0.2">
      <c r="A83" s="1" t="s">
        <v>586</v>
      </c>
      <c r="B83" s="1" t="b">
        <v>0</v>
      </c>
      <c r="C83" s="1" t="b">
        <v>1</v>
      </c>
      <c r="D83" s="1">
        <v>49934</v>
      </c>
      <c r="E83" s="1" t="s">
        <v>85</v>
      </c>
      <c r="F83" s="1" t="s">
        <v>99</v>
      </c>
      <c r="G83" s="1" t="s">
        <v>587</v>
      </c>
      <c r="H83" s="1" t="s">
        <v>588</v>
      </c>
      <c r="I83" s="1" t="s">
        <v>589</v>
      </c>
      <c r="J83" s="1" t="s">
        <v>590</v>
      </c>
      <c r="K83" s="1" t="s">
        <v>591</v>
      </c>
      <c r="L83" s="1" t="s">
        <v>592</v>
      </c>
      <c r="M83" s="1" t="s">
        <v>593</v>
      </c>
      <c r="N83" s="1" t="s">
        <v>87</v>
      </c>
      <c r="O83" s="1" t="s">
        <v>1798</v>
      </c>
      <c r="P83" s="1">
        <v>1615</v>
      </c>
      <c r="Q83" s="1">
        <v>1868</v>
      </c>
      <c r="U83" s="1" t="s">
        <v>88</v>
      </c>
      <c r="W83" s="1" t="s">
        <v>89</v>
      </c>
      <c r="X83" s="1" t="s">
        <v>1801</v>
      </c>
      <c r="Z83" s="1" t="s">
        <v>89</v>
      </c>
      <c r="AA83" s="1" t="s">
        <v>90</v>
      </c>
      <c r="AB83" s="1">
        <v>1760</v>
      </c>
      <c r="AC83" s="1">
        <v>1849</v>
      </c>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t="s">
        <v>404</v>
      </c>
      <c r="BG83" s="1">
        <v>1822</v>
      </c>
      <c r="BH83" s="1">
        <v>1842</v>
      </c>
      <c r="BI83" s="1">
        <v>1</v>
      </c>
      <c r="BJ83" s="1"/>
      <c r="BK83" s="6" t="s">
        <v>1760</v>
      </c>
      <c r="BL83" s="1" t="s">
        <v>1746</v>
      </c>
      <c r="BM83" s="1"/>
      <c r="BN83" s="1" t="s">
        <v>594</v>
      </c>
      <c r="BO83" s="12">
        <v>9.875</v>
      </c>
      <c r="BP83" s="12">
        <v>9.875</v>
      </c>
      <c r="BQ83" s="12"/>
      <c r="BR83" s="1">
        <v>25.1</v>
      </c>
      <c r="BS83" s="1">
        <v>37.1</v>
      </c>
      <c r="BT83" s="1"/>
      <c r="BU83" s="1"/>
      <c r="BV83" s="1" t="s">
        <v>345</v>
      </c>
      <c r="BW83" s="1" t="s">
        <v>346</v>
      </c>
      <c r="BX83" s="1"/>
      <c r="BY83" s="1">
        <v>1939</v>
      </c>
      <c r="BZ83" s="1" t="s">
        <v>347</v>
      </c>
      <c r="CA83" s="1" t="s">
        <v>348</v>
      </c>
      <c r="CB83" s="1"/>
      <c r="CN83" s="1" t="s">
        <v>96</v>
      </c>
      <c r="CP83" s="8" t="str">
        <f>HYPERLINK("http://www.metmuseum.org/art/collection/search/49934","http://www.metmuseum.org/art/collection/search/49934")</f>
        <v>http://www.metmuseum.org/art/collection/search/49934</v>
      </c>
      <c r="CQ83" s="4">
        <v>42842.333402777775</v>
      </c>
      <c r="CR83" s="1" t="s">
        <v>97</v>
      </c>
    </row>
    <row r="84" spans="1:96" ht="52.5" customHeight="1" x14ac:dyDescent="0.2">
      <c r="A84" s="1" t="s">
        <v>595</v>
      </c>
      <c r="B84" s="1" t="b">
        <v>0</v>
      </c>
      <c r="C84" s="1" t="b">
        <v>1</v>
      </c>
      <c r="D84" s="1">
        <v>49935</v>
      </c>
      <c r="E84" s="1" t="s">
        <v>85</v>
      </c>
      <c r="F84" s="1" t="s">
        <v>99</v>
      </c>
      <c r="G84" s="1" t="s">
        <v>596</v>
      </c>
      <c r="H84" s="1" t="s">
        <v>597</v>
      </c>
      <c r="I84" s="1" t="s">
        <v>598</v>
      </c>
      <c r="J84" s="1" t="s">
        <v>599</v>
      </c>
      <c r="K84" s="1" t="s">
        <v>591</v>
      </c>
      <c r="L84" s="1" t="s">
        <v>592</v>
      </c>
      <c r="M84" s="1" t="s">
        <v>593</v>
      </c>
      <c r="N84" s="1" t="s">
        <v>87</v>
      </c>
      <c r="O84" s="1" t="s">
        <v>1798</v>
      </c>
      <c r="P84" s="1">
        <v>1615</v>
      </c>
      <c r="Q84" s="1">
        <v>1868</v>
      </c>
      <c r="U84" s="1" t="s">
        <v>88</v>
      </c>
      <c r="W84" s="1" t="s">
        <v>89</v>
      </c>
      <c r="X84" s="1" t="s">
        <v>1801</v>
      </c>
      <c r="Z84" s="1" t="s">
        <v>89</v>
      </c>
      <c r="AA84" s="1" t="s">
        <v>90</v>
      </c>
      <c r="AB84" s="1">
        <v>1760</v>
      </c>
      <c r="AC84" s="1">
        <v>1849</v>
      </c>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t="s">
        <v>404</v>
      </c>
      <c r="BG84" s="1">
        <v>1822</v>
      </c>
      <c r="BH84" s="1">
        <v>1842</v>
      </c>
      <c r="BI84" s="1">
        <v>1</v>
      </c>
      <c r="BJ84" s="1"/>
      <c r="BK84" s="6" t="s">
        <v>1760</v>
      </c>
      <c r="BL84" s="1" t="s">
        <v>1746</v>
      </c>
      <c r="BM84" s="1"/>
      <c r="BN84" s="1" t="s">
        <v>594</v>
      </c>
      <c r="BO84" s="12">
        <v>9.875</v>
      </c>
      <c r="BP84" s="12">
        <v>14.625</v>
      </c>
      <c r="BQ84" s="12"/>
      <c r="BR84" s="1">
        <v>25.1</v>
      </c>
      <c r="BS84" s="1">
        <v>37.1</v>
      </c>
      <c r="BT84" s="1"/>
      <c r="BU84" s="1"/>
      <c r="BV84" s="1" t="s">
        <v>345</v>
      </c>
      <c r="BW84" s="1" t="s">
        <v>346</v>
      </c>
      <c r="BX84" s="1"/>
      <c r="BY84" s="1">
        <v>1939</v>
      </c>
      <c r="BZ84" s="1" t="s">
        <v>347</v>
      </c>
      <c r="CA84" s="1" t="s">
        <v>348</v>
      </c>
      <c r="CB84" s="1"/>
      <c r="CN84" s="1" t="s">
        <v>96</v>
      </c>
      <c r="CP84" s="8" t="str">
        <f>HYPERLINK("http://www.metmuseum.org/art/collection/search/49935","http://www.metmuseum.org/art/collection/search/49935")</f>
        <v>http://www.metmuseum.org/art/collection/search/49935</v>
      </c>
      <c r="CQ84" s="4">
        <v>42842.333402777775</v>
      </c>
      <c r="CR84" s="1" t="s">
        <v>97</v>
      </c>
    </row>
    <row r="85" spans="1:96" ht="52.5" customHeight="1" x14ac:dyDescent="0.2">
      <c r="A85" s="1" t="s">
        <v>600</v>
      </c>
      <c r="B85" s="1" t="b">
        <v>0</v>
      </c>
      <c r="C85" s="1" t="b">
        <v>1</v>
      </c>
      <c r="D85" s="1">
        <v>49936</v>
      </c>
      <c r="E85" s="1" t="s">
        <v>85</v>
      </c>
      <c r="F85" s="1" t="s">
        <v>99</v>
      </c>
      <c r="G85" s="1" t="s">
        <v>601</v>
      </c>
      <c r="H85" s="1" t="s">
        <v>602</v>
      </c>
      <c r="I85" s="1" t="s">
        <v>603</v>
      </c>
      <c r="J85" s="1" t="s">
        <v>604</v>
      </c>
      <c r="K85" s="1" t="s">
        <v>591</v>
      </c>
      <c r="L85" s="1" t="s">
        <v>592</v>
      </c>
      <c r="M85" s="1" t="s">
        <v>593</v>
      </c>
      <c r="N85" s="1" t="s">
        <v>87</v>
      </c>
      <c r="O85" s="1" t="s">
        <v>1798</v>
      </c>
      <c r="P85" s="1">
        <v>1615</v>
      </c>
      <c r="Q85" s="1">
        <v>1868</v>
      </c>
      <c r="U85" s="1" t="s">
        <v>88</v>
      </c>
      <c r="W85" s="1" t="s">
        <v>89</v>
      </c>
      <c r="X85" s="1" t="s">
        <v>1801</v>
      </c>
      <c r="Z85" s="1" t="s">
        <v>89</v>
      </c>
      <c r="AA85" s="1" t="s">
        <v>90</v>
      </c>
      <c r="AB85" s="1">
        <v>1760</v>
      </c>
      <c r="AC85" s="1">
        <v>1849</v>
      </c>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t="s">
        <v>404</v>
      </c>
      <c r="BG85" s="1">
        <v>1822</v>
      </c>
      <c r="BH85" s="1">
        <v>1842</v>
      </c>
      <c r="BI85" s="1">
        <v>1</v>
      </c>
      <c r="BJ85" s="1"/>
      <c r="BK85" s="6" t="s">
        <v>1760</v>
      </c>
      <c r="BL85" s="1" t="s">
        <v>1746</v>
      </c>
      <c r="BM85" s="1"/>
      <c r="BN85" s="1" t="s">
        <v>594</v>
      </c>
      <c r="BO85" s="12">
        <v>9.875</v>
      </c>
      <c r="BP85" s="12">
        <v>14.625</v>
      </c>
      <c r="BQ85" s="12"/>
      <c r="BR85" s="1">
        <v>25.1</v>
      </c>
      <c r="BS85" s="1">
        <v>37.1</v>
      </c>
      <c r="BT85" s="1"/>
      <c r="BU85" s="1"/>
      <c r="BV85" s="1" t="s">
        <v>345</v>
      </c>
      <c r="BW85" s="1" t="s">
        <v>346</v>
      </c>
      <c r="BX85" s="1"/>
      <c r="BY85" s="1">
        <v>1939</v>
      </c>
      <c r="BZ85" s="1" t="s">
        <v>347</v>
      </c>
      <c r="CA85" s="1" t="s">
        <v>348</v>
      </c>
      <c r="CB85" s="1"/>
      <c r="CN85" s="1" t="s">
        <v>96</v>
      </c>
      <c r="CP85" s="8" t="str">
        <f>HYPERLINK("http://www.metmuseum.org/art/collection/search/49936","http://www.metmuseum.org/art/collection/search/49936")</f>
        <v>http://www.metmuseum.org/art/collection/search/49936</v>
      </c>
      <c r="CQ85" s="4">
        <v>42842.333402777775</v>
      </c>
      <c r="CR85" s="1" t="s">
        <v>97</v>
      </c>
    </row>
    <row r="86" spans="1:96" ht="52.5" customHeight="1" x14ac:dyDescent="0.2">
      <c r="A86" s="1" t="s">
        <v>605</v>
      </c>
      <c r="B86" s="1" t="b">
        <v>0</v>
      </c>
      <c r="C86" s="1" t="b">
        <v>1</v>
      </c>
      <c r="D86" s="1">
        <v>49937</v>
      </c>
      <c r="E86" s="1" t="s">
        <v>85</v>
      </c>
      <c r="F86" s="1" t="s">
        <v>99</v>
      </c>
      <c r="G86" s="1" t="s">
        <v>606</v>
      </c>
      <c r="H86" s="1" t="s">
        <v>607</v>
      </c>
      <c r="I86" s="1" t="s">
        <v>608</v>
      </c>
      <c r="J86" s="1" t="s">
        <v>609</v>
      </c>
      <c r="K86" s="1" t="s">
        <v>591</v>
      </c>
      <c r="L86" s="1" t="s">
        <v>592</v>
      </c>
      <c r="M86" s="1" t="s">
        <v>593</v>
      </c>
      <c r="N86" s="1" t="s">
        <v>87</v>
      </c>
      <c r="O86" s="6" t="s">
        <v>1798</v>
      </c>
      <c r="P86" s="1">
        <v>1615</v>
      </c>
      <c r="Q86" s="1">
        <v>1868</v>
      </c>
      <c r="U86" s="1" t="s">
        <v>88</v>
      </c>
      <c r="W86" s="1" t="s">
        <v>89</v>
      </c>
      <c r="X86" s="1" t="s">
        <v>1801</v>
      </c>
      <c r="Z86" s="1" t="s">
        <v>89</v>
      </c>
      <c r="AA86" s="1" t="s">
        <v>90</v>
      </c>
      <c r="AB86" s="1">
        <v>1760</v>
      </c>
      <c r="AC86" s="1">
        <v>1849</v>
      </c>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t="s">
        <v>404</v>
      </c>
      <c r="BG86" s="1">
        <v>1822</v>
      </c>
      <c r="BH86" s="1">
        <v>1842</v>
      </c>
      <c r="BI86" s="1">
        <v>1</v>
      </c>
      <c r="BJ86" s="1"/>
      <c r="BK86" s="1" t="s">
        <v>1760</v>
      </c>
      <c r="BL86" s="1" t="s">
        <v>1746</v>
      </c>
      <c r="BM86" s="1"/>
      <c r="BN86" s="1" t="s">
        <v>594</v>
      </c>
      <c r="BO86" s="12">
        <v>9.875</v>
      </c>
      <c r="BP86" s="12">
        <v>14.625</v>
      </c>
      <c r="BQ86" s="12"/>
      <c r="BR86" s="1">
        <v>25.1</v>
      </c>
      <c r="BS86" s="1">
        <v>37.1</v>
      </c>
      <c r="BT86" s="1"/>
      <c r="BU86" s="1"/>
      <c r="BV86" s="1" t="s">
        <v>345</v>
      </c>
      <c r="BW86" s="1" t="s">
        <v>346</v>
      </c>
      <c r="BX86" s="1"/>
      <c r="BY86" s="1">
        <v>1939</v>
      </c>
      <c r="BZ86" s="1" t="s">
        <v>347</v>
      </c>
      <c r="CA86" s="1" t="s">
        <v>348</v>
      </c>
      <c r="CB86" s="1"/>
      <c r="CN86" s="1" t="s">
        <v>96</v>
      </c>
      <c r="CP86" s="8" t="str">
        <f>HYPERLINK("http://www.metmuseum.org/art/collection/search/49937","http://www.metmuseum.org/art/collection/search/49937")</f>
        <v>http://www.metmuseum.org/art/collection/search/49937</v>
      </c>
      <c r="CQ86" s="4">
        <v>42842.333402777775</v>
      </c>
      <c r="CR86" s="1" t="s">
        <v>97</v>
      </c>
    </row>
    <row r="87" spans="1:96" ht="52.5" customHeight="1" x14ac:dyDescent="0.2">
      <c r="A87" s="1" t="s">
        <v>610</v>
      </c>
      <c r="B87" s="1" t="b">
        <v>0</v>
      </c>
      <c r="C87" s="1" t="b">
        <v>1</v>
      </c>
      <c r="D87" s="1">
        <v>49938</v>
      </c>
      <c r="E87" s="1" t="s">
        <v>85</v>
      </c>
      <c r="F87" s="1" t="s">
        <v>99</v>
      </c>
      <c r="G87" s="1" t="s">
        <v>611</v>
      </c>
      <c r="H87" s="1" t="s">
        <v>612</v>
      </c>
      <c r="I87" s="1" t="s">
        <v>613</v>
      </c>
      <c r="J87" s="1" t="s">
        <v>614</v>
      </c>
      <c r="K87" s="1" t="s">
        <v>591</v>
      </c>
      <c r="L87" s="1" t="s">
        <v>592</v>
      </c>
      <c r="M87" s="1" t="s">
        <v>593</v>
      </c>
      <c r="N87" s="1" t="s">
        <v>87</v>
      </c>
      <c r="O87" s="1" t="s">
        <v>1798</v>
      </c>
      <c r="P87" s="1">
        <v>1615</v>
      </c>
      <c r="Q87" s="1">
        <v>1868</v>
      </c>
      <c r="U87" s="1" t="s">
        <v>88</v>
      </c>
      <c r="W87" s="1" t="s">
        <v>89</v>
      </c>
      <c r="X87" s="1" t="s">
        <v>1801</v>
      </c>
      <c r="Z87" s="1" t="s">
        <v>89</v>
      </c>
      <c r="AA87" s="1" t="s">
        <v>90</v>
      </c>
      <c r="AB87" s="1">
        <v>1760</v>
      </c>
      <c r="AC87" s="1">
        <v>1849</v>
      </c>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t="s">
        <v>404</v>
      </c>
      <c r="BG87" s="1">
        <v>1822</v>
      </c>
      <c r="BH87" s="1">
        <v>1842</v>
      </c>
      <c r="BI87" s="1">
        <v>1</v>
      </c>
      <c r="BJ87" s="1"/>
      <c r="BK87" s="1" t="s">
        <v>1760</v>
      </c>
      <c r="BL87" s="1" t="s">
        <v>1746</v>
      </c>
      <c r="BM87" s="1" t="s">
        <v>615</v>
      </c>
      <c r="BN87" s="1" t="s">
        <v>419</v>
      </c>
      <c r="BO87" s="12">
        <v>9.75</v>
      </c>
      <c r="BP87" s="12">
        <v>14.5</v>
      </c>
      <c r="BQ87" s="12"/>
      <c r="BR87" s="1">
        <v>24.8</v>
      </c>
      <c r="BS87" s="1">
        <v>36.799999999999997</v>
      </c>
      <c r="BT87" s="1"/>
      <c r="BU87" s="1"/>
      <c r="BV87" s="1" t="s">
        <v>345</v>
      </c>
      <c r="BW87" s="1" t="s">
        <v>346</v>
      </c>
      <c r="BX87" s="1"/>
      <c r="BY87" s="1">
        <v>1939</v>
      </c>
      <c r="BZ87" s="1" t="s">
        <v>347</v>
      </c>
      <c r="CA87" s="1" t="s">
        <v>348</v>
      </c>
      <c r="CB87" s="1"/>
      <c r="CN87" s="1" t="s">
        <v>96</v>
      </c>
      <c r="CP87" s="8" t="str">
        <f>HYPERLINK("http://www.metmuseum.org/art/collection/search/49938","http://www.metmuseum.org/art/collection/search/49938")</f>
        <v>http://www.metmuseum.org/art/collection/search/49938</v>
      </c>
      <c r="CQ87" s="4">
        <v>42842.333402777775</v>
      </c>
      <c r="CR87" s="1" t="s">
        <v>97</v>
      </c>
    </row>
    <row r="88" spans="1:96" ht="52.5" customHeight="1" x14ac:dyDescent="0.2">
      <c r="A88" s="1" t="s">
        <v>616</v>
      </c>
      <c r="B88" s="1" t="b">
        <v>0</v>
      </c>
      <c r="C88" s="1" t="b">
        <v>1</v>
      </c>
      <c r="D88" s="1">
        <v>49939</v>
      </c>
      <c r="E88" s="1" t="s">
        <v>85</v>
      </c>
      <c r="F88" s="1" t="s">
        <v>99</v>
      </c>
      <c r="G88" s="1" t="s">
        <v>617</v>
      </c>
      <c r="H88" s="1" t="s">
        <v>618</v>
      </c>
      <c r="I88" s="1" t="s">
        <v>619</v>
      </c>
      <c r="J88" s="1" t="s">
        <v>620</v>
      </c>
      <c r="K88" s="1" t="s">
        <v>591</v>
      </c>
      <c r="L88" s="1" t="s">
        <v>592</v>
      </c>
      <c r="M88" s="1" t="s">
        <v>593</v>
      </c>
      <c r="N88" s="1" t="s">
        <v>87</v>
      </c>
      <c r="O88" s="6" t="s">
        <v>1798</v>
      </c>
      <c r="P88" s="1">
        <v>1615</v>
      </c>
      <c r="Q88" s="1">
        <v>1868</v>
      </c>
      <c r="U88" s="1" t="s">
        <v>88</v>
      </c>
      <c r="W88" s="1" t="s">
        <v>89</v>
      </c>
      <c r="X88" s="1" t="s">
        <v>1801</v>
      </c>
      <c r="Z88" s="1" t="s">
        <v>89</v>
      </c>
      <c r="AA88" s="1" t="s">
        <v>90</v>
      </c>
      <c r="AB88" s="1">
        <v>1760</v>
      </c>
      <c r="AC88" s="1">
        <v>1849</v>
      </c>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t="s">
        <v>404</v>
      </c>
      <c r="BG88" s="1">
        <v>1822</v>
      </c>
      <c r="BH88" s="1">
        <v>1842</v>
      </c>
      <c r="BI88" s="1">
        <v>1</v>
      </c>
      <c r="BJ88" s="1"/>
      <c r="BK88" s="1" t="s">
        <v>1760</v>
      </c>
      <c r="BL88" s="1" t="s">
        <v>1746</v>
      </c>
      <c r="BM88" s="1"/>
      <c r="BN88" s="1" t="s">
        <v>621</v>
      </c>
      <c r="BO88" s="12">
        <v>9.875</v>
      </c>
      <c r="BP88" s="12">
        <v>14.5</v>
      </c>
      <c r="BQ88" s="12"/>
      <c r="BR88" s="1">
        <v>25.1</v>
      </c>
      <c r="BS88" s="1">
        <v>36.799999999999997</v>
      </c>
      <c r="BT88" s="1"/>
      <c r="BU88" s="1"/>
      <c r="BV88" s="1" t="s">
        <v>345</v>
      </c>
      <c r="BW88" s="1" t="s">
        <v>346</v>
      </c>
      <c r="BX88" s="1"/>
      <c r="BY88" s="1">
        <v>1939</v>
      </c>
      <c r="BZ88" s="1" t="s">
        <v>347</v>
      </c>
      <c r="CA88" s="1" t="s">
        <v>348</v>
      </c>
      <c r="CB88" s="1"/>
      <c r="CN88" s="1" t="s">
        <v>96</v>
      </c>
      <c r="CP88" s="8" t="str">
        <f>HYPERLINK("http://www.metmuseum.org/art/collection/search/49939","http://www.metmuseum.org/art/collection/search/49939")</f>
        <v>http://www.metmuseum.org/art/collection/search/49939</v>
      </c>
      <c r="CQ88" s="4">
        <v>42842.333402777775</v>
      </c>
      <c r="CR88" s="1" t="s">
        <v>97</v>
      </c>
    </row>
    <row r="89" spans="1:96" ht="52.5" customHeight="1" x14ac:dyDescent="0.2">
      <c r="A89" s="1" t="s">
        <v>622</v>
      </c>
      <c r="B89" s="1" t="b">
        <v>0</v>
      </c>
      <c r="C89" s="1" t="b">
        <v>1</v>
      </c>
      <c r="D89" s="1">
        <v>49940</v>
      </c>
      <c r="E89" s="1" t="s">
        <v>85</v>
      </c>
      <c r="F89" s="1" t="s">
        <v>99</v>
      </c>
      <c r="G89" s="1" t="s">
        <v>623</v>
      </c>
      <c r="H89" s="1" t="s">
        <v>624</v>
      </c>
      <c r="I89" s="1" t="s">
        <v>625</v>
      </c>
      <c r="J89" s="1" t="s">
        <v>626</v>
      </c>
      <c r="K89" s="1" t="s">
        <v>591</v>
      </c>
      <c r="L89" s="1" t="s">
        <v>592</v>
      </c>
      <c r="M89" s="1" t="s">
        <v>593</v>
      </c>
      <c r="N89" s="1" t="s">
        <v>87</v>
      </c>
      <c r="O89" s="1" t="s">
        <v>1798</v>
      </c>
      <c r="P89" s="1">
        <v>1615</v>
      </c>
      <c r="Q89" s="1">
        <v>1868</v>
      </c>
      <c r="U89" s="1" t="s">
        <v>88</v>
      </c>
      <c r="W89" s="1" t="s">
        <v>89</v>
      </c>
      <c r="X89" s="1" t="s">
        <v>1801</v>
      </c>
      <c r="Z89" s="1" t="s">
        <v>89</v>
      </c>
      <c r="AA89" s="1" t="s">
        <v>90</v>
      </c>
      <c r="AB89" s="1">
        <v>1760</v>
      </c>
      <c r="AC89" s="1">
        <v>1849</v>
      </c>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t="s">
        <v>404</v>
      </c>
      <c r="BG89" s="1">
        <v>1822</v>
      </c>
      <c r="BH89" s="1">
        <v>1842</v>
      </c>
      <c r="BI89" s="1">
        <v>1</v>
      </c>
      <c r="BJ89" s="1"/>
      <c r="BK89" s="1" t="s">
        <v>1760</v>
      </c>
      <c r="BL89" s="1" t="s">
        <v>1746</v>
      </c>
      <c r="BM89" s="1"/>
      <c r="BN89" s="1" t="s">
        <v>594</v>
      </c>
      <c r="BO89" s="12">
        <v>9.875</v>
      </c>
      <c r="BP89" s="12">
        <v>14.625</v>
      </c>
      <c r="BQ89" s="12"/>
      <c r="BR89" s="1">
        <v>25.1</v>
      </c>
      <c r="BS89" s="1">
        <v>37.1</v>
      </c>
      <c r="BT89" s="1"/>
      <c r="BU89" s="1"/>
      <c r="BV89" s="1" t="s">
        <v>345</v>
      </c>
      <c r="BW89" s="1" t="s">
        <v>346</v>
      </c>
      <c r="BX89" s="1"/>
      <c r="BY89" s="1">
        <v>1939</v>
      </c>
      <c r="BZ89" s="1" t="s">
        <v>347</v>
      </c>
      <c r="CA89" s="1" t="s">
        <v>348</v>
      </c>
      <c r="CB89" s="1"/>
      <c r="CN89" s="1" t="s">
        <v>96</v>
      </c>
      <c r="CP89" s="8" t="str">
        <f>HYPERLINK("http://www.metmuseum.org/art/collection/search/49940","http://www.metmuseum.org/art/collection/search/49940")</f>
        <v>http://www.metmuseum.org/art/collection/search/49940</v>
      </c>
      <c r="CQ89" s="4">
        <v>42842.333402777775</v>
      </c>
      <c r="CR89" s="1" t="s">
        <v>97</v>
      </c>
    </row>
    <row r="90" spans="1:96" ht="52.5" customHeight="1" x14ac:dyDescent="0.2">
      <c r="A90" s="1" t="s">
        <v>627</v>
      </c>
      <c r="B90" s="1" t="b">
        <v>0</v>
      </c>
      <c r="C90" s="1" t="b">
        <v>1</v>
      </c>
      <c r="D90" s="1">
        <v>49941</v>
      </c>
      <c r="E90" s="1" t="s">
        <v>85</v>
      </c>
      <c r="F90" s="1" t="s">
        <v>99</v>
      </c>
      <c r="G90" s="1" t="s">
        <v>628</v>
      </c>
      <c r="H90" s="1" t="s">
        <v>629</v>
      </c>
      <c r="I90" s="1" t="s">
        <v>630</v>
      </c>
      <c r="J90" s="1" t="s">
        <v>631</v>
      </c>
      <c r="K90" s="1" t="s">
        <v>591</v>
      </c>
      <c r="L90" s="1" t="s">
        <v>592</v>
      </c>
      <c r="M90" s="1" t="s">
        <v>593</v>
      </c>
      <c r="N90" s="1" t="s">
        <v>87</v>
      </c>
      <c r="O90" s="1" t="s">
        <v>1798</v>
      </c>
      <c r="P90" s="1">
        <v>1615</v>
      </c>
      <c r="Q90" s="1">
        <v>1868</v>
      </c>
      <c r="U90" s="1" t="s">
        <v>88</v>
      </c>
      <c r="W90" s="1" t="s">
        <v>89</v>
      </c>
      <c r="X90" s="1" t="s">
        <v>1801</v>
      </c>
      <c r="Z90" s="1" t="s">
        <v>89</v>
      </c>
      <c r="AA90" s="1" t="s">
        <v>90</v>
      </c>
      <c r="AB90" s="1">
        <v>1760</v>
      </c>
      <c r="AC90" s="1">
        <v>1849</v>
      </c>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t="s">
        <v>404</v>
      </c>
      <c r="BG90" s="1">
        <v>1822</v>
      </c>
      <c r="BH90" s="1">
        <v>1842</v>
      </c>
      <c r="BI90" s="1">
        <v>1</v>
      </c>
      <c r="BJ90" s="1"/>
      <c r="BK90" s="1" t="s">
        <v>1760</v>
      </c>
      <c r="BL90" s="1" t="s">
        <v>1746</v>
      </c>
      <c r="BM90" s="1"/>
      <c r="BN90" s="1" t="s">
        <v>594</v>
      </c>
      <c r="BO90" s="12">
        <v>9.875</v>
      </c>
      <c r="BP90" s="12">
        <v>14.625</v>
      </c>
      <c r="BQ90" s="12"/>
      <c r="BR90" s="1">
        <v>25.1</v>
      </c>
      <c r="BS90" s="1">
        <v>37.1</v>
      </c>
      <c r="BT90" s="1"/>
      <c r="BU90" s="1"/>
      <c r="BV90" s="1" t="s">
        <v>345</v>
      </c>
      <c r="BW90" s="1" t="s">
        <v>346</v>
      </c>
      <c r="BX90" s="1"/>
      <c r="BY90" s="1">
        <v>1939</v>
      </c>
      <c r="BZ90" s="1" t="s">
        <v>347</v>
      </c>
      <c r="CA90" s="1" t="s">
        <v>348</v>
      </c>
      <c r="CB90" s="1"/>
      <c r="CN90" s="1" t="s">
        <v>96</v>
      </c>
      <c r="CP90" s="8" t="str">
        <f>HYPERLINK("http://www.metmuseum.org/art/collection/search/49941","http://www.metmuseum.org/art/collection/search/49941")</f>
        <v>http://www.metmuseum.org/art/collection/search/49941</v>
      </c>
      <c r="CQ90" s="4">
        <v>42842.333402777775</v>
      </c>
      <c r="CR90" s="1" t="s">
        <v>97</v>
      </c>
    </row>
    <row r="91" spans="1:96" ht="132" customHeight="1" x14ac:dyDescent="0.2">
      <c r="A91" s="1" t="s">
        <v>632</v>
      </c>
      <c r="B91" s="1" t="b">
        <v>0</v>
      </c>
      <c r="C91" s="1" t="b">
        <v>1</v>
      </c>
      <c r="D91" s="1">
        <v>50915</v>
      </c>
      <c r="E91" s="1" t="s">
        <v>85</v>
      </c>
      <c r="F91" s="1" t="s">
        <v>379</v>
      </c>
      <c r="G91" s="1" t="s">
        <v>633</v>
      </c>
      <c r="H91" s="1" t="s">
        <v>634</v>
      </c>
      <c r="I91" s="1" t="s">
        <v>635</v>
      </c>
      <c r="J91" s="1" t="s">
        <v>636</v>
      </c>
      <c r="K91" s="1"/>
      <c r="L91" s="1"/>
      <c r="M91" s="1"/>
      <c r="N91" s="1" t="s">
        <v>87</v>
      </c>
      <c r="O91" s="1" t="s">
        <v>1798</v>
      </c>
      <c r="P91" s="1">
        <v>1615</v>
      </c>
      <c r="Q91" s="1">
        <v>1868</v>
      </c>
      <c r="U91" s="1" t="s">
        <v>88</v>
      </c>
      <c r="W91" s="1" t="s">
        <v>89</v>
      </c>
      <c r="X91" s="1" t="s">
        <v>1801</v>
      </c>
      <c r="Z91" s="1" t="s">
        <v>89</v>
      </c>
      <c r="AA91" s="1" t="s">
        <v>90</v>
      </c>
      <c r="AB91" s="1">
        <v>1760</v>
      </c>
      <c r="AC91" s="1">
        <v>1849</v>
      </c>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t="s">
        <v>637</v>
      </c>
      <c r="BG91" s="1">
        <v>1826</v>
      </c>
      <c r="BH91" s="1">
        <v>1846</v>
      </c>
      <c r="BI91" s="1">
        <v>25</v>
      </c>
      <c r="BJ91" s="6" t="s">
        <v>1756</v>
      </c>
      <c r="BK91" s="6" t="s">
        <v>1771</v>
      </c>
      <c r="BL91" s="1" t="s">
        <v>1748</v>
      </c>
      <c r="BM91" s="1"/>
      <c r="BN91" s="1" t="s">
        <v>638</v>
      </c>
      <c r="BO91" s="1">
        <v>10</v>
      </c>
      <c r="BP91" s="12">
        <v>15.5</v>
      </c>
      <c r="BQ91" s="12"/>
      <c r="BR91" s="1">
        <v>25.4</v>
      </c>
      <c r="BS91" s="1">
        <v>39.4</v>
      </c>
      <c r="BT91" s="1"/>
      <c r="BU91" s="1"/>
      <c r="BV91" s="1" t="s">
        <v>385</v>
      </c>
      <c r="BW91" s="1" t="s">
        <v>386</v>
      </c>
      <c r="BX91" s="1"/>
      <c r="BY91" s="1">
        <v>1914</v>
      </c>
      <c r="BZ91" s="1" t="s">
        <v>387</v>
      </c>
      <c r="CA91" s="9" t="s">
        <v>388</v>
      </c>
      <c r="CB91" s="1" t="s">
        <v>389</v>
      </c>
      <c r="CN91" s="1" t="s">
        <v>390</v>
      </c>
      <c r="CP91" s="8" t="str">
        <f>HYPERLINK("http://www.metmuseum.org/art/collection/search/50915","http://www.metmuseum.org/art/collection/search/50915")</f>
        <v>http://www.metmuseum.org/art/collection/search/50915</v>
      </c>
      <c r="CQ91" s="4">
        <v>42842.333402777775</v>
      </c>
      <c r="CR91" s="1" t="s">
        <v>97</v>
      </c>
    </row>
    <row r="92" spans="1:96" ht="52.5" customHeight="1" x14ac:dyDescent="0.2">
      <c r="A92" s="1" t="s">
        <v>639</v>
      </c>
      <c r="B92" s="1" t="b">
        <v>0</v>
      </c>
      <c r="C92" s="1" t="b">
        <v>1</v>
      </c>
      <c r="D92" s="1">
        <v>50916</v>
      </c>
      <c r="E92" s="1" t="s">
        <v>85</v>
      </c>
      <c r="F92" s="1" t="s">
        <v>99</v>
      </c>
      <c r="G92" s="1" t="s">
        <v>640</v>
      </c>
      <c r="H92" s="1" t="s">
        <v>641</v>
      </c>
      <c r="I92" s="1" t="s">
        <v>642</v>
      </c>
      <c r="J92" s="1" t="s">
        <v>643</v>
      </c>
      <c r="K92" s="1" t="s">
        <v>145</v>
      </c>
      <c r="L92" s="1" t="s">
        <v>146</v>
      </c>
      <c r="M92" s="1" t="s">
        <v>147</v>
      </c>
      <c r="N92" s="1" t="s">
        <v>87</v>
      </c>
      <c r="O92" s="1" t="s">
        <v>1798</v>
      </c>
      <c r="P92" s="1">
        <v>1615</v>
      </c>
      <c r="Q92" s="1">
        <v>1868</v>
      </c>
      <c r="U92" s="1" t="s">
        <v>88</v>
      </c>
      <c r="W92" s="1" t="s">
        <v>89</v>
      </c>
      <c r="X92" s="1" t="s">
        <v>1801</v>
      </c>
      <c r="Z92" s="1" t="s">
        <v>89</v>
      </c>
      <c r="AA92" s="1" t="s">
        <v>90</v>
      </c>
      <c r="AB92" s="1">
        <v>1760</v>
      </c>
      <c r="AC92" s="1">
        <v>1849</v>
      </c>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t="s">
        <v>148</v>
      </c>
      <c r="BG92" s="1">
        <v>1827</v>
      </c>
      <c r="BH92" s="1">
        <v>1830</v>
      </c>
      <c r="BI92" s="1">
        <v>1</v>
      </c>
      <c r="BJ92" s="1"/>
      <c r="BK92" s="1" t="s">
        <v>1760</v>
      </c>
      <c r="BL92" s="1" t="s">
        <v>1746</v>
      </c>
      <c r="BM92" s="1"/>
      <c r="BN92" s="1" t="s">
        <v>644</v>
      </c>
      <c r="BO92" s="12">
        <v>9.75</v>
      </c>
      <c r="BP92" s="12">
        <v>14.5</v>
      </c>
      <c r="BQ92" s="12"/>
      <c r="BR92" s="1">
        <v>24.8</v>
      </c>
      <c r="BS92" s="1">
        <v>36.799999999999997</v>
      </c>
      <c r="BT92" s="1"/>
      <c r="BU92" s="1"/>
      <c r="BV92" s="1" t="s">
        <v>309</v>
      </c>
      <c r="BW92" s="1" t="s">
        <v>94</v>
      </c>
      <c r="BX92" s="1" t="s">
        <v>95</v>
      </c>
      <c r="BY92" s="1">
        <v>1922</v>
      </c>
      <c r="BZ92" s="1"/>
      <c r="CA92" s="1"/>
      <c r="CB92" s="1"/>
      <c r="CN92" s="1" t="s">
        <v>96</v>
      </c>
      <c r="CP92" s="8" t="str">
        <f>HYPERLINK("http://www.metmuseum.org/art/collection/search/50916","http://www.metmuseum.org/art/collection/search/50916")</f>
        <v>http://www.metmuseum.org/art/collection/search/50916</v>
      </c>
      <c r="CQ92" s="4">
        <v>42842.333402777775</v>
      </c>
      <c r="CR92" s="1" t="s">
        <v>97</v>
      </c>
    </row>
    <row r="93" spans="1:96" ht="52.5" customHeight="1" x14ac:dyDescent="0.2">
      <c r="A93" s="1" t="s">
        <v>645</v>
      </c>
      <c r="B93" s="1" t="b">
        <v>0</v>
      </c>
      <c r="C93" s="1" t="b">
        <v>1</v>
      </c>
      <c r="D93" s="1">
        <v>50924</v>
      </c>
      <c r="E93" s="1" t="s">
        <v>85</v>
      </c>
      <c r="F93" s="1" t="s">
        <v>99</v>
      </c>
      <c r="G93" s="1" t="s">
        <v>646</v>
      </c>
      <c r="H93" s="1" t="s">
        <v>647</v>
      </c>
      <c r="I93" s="1" t="s">
        <v>648</v>
      </c>
      <c r="J93" s="1" t="s">
        <v>649</v>
      </c>
      <c r="K93" s="1" t="s">
        <v>145</v>
      </c>
      <c r="L93" s="1" t="s">
        <v>146</v>
      </c>
      <c r="M93" s="1" t="s">
        <v>147</v>
      </c>
      <c r="N93" s="1" t="s">
        <v>87</v>
      </c>
      <c r="O93" s="1" t="s">
        <v>1798</v>
      </c>
      <c r="P93" s="1">
        <v>1615</v>
      </c>
      <c r="Q93" s="1">
        <v>1868</v>
      </c>
      <c r="U93" s="1" t="s">
        <v>88</v>
      </c>
      <c r="W93" s="1" t="s">
        <v>89</v>
      </c>
      <c r="X93" s="1" t="s">
        <v>1801</v>
      </c>
      <c r="Z93" s="1" t="s">
        <v>89</v>
      </c>
      <c r="AA93" s="1" t="s">
        <v>90</v>
      </c>
      <c r="AB93" s="1">
        <v>1760</v>
      </c>
      <c r="AC93" s="1">
        <v>1849</v>
      </c>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t="s">
        <v>148</v>
      </c>
      <c r="BG93" s="1">
        <v>1827</v>
      </c>
      <c r="BH93" s="1">
        <v>1830</v>
      </c>
      <c r="BI93" s="1">
        <v>1</v>
      </c>
      <c r="BJ93" s="1"/>
      <c r="BK93" s="1" t="s">
        <v>1760</v>
      </c>
      <c r="BL93" s="1" t="s">
        <v>1746</v>
      </c>
      <c r="BM93" s="1"/>
      <c r="BN93" s="1" t="s">
        <v>650</v>
      </c>
      <c r="BO93" s="12">
        <v>9.75</v>
      </c>
      <c r="BP93" s="12">
        <v>14.5</v>
      </c>
      <c r="BQ93" s="12"/>
      <c r="BR93" s="1">
        <v>24.8</v>
      </c>
      <c r="BS93" s="1">
        <v>36.799999999999997</v>
      </c>
      <c r="BT93" s="1"/>
      <c r="BU93" s="1"/>
      <c r="BV93" s="1" t="s">
        <v>309</v>
      </c>
      <c r="BW93" s="1" t="s">
        <v>94</v>
      </c>
      <c r="BX93" s="1" t="s">
        <v>95</v>
      </c>
      <c r="BY93" s="1">
        <v>1922</v>
      </c>
      <c r="BZ93" s="1"/>
      <c r="CA93" s="1"/>
      <c r="CB93" s="1"/>
      <c r="CN93" s="1" t="s">
        <v>96</v>
      </c>
      <c r="CP93" s="8" t="str">
        <f>HYPERLINK("http://www.metmuseum.org/art/collection/search/50924","http://www.metmuseum.org/art/collection/search/50924")</f>
        <v>http://www.metmuseum.org/art/collection/search/50924</v>
      </c>
      <c r="CQ93" s="4">
        <v>42842.333402777775</v>
      </c>
      <c r="CR93" s="1" t="s">
        <v>97</v>
      </c>
    </row>
    <row r="94" spans="1:96" ht="66" customHeight="1" x14ac:dyDescent="0.2">
      <c r="A94" s="1" t="s">
        <v>651</v>
      </c>
      <c r="B94" s="1" t="b">
        <v>0</v>
      </c>
      <c r="C94" s="1" t="b">
        <v>1</v>
      </c>
      <c r="D94" s="1">
        <v>53191</v>
      </c>
      <c r="E94" s="1" t="s">
        <v>85</v>
      </c>
      <c r="F94" s="1" t="s">
        <v>99</v>
      </c>
      <c r="G94" s="1" t="s">
        <v>652</v>
      </c>
      <c r="H94" s="1" t="s">
        <v>653</v>
      </c>
      <c r="I94" s="1" t="s">
        <v>654</v>
      </c>
      <c r="J94" s="1" t="s">
        <v>655</v>
      </c>
      <c r="K94" s="1" t="s">
        <v>145</v>
      </c>
      <c r="L94" s="1" t="s">
        <v>146</v>
      </c>
      <c r="M94" s="1" t="s">
        <v>147</v>
      </c>
      <c r="N94" s="1" t="s">
        <v>87</v>
      </c>
      <c r="O94" s="1" t="s">
        <v>1798</v>
      </c>
      <c r="P94" s="1">
        <v>1615</v>
      </c>
      <c r="Q94" s="1">
        <v>1868</v>
      </c>
      <c r="U94" s="1" t="s">
        <v>88</v>
      </c>
      <c r="W94" s="1" t="s">
        <v>89</v>
      </c>
      <c r="X94" s="1" t="s">
        <v>1801</v>
      </c>
      <c r="Z94" s="1" t="s">
        <v>89</v>
      </c>
      <c r="AA94" s="1" t="s">
        <v>90</v>
      </c>
      <c r="AB94" s="1">
        <v>1760</v>
      </c>
      <c r="AC94" s="1">
        <v>1849</v>
      </c>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t="s">
        <v>656</v>
      </c>
      <c r="BG94" s="1">
        <v>1760</v>
      </c>
      <c r="BH94" s="1">
        <v>1849</v>
      </c>
      <c r="BI94" s="1">
        <v>1</v>
      </c>
      <c r="BJ94" s="1"/>
      <c r="BK94" s="1" t="s">
        <v>1760</v>
      </c>
      <c r="BL94" s="1" t="s">
        <v>1746</v>
      </c>
      <c r="BM94" s="1"/>
      <c r="BN94" s="1" t="s">
        <v>657</v>
      </c>
      <c r="BO94" s="12">
        <v>10.125</v>
      </c>
      <c r="BP94" s="12">
        <v>15.125</v>
      </c>
      <c r="BQ94" s="12"/>
      <c r="BR94" s="1">
        <v>25.7</v>
      </c>
      <c r="BS94" s="1">
        <v>38.4</v>
      </c>
      <c r="BT94" s="1"/>
      <c r="BU94" s="1"/>
      <c r="BV94" s="1" t="s">
        <v>345</v>
      </c>
      <c r="BW94" s="1" t="s">
        <v>346</v>
      </c>
      <c r="BX94" s="1"/>
      <c r="BY94" s="1">
        <v>1939</v>
      </c>
      <c r="BZ94" s="1" t="s">
        <v>347</v>
      </c>
      <c r="CA94" s="1" t="s">
        <v>348</v>
      </c>
      <c r="CB94" s="1"/>
      <c r="CN94" s="1" t="s">
        <v>96</v>
      </c>
      <c r="CP94" s="8" t="str">
        <f>HYPERLINK("http://www.metmuseum.org/art/collection/search/53191","http://www.metmuseum.org/art/collection/search/53191")</f>
        <v>http://www.metmuseum.org/art/collection/search/53191</v>
      </c>
      <c r="CQ94" s="4">
        <v>42842.333402777775</v>
      </c>
      <c r="CR94" s="1" t="s">
        <v>97</v>
      </c>
    </row>
    <row r="95" spans="1:96" ht="66" customHeight="1" x14ac:dyDescent="0.2">
      <c r="A95" s="1" t="s">
        <v>658</v>
      </c>
      <c r="B95" s="1" t="b">
        <v>0</v>
      </c>
      <c r="C95" s="1" t="b">
        <v>1</v>
      </c>
      <c r="D95" s="1">
        <v>53192</v>
      </c>
      <c r="E95" s="1" t="s">
        <v>85</v>
      </c>
      <c r="F95" s="1" t="s">
        <v>99</v>
      </c>
      <c r="G95" s="1" t="s">
        <v>659</v>
      </c>
      <c r="H95" s="1" t="s">
        <v>660</v>
      </c>
      <c r="I95" s="1" t="s">
        <v>661</v>
      </c>
      <c r="J95" s="1" t="s">
        <v>662</v>
      </c>
      <c r="K95" s="1" t="s">
        <v>145</v>
      </c>
      <c r="L95" s="1" t="s">
        <v>146</v>
      </c>
      <c r="M95" s="1" t="s">
        <v>147</v>
      </c>
      <c r="N95" s="1" t="s">
        <v>87</v>
      </c>
      <c r="O95" s="1" t="s">
        <v>1798</v>
      </c>
      <c r="P95" s="1">
        <v>1615</v>
      </c>
      <c r="Q95" s="1">
        <v>1868</v>
      </c>
      <c r="U95" s="1" t="s">
        <v>88</v>
      </c>
      <c r="W95" s="1" t="s">
        <v>89</v>
      </c>
      <c r="X95" s="1" t="s">
        <v>1801</v>
      </c>
      <c r="Z95" s="1" t="s">
        <v>89</v>
      </c>
      <c r="AA95" s="1" t="s">
        <v>90</v>
      </c>
      <c r="AB95" s="1">
        <v>1760</v>
      </c>
      <c r="AC95" s="1">
        <v>1849</v>
      </c>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t="s">
        <v>663</v>
      </c>
      <c r="BG95" s="1">
        <v>1820</v>
      </c>
      <c r="BH95" s="1">
        <v>1840</v>
      </c>
      <c r="BI95" s="1">
        <v>1</v>
      </c>
      <c r="BJ95" s="1"/>
      <c r="BK95" s="1" t="s">
        <v>1760</v>
      </c>
      <c r="BL95" s="1" t="s">
        <v>1746</v>
      </c>
      <c r="BM95" s="1"/>
      <c r="BN95" s="1" t="s">
        <v>657</v>
      </c>
      <c r="BO95" s="12">
        <v>10.125</v>
      </c>
      <c r="BP95" s="12">
        <v>15.125</v>
      </c>
      <c r="BQ95" s="12"/>
      <c r="BR95" s="1">
        <v>25.7</v>
      </c>
      <c r="BS95" s="1">
        <v>38.4</v>
      </c>
      <c r="BT95" s="1"/>
      <c r="BU95" s="1"/>
      <c r="BV95" s="1" t="s">
        <v>345</v>
      </c>
      <c r="BW95" s="1" t="s">
        <v>346</v>
      </c>
      <c r="BX95" s="1"/>
      <c r="BY95" s="1">
        <v>1939</v>
      </c>
      <c r="BZ95" s="1" t="s">
        <v>347</v>
      </c>
      <c r="CA95" s="1" t="s">
        <v>348</v>
      </c>
      <c r="CB95" s="1"/>
      <c r="CN95" s="1" t="s">
        <v>96</v>
      </c>
      <c r="CP95" s="8" t="str">
        <f>HYPERLINK("http://www.metmuseum.org/art/collection/search/53192","http://www.metmuseum.org/art/collection/search/53192")</f>
        <v>http://www.metmuseum.org/art/collection/search/53192</v>
      </c>
      <c r="CQ95" s="4">
        <v>42842.333402777775</v>
      </c>
      <c r="CR95" s="1" t="s">
        <v>97</v>
      </c>
    </row>
    <row r="96" spans="1:96" ht="52.5" customHeight="1" x14ac:dyDescent="0.2">
      <c r="A96" s="1" t="s">
        <v>664</v>
      </c>
      <c r="B96" s="1" t="b">
        <v>0</v>
      </c>
      <c r="C96" s="1" t="b">
        <v>1</v>
      </c>
      <c r="D96" s="1">
        <v>53193</v>
      </c>
      <c r="E96" s="1" t="s">
        <v>85</v>
      </c>
      <c r="F96" s="1" t="s">
        <v>99</v>
      </c>
      <c r="G96" s="1" t="s">
        <v>665</v>
      </c>
      <c r="H96" s="1" t="s">
        <v>666</v>
      </c>
      <c r="I96" s="1" t="s">
        <v>667</v>
      </c>
      <c r="J96" s="1" t="s">
        <v>668</v>
      </c>
      <c r="K96" s="1" t="s">
        <v>145</v>
      </c>
      <c r="L96" s="1" t="s">
        <v>146</v>
      </c>
      <c r="M96" s="1" t="s">
        <v>147</v>
      </c>
      <c r="N96" s="1" t="s">
        <v>87</v>
      </c>
      <c r="O96" s="1" t="s">
        <v>1798</v>
      </c>
      <c r="P96" s="1">
        <v>1615</v>
      </c>
      <c r="Q96" s="1">
        <v>1868</v>
      </c>
      <c r="U96" s="1" t="s">
        <v>88</v>
      </c>
      <c r="W96" s="1" t="s">
        <v>89</v>
      </c>
      <c r="X96" s="1" t="s">
        <v>1801</v>
      </c>
      <c r="Z96" s="1" t="s">
        <v>89</v>
      </c>
      <c r="AA96" s="1" t="s">
        <v>90</v>
      </c>
      <c r="AB96" s="1">
        <v>1760</v>
      </c>
      <c r="AC96" s="1">
        <v>1849</v>
      </c>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t="s">
        <v>656</v>
      </c>
      <c r="BG96" s="1">
        <v>1760</v>
      </c>
      <c r="BH96" s="1">
        <v>1849</v>
      </c>
      <c r="BI96" s="1">
        <v>1</v>
      </c>
      <c r="BJ96" s="1"/>
      <c r="BK96" s="1" t="s">
        <v>1760</v>
      </c>
      <c r="BL96" s="1" t="s">
        <v>1746</v>
      </c>
      <c r="BM96" s="1"/>
      <c r="BN96" s="1" t="s">
        <v>657</v>
      </c>
      <c r="BO96" s="12">
        <v>10.125</v>
      </c>
      <c r="BP96" s="12">
        <v>15.125</v>
      </c>
      <c r="BQ96" s="12"/>
      <c r="BR96" s="1">
        <v>25.7</v>
      </c>
      <c r="BS96" s="1">
        <v>38.4</v>
      </c>
      <c r="BT96" s="1"/>
      <c r="BU96" s="1"/>
      <c r="BV96" s="1" t="s">
        <v>345</v>
      </c>
      <c r="BW96" s="1" t="s">
        <v>346</v>
      </c>
      <c r="BX96" s="1"/>
      <c r="BY96" s="1">
        <v>1939</v>
      </c>
      <c r="BZ96" s="1" t="s">
        <v>347</v>
      </c>
      <c r="CA96" s="1" t="s">
        <v>348</v>
      </c>
      <c r="CB96" s="1"/>
      <c r="CN96" s="1" t="s">
        <v>96</v>
      </c>
      <c r="CP96" s="8" t="str">
        <f>HYPERLINK("http://www.metmuseum.org/art/collection/search/53193","http://www.metmuseum.org/art/collection/search/53193")</f>
        <v>http://www.metmuseum.org/art/collection/search/53193</v>
      </c>
      <c r="CQ96" s="4">
        <v>42842.333402777775</v>
      </c>
      <c r="CR96" s="1" t="s">
        <v>97</v>
      </c>
    </row>
    <row r="97" spans="1:96" ht="52.5" customHeight="1" x14ac:dyDescent="0.2">
      <c r="A97" s="1" t="s">
        <v>669</v>
      </c>
      <c r="B97" s="1" t="b">
        <v>0</v>
      </c>
      <c r="C97" s="1" t="b">
        <v>1</v>
      </c>
      <c r="D97" s="1">
        <v>53692</v>
      </c>
      <c r="E97" s="1" t="s">
        <v>85</v>
      </c>
      <c r="F97" s="1" t="s">
        <v>99</v>
      </c>
      <c r="G97" s="1" t="s">
        <v>670</v>
      </c>
      <c r="H97" s="1" t="s">
        <v>671</v>
      </c>
      <c r="I97" s="1" t="s">
        <v>672</v>
      </c>
      <c r="J97" s="1" t="s">
        <v>673</v>
      </c>
      <c r="K97" s="1"/>
      <c r="L97" s="1"/>
      <c r="M97" s="1"/>
      <c r="N97" s="1" t="s">
        <v>87</v>
      </c>
      <c r="O97" s="1" t="s">
        <v>1798</v>
      </c>
      <c r="P97" s="1">
        <v>1615</v>
      </c>
      <c r="Q97" s="1">
        <v>1868</v>
      </c>
      <c r="U97" s="1" t="s">
        <v>88</v>
      </c>
      <c r="W97" s="1" t="s">
        <v>89</v>
      </c>
      <c r="X97" s="1" t="s">
        <v>1801</v>
      </c>
      <c r="Z97" s="1" t="s">
        <v>89</v>
      </c>
      <c r="AA97" s="1" t="s">
        <v>90</v>
      </c>
      <c r="AB97" s="1">
        <v>1760</v>
      </c>
      <c r="AC97" s="1">
        <v>1849</v>
      </c>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t="s">
        <v>158</v>
      </c>
      <c r="BG97" s="1">
        <v>1820</v>
      </c>
      <c r="BH97" s="1">
        <v>1842</v>
      </c>
      <c r="BI97" s="1">
        <v>1</v>
      </c>
      <c r="BJ97" s="1"/>
      <c r="BK97" s="1" t="s">
        <v>1760</v>
      </c>
      <c r="BL97" s="1" t="s">
        <v>1746</v>
      </c>
      <c r="BM97" s="1"/>
      <c r="BN97" s="1" t="s">
        <v>235</v>
      </c>
      <c r="BO97" s="12">
        <v>10.125</v>
      </c>
      <c r="BP97" s="12">
        <v>14.875</v>
      </c>
      <c r="BQ97" s="12"/>
      <c r="BR97" s="1">
        <v>25.7</v>
      </c>
      <c r="BS97" s="1">
        <v>37.799999999999997</v>
      </c>
      <c r="BT97" s="1"/>
      <c r="BU97" s="1"/>
      <c r="BV97" s="1" t="s">
        <v>345</v>
      </c>
      <c r="BW97" s="1" t="s">
        <v>346</v>
      </c>
      <c r="BX97" s="1"/>
      <c r="BY97" s="1">
        <v>1939</v>
      </c>
      <c r="BZ97" s="1" t="s">
        <v>347</v>
      </c>
      <c r="CA97" s="1" t="s">
        <v>348</v>
      </c>
      <c r="CB97" s="1"/>
      <c r="CN97" s="1" t="s">
        <v>96</v>
      </c>
      <c r="CP97" s="8" t="str">
        <f>HYPERLINK("http://www.metmuseum.org/art/collection/search/53692","http://www.metmuseum.org/art/collection/search/53692")</f>
        <v>http://www.metmuseum.org/art/collection/search/53692</v>
      </c>
      <c r="CQ97" s="4">
        <v>42842.333402777775</v>
      </c>
      <c r="CR97" s="1" t="s">
        <v>97</v>
      </c>
    </row>
    <row r="98" spans="1:96" ht="66" customHeight="1" x14ac:dyDescent="0.2">
      <c r="A98" s="1" t="s">
        <v>674</v>
      </c>
      <c r="B98" s="1" t="b">
        <v>0</v>
      </c>
      <c r="C98" s="1" t="b">
        <v>1</v>
      </c>
      <c r="D98" s="1">
        <v>53698</v>
      </c>
      <c r="E98" s="1" t="s">
        <v>85</v>
      </c>
      <c r="F98" s="1" t="s">
        <v>99</v>
      </c>
      <c r="G98" s="1" t="s">
        <v>675</v>
      </c>
      <c r="H98" s="1" t="s">
        <v>676</v>
      </c>
      <c r="I98" s="1" t="s">
        <v>677</v>
      </c>
      <c r="J98" s="1" t="s">
        <v>678</v>
      </c>
      <c r="K98" s="1" t="s">
        <v>145</v>
      </c>
      <c r="L98" s="1" t="s">
        <v>146</v>
      </c>
      <c r="M98" s="1" t="s">
        <v>147</v>
      </c>
      <c r="N98" s="1" t="s">
        <v>87</v>
      </c>
      <c r="O98" s="1" t="s">
        <v>1798</v>
      </c>
      <c r="P98" s="1">
        <v>1615</v>
      </c>
      <c r="Q98" s="1">
        <v>1868</v>
      </c>
      <c r="U98" s="1" t="s">
        <v>88</v>
      </c>
      <c r="W98" s="1" t="s">
        <v>89</v>
      </c>
      <c r="X98" s="1" t="s">
        <v>1801</v>
      </c>
      <c r="Z98" s="1" t="s">
        <v>89</v>
      </c>
      <c r="AA98" s="1" t="s">
        <v>90</v>
      </c>
      <c r="AB98" s="1">
        <v>1760</v>
      </c>
      <c r="AC98" s="1">
        <v>1849</v>
      </c>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t="s">
        <v>663</v>
      </c>
      <c r="BG98" s="1">
        <v>1820</v>
      </c>
      <c r="BH98" s="1">
        <v>1840</v>
      </c>
      <c r="BI98" s="1">
        <v>1</v>
      </c>
      <c r="BJ98" s="1"/>
      <c r="BK98" s="1" t="s">
        <v>1760</v>
      </c>
      <c r="BL98" s="1" t="s">
        <v>1746</v>
      </c>
      <c r="BM98" s="1"/>
      <c r="BN98" s="1" t="s">
        <v>679</v>
      </c>
      <c r="BO98" s="12">
        <v>10.125</v>
      </c>
      <c r="BP98" s="12">
        <v>15.5</v>
      </c>
      <c r="BQ98" s="12"/>
      <c r="BR98" s="1">
        <v>25.7</v>
      </c>
      <c r="BS98" s="1">
        <v>39.4</v>
      </c>
      <c r="BT98" s="1"/>
      <c r="BU98" s="1"/>
      <c r="BV98" s="1" t="s">
        <v>345</v>
      </c>
      <c r="BW98" s="1" t="s">
        <v>346</v>
      </c>
      <c r="BX98" s="1"/>
      <c r="BY98" s="1">
        <v>1939</v>
      </c>
      <c r="BZ98" s="1" t="s">
        <v>347</v>
      </c>
      <c r="CA98" s="1" t="s">
        <v>348</v>
      </c>
      <c r="CB98" s="1"/>
      <c r="CN98" s="1" t="s">
        <v>96</v>
      </c>
      <c r="CP98" s="8" t="str">
        <f>HYPERLINK("http://www.metmuseum.org/art/collection/search/53698","http://www.metmuseum.org/art/collection/search/53698")</f>
        <v>http://www.metmuseum.org/art/collection/search/53698</v>
      </c>
      <c r="CQ98" s="4">
        <v>42842.333402777775</v>
      </c>
      <c r="CR98" s="1" t="s">
        <v>97</v>
      </c>
    </row>
    <row r="99" spans="1:96" ht="66" customHeight="1" x14ac:dyDescent="0.2">
      <c r="A99" s="1" t="s">
        <v>680</v>
      </c>
      <c r="B99" s="1" t="b">
        <v>0</v>
      </c>
      <c r="C99" s="1" t="b">
        <v>1</v>
      </c>
      <c r="D99" s="1">
        <v>53699</v>
      </c>
      <c r="E99" s="1" t="s">
        <v>85</v>
      </c>
      <c r="F99" s="1" t="s">
        <v>99</v>
      </c>
      <c r="G99" s="1" t="s">
        <v>675</v>
      </c>
      <c r="H99" s="1" t="s">
        <v>676</v>
      </c>
      <c r="I99" s="1" t="s">
        <v>677</v>
      </c>
      <c r="J99" s="1" t="s">
        <v>681</v>
      </c>
      <c r="K99" s="1" t="s">
        <v>145</v>
      </c>
      <c r="L99" s="1" t="s">
        <v>146</v>
      </c>
      <c r="M99" s="1" t="s">
        <v>147</v>
      </c>
      <c r="N99" s="1" t="s">
        <v>87</v>
      </c>
      <c r="O99" s="1" t="s">
        <v>1798</v>
      </c>
      <c r="P99" s="1">
        <v>1615</v>
      </c>
      <c r="Q99" s="1">
        <v>1868</v>
      </c>
      <c r="U99" s="1" t="s">
        <v>88</v>
      </c>
      <c r="W99" s="1" t="s">
        <v>89</v>
      </c>
      <c r="X99" s="1" t="s">
        <v>1801</v>
      </c>
      <c r="Z99" s="1" t="s">
        <v>89</v>
      </c>
      <c r="AA99" s="1" t="s">
        <v>90</v>
      </c>
      <c r="AB99" s="1">
        <v>1760</v>
      </c>
      <c r="AC99" s="1">
        <v>1849</v>
      </c>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t="s">
        <v>148</v>
      </c>
      <c r="BG99" s="1">
        <v>1827</v>
      </c>
      <c r="BH99" s="1">
        <v>1830</v>
      </c>
      <c r="BI99" s="1">
        <v>1</v>
      </c>
      <c r="BJ99" s="1"/>
      <c r="BK99" s="1" t="s">
        <v>1760</v>
      </c>
      <c r="BL99" s="1" t="s">
        <v>1746</v>
      </c>
      <c r="BM99" s="1"/>
      <c r="BN99" s="1" t="s">
        <v>682</v>
      </c>
      <c r="BO99" s="12">
        <v>9.75</v>
      </c>
      <c r="BP99" s="11">
        <v>14.5625</v>
      </c>
      <c r="BQ99" s="11"/>
      <c r="BR99" s="1">
        <v>24.8</v>
      </c>
      <c r="BS99" s="1">
        <v>37</v>
      </c>
      <c r="BT99" s="1"/>
      <c r="BU99" s="1"/>
      <c r="BV99" s="1" t="s">
        <v>309</v>
      </c>
      <c r="BW99" s="1" t="s">
        <v>94</v>
      </c>
      <c r="BX99" s="1" t="s">
        <v>95</v>
      </c>
      <c r="BY99" s="1">
        <v>1922</v>
      </c>
      <c r="BZ99" s="1"/>
      <c r="CA99" s="1"/>
      <c r="CB99" s="1"/>
      <c r="CN99" s="1" t="s">
        <v>96</v>
      </c>
      <c r="CP99" s="8" t="str">
        <f>HYPERLINK("http://www.metmuseum.org/art/collection/search/53699","http://www.metmuseum.org/art/collection/search/53699")</f>
        <v>http://www.metmuseum.org/art/collection/search/53699</v>
      </c>
      <c r="CQ99" s="4">
        <v>42842.333402777775</v>
      </c>
      <c r="CR99" s="1" t="s">
        <v>97</v>
      </c>
    </row>
    <row r="100" spans="1:96" ht="66" customHeight="1" x14ac:dyDescent="0.2">
      <c r="A100" s="1" t="s">
        <v>683</v>
      </c>
      <c r="B100" s="1" t="b">
        <v>0</v>
      </c>
      <c r="C100" s="1" t="b">
        <v>1</v>
      </c>
      <c r="D100" s="1">
        <v>53700</v>
      </c>
      <c r="E100" s="1" t="s">
        <v>85</v>
      </c>
      <c r="F100" s="1" t="s">
        <v>99</v>
      </c>
      <c r="G100" s="1" t="s">
        <v>684</v>
      </c>
      <c r="H100" s="1" t="s">
        <v>685</v>
      </c>
      <c r="I100" s="1" t="s">
        <v>642</v>
      </c>
      <c r="J100" s="1" t="s">
        <v>643</v>
      </c>
      <c r="K100" s="1" t="s">
        <v>145</v>
      </c>
      <c r="L100" s="1" t="s">
        <v>146</v>
      </c>
      <c r="M100" s="1" t="s">
        <v>147</v>
      </c>
      <c r="N100" s="1" t="s">
        <v>87</v>
      </c>
      <c r="O100" s="1" t="s">
        <v>1798</v>
      </c>
      <c r="P100" s="1">
        <v>1615</v>
      </c>
      <c r="Q100" s="1">
        <v>1868</v>
      </c>
      <c r="U100" s="1" t="s">
        <v>88</v>
      </c>
      <c r="W100" s="1" t="s">
        <v>89</v>
      </c>
      <c r="X100" s="1" t="s">
        <v>1801</v>
      </c>
      <c r="Z100" s="1" t="s">
        <v>89</v>
      </c>
      <c r="AA100" s="1" t="s">
        <v>90</v>
      </c>
      <c r="AB100" s="1">
        <v>1760</v>
      </c>
      <c r="AC100" s="1">
        <v>1849</v>
      </c>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t="s">
        <v>425</v>
      </c>
      <c r="BG100" s="1">
        <v>1824</v>
      </c>
      <c r="BH100" s="1">
        <v>1844</v>
      </c>
      <c r="BI100" s="1">
        <v>1</v>
      </c>
      <c r="BJ100" s="1"/>
      <c r="BK100" s="1" t="s">
        <v>1760</v>
      </c>
      <c r="BL100" s="1" t="s">
        <v>1746</v>
      </c>
      <c r="BM100" s="1"/>
      <c r="BN100" s="1" t="s">
        <v>686</v>
      </c>
      <c r="BO100" s="11">
        <v>10.1875</v>
      </c>
      <c r="BP100" s="11">
        <v>15.0625</v>
      </c>
      <c r="BQ100" s="11"/>
      <c r="BR100" s="1">
        <v>25.9</v>
      </c>
      <c r="BS100" s="1">
        <v>38.299999999999997</v>
      </c>
      <c r="BT100" s="1"/>
      <c r="BU100" s="1"/>
      <c r="BV100" s="1" t="s">
        <v>447</v>
      </c>
      <c r="BW100" s="1" t="s">
        <v>346</v>
      </c>
      <c r="BX100" s="1"/>
      <c r="BY100" s="1">
        <v>1929</v>
      </c>
      <c r="BZ100" s="1" t="s">
        <v>448</v>
      </c>
      <c r="CA100" s="1" t="s">
        <v>449</v>
      </c>
      <c r="CB100" s="1"/>
      <c r="CN100" s="1" t="s">
        <v>96</v>
      </c>
      <c r="CP100" s="8" t="str">
        <f>HYPERLINK("http://www.metmuseum.org/art/collection/search/53700","http://www.metmuseum.org/art/collection/search/53700")</f>
        <v>http://www.metmuseum.org/art/collection/search/53700</v>
      </c>
      <c r="CQ100" s="4">
        <v>42842.333402777775</v>
      </c>
      <c r="CR100" s="1" t="s">
        <v>97</v>
      </c>
    </row>
    <row r="101" spans="1:96" ht="52.5" customHeight="1" x14ac:dyDescent="0.2">
      <c r="A101" s="1" t="s">
        <v>687</v>
      </c>
      <c r="B101" s="1" t="b">
        <v>0</v>
      </c>
      <c r="C101" s="1" t="b">
        <v>1</v>
      </c>
      <c r="D101" s="1">
        <v>53786</v>
      </c>
      <c r="E101" s="1" t="s">
        <v>85</v>
      </c>
      <c r="F101" s="1" t="s">
        <v>99</v>
      </c>
      <c r="G101" s="1" t="s">
        <v>688</v>
      </c>
      <c r="H101" s="1" t="s">
        <v>689</v>
      </c>
      <c r="I101" s="1"/>
      <c r="J101" s="1" t="s">
        <v>690</v>
      </c>
      <c r="K101" s="1" t="s">
        <v>145</v>
      </c>
      <c r="L101" s="1" t="s">
        <v>146</v>
      </c>
      <c r="M101" s="1" t="s">
        <v>147</v>
      </c>
      <c r="N101" s="1" t="s">
        <v>87</v>
      </c>
      <c r="O101" s="1" t="s">
        <v>1798</v>
      </c>
      <c r="P101" s="1">
        <v>1615</v>
      </c>
      <c r="Q101" s="1">
        <v>1868</v>
      </c>
      <c r="U101" s="1" t="s">
        <v>88</v>
      </c>
      <c r="W101" s="1" t="s">
        <v>89</v>
      </c>
      <c r="X101" s="1" t="s">
        <v>1801</v>
      </c>
      <c r="Z101" s="1" t="s">
        <v>89</v>
      </c>
      <c r="AA101" s="1" t="s">
        <v>90</v>
      </c>
      <c r="AB101" s="1">
        <v>1760</v>
      </c>
      <c r="AC101" s="1">
        <v>1849</v>
      </c>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t="s">
        <v>663</v>
      </c>
      <c r="BG101" s="1">
        <v>1820</v>
      </c>
      <c r="BH101" s="1">
        <v>1840</v>
      </c>
      <c r="BI101" s="1">
        <v>1</v>
      </c>
      <c r="BJ101" s="1"/>
      <c r="BK101" s="1" t="s">
        <v>1760</v>
      </c>
      <c r="BL101" s="1" t="s">
        <v>1746</v>
      </c>
      <c r="BM101" s="1"/>
      <c r="BN101" s="1" t="s">
        <v>691</v>
      </c>
      <c r="BO101" s="12">
        <v>10.375</v>
      </c>
      <c r="BP101" s="12">
        <v>15.25</v>
      </c>
      <c r="BQ101" s="12"/>
      <c r="BR101" s="1">
        <v>26.4</v>
      </c>
      <c r="BS101" s="1">
        <v>38.700000000000003</v>
      </c>
      <c r="BT101" s="1"/>
      <c r="BU101" s="1"/>
      <c r="BV101" s="1" t="s">
        <v>345</v>
      </c>
      <c r="BW101" s="1" t="s">
        <v>346</v>
      </c>
      <c r="BX101" s="1"/>
      <c r="BY101" s="1">
        <v>1939</v>
      </c>
      <c r="BZ101" s="1" t="s">
        <v>347</v>
      </c>
      <c r="CA101" s="1" t="s">
        <v>348</v>
      </c>
      <c r="CB101" s="1"/>
      <c r="CN101" s="1" t="s">
        <v>96</v>
      </c>
      <c r="CP101" s="8" t="str">
        <f>HYPERLINK("http://www.metmuseum.org/art/collection/search/53786","http://www.metmuseum.org/art/collection/search/53786")</f>
        <v>http://www.metmuseum.org/art/collection/search/53786</v>
      </c>
      <c r="CQ101" s="4">
        <v>42842.333402777775</v>
      </c>
      <c r="CR101" s="1" t="s">
        <v>97</v>
      </c>
    </row>
    <row r="102" spans="1:96" ht="66" customHeight="1" x14ac:dyDescent="0.2">
      <c r="A102" s="1" t="s">
        <v>692</v>
      </c>
      <c r="B102" s="1" t="b">
        <v>0</v>
      </c>
      <c r="C102" s="1" t="b">
        <v>1</v>
      </c>
      <c r="D102" s="1">
        <v>53787</v>
      </c>
      <c r="E102" s="1" t="s">
        <v>85</v>
      </c>
      <c r="F102" s="1" t="s">
        <v>99</v>
      </c>
      <c r="G102" s="1" t="s">
        <v>675</v>
      </c>
      <c r="H102" s="1" t="s">
        <v>676</v>
      </c>
      <c r="I102" s="1" t="s">
        <v>677</v>
      </c>
      <c r="J102" s="1" t="s">
        <v>678</v>
      </c>
      <c r="K102" s="1" t="s">
        <v>145</v>
      </c>
      <c r="L102" s="1" t="s">
        <v>146</v>
      </c>
      <c r="M102" s="1" t="s">
        <v>147</v>
      </c>
      <c r="N102" s="1" t="s">
        <v>87</v>
      </c>
      <c r="O102" s="1" t="s">
        <v>1798</v>
      </c>
      <c r="P102" s="1">
        <v>1615</v>
      </c>
      <c r="Q102" s="6">
        <v>1868</v>
      </c>
      <c r="U102" s="1" t="s">
        <v>88</v>
      </c>
      <c r="W102" s="1" t="s">
        <v>89</v>
      </c>
      <c r="X102" s="1" t="s">
        <v>1801</v>
      </c>
      <c r="Z102" s="1" t="s">
        <v>89</v>
      </c>
      <c r="AA102" s="1" t="s">
        <v>90</v>
      </c>
      <c r="AB102" s="1">
        <v>1760</v>
      </c>
      <c r="AC102" s="1">
        <v>1849</v>
      </c>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t="s">
        <v>663</v>
      </c>
      <c r="BG102" s="1">
        <v>1820</v>
      </c>
      <c r="BH102" s="1">
        <v>1840</v>
      </c>
      <c r="BI102" s="1">
        <v>1</v>
      </c>
      <c r="BJ102" s="1"/>
      <c r="BK102" s="1" t="s">
        <v>1760</v>
      </c>
      <c r="BL102" s="1" t="s">
        <v>1746</v>
      </c>
      <c r="BM102" s="1"/>
      <c r="BN102" s="1" t="s">
        <v>693</v>
      </c>
      <c r="BO102" s="1">
        <v>10</v>
      </c>
      <c r="BP102" s="12">
        <v>14.875</v>
      </c>
      <c r="BQ102" s="12"/>
      <c r="BR102" s="1">
        <v>25.4</v>
      </c>
      <c r="BS102" s="1">
        <v>37.799999999999997</v>
      </c>
      <c r="BT102" s="1"/>
      <c r="BU102" s="1"/>
      <c r="BV102" s="1" t="s">
        <v>372</v>
      </c>
      <c r="BW102" s="1" t="s">
        <v>94</v>
      </c>
      <c r="BX102" s="1" t="s">
        <v>95</v>
      </c>
      <c r="BY102" s="1">
        <v>1936</v>
      </c>
      <c r="BZ102" s="1" t="s">
        <v>373</v>
      </c>
      <c r="CA102" s="1"/>
      <c r="CB102" s="1"/>
      <c r="CN102" s="1" t="s">
        <v>96</v>
      </c>
      <c r="CP102" s="8" t="str">
        <f>HYPERLINK("http://www.metmuseum.org/art/collection/search/53787","http://www.metmuseum.org/art/collection/search/53787")</f>
        <v>http://www.metmuseum.org/art/collection/search/53787</v>
      </c>
      <c r="CQ102" s="4">
        <v>42842.333402777775</v>
      </c>
      <c r="CR102" s="1" t="s">
        <v>97</v>
      </c>
    </row>
    <row r="103" spans="1:96" ht="66" customHeight="1" x14ac:dyDescent="0.2">
      <c r="A103" s="1" t="s">
        <v>694</v>
      </c>
      <c r="B103" s="1" t="b">
        <v>0</v>
      </c>
      <c r="C103" s="1" t="b">
        <v>1</v>
      </c>
      <c r="D103" s="1">
        <v>53788</v>
      </c>
      <c r="E103" s="1" t="s">
        <v>85</v>
      </c>
      <c r="F103" s="1" t="s">
        <v>99</v>
      </c>
      <c r="G103" s="1" t="s">
        <v>652</v>
      </c>
      <c r="H103" s="1" t="s">
        <v>653</v>
      </c>
      <c r="I103" s="1" t="s">
        <v>654</v>
      </c>
      <c r="J103" s="1" t="s">
        <v>655</v>
      </c>
      <c r="K103" s="1" t="s">
        <v>145</v>
      </c>
      <c r="L103" s="1" t="s">
        <v>146</v>
      </c>
      <c r="M103" s="1" t="s">
        <v>147</v>
      </c>
      <c r="N103" s="1" t="s">
        <v>87</v>
      </c>
      <c r="O103" s="1" t="s">
        <v>1798</v>
      </c>
      <c r="P103" s="1">
        <v>1615</v>
      </c>
      <c r="Q103" s="1">
        <v>1868</v>
      </c>
      <c r="U103" s="1" t="s">
        <v>88</v>
      </c>
      <c r="W103" s="1" t="s">
        <v>89</v>
      </c>
      <c r="X103" s="1" t="s">
        <v>1801</v>
      </c>
      <c r="Z103" s="1" t="s">
        <v>89</v>
      </c>
      <c r="AA103" s="1" t="s">
        <v>90</v>
      </c>
      <c r="AB103" s="1">
        <v>1760</v>
      </c>
      <c r="AC103" s="1">
        <v>1849</v>
      </c>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t="s">
        <v>663</v>
      </c>
      <c r="BG103" s="1">
        <v>1820</v>
      </c>
      <c r="BH103" s="1">
        <v>1840</v>
      </c>
      <c r="BI103" s="1">
        <v>1</v>
      </c>
      <c r="BJ103" s="1"/>
      <c r="BK103" s="1" t="s">
        <v>1760</v>
      </c>
      <c r="BL103" s="1" t="s">
        <v>1746</v>
      </c>
      <c r="BM103" s="1"/>
      <c r="BN103" s="1" t="s">
        <v>695</v>
      </c>
      <c r="BO103" s="12">
        <v>9.5</v>
      </c>
      <c r="BP103" s="11">
        <v>14.0625</v>
      </c>
      <c r="BQ103" s="11"/>
      <c r="BR103" s="1">
        <v>24.1</v>
      </c>
      <c r="BS103" s="1">
        <v>35.700000000000003</v>
      </c>
      <c r="BT103" s="1"/>
      <c r="BU103" s="1"/>
      <c r="BV103" s="1" t="s">
        <v>309</v>
      </c>
      <c r="BW103" s="1" t="s">
        <v>94</v>
      </c>
      <c r="BX103" s="1" t="s">
        <v>95</v>
      </c>
      <c r="BY103" s="1">
        <v>1922</v>
      </c>
      <c r="BZ103" s="1"/>
      <c r="CA103" s="1"/>
      <c r="CB103" s="1"/>
      <c r="CN103" s="1" t="s">
        <v>96</v>
      </c>
      <c r="CP103" s="8" t="str">
        <f>HYPERLINK("http://www.metmuseum.org/art/collection/search/53788","http://www.metmuseum.org/art/collection/search/53788")</f>
        <v>http://www.metmuseum.org/art/collection/search/53788</v>
      </c>
      <c r="CQ103" s="4">
        <v>42842.333402777775</v>
      </c>
      <c r="CR103" s="1" t="s">
        <v>97</v>
      </c>
    </row>
    <row r="104" spans="1:96" ht="66" customHeight="1" x14ac:dyDescent="0.2">
      <c r="A104" s="1" t="s">
        <v>696</v>
      </c>
      <c r="B104" s="1" t="b">
        <v>0</v>
      </c>
      <c r="C104" s="1" t="b">
        <v>1</v>
      </c>
      <c r="D104" s="1">
        <v>53789</v>
      </c>
      <c r="E104" s="1" t="s">
        <v>85</v>
      </c>
      <c r="F104" s="1" t="s">
        <v>99</v>
      </c>
      <c r="G104" s="1" t="s">
        <v>659</v>
      </c>
      <c r="H104" s="1" t="s">
        <v>660</v>
      </c>
      <c r="I104" s="1" t="s">
        <v>661</v>
      </c>
      <c r="J104" s="1" t="s">
        <v>662</v>
      </c>
      <c r="K104" s="1" t="s">
        <v>145</v>
      </c>
      <c r="L104" s="1" t="s">
        <v>146</v>
      </c>
      <c r="M104" s="1" t="s">
        <v>147</v>
      </c>
      <c r="N104" s="1" t="s">
        <v>87</v>
      </c>
      <c r="O104" s="1" t="s">
        <v>1798</v>
      </c>
      <c r="P104" s="1">
        <v>1615</v>
      </c>
      <c r="Q104" s="1">
        <v>1868</v>
      </c>
      <c r="U104" s="1" t="s">
        <v>88</v>
      </c>
      <c r="W104" s="1" t="s">
        <v>89</v>
      </c>
      <c r="X104" s="1" t="s">
        <v>1801</v>
      </c>
      <c r="Z104" s="1" t="s">
        <v>89</v>
      </c>
      <c r="AA104" s="1" t="s">
        <v>90</v>
      </c>
      <c r="AB104" s="1">
        <v>1760</v>
      </c>
      <c r="AC104" s="1">
        <v>1849</v>
      </c>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t="s">
        <v>663</v>
      </c>
      <c r="BG104" s="1">
        <v>1820</v>
      </c>
      <c r="BH104" s="1">
        <v>1840</v>
      </c>
      <c r="BI104" s="1">
        <v>1</v>
      </c>
      <c r="BJ104" s="1"/>
      <c r="BK104" s="1" t="s">
        <v>1760</v>
      </c>
      <c r="BL104" s="1" t="s">
        <v>1746</v>
      </c>
      <c r="BM104" s="1"/>
      <c r="BN104" s="1" t="s">
        <v>697</v>
      </c>
      <c r="BO104" s="12">
        <v>10.25</v>
      </c>
      <c r="BP104" s="12">
        <v>15.125</v>
      </c>
      <c r="BQ104" s="12"/>
      <c r="BR104" s="1">
        <v>26</v>
      </c>
      <c r="BS104" s="1">
        <v>38.4</v>
      </c>
      <c r="BT104" s="1"/>
      <c r="BU104" s="1"/>
      <c r="BV104" s="1" t="s">
        <v>698</v>
      </c>
      <c r="BW104" s="1" t="s">
        <v>94</v>
      </c>
      <c r="BX104" s="1" t="s">
        <v>95</v>
      </c>
      <c r="BY104" s="1">
        <v>1922</v>
      </c>
      <c r="BZ104" s="1"/>
      <c r="CA104" s="1"/>
      <c r="CB104" s="1"/>
      <c r="CN104" s="1" t="s">
        <v>96</v>
      </c>
      <c r="CP104" s="8" t="str">
        <f>HYPERLINK("http://www.metmuseum.org/art/collection/search/53789","http://www.metmuseum.org/art/collection/search/53789")</f>
        <v>http://www.metmuseum.org/art/collection/search/53789</v>
      </c>
      <c r="CQ104" s="4">
        <v>42842.333402777775</v>
      </c>
      <c r="CR104" s="1" t="s">
        <v>97</v>
      </c>
    </row>
    <row r="105" spans="1:96" ht="52.5" customHeight="1" x14ac:dyDescent="0.2">
      <c r="A105" s="1" t="s">
        <v>699</v>
      </c>
      <c r="B105" s="1" t="b">
        <v>0</v>
      </c>
      <c r="C105" s="1" t="b">
        <v>1</v>
      </c>
      <c r="D105" s="1">
        <v>53790</v>
      </c>
      <c r="E105" s="1" t="s">
        <v>85</v>
      </c>
      <c r="F105" s="1" t="s">
        <v>99</v>
      </c>
      <c r="G105" s="1" t="s">
        <v>141</v>
      </c>
      <c r="H105" s="1" t="s">
        <v>142</v>
      </c>
      <c r="I105" s="1" t="s">
        <v>143</v>
      </c>
      <c r="J105" s="1" t="s">
        <v>144</v>
      </c>
      <c r="K105" s="1" t="s">
        <v>145</v>
      </c>
      <c r="L105" s="1" t="s">
        <v>146</v>
      </c>
      <c r="M105" s="1" t="s">
        <v>147</v>
      </c>
      <c r="N105" s="1" t="s">
        <v>87</v>
      </c>
      <c r="O105" s="1" t="s">
        <v>1798</v>
      </c>
      <c r="P105" s="1">
        <v>1615</v>
      </c>
      <c r="Q105" s="1">
        <v>1868</v>
      </c>
      <c r="U105" s="1" t="s">
        <v>88</v>
      </c>
      <c r="W105" s="1" t="s">
        <v>89</v>
      </c>
      <c r="X105" s="1" t="s">
        <v>1801</v>
      </c>
      <c r="Z105" s="1" t="s">
        <v>89</v>
      </c>
      <c r="AA105" s="1" t="s">
        <v>90</v>
      </c>
      <c r="AB105" s="1">
        <v>1760</v>
      </c>
      <c r="AC105" s="1">
        <v>1849</v>
      </c>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t="s">
        <v>663</v>
      </c>
      <c r="BG105" s="1">
        <v>1820</v>
      </c>
      <c r="BH105" s="1">
        <v>1840</v>
      </c>
      <c r="BI105" s="1">
        <v>1</v>
      </c>
      <c r="BJ105" s="1"/>
      <c r="BK105" s="1" t="s">
        <v>1760</v>
      </c>
      <c r="BL105" s="1" t="s">
        <v>1746</v>
      </c>
      <c r="BM105" s="1"/>
      <c r="BN105" s="1" t="s">
        <v>377</v>
      </c>
      <c r="BO105" s="12">
        <v>10.25</v>
      </c>
      <c r="BP105" s="12">
        <v>15.125</v>
      </c>
      <c r="BQ105" s="12"/>
      <c r="BR105" s="1">
        <v>26</v>
      </c>
      <c r="BS105" s="1">
        <v>38.4</v>
      </c>
      <c r="BT105" s="1"/>
      <c r="BU105" s="1"/>
      <c r="BV105" s="1" t="s">
        <v>345</v>
      </c>
      <c r="BW105" s="1" t="s">
        <v>346</v>
      </c>
      <c r="BX105" s="1"/>
      <c r="BY105" s="1">
        <v>1939</v>
      </c>
      <c r="BZ105" s="1" t="s">
        <v>347</v>
      </c>
      <c r="CA105" s="1" t="s">
        <v>348</v>
      </c>
      <c r="CB105" s="1"/>
      <c r="CN105" s="1" t="s">
        <v>96</v>
      </c>
      <c r="CP105" s="8" t="str">
        <f>HYPERLINK("http://www.metmuseum.org/art/collection/search/53790","http://www.metmuseum.org/art/collection/search/53790")</f>
        <v>http://www.metmuseum.org/art/collection/search/53790</v>
      </c>
      <c r="CQ105" s="4">
        <v>42842.333402777775</v>
      </c>
      <c r="CR105" s="1" t="s">
        <v>97</v>
      </c>
    </row>
    <row r="106" spans="1:96" ht="52.5" customHeight="1" x14ac:dyDescent="0.2">
      <c r="A106" s="1" t="s">
        <v>700</v>
      </c>
      <c r="B106" s="1" t="b">
        <v>0</v>
      </c>
      <c r="C106" s="1" t="b">
        <v>1</v>
      </c>
      <c r="D106" s="1">
        <v>53791</v>
      </c>
      <c r="E106" s="1" t="s">
        <v>85</v>
      </c>
      <c r="F106" s="1" t="s">
        <v>99</v>
      </c>
      <c r="G106" s="1" t="s">
        <v>640</v>
      </c>
      <c r="H106" s="1" t="s">
        <v>641</v>
      </c>
      <c r="I106" s="1" t="s">
        <v>642</v>
      </c>
      <c r="J106" s="1" t="s">
        <v>643</v>
      </c>
      <c r="K106" s="1" t="s">
        <v>145</v>
      </c>
      <c r="L106" s="1" t="s">
        <v>146</v>
      </c>
      <c r="M106" s="1" t="s">
        <v>147</v>
      </c>
      <c r="N106" s="1" t="s">
        <v>87</v>
      </c>
      <c r="O106" s="1" t="s">
        <v>1798</v>
      </c>
      <c r="P106" s="1">
        <v>1615</v>
      </c>
      <c r="Q106" s="1">
        <v>1868</v>
      </c>
      <c r="U106" s="1" t="s">
        <v>88</v>
      </c>
      <c r="W106" s="1" t="s">
        <v>89</v>
      </c>
      <c r="X106" s="1" t="s">
        <v>1801</v>
      </c>
      <c r="Z106" s="1" t="s">
        <v>89</v>
      </c>
      <c r="AA106" s="1" t="s">
        <v>90</v>
      </c>
      <c r="AB106" s="1">
        <v>1760</v>
      </c>
      <c r="AC106" s="1">
        <v>1849</v>
      </c>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t="s">
        <v>663</v>
      </c>
      <c r="BG106" s="1">
        <v>1820</v>
      </c>
      <c r="BH106" s="1">
        <v>1840</v>
      </c>
      <c r="BI106" s="1">
        <v>1</v>
      </c>
      <c r="BJ106" s="1"/>
      <c r="BK106" s="1" t="s">
        <v>1760</v>
      </c>
      <c r="BL106" s="1" t="s">
        <v>1746</v>
      </c>
      <c r="BM106" s="1"/>
      <c r="BN106" s="1" t="s">
        <v>173</v>
      </c>
      <c r="BO106" s="12">
        <v>10.125</v>
      </c>
      <c r="BP106" s="12">
        <v>15.125</v>
      </c>
      <c r="BQ106" s="12"/>
      <c r="BR106" s="1">
        <v>25.7</v>
      </c>
      <c r="BS106" s="1">
        <v>38.4</v>
      </c>
      <c r="BT106" s="1"/>
      <c r="BU106" s="1"/>
      <c r="BV106" s="1" t="s">
        <v>345</v>
      </c>
      <c r="BW106" s="1" t="s">
        <v>346</v>
      </c>
      <c r="BX106" s="1"/>
      <c r="BY106" s="1">
        <v>1939</v>
      </c>
      <c r="BZ106" s="1" t="s">
        <v>347</v>
      </c>
      <c r="CA106" s="1" t="s">
        <v>348</v>
      </c>
      <c r="CB106" s="1"/>
      <c r="CN106" s="1" t="s">
        <v>96</v>
      </c>
      <c r="CP106" s="8" t="str">
        <f>HYPERLINK("http://www.metmuseum.org/art/collection/search/53791","http://www.metmuseum.org/art/collection/search/53791")</f>
        <v>http://www.metmuseum.org/art/collection/search/53791</v>
      </c>
      <c r="CQ106" s="4">
        <v>42842.333402777775</v>
      </c>
      <c r="CR106" s="1" t="s">
        <v>97</v>
      </c>
    </row>
    <row r="107" spans="1:96" ht="66" customHeight="1" x14ac:dyDescent="0.2">
      <c r="A107" s="1" t="s">
        <v>701</v>
      </c>
      <c r="B107" s="1" t="b">
        <v>0</v>
      </c>
      <c r="C107" s="1" t="b">
        <v>1</v>
      </c>
      <c r="D107" s="1">
        <v>53792</v>
      </c>
      <c r="E107" s="1" t="s">
        <v>85</v>
      </c>
      <c r="F107" s="1" t="s">
        <v>99</v>
      </c>
      <c r="G107" s="1" t="s">
        <v>702</v>
      </c>
      <c r="H107" s="1" t="s">
        <v>703</v>
      </c>
      <c r="I107" s="1" t="s">
        <v>704</v>
      </c>
      <c r="J107" s="1" t="s">
        <v>705</v>
      </c>
      <c r="K107" s="1" t="s">
        <v>145</v>
      </c>
      <c r="L107" s="1" t="s">
        <v>146</v>
      </c>
      <c r="M107" s="1" t="s">
        <v>147</v>
      </c>
      <c r="N107" s="1" t="s">
        <v>87</v>
      </c>
      <c r="O107" s="1" t="s">
        <v>1798</v>
      </c>
      <c r="P107" s="1">
        <v>1615</v>
      </c>
      <c r="Q107" s="1">
        <v>1868</v>
      </c>
      <c r="U107" s="1" t="s">
        <v>88</v>
      </c>
      <c r="W107" s="1" t="s">
        <v>89</v>
      </c>
      <c r="X107" s="1" t="s">
        <v>1801</v>
      </c>
      <c r="Z107" s="1" t="s">
        <v>89</v>
      </c>
      <c r="AA107" s="1" t="s">
        <v>90</v>
      </c>
      <c r="AB107" s="1">
        <v>1760</v>
      </c>
      <c r="AC107" s="1">
        <v>1849</v>
      </c>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t="s">
        <v>663</v>
      </c>
      <c r="BG107" s="1">
        <v>1820</v>
      </c>
      <c r="BH107" s="1">
        <v>1840</v>
      </c>
      <c r="BI107" s="1">
        <v>1</v>
      </c>
      <c r="BJ107" s="1"/>
      <c r="BK107" s="1" t="s">
        <v>1760</v>
      </c>
      <c r="BL107" s="1" t="s">
        <v>1746</v>
      </c>
      <c r="BM107" s="1"/>
      <c r="BN107" s="1" t="s">
        <v>173</v>
      </c>
      <c r="BO107" s="12">
        <v>10.125</v>
      </c>
      <c r="BP107" s="12">
        <v>15.125</v>
      </c>
      <c r="BQ107" s="12"/>
      <c r="BR107" s="1">
        <v>25.7</v>
      </c>
      <c r="BS107" s="1">
        <v>38.4</v>
      </c>
      <c r="BT107" s="1"/>
      <c r="BU107" s="1"/>
      <c r="BV107" s="1" t="s">
        <v>480</v>
      </c>
      <c r="BW107" s="1" t="s">
        <v>346</v>
      </c>
      <c r="BX107" s="1"/>
      <c r="BY107" s="1">
        <v>1939</v>
      </c>
      <c r="BZ107" s="1" t="s">
        <v>347</v>
      </c>
      <c r="CA107" s="1" t="s">
        <v>348</v>
      </c>
      <c r="CB107" s="1"/>
      <c r="CN107" s="1" t="s">
        <v>96</v>
      </c>
      <c r="CP107" s="8" t="str">
        <f>HYPERLINK("http://www.metmuseum.org/art/collection/search/53792","http://www.metmuseum.org/art/collection/search/53792")</f>
        <v>http://www.metmuseum.org/art/collection/search/53792</v>
      </c>
      <c r="CQ107" s="4">
        <v>42842.333402777775</v>
      </c>
      <c r="CR107" s="1" t="s">
        <v>97</v>
      </c>
    </row>
    <row r="108" spans="1:96" ht="66" customHeight="1" x14ac:dyDescent="0.2">
      <c r="A108" s="1" t="s">
        <v>706</v>
      </c>
      <c r="B108" s="1" t="b">
        <v>0</v>
      </c>
      <c r="C108" s="1" t="b">
        <v>1</v>
      </c>
      <c r="D108" s="1">
        <v>53793</v>
      </c>
      <c r="E108" s="1" t="s">
        <v>85</v>
      </c>
      <c r="F108" s="1" t="s">
        <v>99</v>
      </c>
      <c r="G108" s="1" t="s">
        <v>421</v>
      </c>
      <c r="H108" s="1" t="s">
        <v>422</v>
      </c>
      <c r="I108" s="1" t="s">
        <v>423</v>
      </c>
      <c r="J108" s="1" t="s">
        <v>424</v>
      </c>
      <c r="K108" s="1" t="s">
        <v>145</v>
      </c>
      <c r="L108" s="1" t="s">
        <v>146</v>
      </c>
      <c r="M108" s="1" t="s">
        <v>147</v>
      </c>
      <c r="N108" s="1" t="s">
        <v>87</v>
      </c>
      <c r="O108" s="1" t="s">
        <v>1798</v>
      </c>
      <c r="P108" s="1">
        <v>1615</v>
      </c>
      <c r="Q108" s="1">
        <v>1868</v>
      </c>
      <c r="U108" s="1" t="s">
        <v>88</v>
      </c>
      <c r="W108" s="1" t="s">
        <v>89</v>
      </c>
      <c r="X108" s="1" t="s">
        <v>1801</v>
      </c>
      <c r="Z108" s="1" t="s">
        <v>89</v>
      </c>
      <c r="AA108" s="1" t="s">
        <v>90</v>
      </c>
      <c r="AB108" s="1">
        <v>1760</v>
      </c>
      <c r="AC108" s="1">
        <v>1849</v>
      </c>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t="s">
        <v>663</v>
      </c>
      <c r="BG108" s="1">
        <v>1820</v>
      </c>
      <c r="BH108" s="1">
        <v>1840</v>
      </c>
      <c r="BI108" s="1">
        <v>1</v>
      </c>
      <c r="BJ108" s="1"/>
      <c r="BK108" s="1" t="s">
        <v>1760</v>
      </c>
      <c r="BL108" s="1" t="s">
        <v>1746</v>
      </c>
      <c r="BM108" s="1"/>
      <c r="BN108" s="1" t="s">
        <v>460</v>
      </c>
      <c r="BO108" s="12">
        <v>9.875</v>
      </c>
      <c r="BP108" s="12">
        <v>14.875</v>
      </c>
      <c r="BQ108" s="12"/>
      <c r="BR108" s="1">
        <v>25.1</v>
      </c>
      <c r="BS108" s="1">
        <v>37.799999999999997</v>
      </c>
      <c r="BT108" s="1"/>
      <c r="BU108" s="1"/>
      <c r="BV108" s="1" t="s">
        <v>480</v>
      </c>
      <c r="BW108" s="1" t="s">
        <v>346</v>
      </c>
      <c r="BX108" s="1"/>
      <c r="BY108" s="1">
        <v>1939</v>
      </c>
      <c r="BZ108" s="1" t="s">
        <v>347</v>
      </c>
      <c r="CA108" s="1" t="s">
        <v>348</v>
      </c>
      <c r="CB108" s="1"/>
      <c r="CN108" s="1" t="s">
        <v>96</v>
      </c>
      <c r="CP108" s="8" t="str">
        <f>HYPERLINK("http://www.metmuseum.org/art/collection/search/53793","http://www.metmuseum.org/art/collection/search/53793")</f>
        <v>http://www.metmuseum.org/art/collection/search/53793</v>
      </c>
      <c r="CQ108" s="4">
        <v>42842.333402777775</v>
      </c>
      <c r="CR108" s="1" t="s">
        <v>97</v>
      </c>
    </row>
    <row r="109" spans="1:96" ht="66" customHeight="1" x14ac:dyDescent="0.2">
      <c r="A109" s="1" t="s">
        <v>707</v>
      </c>
      <c r="B109" s="1" t="b">
        <v>0</v>
      </c>
      <c r="C109" s="1" t="b">
        <v>1</v>
      </c>
      <c r="D109" s="1">
        <v>53845</v>
      </c>
      <c r="E109" s="1" t="s">
        <v>85</v>
      </c>
      <c r="F109" s="1" t="s">
        <v>99</v>
      </c>
      <c r="G109" s="1" t="s">
        <v>708</v>
      </c>
      <c r="H109" s="1" t="s">
        <v>305</v>
      </c>
      <c r="I109" s="1" t="s">
        <v>306</v>
      </c>
      <c r="J109" s="1" t="s">
        <v>709</v>
      </c>
      <c r="K109" s="1" t="s">
        <v>165</v>
      </c>
      <c r="L109" s="1" t="s">
        <v>156</v>
      </c>
      <c r="M109" s="1" t="s">
        <v>157</v>
      </c>
      <c r="N109" s="1" t="s">
        <v>87</v>
      </c>
      <c r="O109" s="1" t="s">
        <v>1798</v>
      </c>
      <c r="P109" s="1">
        <v>1615</v>
      </c>
      <c r="Q109" s="1">
        <v>1868</v>
      </c>
      <c r="U109" s="1" t="s">
        <v>88</v>
      </c>
      <c r="W109" s="1" t="s">
        <v>89</v>
      </c>
      <c r="X109" s="1" t="s">
        <v>1801</v>
      </c>
      <c r="Z109" s="1" t="s">
        <v>89</v>
      </c>
      <c r="AA109" s="1" t="s">
        <v>90</v>
      </c>
      <c r="AB109" s="1">
        <v>1760</v>
      </c>
      <c r="AC109" s="1">
        <v>1849</v>
      </c>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t="s">
        <v>158</v>
      </c>
      <c r="BG109" s="1">
        <v>1820</v>
      </c>
      <c r="BH109" s="1">
        <v>1842</v>
      </c>
      <c r="BI109" s="1">
        <v>1</v>
      </c>
      <c r="BJ109" s="1"/>
      <c r="BK109" s="1" t="s">
        <v>1760</v>
      </c>
      <c r="BL109" s="1" t="s">
        <v>1746</v>
      </c>
      <c r="BM109" s="1"/>
      <c r="BN109" s="1" t="s">
        <v>710</v>
      </c>
      <c r="BO109" s="12">
        <v>10.125</v>
      </c>
      <c r="BP109" s="12">
        <v>14.875</v>
      </c>
      <c r="BQ109" s="12"/>
      <c r="BR109" s="1">
        <v>25.7</v>
      </c>
      <c r="BS109" s="1">
        <v>37.799999999999997</v>
      </c>
      <c r="BT109" s="1"/>
      <c r="BU109" s="1"/>
      <c r="BV109" s="1" t="s">
        <v>372</v>
      </c>
      <c r="BW109" s="1" t="s">
        <v>94</v>
      </c>
      <c r="BX109" s="1" t="s">
        <v>95</v>
      </c>
      <c r="BY109" s="1">
        <v>1936</v>
      </c>
      <c r="BZ109" s="1" t="s">
        <v>373</v>
      </c>
      <c r="CA109" s="1"/>
      <c r="CB109" s="1"/>
      <c r="CN109" s="1" t="s">
        <v>96</v>
      </c>
      <c r="CP109" s="8" t="str">
        <f>HYPERLINK("http://www.metmuseum.org/art/collection/search/53845","http://www.metmuseum.org/art/collection/search/53845")</f>
        <v>http://www.metmuseum.org/art/collection/search/53845</v>
      </c>
      <c r="CQ109" s="4">
        <v>42842.333402777775</v>
      </c>
      <c r="CR109" s="1" t="s">
        <v>97</v>
      </c>
    </row>
    <row r="110" spans="1:96" ht="52.5" customHeight="1" x14ac:dyDescent="0.2">
      <c r="A110" s="1" t="s">
        <v>711</v>
      </c>
      <c r="B110" s="1" t="b">
        <v>0</v>
      </c>
      <c r="C110" s="1" t="b">
        <v>1</v>
      </c>
      <c r="D110" s="1">
        <v>53920</v>
      </c>
      <c r="E110" s="1" t="s">
        <v>85</v>
      </c>
      <c r="F110" s="1" t="s">
        <v>99</v>
      </c>
      <c r="G110" s="1" t="s">
        <v>712</v>
      </c>
      <c r="H110" s="1" t="s">
        <v>713</v>
      </c>
      <c r="I110" s="6" t="s">
        <v>1202</v>
      </c>
      <c r="J110" s="1" t="s">
        <v>714</v>
      </c>
      <c r="K110" s="1" t="s">
        <v>115</v>
      </c>
      <c r="L110" s="1" t="s">
        <v>116</v>
      </c>
      <c r="M110" s="1" t="s">
        <v>117</v>
      </c>
      <c r="N110" s="1" t="s">
        <v>87</v>
      </c>
      <c r="O110" s="1" t="s">
        <v>1798</v>
      </c>
      <c r="P110" s="1">
        <v>1615</v>
      </c>
      <c r="Q110" s="1">
        <v>1868</v>
      </c>
      <c r="U110" s="1" t="s">
        <v>88</v>
      </c>
      <c r="W110" s="1" t="s">
        <v>89</v>
      </c>
      <c r="X110" s="1" t="s">
        <v>1801</v>
      </c>
      <c r="Z110" s="1" t="s">
        <v>89</v>
      </c>
      <c r="AA110" s="1" t="s">
        <v>90</v>
      </c>
      <c r="AB110" s="1">
        <v>1760</v>
      </c>
      <c r="AC110" s="1">
        <v>1849</v>
      </c>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v>1839</v>
      </c>
      <c r="BG110" s="1">
        <v>1839</v>
      </c>
      <c r="BH110" s="1">
        <v>1839</v>
      </c>
      <c r="BI110" s="1">
        <v>1</v>
      </c>
      <c r="BJ110" s="1"/>
      <c r="BK110" s="1" t="s">
        <v>1760</v>
      </c>
      <c r="BL110" s="1" t="s">
        <v>1746</v>
      </c>
      <c r="BM110" s="1"/>
      <c r="BN110" s="1" t="s">
        <v>715</v>
      </c>
      <c r="BO110" s="12">
        <v>9.875</v>
      </c>
      <c r="BP110" s="12">
        <v>14.625</v>
      </c>
      <c r="BQ110" s="12"/>
      <c r="BR110" s="1">
        <v>25.1</v>
      </c>
      <c r="BS110" s="1">
        <v>37.1</v>
      </c>
      <c r="BT110" s="1"/>
      <c r="BU110" s="1"/>
      <c r="BV110" s="1" t="s">
        <v>93</v>
      </c>
      <c r="BW110" s="1" t="s">
        <v>94</v>
      </c>
      <c r="BX110" s="1" t="s">
        <v>95</v>
      </c>
      <c r="BY110" s="1">
        <v>1914</v>
      </c>
      <c r="BZ110" s="1"/>
      <c r="CA110" s="1"/>
      <c r="CB110" s="1"/>
      <c r="CN110" s="1" t="s">
        <v>96</v>
      </c>
      <c r="CP110" s="8" t="str">
        <f>HYPERLINK("http://www.metmuseum.org/art/collection/search/53920","http://www.metmuseum.org/art/collection/search/53920")</f>
        <v>http://www.metmuseum.org/art/collection/search/53920</v>
      </c>
      <c r="CQ110" s="4">
        <v>42842.333402777775</v>
      </c>
      <c r="CR110" s="1" t="s">
        <v>97</v>
      </c>
    </row>
    <row r="111" spans="1:96" ht="52.5" customHeight="1" x14ac:dyDescent="0.2">
      <c r="A111" s="1" t="s">
        <v>716</v>
      </c>
      <c r="B111" s="1" t="b">
        <v>0</v>
      </c>
      <c r="C111" s="1" t="b">
        <v>1</v>
      </c>
      <c r="D111" s="1">
        <v>53990</v>
      </c>
      <c r="E111" s="1" t="s">
        <v>85</v>
      </c>
      <c r="F111" s="1" t="s">
        <v>86</v>
      </c>
      <c r="N111" s="1" t="s">
        <v>87</v>
      </c>
      <c r="O111" s="1" t="s">
        <v>1798</v>
      </c>
      <c r="P111" s="1">
        <v>1615</v>
      </c>
      <c r="Q111" s="1">
        <v>1868</v>
      </c>
      <c r="U111" s="1" t="s">
        <v>88</v>
      </c>
      <c r="W111" s="1" t="s">
        <v>89</v>
      </c>
      <c r="X111" s="1" t="s">
        <v>1801</v>
      </c>
      <c r="Z111" s="1" t="s">
        <v>89</v>
      </c>
      <c r="AA111" s="1" t="s">
        <v>90</v>
      </c>
      <c r="AB111" s="1">
        <v>1760</v>
      </c>
      <c r="AC111" s="1">
        <v>1849</v>
      </c>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t="s">
        <v>717</v>
      </c>
      <c r="BG111" s="1">
        <v>1807</v>
      </c>
      <c r="BH111" s="1">
        <v>1807</v>
      </c>
      <c r="BI111" s="1">
        <v>1</v>
      </c>
      <c r="BJ111" s="6" t="s">
        <v>1757</v>
      </c>
      <c r="BK111" s="6" t="s">
        <v>1760</v>
      </c>
      <c r="BL111" s="1" t="s">
        <v>1746</v>
      </c>
      <c r="BM111" s="1"/>
      <c r="BN111" s="1" t="s">
        <v>718</v>
      </c>
      <c r="BO111" s="11">
        <v>5.4375</v>
      </c>
      <c r="BP111" s="12">
        <v>11.125</v>
      </c>
      <c r="BQ111" s="12"/>
      <c r="BR111" s="1">
        <v>13.8</v>
      </c>
      <c r="BS111" s="1">
        <v>28.3</v>
      </c>
      <c r="BT111" s="1"/>
      <c r="BU111" s="1"/>
      <c r="BV111" s="1" t="s">
        <v>447</v>
      </c>
      <c r="BW111" s="1" t="s">
        <v>346</v>
      </c>
      <c r="BX111" s="1"/>
      <c r="BY111" s="1">
        <v>1929</v>
      </c>
      <c r="BZ111" s="1" t="s">
        <v>448</v>
      </c>
      <c r="CA111" s="1" t="s">
        <v>449</v>
      </c>
      <c r="CB111" s="1"/>
      <c r="CN111" s="1" t="s">
        <v>96</v>
      </c>
      <c r="CP111" s="8" t="str">
        <f>HYPERLINK("http://www.metmuseum.org/art/collection/search/53990","http://www.metmuseum.org/art/collection/search/53990")</f>
        <v>http://www.metmuseum.org/art/collection/search/53990</v>
      </c>
      <c r="CQ111" s="4">
        <v>42842.333402777775</v>
      </c>
      <c r="CR111" s="1" t="s">
        <v>97</v>
      </c>
    </row>
    <row r="112" spans="1:96" ht="52.5" customHeight="1" x14ac:dyDescent="0.2">
      <c r="A112" s="1" t="s">
        <v>719</v>
      </c>
      <c r="B112" s="1" t="b">
        <v>0</v>
      </c>
      <c r="C112" s="1" t="b">
        <v>1</v>
      </c>
      <c r="D112" s="1">
        <v>54091</v>
      </c>
      <c r="E112" s="1" t="s">
        <v>85</v>
      </c>
      <c r="F112" s="1" t="s">
        <v>86</v>
      </c>
      <c r="N112" s="1" t="s">
        <v>87</v>
      </c>
      <c r="O112" s="2" t="s">
        <v>1798</v>
      </c>
      <c r="P112" s="2">
        <v>1615</v>
      </c>
      <c r="Q112" s="2">
        <v>1868</v>
      </c>
      <c r="U112" s="1" t="s">
        <v>88</v>
      </c>
      <c r="W112" s="1" t="s">
        <v>89</v>
      </c>
      <c r="X112" s="1" t="s">
        <v>1801</v>
      </c>
      <c r="Z112" s="1" t="s">
        <v>89</v>
      </c>
      <c r="AA112" s="1" t="s">
        <v>90</v>
      </c>
      <c r="AB112" s="1">
        <v>1760</v>
      </c>
      <c r="AC112" s="1">
        <v>1849</v>
      </c>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t="s">
        <v>383</v>
      </c>
      <c r="BG112" s="1">
        <v>1800</v>
      </c>
      <c r="BH112" s="1">
        <v>1899</v>
      </c>
      <c r="BI112" s="1">
        <v>1</v>
      </c>
      <c r="BJ112" s="6" t="s">
        <v>1757</v>
      </c>
      <c r="BK112" s="1" t="s">
        <v>1760</v>
      </c>
      <c r="BL112" s="1" t="s">
        <v>1746</v>
      </c>
      <c r="BM112" s="1"/>
      <c r="BN112" s="1" t="s">
        <v>720</v>
      </c>
      <c r="BO112" s="12">
        <v>5.125</v>
      </c>
      <c r="BP112" s="11">
        <v>7.1875</v>
      </c>
      <c r="BQ112" s="11"/>
      <c r="BR112" s="1">
        <v>13</v>
      </c>
      <c r="BS112" s="1">
        <v>18.3</v>
      </c>
      <c r="BT112" s="1"/>
      <c r="BU112" s="1"/>
      <c r="BV112" s="1" t="s">
        <v>447</v>
      </c>
      <c r="BW112" s="1" t="s">
        <v>346</v>
      </c>
      <c r="BX112" s="1"/>
      <c r="BY112" s="1">
        <v>1929</v>
      </c>
      <c r="BZ112" s="1" t="s">
        <v>448</v>
      </c>
      <c r="CA112" s="1" t="s">
        <v>449</v>
      </c>
      <c r="CB112" s="1"/>
      <c r="CN112" s="1" t="s">
        <v>96</v>
      </c>
      <c r="CP112" s="8" t="str">
        <f>HYPERLINK("http://www.metmuseum.org/art/collection/search/54091","http://www.metmuseum.org/art/collection/search/54091")</f>
        <v>http://www.metmuseum.org/art/collection/search/54091</v>
      </c>
      <c r="CQ112" s="4">
        <v>42842.333402777775</v>
      </c>
      <c r="CR112" s="1" t="s">
        <v>97</v>
      </c>
    </row>
    <row r="113" spans="1:96" ht="52.5" customHeight="1" x14ac:dyDescent="0.2">
      <c r="A113" s="1" t="s">
        <v>721</v>
      </c>
      <c r="B113" s="1" t="b">
        <v>0</v>
      </c>
      <c r="C113" s="1" t="b">
        <v>1</v>
      </c>
      <c r="D113" s="1">
        <v>54114</v>
      </c>
      <c r="E113" s="1" t="s">
        <v>85</v>
      </c>
      <c r="F113" s="1" t="s">
        <v>86</v>
      </c>
      <c r="N113" s="1" t="s">
        <v>87</v>
      </c>
      <c r="O113" s="1" t="s">
        <v>1798</v>
      </c>
      <c r="P113" s="1">
        <v>1615</v>
      </c>
      <c r="Q113" s="1">
        <v>1868</v>
      </c>
      <c r="U113" s="1" t="s">
        <v>88</v>
      </c>
      <c r="W113" s="1" t="s">
        <v>89</v>
      </c>
      <c r="X113" s="1" t="s">
        <v>1801</v>
      </c>
      <c r="Z113" s="1" t="s">
        <v>89</v>
      </c>
      <c r="AA113" s="1" t="s">
        <v>90</v>
      </c>
      <c r="AB113" s="1">
        <v>1760</v>
      </c>
      <c r="AC113" s="1">
        <v>1849</v>
      </c>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1816</v>
      </c>
      <c r="BG113" s="1">
        <v>1816</v>
      </c>
      <c r="BH113" s="1">
        <v>1816</v>
      </c>
      <c r="BI113" s="1">
        <v>1</v>
      </c>
      <c r="BJ113" s="6" t="s">
        <v>1757</v>
      </c>
      <c r="BK113" s="1" t="s">
        <v>1760</v>
      </c>
      <c r="BL113" s="1" t="s">
        <v>1746</v>
      </c>
      <c r="BM113" s="1"/>
      <c r="BN113" s="1" t="s">
        <v>722</v>
      </c>
      <c r="BO113" s="11">
        <v>8.4375</v>
      </c>
      <c r="BP113" s="12">
        <v>7.5</v>
      </c>
      <c r="BQ113" s="12"/>
      <c r="BR113" s="1">
        <v>21.4</v>
      </c>
      <c r="BS113" s="1">
        <v>19.100000000000001</v>
      </c>
      <c r="BT113" s="1"/>
      <c r="BU113" s="1"/>
      <c r="BV113" s="1" t="s">
        <v>447</v>
      </c>
      <c r="BW113" s="1" t="s">
        <v>346</v>
      </c>
      <c r="BX113" s="1"/>
      <c r="BY113" s="1">
        <v>1929</v>
      </c>
      <c r="BZ113" s="1" t="s">
        <v>448</v>
      </c>
      <c r="CA113" s="1" t="s">
        <v>449</v>
      </c>
      <c r="CB113" s="1"/>
      <c r="CN113" s="1" t="s">
        <v>96</v>
      </c>
      <c r="CP113" s="8" t="str">
        <f>HYPERLINK("http://www.metmuseum.org/art/collection/search/54114","http://www.metmuseum.org/art/collection/search/54114")</f>
        <v>http://www.metmuseum.org/art/collection/search/54114</v>
      </c>
      <c r="CQ113" s="4">
        <v>42842.333402777775</v>
      </c>
      <c r="CR113" s="1" t="s">
        <v>97</v>
      </c>
    </row>
    <row r="114" spans="1:96" ht="52.5" customHeight="1" x14ac:dyDescent="0.2">
      <c r="A114" s="1" t="s">
        <v>723</v>
      </c>
      <c r="B114" s="1" t="b">
        <v>0</v>
      </c>
      <c r="C114" s="1" t="b">
        <v>1</v>
      </c>
      <c r="D114" s="1">
        <v>54151</v>
      </c>
      <c r="E114" s="1" t="s">
        <v>85</v>
      </c>
      <c r="F114" s="1" t="s">
        <v>86</v>
      </c>
      <c r="N114" s="1" t="s">
        <v>87</v>
      </c>
      <c r="O114" s="2" t="s">
        <v>1798</v>
      </c>
      <c r="P114" s="2">
        <v>1615</v>
      </c>
      <c r="Q114" s="2">
        <v>1868</v>
      </c>
      <c r="U114" s="1" t="s">
        <v>88</v>
      </c>
      <c r="W114" s="1" t="s">
        <v>89</v>
      </c>
      <c r="X114" s="1" t="s">
        <v>1801</v>
      </c>
      <c r="Z114" s="1" t="s">
        <v>89</v>
      </c>
      <c r="AA114" s="1" t="s">
        <v>90</v>
      </c>
      <c r="AB114" s="1">
        <v>1760</v>
      </c>
      <c r="AC114" s="1">
        <v>1849</v>
      </c>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G114" s="1">
        <v>1760</v>
      </c>
      <c r="BH114" s="1">
        <v>1849</v>
      </c>
      <c r="BI114" s="1">
        <v>1</v>
      </c>
      <c r="BJ114" s="6" t="s">
        <v>1757</v>
      </c>
      <c r="BK114" s="1" t="s">
        <v>1760</v>
      </c>
      <c r="BL114" s="1" t="s">
        <v>1746</v>
      </c>
      <c r="BM114" s="1"/>
      <c r="BN114" s="1" t="s">
        <v>724</v>
      </c>
      <c r="BO114" s="12">
        <v>7.5</v>
      </c>
      <c r="BP114" s="12">
        <v>10.25</v>
      </c>
      <c r="BQ114" s="12"/>
      <c r="BR114" s="1">
        <v>19.100000000000001</v>
      </c>
      <c r="BS114" s="1">
        <v>26</v>
      </c>
      <c r="BT114" s="1"/>
      <c r="BU114" s="1"/>
      <c r="BV114" s="1" t="s">
        <v>447</v>
      </c>
      <c r="BW114" s="1" t="s">
        <v>346</v>
      </c>
      <c r="BX114" s="1"/>
      <c r="BY114" s="1">
        <v>1929</v>
      </c>
      <c r="BZ114" s="1" t="s">
        <v>448</v>
      </c>
      <c r="CA114" s="1" t="s">
        <v>449</v>
      </c>
      <c r="CB114" s="1"/>
      <c r="CN114" s="1" t="s">
        <v>96</v>
      </c>
      <c r="CP114" s="8" t="str">
        <f>HYPERLINK("http://www.metmuseum.org/art/collection/search/54151","http://www.metmuseum.org/art/collection/search/54151")</f>
        <v>http://www.metmuseum.org/art/collection/search/54151</v>
      </c>
      <c r="CQ114" s="4">
        <v>42842.333402777775</v>
      </c>
      <c r="CR114" s="1" t="s">
        <v>97</v>
      </c>
    </row>
    <row r="115" spans="1:96" ht="52.5" customHeight="1" x14ac:dyDescent="0.2">
      <c r="A115" s="1" t="s">
        <v>725</v>
      </c>
      <c r="B115" s="1" t="b">
        <v>0</v>
      </c>
      <c r="C115" s="1" t="b">
        <v>1</v>
      </c>
      <c r="D115" s="1">
        <v>54188</v>
      </c>
      <c r="E115" s="1" t="s">
        <v>85</v>
      </c>
      <c r="F115" s="1" t="s">
        <v>86</v>
      </c>
      <c r="G115" s="1" t="s">
        <v>726</v>
      </c>
      <c r="H115" s="1" t="s">
        <v>727</v>
      </c>
      <c r="I115" s="1" t="s">
        <v>728</v>
      </c>
      <c r="J115" s="1" t="s">
        <v>729</v>
      </c>
      <c r="K115" s="1"/>
      <c r="L115" s="1"/>
      <c r="M115" s="1"/>
      <c r="N115" s="1" t="s">
        <v>87</v>
      </c>
      <c r="O115" s="1" t="s">
        <v>1798</v>
      </c>
      <c r="P115" s="1">
        <v>1615</v>
      </c>
      <c r="Q115" s="1">
        <v>1868</v>
      </c>
      <c r="U115" s="1" t="s">
        <v>88</v>
      </c>
      <c r="W115" s="1" t="s">
        <v>89</v>
      </c>
      <c r="X115" s="1" t="s">
        <v>1801</v>
      </c>
      <c r="Z115" s="1" t="s">
        <v>89</v>
      </c>
      <c r="AA115" s="1" t="s">
        <v>90</v>
      </c>
      <c r="AB115" s="1">
        <v>1760</v>
      </c>
      <c r="AC115" s="1">
        <v>1849</v>
      </c>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v>1802</v>
      </c>
      <c r="BG115" s="1">
        <v>1802</v>
      </c>
      <c r="BH115" s="1">
        <v>1802</v>
      </c>
      <c r="BI115" s="1">
        <v>1</v>
      </c>
      <c r="BJ115" s="6" t="s">
        <v>1757</v>
      </c>
      <c r="BK115" s="1" t="s">
        <v>1760</v>
      </c>
      <c r="BL115" s="1" t="s">
        <v>1746</v>
      </c>
      <c r="BM115" s="1"/>
      <c r="BN115" s="1" t="s">
        <v>730</v>
      </c>
      <c r="BO115" s="12">
        <v>5.5</v>
      </c>
      <c r="BP115" s="12">
        <v>7.5</v>
      </c>
      <c r="BQ115" s="12"/>
      <c r="BR115" s="1">
        <v>14</v>
      </c>
      <c r="BS115" s="1">
        <v>19.100000000000001</v>
      </c>
      <c r="BT115" s="1"/>
      <c r="BU115" s="1"/>
      <c r="BV115" s="1" t="s">
        <v>372</v>
      </c>
      <c r="BW115" s="1" t="s">
        <v>94</v>
      </c>
      <c r="BX115" s="1" t="s">
        <v>95</v>
      </c>
      <c r="BY115" s="1">
        <v>1936</v>
      </c>
      <c r="BZ115" s="1" t="s">
        <v>373</v>
      </c>
      <c r="CA115" s="1"/>
      <c r="CB115" s="1"/>
      <c r="CN115" s="1" t="s">
        <v>96</v>
      </c>
      <c r="CP115" s="8" t="str">
        <f>HYPERLINK("http://www.metmuseum.org/art/collection/search/54188","http://www.metmuseum.org/art/collection/search/54188")</f>
        <v>http://www.metmuseum.org/art/collection/search/54188</v>
      </c>
      <c r="CQ115" s="4">
        <v>42842.333402777775</v>
      </c>
      <c r="CR115" s="1" t="s">
        <v>97</v>
      </c>
    </row>
    <row r="116" spans="1:96" ht="52.5" customHeight="1" x14ac:dyDescent="0.2">
      <c r="A116" s="1" t="s">
        <v>731</v>
      </c>
      <c r="B116" s="1" t="b">
        <v>0</v>
      </c>
      <c r="C116" s="1" t="b">
        <v>1</v>
      </c>
      <c r="D116" s="1">
        <v>54189</v>
      </c>
      <c r="E116" s="1" t="s">
        <v>85</v>
      </c>
      <c r="F116" s="1" t="s">
        <v>86</v>
      </c>
      <c r="G116" s="1" t="s">
        <v>732</v>
      </c>
      <c r="H116" s="1" t="s">
        <v>727</v>
      </c>
      <c r="I116" s="1" t="s">
        <v>733</v>
      </c>
      <c r="J116" s="1" t="s">
        <v>734</v>
      </c>
      <c r="K116" s="1"/>
      <c r="L116" s="1"/>
      <c r="M116" s="1"/>
      <c r="N116" s="1" t="s">
        <v>87</v>
      </c>
      <c r="O116" s="1" t="s">
        <v>1798</v>
      </c>
      <c r="P116" s="1">
        <v>1615</v>
      </c>
      <c r="Q116" s="1">
        <v>1868</v>
      </c>
      <c r="U116" s="1" t="s">
        <v>88</v>
      </c>
      <c r="W116" s="1" t="s">
        <v>89</v>
      </c>
      <c r="X116" s="1" t="s">
        <v>1801</v>
      </c>
      <c r="Z116" s="1" t="s">
        <v>89</v>
      </c>
      <c r="AA116" s="1" t="s">
        <v>90</v>
      </c>
      <c r="AB116" s="1">
        <v>1760</v>
      </c>
      <c r="AC116" s="1">
        <v>1849</v>
      </c>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v>1802</v>
      </c>
      <c r="BG116" s="1">
        <v>1802</v>
      </c>
      <c r="BH116" s="1">
        <v>1802</v>
      </c>
      <c r="BI116" s="1">
        <v>1</v>
      </c>
      <c r="BJ116" s="6" t="s">
        <v>1757</v>
      </c>
      <c r="BK116" s="1" t="s">
        <v>1760</v>
      </c>
      <c r="BL116" s="1" t="s">
        <v>1746</v>
      </c>
      <c r="BM116" s="1"/>
      <c r="BN116" s="1" t="s">
        <v>735</v>
      </c>
      <c r="BO116" s="12">
        <v>5.375</v>
      </c>
      <c r="BP116" s="12">
        <v>7.375</v>
      </c>
      <c r="BQ116" s="12"/>
      <c r="BR116" s="1">
        <v>13.7</v>
      </c>
      <c r="BS116" s="1">
        <v>18.7</v>
      </c>
      <c r="BT116" s="1"/>
      <c r="BU116" s="1"/>
      <c r="BV116" s="1" t="s">
        <v>372</v>
      </c>
      <c r="BW116" s="1" t="s">
        <v>94</v>
      </c>
      <c r="BX116" s="1" t="s">
        <v>95</v>
      </c>
      <c r="BY116" s="1">
        <v>1936</v>
      </c>
      <c r="BZ116" s="1" t="s">
        <v>373</v>
      </c>
      <c r="CA116" s="1"/>
      <c r="CB116" s="1"/>
      <c r="CN116" s="1" t="s">
        <v>96</v>
      </c>
      <c r="CP116" s="8" t="str">
        <f>HYPERLINK("http://www.metmuseum.org/art/collection/search/54189","http://www.metmuseum.org/art/collection/search/54189")</f>
        <v>http://www.metmuseum.org/art/collection/search/54189</v>
      </c>
      <c r="CQ116" s="4">
        <v>42842.333402777775</v>
      </c>
      <c r="CR116" s="1" t="s">
        <v>97</v>
      </c>
    </row>
    <row r="117" spans="1:96" ht="52.5" customHeight="1" x14ac:dyDescent="0.2">
      <c r="A117" s="1" t="s">
        <v>736</v>
      </c>
      <c r="B117" s="1" t="b">
        <v>0</v>
      </c>
      <c r="C117" s="1" t="b">
        <v>1</v>
      </c>
      <c r="D117" s="1">
        <v>54191</v>
      </c>
      <c r="E117" s="1" t="s">
        <v>85</v>
      </c>
      <c r="F117" s="1" t="s">
        <v>86</v>
      </c>
      <c r="G117" s="1" t="s">
        <v>737</v>
      </c>
      <c r="H117" s="1" t="s">
        <v>738</v>
      </c>
      <c r="I117" s="1" t="s">
        <v>739</v>
      </c>
      <c r="J117" s="1" t="s">
        <v>740</v>
      </c>
      <c r="K117" s="1"/>
      <c r="L117" s="1"/>
      <c r="M117" s="1"/>
      <c r="N117" s="1" t="s">
        <v>87</v>
      </c>
      <c r="O117" s="1" t="s">
        <v>1798</v>
      </c>
      <c r="P117" s="1">
        <v>1615</v>
      </c>
      <c r="Q117" s="1">
        <v>1868</v>
      </c>
      <c r="U117" s="1" t="s">
        <v>88</v>
      </c>
      <c r="W117" s="1" t="s">
        <v>89</v>
      </c>
      <c r="X117" s="1" t="s">
        <v>1801</v>
      </c>
      <c r="Z117" s="1" t="s">
        <v>89</v>
      </c>
      <c r="AA117" s="1" t="s">
        <v>90</v>
      </c>
      <c r="AB117" s="1">
        <v>1760</v>
      </c>
      <c r="AC117" s="1">
        <v>1849</v>
      </c>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t="s">
        <v>741</v>
      </c>
      <c r="BG117" s="1">
        <v>1792</v>
      </c>
      <c r="BH117" s="1">
        <v>1812</v>
      </c>
      <c r="BI117" s="1">
        <v>1</v>
      </c>
      <c r="BJ117" s="6" t="s">
        <v>1757</v>
      </c>
      <c r="BK117" s="1" t="s">
        <v>1760</v>
      </c>
      <c r="BL117" s="1" t="s">
        <v>1746</v>
      </c>
      <c r="BM117" s="1"/>
      <c r="BN117" s="1" t="s">
        <v>735</v>
      </c>
      <c r="BO117" s="12">
        <v>5.375</v>
      </c>
      <c r="BP117" s="12">
        <v>7.375</v>
      </c>
      <c r="BQ117" s="12"/>
      <c r="BR117" s="1">
        <v>13.7</v>
      </c>
      <c r="BS117" s="1">
        <v>18.7</v>
      </c>
      <c r="BT117" s="1"/>
      <c r="BU117" s="1"/>
      <c r="BV117" s="1" t="s">
        <v>372</v>
      </c>
      <c r="BW117" s="1" t="s">
        <v>94</v>
      </c>
      <c r="BX117" s="1" t="s">
        <v>95</v>
      </c>
      <c r="BY117" s="1">
        <v>1936</v>
      </c>
      <c r="BZ117" s="1" t="s">
        <v>373</v>
      </c>
      <c r="CA117" s="1"/>
      <c r="CB117" s="1"/>
      <c r="CN117" s="1" t="s">
        <v>96</v>
      </c>
      <c r="CP117" s="8" t="str">
        <f>HYPERLINK("http://www.metmuseum.org/art/collection/search/54191","http://www.metmuseum.org/art/collection/search/54191")</f>
        <v>http://www.metmuseum.org/art/collection/search/54191</v>
      </c>
      <c r="CQ117" s="4">
        <v>42842.333402777775</v>
      </c>
      <c r="CR117" s="1" t="s">
        <v>97</v>
      </c>
    </row>
    <row r="118" spans="1:96" ht="52.5" customHeight="1" x14ac:dyDescent="0.2">
      <c r="A118" s="1" t="s">
        <v>742</v>
      </c>
      <c r="B118" s="1" t="b">
        <v>0</v>
      </c>
      <c r="C118" s="1" t="b">
        <v>1</v>
      </c>
      <c r="D118" s="1">
        <v>54192</v>
      </c>
      <c r="E118" s="1" t="s">
        <v>85</v>
      </c>
      <c r="F118" s="1" t="s">
        <v>86</v>
      </c>
      <c r="N118" s="1" t="s">
        <v>87</v>
      </c>
      <c r="O118" s="1" t="s">
        <v>1798</v>
      </c>
      <c r="P118" s="1">
        <v>1615</v>
      </c>
      <c r="Q118" s="1">
        <v>1868</v>
      </c>
      <c r="U118" s="1" t="s">
        <v>88</v>
      </c>
      <c r="W118" s="1" t="s">
        <v>89</v>
      </c>
      <c r="X118" s="1" t="s">
        <v>1801</v>
      </c>
      <c r="Z118" s="1" t="s">
        <v>89</v>
      </c>
      <c r="AA118" s="1" t="s">
        <v>90</v>
      </c>
      <c r="AB118" s="1">
        <v>1760</v>
      </c>
      <c r="AC118" s="1">
        <v>1849</v>
      </c>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1841</v>
      </c>
      <c r="BG118" s="1">
        <v>1841</v>
      </c>
      <c r="BH118" s="1">
        <v>1841</v>
      </c>
      <c r="BI118" s="1">
        <v>1</v>
      </c>
      <c r="BJ118" s="6" t="s">
        <v>1757</v>
      </c>
      <c r="BK118" s="1" t="s">
        <v>1760</v>
      </c>
      <c r="BL118" s="1" t="s">
        <v>1746</v>
      </c>
      <c r="BM118" s="1"/>
      <c r="BN118" s="1" t="s">
        <v>743</v>
      </c>
      <c r="BO118" s="12">
        <v>5.375</v>
      </c>
      <c r="BP118" s="12">
        <v>7.25</v>
      </c>
      <c r="BQ118" s="12"/>
      <c r="BR118" s="1">
        <v>13.7</v>
      </c>
      <c r="BS118" s="1">
        <v>18.399999999999999</v>
      </c>
      <c r="BT118" s="1"/>
      <c r="BU118" s="1"/>
      <c r="BV118" s="1" t="s">
        <v>372</v>
      </c>
      <c r="BW118" s="1" t="s">
        <v>94</v>
      </c>
      <c r="BX118" s="1" t="s">
        <v>95</v>
      </c>
      <c r="BY118" s="1">
        <v>1936</v>
      </c>
      <c r="BZ118" s="1" t="s">
        <v>373</v>
      </c>
      <c r="CA118" s="1"/>
      <c r="CB118" s="1"/>
      <c r="CN118" s="1" t="s">
        <v>96</v>
      </c>
      <c r="CP118" s="8" t="str">
        <f>HYPERLINK("http://www.metmuseum.org/art/collection/search/54192","http://www.metmuseum.org/art/collection/search/54192")</f>
        <v>http://www.metmuseum.org/art/collection/search/54192</v>
      </c>
      <c r="CQ118" s="4">
        <v>42842.333402777775</v>
      </c>
      <c r="CR118" s="1" t="s">
        <v>97</v>
      </c>
    </row>
    <row r="119" spans="1:96" ht="52.5" customHeight="1" x14ac:dyDescent="0.2">
      <c r="A119" s="1" t="s">
        <v>744</v>
      </c>
      <c r="B119" s="1" t="b">
        <v>0</v>
      </c>
      <c r="C119" s="1" t="b">
        <v>1</v>
      </c>
      <c r="D119" s="1">
        <v>54193</v>
      </c>
      <c r="E119" s="1" t="s">
        <v>85</v>
      </c>
      <c r="F119" s="1" t="s">
        <v>86</v>
      </c>
      <c r="N119" s="1" t="s">
        <v>87</v>
      </c>
      <c r="O119" s="1" t="s">
        <v>1798</v>
      </c>
      <c r="P119" s="1">
        <v>1615</v>
      </c>
      <c r="Q119" s="1">
        <v>1868</v>
      </c>
      <c r="U119" s="1" t="s">
        <v>88</v>
      </c>
      <c r="W119" s="1" t="s">
        <v>89</v>
      </c>
      <c r="X119" s="1" t="s">
        <v>1801</v>
      </c>
      <c r="Z119" s="1" t="s">
        <v>89</v>
      </c>
      <c r="AA119" s="1" t="s">
        <v>90</v>
      </c>
      <c r="AB119" s="1">
        <v>1760</v>
      </c>
      <c r="AC119" s="1">
        <v>1849</v>
      </c>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t="s">
        <v>745</v>
      </c>
      <c r="BG119" s="1">
        <v>1790</v>
      </c>
      <c r="BH119" s="1">
        <v>1810</v>
      </c>
      <c r="BI119" s="1">
        <v>1</v>
      </c>
      <c r="BJ119" s="6" t="s">
        <v>1757</v>
      </c>
      <c r="BK119" s="1" t="s">
        <v>1760</v>
      </c>
      <c r="BL119" s="1" t="s">
        <v>1746</v>
      </c>
      <c r="BM119" s="1"/>
      <c r="BN119" s="1" t="s">
        <v>746</v>
      </c>
      <c r="BO119" s="12">
        <v>5.5</v>
      </c>
      <c r="BP119" s="12">
        <v>10.5</v>
      </c>
      <c r="BQ119" s="12"/>
      <c r="BR119" s="1">
        <v>14</v>
      </c>
      <c r="BS119" s="1">
        <v>26.7</v>
      </c>
      <c r="BT119" s="1"/>
      <c r="BU119" s="1"/>
      <c r="BV119" s="1" t="s">
        <v>372</v>
      </c>
      <c r="BW119" s="1" t="s">
        <v>94</v>
      </c>
      <c r="BX119" s="1" t="s">
        <v>95</v>
      </c>
      <c r="BY119" s="1">
        <v>1936</v>
      </c>
      <c r="BZ119" s="1" t="s">
        <v>373</v>
      </c>
      <c r="CA119" s="1"/>
      <c r="CB119" s="1"/>
      <c r="CN119" s="1" t="s">
        <v>96</v>
      </c>
      <c r="CP119" s="8" t="str">
        <f>HYPERLINK("http://www.metmuseum.org/art/collection/search/54193","http://www.metmuseum.org/art/collection/search/54193")</f>
        <v>http://www.metmuseum.org/art/collection/search/54193</v>
      </c>
      <c r="CQ119" s="4">
        <v>42842.333402777775</v>
      </c>
      <c r="CR119" s="1" t="s">
        <v>97</v>
      </c>
    </row>
    <row r="120" spans="1:96" ht="52.5" customHeight="1" x14ac:dyDescent="0.2">
      <c r="A120" s="1" t="s">
        <v>747</v>
      </c>
      <c r="B120" s="1" t="b">
        <v>0</v>
      </c>
      <c r="C120" s="1" t="b">
        <v>1</v>
      </c>
      <c r="D120" s="1">
        <v>54194</v>
      </c>
      <c r="E120" s="1" t="s">
        <v>85</v>
      </c>
      <c r="F120" s="1" t="s">
        <v>86</v>
      </c>
      <c r="G120" s="1" t="s">
        <v>748</v>
      </c>
      <c r="H120" s="1"/>
      <c r="I120" s="1" t="s">
        <v>749</v>
      </c>
      <c r="J120" s="1" t="s">
        <v>750</v>
      </c>
      <c r="K120" s="1" t="s">
        <v>751</v>
      </c>
      <c r="L120" s="1" t="s">
        <v>752</v>
      </c>
      <c r="M120" s="1" t="s">
        <v>753</v>
      </c>
      <c r="N120" s="1" t="s">
        <v>87</v>
      </c>
      <c r="O120" s="1" t="s">
        <v>1798</v>
      </c>
      <c r="P120" s="1">
        <v>1615</v>
      </c>
      <c r="Q120" s="1">
        <v>1868</v>
      </c>
      <c r="U120" s="1" t="s">
        <v>88</v>
      </c>
      <c r="W120" s="1" t="s">
        <v>89</v>
      </c>
      <c r="X120" s="1" t="s">
        <v>1801</v>
      </c>
      <c r="Z120" s="1" t="s">
        <v>89</v>
      </c>
      <c r="AA120" s="1" t="s">
        <v>90</v>
      </c>
      <c r="AB120" s="1">
        <v>1760</v>
      </c>
      <c r="AC120" s="1">
        <v>1849</v>
      </c>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t="s">
        <v>754</v>
      </c>
      <c r="BG120" s="1">
        <v>1821</v>
      </c>
      <c r="BH120" s="1">
        <v>1821</v>
      </c>
      <c r="BI120" s="1">
        <v>1</v>
      </c>
      <c r="BJ120" s="6" t="s">
        <v>1757</v>
      </c>
      <c r="BK120" s="1" t="s">
        <v>1760</v>
      </c>
      <c r="BL120" s="1" t="s">
        <v>1746</v>
      </c>
      <c r="BM120" s="1"/>
      <c r="BN120" s="1" t="s">
        <v>755</v>
      </c>
      <c r="BO120" s="12">
        <v>7.75</v>
      </c>
      <c r="BP120" s="12">
        <v>6.875</v>
      </c>
      <c r="BQ120" s="12"/>
      <c r="BR120" s="1">
        <v>19.7</v>
      </c>
      <c r="BS120" s="1">
        <v>17.5</v>
      </c>
      <c r="BT120" s="1"/>
      <c r="BU120" s="1"/>
      <c r="BV120" s="1" t="s">
        <v>372</v>
      </c>
      <c r="BW120" s="1" t="s">
        <v>94</v>
      </c>
      <c r="BX120" s="1" t="s">
        <v>95</v>
      </c>
      <c r="BY120" s="1">
        <v>1936</v>
      </c>
      <c r="BZ120" s="1" t="s">
        <v>373</v>
      </c>
      <c r="CA120" s="1"/>
      <c r="CB120" s="1"/>
      <c r="CN120" s="1" t="s">
        <v>96</v>
      </c>
      <c r="CP120" s="8" t="str">
        <f>HYPERLINK("http://www.metmuseum.org/art/collection/search/54194","http://www.metmuseum.org/art/collection/search/54194")</f>
        <v>http://www.metmuseum.org/art/collection/search/54194</v>
      </c>
      <c r="CQ120" s="4">
        <v>42842.333402777775</v>
      </c>
      <c r="CR120" s="1" t="s">
        <v>97</v>
      </c>
    </row>
    <row r="121" spans="1:96" ht="52.5" customHeight="1" x14ac:dyDescent="0.2">
      <c r="A121" s="1" t="s">
        <v>756</v>
      </c>
      <c r="B121" s="1" t="b">
        <v>0</v>
      </c>
      <c r="C121" s="1" t="b">
        <v>1</v>
      </c>
      <c r="D121" s="1">
        <v>54195</v>
      </c>
      <c r="E121" s="1" t="s">
        <v>85</v>
      </c>
      <c r="F121" s="1" t="s">
        <v>86</v>
      </c>
      <c r="G121" s="1" t="s">
        <v>757</v>
      </c>
      <c r="H121" s="1"/>
      <c r="I121" s="1" t="s">
        <v>758</v>
      </c>
      <c r="J121" s="1" t="s">
        <v>759</v>
      </c>
      <c r="K121" s="1" t="s">
        <v>751</v>
      </c>
      <c r="L121" s="1" t="s">
        <v>752</v>
      </c>
      <c r="M121" s="1" t="s">
        <v>753</v>
      </c>
      <c r="N121" s="1" t="s">
        <v>87</v>
      </c>
      <c r="O121" s="1" t="s">
        <v>1798</v>
      </c>
      <c r="P121" s="1">
        <v>1615</v>
      </c>
      <c r="Q121" s="1">
        <v>1868</v>
      </c>
      <c r="U121" s="1" t="s">
        <v>88</v>
      </c>
      <c r="W121" s="1" t="s">
        <v>89</v>
      </c>
      <c r="X121" s="1" t="s">
        <v>1801</v>
      </c>
      <c r="Z121" s="1" t="s">
        <v>89</v>
      </c>
      <c r="AA121" s="1" t="s">
        <v>90</v>
      </c>
      <c r="AB121" s="1">
        <v>1760</v>
      </c>
      <c r="AC121" s="1">
        <v>1849</v>
      </c>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t="s">
        <v>754</v>
      </c>
      <c r="BG121" s="1">
        <v>1821</v>
      </c>
      <c r="BH121" s="1">
        <v>1821</v>
      </c>
      <c r="BI121" s="1">
        <v>1</v>
      </c>
      <c r="BJ121" s="6" t="s">
        <v>1757</v>
      </c>
      <c r="BK121" s="1" t="s">
        <v>1760</v>
      </c>
      <c r="BL121" s="1" t="s">
        <v>1746</v>
      </c>
      <c r="BM121" s="1"/>
      <c r="BN121" s="1" t="s">
        <v>760</v>
      </c>
      <c r="BO121" s="12">
        <v>7.875</v>
      </c>
      <c r="BP121" s="1">
        <v>7</v>
      </c>
      <c r="BQ121" s="1"/>
      <c r="BR121" s="1">
        <v>20</v>
      </c>
      <c r="BS121" s="1">
        <v>17.8</v>
      </c>
      <c r="BT121" s="1"/>
      <c r="BU121" s="1"/>
      <c r="BV121" s="1" t="s">
        <v>372</v>
      </c>
      <c r="BW121" s="1" t="s">
        <v>94</v>
      </c>
      <c r="BX121" s="1" t="s">
        <v>95</v>
      </c>
      <c r="BY121" s="1">
        <v>1936</v>
      </c>
      <c r="BZ121" s="1" t="s">
        <v>373</v>
      </c>
      <c r="CA121" s="1"/>
      <c r="CB121" s="1"/>
      <c r="CN121" s="1" t="s">
        <v>96</v>
      </c>
      <c r="CP121" s="8" t="str">
        <f>HYPERLINK("http://www.metmuseum.org/art/collection/search/54195","http://www.metmuseum.org/art/collection/search/54195")</f>
        <v>http://www.metmuseum.org/art/collection/search/54195</v>
      </c>
      <c r="CQ121" s="4">
        <v>42842.333402777775</v>
      </c>
      <c r="CR121" s="1" t="s">
        <v>97</v>
      </c>
    </row>
    <row r="122" spans="1:96" ht="52.5" customHeight="1" x14ac:dyDescent="0.2">
      <c r="A122" s="1" t="s">
        <v>761</v>
      </c>
      <c r="B122" s="1" t="b">
        <v>0</v>
      </c>
      <c r="C122" s="1" t="b">
        <v>1</v>
      </c>
      <c r="D122" s="1">
        <v>54217</v>
      </c>
      <c r="E122" s="1" t="s">
        <v>85</v>
      </c>
      <c r="F122" s="1" t="s">
        <v>86</v>
      </c>
      <c r="G122" s="1" t="s">
        <v>762</v>
      </c>
      <c r="H122" s="1" t="s">
        <v>763</v>
      </c>
      <c r="I122" s="1"/>
      <c r="J122" s="1" t="s">
        <v>764</v>
      </c>
      <c r="K122" s="1"/>
      <c r="L122" s="1"/>
      <c r="M122" s="1"/>
      <c r="N122" s="1" t="s">
        <v>87</v>
      </c>
      <c r="O122" s="1" t="s">
        <v>1798</v>
      </c>
      <c r="P122" s="1">
        <v>1615</v>
      </c>
      <c r="Q122" s="1">
        <v>1868</v>
      </c>
      <c r="U122" s="1" t="s">
        <v>88</v>
      </c>
      <c r="W122" s="1" t="s">
        <v>89</v>
      </c>
      <c r="X122" s="1" t="s">
        <v>1801</v>
      </c>
      <c r="Z122" s="1" t="s">
        <v>89</v>
      </c>
      <c r="AA122" s="1" t="s">
        <v>90</v>
      </c>
      <c r="AB122" s="1">
        <v>1760</v>
      </c>
      <c r="AC122" s="1">
        <v>1849</v>
      </c>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t="s">
        <v>656</v>
      </c>
      <c r="BG122" s="1">
        <v>1760</v>
      </c>
      <c r="BH122" s="1">
        <v>1849</v>
      </c>
      <c r="BI122" s="1">
        <v>1</v>
      </c>
      <c r="BJ122" s="6" t="s">
        <v>1757</v>
      </c>
      <c r="BK122" s="1" t="s">
        <v>1760</v>
      </c>
      <c r="BL122" s="1" t="s">
        <v>1746</v>
      </c>
      <c r="BM122" s="1"/>
      <c r="BN122" s="1" t="s">
        <v>765</v>
      </c>
      <c r="BO122" s="12">
        <v>5.625</v>
      </c>
      <c r="BP122" s="12">
        <v>7.5</v>
      </c>
      <c r="BQ122" s="12"/>
      <c r="BR122" s="1">
        <v>14.3</v>
      </c>
      <c r="BS122" s="1">
        <v>19.100000000000001</v>
      </c>
      <c r="BT122" s="1"/>
      <c r="BU122" s="1"/>
      <c r="BV122" s="1" t="s">
        <v>345</v>
      </c>
      <c r="BW122" s="1" t="s">
        <v>346</v>
      </c>
      <c r="BX122" s="1"/>
      <c r="BY122" s="1">
        <v>1939</v>
      </c>
      <c r="BZ122" s="1" t="s">
        <v>347</v>
      </c>
      <c r="CA122" s="1" t="s">
        <v>348</v>
      </c>
      <c r="CB122" s="1"/>
      <c r="CN122" s="1" t="s">
        <v>96</v>
      </c>
      <c r="CP122" s="8" t="str">
        <f>HYPERLINK("http://www.metmuseum.org/art/collection/search/54217","http://www.metmuseum.org/art/collection/search/54217")</f>
        <v>http://www.metmuseum.org/art/collection/search/54217</v>
      </c>
      <c r="CQ122" s="4">
        <v>42842.333402777775</v>
      </c>
      <c r="CR122" s="1" t="s">
        <v>97</v>
      </c>
    </row>
    <row r="123" spans="1:96" ht="52.5" customHeight="1" x14ac:dyDescent="0.2">
      <c r="A123" s="1" t="s">
        <v>766</v>
      </c>
      <c r="B123" s="1" t="b">
        <v>0</v>
      </c>
      <c r="C123" s="1" t="b">
        <v>1</v>
      </c>
      <c r="D123" s="1">
        <v>54219</v>
      </c>
      <c r="E123" s="1" t="s">
        <v>85</v>
      </c>
      <c r="F123" s="1" t="s">
        <v>99</v>
      </c>
      <c r="N123" s="1" t="s">
        <v>87</v>
      </c>
      <c r="O123" s="1" t="s">
        <v>1798</v>
      </c>
      <c r="P123" s="1">
        <v>1615</v>
      </c>
      <c r="Q123" s="1">
        <v>1868</v>
      </c>
      <c r="U123" s="1" t="s">
        <v>88</v>
      </c>
      <c r="W123" s="1" t="s">
        <v>89</v>
      </c>
      <c r="X123" s="1" t="s">
        <v>1801</v>
      </c>
      <c r="Z123" s="1" t="s">
        <v>89</v>
      </c>
      <c r="AA123" s="1" t="s">
        <v>90</v>
      </c>
      <c r="AB123" s="1">
        <v>1760</v>
      </c>
      <c r="AC123" s="1">
        <v>1849</v>
      </c>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t="s">
        <v>656</v>
      </c>
      <c r="BG123" s="1">
        <v>1760</v>
      </c>
      <c r="BH123" s="1">
        <v>1849</v>
      </c>
      <c r="BI123" s="1">
        <v>1</v>
      </c>
      <c r="BJ123" s="6" t="s">
        <v>1757</v>
      </c>
      <c r="BK123" s="1" t="s">
        <v>1760</v>
      </c>
      <c r="BL123" s="1" t="s">
        <v>1746</v>
      </c>
      <c r="BM123" s="1"/>
      <c r="BN123" s="1" t="s">
        <v>767</v>
      </c>
      <c r="BO123" s="12">
        <v>5.125</v>
      </c>
      <c r="BP123" s="11">
        <v>6.8125</v>
      </c>
      <c r="BQ123" s="11"/>
      <c r="BR123" s="1">
        <v>13</v>
      </c>
      <c r="BS123" s="1">
        <v>17.3</v>
      </c>
      <c r="BT123" s="1"/>
      <c r="BU123" s="1"/>
      <c r="BV123" s="1" t="s">
        <v>345</v>
      </c>
      <c r="BW123" s="1" t="s">
        <v>346</v>
      </c>
      <c r="BX123" s="1"/>
      <c r="BY123" s="1">
        <v>1939</v>
      </c>
      <c r="BZ123" s="1" t="s">
        <v>347</v>
      </c>
      <c r="CA123" s="1" t="s">
        <v>348</v>
      </c>
      <c r="CB123" s="1"/>
      <c r="CN123" s="1" t="s">
        <v>96</v>
      </c>
      <c r="CP123" s="8" t="str">
        <f>HYPERLINK("http://www.metmuseum.org/art/collection/search/54219","http://www.metmuseum.org/art/collection/search/54219")</f>
        <v>http://www.metmuseum.org/art/collection/search/54219</v>
      </c>
      <c r="CQ123" s="4">
        <v>42842.333402777775</v>
      </c>
      <c r="CR123" s="1" t="s">
        <v>97</v>
      </c>
    </row>
    <row r="124" spans="1:96" ht="66" customHeight="1" x14ac:dyDescent="0.2">
      <c r="A124" s="1" t="s">
        <v>768</v>
      </c>
      <c r="B124" s="1" t="b">
        <v>0</v>
      </c>
      <c r="C124" s="1" t="b">
        <v>1</v>
      </c>
      <c r="D124" s="1">
        <v>54227</v>
      </c>
      <c r="E124" s="1" t="s">
        <v>85</v>
      </c>
      <c r="F124" s="1" t="s">
        <v>86</v>
      </c>
      <c r="N124" s="1" t="s">
        <v>87</v>
      </c>
      <c r="O124" s="2" t="s">
        <v>1798</v>
      </c>
      <c r="P124" s="2">
        <v>1615</v>
      </c>
      <c r="Q124" s="2">
        <v>1868</v>
      </c>
      <c r="U124" s="1" t="s">
        <v>88</v>
      </c>
      <c r="W124" s="1" t="s">
        <v>89</v>
      </c>
      <c r="X124" s="1" t="s">
        <v>1801</v>
      </c>
      <c r="Z124" s="1" t="s">
        <v>89</v>
      </c>
      <c r="AA124" s="1" t="s">
        <v>90</v>
      </c>
      <c r="AB124" s="1">
        <v>1760</v>
      </c>
      <c r="AC124" s="1">
        <v>1849</v>
      </c>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G124" s="1">
        <v>1760</v>
      </c>
      <c r="BH124" s="1">
        <v>1849</v>
      </c>
      <c r="BI124" s="1">
        <v>1</v>
      </c>
      <c r="BJ124" s="6" t="s">
        <v>1757</v>
      </c>
      <c r="BK124" s="1" t="s">
        <v>1760</v>
      </c>
      <c r="BL124" s="1" t="s">
        <v>1746</v>
      </c>
      <c r="BM124" s="1"/>
      <c r="BN124" s="1" t="s">
        <v>769</v>
      </c>
      <c r="BO124" s="12">
        <v>7.625</v>
      </c>
      <c r="BP124" s="11">
        <v>21.0625</v>
      </c>
      <c r="BQ124" s="11"/>
      <c r="BR124" s="1">
        <v>19.399999999999999</v>
      </c>
      <c r="BS124" s="1">
        <v>53.5</v>
      </c>
      <c r="BT124" s="1"/>
      <c r="BU124" s="1" t="s">
        <v>770</v>
      </c>
      <c r="BV124" s="1" t="s">
        <v>771</v>
      </c>
      <c r="BW124" s="1" t="s">
        <v>386</v>
      </c>
      <c r="BX124" s="1"/>
      <c r="BY124" s="1">
        <v>1957</v>
      </c>
      <c r="BZ124" s="1"/>
      <c r="CA124" s="1" t="s">
        <v>772</v>
      </c>
      <c r="CB124" s="1" t="s">
        <v>773</v>
      </c>
      <c r="CN124" s="1" t="s">
        <v>96</v>
      </c>
      <c r="CP124" s="8" t="str">
        <f>HYPERLINK("http://www.metmuseum.org/art/collection/search/54227","http://www.metmuseum.org/art/collection/search/54227")</f>
        <v>http://www.metmuseum.org/art/collection/search/54227</v>
      </c>
      <c r="CQ124" s="4">
        <v>42842.333402777775</v>
      </c>
      <c r="CR124" s="1" t="s">
        <v>97</v>
      </c>
    </row>
    <row r="125" spans="1:96" ht="52.5" customHeight="1" x14ac:dyDescent="0.2">
      <c r="A125" s="1" t="s">
        <v>774</v>
      </c>
      <c r="B125" s="1" t="b">
        <v>0</v>
      </c>
      <c r="C125" s="1" t="b">
        <v>1</v>
      </c>
      <c r="D125" s="1">
        <v>54301</v>
      </c>
      <c r="E125" s="1" t="s">
        <v>85</v>
      </c>
      <c r="F125" s="1" t="s">
        <v>86</v>
      </c>
      <c r="N125" s="1" t="s">
        <v>87</v>
      </c>
      <c r="O125" s="1" t="s">
        <v>1798</v>
      </c>
      <c r="P125" s="1">
        <v>1615</v>
      </c>
      <c r="Q125" s="1">
        <v>1868</v>
      </c>
      <c r="U125" s="1" t="s">
        <v>88</v>
      </c>
      <c r="W125" s="1" t="s">
        <v>89</v>
      </c>
      <c r="X125" s="1" t="s">
        <v>1801</v>
      </c>
      <c r="Z125" s="1" t="s">
        <v>89</v>
      </c>
      <c r="AA125" s="1" t="s">
        <v>90</v>
      </c>
      <c r="AB125" s="1">
        <v>1760</v>
      </c>
      <c r="AC125" s="1">
        <v>1849</v>
      </c>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t="s">
        <v>775</v>
      </c>
      <c r="BG125" s="1">
        <v>1791</v>
      </c>
      <c r="BH125" s="1">
        <v>1811</v>
      </c>
      <c r="BI125" s="1">
        <v>1</v>
      </c>
      <c r="BJ125" s="6" t="s">
        <v>1757</v>
      </c>
      <c r="BK125" s="1" t="s">
        <v>1760</v>
      </c>
      <c r="BL125" s="1" t="s">
        <v>1746</v>
      </c>
      <c r="BM125" s="1"/>
      <c r="BN125" s="1" t="s">
        <v>776</v>
      </c>
      <c r="BO125" s="12">
        <v>7.125</v>
      </c>
      <c r="BP125" s="12">
        <v>20.25</v>
      </c>
      <c r="BQ125" s="12"/>
      <c r="BR125" s="1">
        <v>18.100000000000001</v>
      </c>
      <c r="BS125" s="1">
        <v>51.4</v>
      </c>
      <c r="BT125" s="1"/>
      <c r="BU125" s="1"/>
      <c r="BV125" s="1" t="s">
        <v>279</v>
      </c>
      <c r="BW125" s="1" t="s">
        <v>94</v>
      </c>
      <c r="BX125" s="1" t="s">
        <v>271</v>
      </c>
      <c r="BY125" s="1">
        <v>1911</v>
      </c>
      <c r="BZ125" s="1" t="s">
        <v>280</v>
      </c>
      <c r="CA125" s="1"/>
      <c r="CB125" s="1"/>
      <c r="CN125" s="1" t="s">
        <v>96</v>
      </c>
      <c r="CP125" s="8" t="str">
        <f>HYPERLINK("http://www.metmuseum.org/art/collection/search/54301","http://www.metmuseum.org/art/collection/search/54301")</f>
        <v>http://www.metmuseum.org/art/collection/search/54301</v>
      </c>
      <c r="CQ125" s="4">
        <v>42842.333402777775</v>
      </c>
      <c r="CR125" s="1" t="s">
        <v>97</v>
      </c>
    </row>
    <row r="126" spans="1:96" ht="52.5" customHeight="1" x14ac:dyDescent="0.2">
      <c r="A126" s="1" t="s">
        <v>777</v>
      </c>
      <c r="B126" s="1" t="b">
        <v>0</v>
      </c>
      <c r="C126" s="1" t="b">
        <v>1</v>
      </c>
      <c r="D126" s="1">
        <v>54302</v>
      </c>
      <c r="E126" s="1" t="s">
        <v>85</v>
      </c>
      <c r="F126" s="1" t="s">
        <v>86</v>
      </c>
      <c r="N126" s="1" t="s">
        <v>87</v>
      </c>
      <c r="O126" s="1" t="s">
        <v>1798</v>
      </c>
      <c r="P126" s="1">
        <v>1615</v>
      </c>
      <c r="Q126" s="1">
        <v>1868</v>
      </c>
      <c r="U126" s="1" t="s">
        <v>88</v>
      </c>
      <c r="W126" s="1" t="s">
        <v>89</v>
      </c>
      <c r="X126" s="1" t="s">
        <v>1801</v>
      </c>
      <c r="Z126" s="1" t="s">
        <v>89</v>
      </c>
      <c r="AA126" s="1" t="s">
        <v>90</v>
      </c>
      <c r="AB126" s="1">
        <v>1760</v>
      </c>
      <c r="AC126" s="1">
        <v>1849</v>
      </c>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t="s">
        <v>775</v>
      </c>
      <c r="BG126" s="1">
        <v>1791</v>
      </c>
      <c r="BH126" s="1">
        <v>1811</v>
      </c>
      <c r="BI126" s="1">
        <v>1</v>
      </c>
      <c r="BJ126" s="6" t="s">
        <v>1757</v>
      </c>
      <c r="BK126" s="1" t="s">
        <v>1760</v>
      </c>
      <c r="BL126" s="1" t="s">
        <v>1746</v>
      </c>
      <c r="BM126" s="1"/>
      <c r="BN126" s="1" t="s">
        <v>778</v>
      </c>
      <c r="BO126" s="12">
        <v>8.25</v>
      </c>
      <c r="BP126" s="12">
        <v>22.125</v>
      </c>
      <c r="BQ126" s="12"/>
      <c r="BR126" s="1">
        <v>21</v>
      </c>
      <c r="BS126" s="1">
        <v>56.2</v>
      </c>
      <c r="BT126" s="1"/>
      <c r="BU126" s="1"/>
      <c r="BV126" s="1" t="s">
        <v>279</v>
      </c>
      <c r="BW126" s="1" t="s">
        <v>94</v>
      </c>
      <c r="BX126" s="1" t="s">
        <v>271</v>
      </c>
      <c r="BY126" s="1">
        <v>1911</v>
      </c>
      <c r="BZ126" s="1" t="s">
        <v>280</v>
      </c>
      <c r="CA126" s="1"/>
      <c r="CB126" s="1"/>
      <c r="CN126" s="1" t="s">
        <v>96</v>
      </c>
      <c r="CP126" s="8" t="str">
        <f>HYPERLINK("http://www.metmuseum.org/art/collection/search/54302","http://www.metmuseum.org/art/collection/search/54302")</f>
        <v>http://www.metmuseum.org/art/collection/search/54302</v>
      </c>
      <c r="CQ126" s="4">
        <v>42842.333402777775</v>
      </c>
      <c r="CR126" s="1" t="s">
        <v>97</v>
      </c>
    </row>
    <row r="127" spans="1:96" ht="52.5" customHeight="1" x14ac:dyDescent="0.2">
      <c r="A127" s="1" t="s">
        <v>779</v>
      </c>
      <c r="B127" s="1" t="b">
        <v>0</v>
      </c>
      <c r="C127" s="1" t="b">
        <v>1</v>
      </c>
      <c r="D127" s="1">
        <v>54303</v>
      </c>
      <c r="E127" s="1" t="s">
        <v>85</v>
      </c>
      <c r="F127" s="1" t="s">
        <v>99</v>
      </c>
      <c r="N127" s="1" t="s">
        <v>87</v>
      </c>
      <c r="O127" s="1" t="s">
        <v>1798</v>
      </c>
      <c r="P127" s="1">
        <v>1615</v>
      </c>
      <c r="Q127" s="1">
        <v>1868</v>
      </c>
      <c r="U127" s="1" t="s">
        <v>88</v>
      </c>
      <c r="W127" s="1" t="s">
        <v>89</v>
      </c>
      <c r="X127" s="1" t="s">
        <v>1801</v>
      </c>
      <c r="Z127" s="1" t="s">
        <v>89</v>
      </c>
      <c r="AA127" s="1" t="s">
        <v>90</v>
      </c>
      <c r="AB127" s="1">
        <v>1760</v>
      </c>
      <c r="AC127" s="1">
        <v>1849</v>
      </c>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t="s">
        <v>780</v>
      </c>
      <c r="BG127" s="1">
        <v>1799</v>
      </c>
      <c r="BH127" s="1">
        <v>1810</v>
      </c>
      <c r="BI127" s="1">
        <v>1</v>
      </c>
      <c r="BJ127" s="6" t="s">
        <v>1757</v>
      </c>
      <c r="BK127" s="1" t="s">
        <v>1760</v>
      </c>
      <c r="BL127" s="1" t="s">
        <v>1746</v>
      </c>
      <c r="BM127" s="1"/>
      <c r="BN127" s="1" t="s">
        <v>778</v>
      </c>
      <c r="BO127" s="12">
        <v>8.25</v>
      </c>
      <c r="BP127" s="12">
        <v>22.125</v>
      </c>
      <c r="BQ127" s="12"/>
      <c r="BR127" s="1">
        <v>21</v>
      </c>
      <c r="BS127" s="1">
        <v>56.2</v>
      </c>
      <c r="BT127" s="1"/>
      <c r="BU127" s="1"/>
      <c r="BV127" s="1" t="s">
        <v>279</v>
      </c>
      <c r="BW127" s="1" t="s">
        <v>94</v>
      </c>
      <c r="BX127" s="1" t="s">
        <v>271</v>
      </c>
      <c r="BY127" s="1">
        <v>1911</v>
      </c>
      <c r="BZ127" s="1" t="s">
        <v>280</v>
      </c>
      <c r="CA127" s="1"/>
      <c r="CB127" s="1"/>
      <c r="CN127" s="1" t="s">
        <v>96</v>
      </c>
      <c r="CP127" s="8" t="str">
        <f>HYPERLINK("http://www.metmuseum.org/art/collection/search/54303","http://www.metmuseum.org/art/collection/search/54303")</f>
        <v>http://www.metmuseum.org/art/collection/search/54303</v>
      </c>
      <c r="CQ127" s="4">
        <v>42842.333402777775</v>
      </c>
      <c r="CR127" s="1" t="s">
        <v>97</v>
      </c>
    </row>
    <row r="128" spans="1:96" ht="52.5" customHeight="1" x14ac:dyDescent="0.2">
      <c r="A128" s="1" t="s">
        <v>781</v>
      </c>
      <c r="B128" s="1" t="b">
        <v>0</v>
      </c>
      <c r="C128" s="1" t="b">
        <v>1</v>
      </c>
      <c r="D128" s="1">
        <v>54304</v>
      </c>
      <c r="E128" s="1" t="s">
        <v>85</v>
      </c>
      <c r="F128" s="1" t="s">
        <v>86</v>
      </c>
      <c r="N128" s="1" t="s">
        <v>87</v>
      </c>
      <c r="O128" s="1" t="s">
        <v>1798</v>
      </c>
      <c r="P128" s="1">
        <v>1615</v>
      </c>
      <c r="Q128" s="1">
        <v>1868</v>
      </c>
      <c r="U128" s="1" t="s">
        <v>88</v>
      </c>
      <c r="W128" s="1" t="s">
        <v>89</v>
      </c>
      <c r="X128" s="1" t="s">
        <v>1801</v>
      </c>
      <c r="Z128" s="1" t="s">
        <v>89</v>
      </c>
      <c r="AA128" s="1" t="s">
        <v>90</v>
      </c>
      <c r="AB128" s="1">
        <v>1760</v>
      </c>
      <c r="AC128" s="1">
        <v>1849</v>
      </c>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t="s">
        <v>745</v>
      </c>
      <c r="BG128" s="1">
        <v>1790</v>
      </c>
      <c r="BH128" s="1">
        <v>1810</v>
      </c>
      <c r="BI128" s="1">
        <v>1</v>
      </c>
      <c r="BJ128" s="6" t="s">
        <v>1757</v>
      </c>
      <c r="BK128" s="1" t="s">
        <v>1760</v>
      </c>
      <c r="BL128" s="1" t="s">
        <v>1746</v>
      </c>
      <c r="BM128" s="1"/>
      <c r="BN128" s="1" t="s">
        <v>782</v>
      </c>
      <c r="BO128" s="12">
        <v>7.375</v>
      </c>
      <c r="BP128" s="12">
        <v>13.125</v>
      </c>
      <c r="BQ128" s="12"/>
      <c r="BR128" s="1">
        <v>18.7</v>
      </c>
      <c r="BS128" s="1">
        <v>33.299999999999997</v>
      </c>
      <c r="BT128" s="1"/>
      <c r="BU128" s="1"/>
      <c r="BV128" s="1" t="s">
        <v>279</v>
      </c>
      <c r="BW128" s="1" t="s">
        <v>94</v>
      </c>
      <c r="BX128" s="1" t="s">
        <v>271</v>
      </c>
      <c r="BY128" s="1">
        <v>1911</v>
      </c>
      <c r="BZ128" s="1" t="s">
        <v>280</v>
      </c>
      <c r="CA128" s="1"/>
      <c r="CB128" s="1"/>
      <c r="CN128" s="1" t="s">
        <v>96</v>
      </c>
      <c r="CP128" s="8" t="str">
        <f>HYPERLINK("http://www.metmuseum.org/art/collection/search/54304","http://www.metmuseum.org/art/collection/search/54304")</f>
        <v>http://www.metmuseum.org/art/collection/search/54304</v>
      </c>
      <c r="CQ128" s="4">
        <v>42842.333402777775</v>
      </c>
      <c r="CR128" s="1" t="s">
        <v>97</v>
      </c>
    </row>
    <row r="129" spans="1:96" ht="52.5" customHeight="1" x14ac:dyDescent="0.2">
      <c r="A129" s="1" t="s">
        <v>783</v>
      </c>
      <c r="B129" s="1" t="b">
        <v>0</v>
      </c>
      <c r="C129" s="1" t="b">
        <v>1</v>
      </c>
      <c r="D129" s="1">
        <v>54305</v>
      </c>
      <c r="E129" s="1" t="s">
        <v>85</v>
      </c>
      <c r="F129" s="1" t="s">
        <v>86</v>
      </c>
      <c r="G129" s="1" t="s">
        <v>784</v>
      </c>
      <c r="H129" s="1" t="s">
        <v>785</v>
      </c>
      <c r="I129" s="1"/>
      <c r="J129" s="1" t="s">
        <v>786</v>
      </c>
      <c r="K129" s="1"/>
      <c r="L129" s="1"/>
      <c r="M129" s="1"/>
      <c r="N129" s="1" t="s">
        <v>87</v>
      </c>
      <c r="O129" s="1" t="s">
        <v>1798</v>
      </c>
      <c r="P129" s="1">
        <v>1615</v>
      </c>
      <c r="Q129" s="1">
        <v>1868</v>
      </c>
      <c r="U129" s="1" t="s">
        <v>88</v>
      </c>
      <c r="W129" s="1" t="s">
        <v>89</v>
      </c>
      <c r="X129" s="1" t="s">
        <v>1801</v>
      </c>
      <c r="Z129" s="1" t="s">
        <v>89</v>
      </c>
      <c r="AA129" s="1" t="s">
        <v>90</v>
      </c>
      <c r="AB129" s="1">
        <v>1760</v>
      </c>
      <c r="AC129" s="1">
        <v>1849</v>
      </c>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t="s">
        <v>787</v>
      </c>
      <c r="BG129" s="1">
        <v>1830</v>
      </c>
      <c r="BH129" s="1">
        <v>1833</v>
      </c>
      <c r="BI129" s="1">
        <v>1</v>
      </c>
      <c r="BJ129" s="1"/>
      <c r="BK129" s="1" t="s">
        <v>1760</v>
      </c>
      <c r="BL129" s="1" t="s">
        <v>1746</v>
      </c>
      <c r="BM129" s="1"/>
      <c r="BN129" s="1" t="s">
        <v>788</v>
      </c>
      <c r="BO129" s="1">
        <v>9</v>
      </c>
      <c r="BP129" s="12">
        <v>11.5</v>
      </c>
      <c r="BQ129" s="12"/>
      <c r="BR129" s="1">
        <v>22.9</v>
      </c>
      <c r="BS129" s="1">
        <v>29.2</v>
      </c>
      <c r="BT129" s="1"/>
      <c r="BU129" s="1" t="s">
        <v>789</v>
      </c>
      <c r="BV129" s="1" t="s">
        <v>279</v>
      </c>
      <c r="BW129" s="1" t="s">
        <v>94</v>
      </c>
      <c r="BX129" s="1" t="s">
        <v>271</v>
      </c>
      <c r="BY129" s="1">
        <v>1911</v>
      </c>
      <c r="BZ129" s="1" t="s">
        <v>280</v>
      </c>
      <c r="CA129" s="1"/>
      <c r="CB129" s="1"/>
      <c r="CN129" s="1" t="s">
        <v>96</v>
      </c>
      <c r="CP129" s="8" t="str">
        <f>HYPERLINK("http://www.metmuseum.org/art/collection/search/54305","http://www.metmuseum.org/art/collection/search/54305")</f>
        <v>http://www.metmuseum.org/art/collection/search/54305</v>
      </c>
      <c r="CQ129" s="4">
        <v>42842.333402777775</v>
      </c>
      <c r="CR129" s="1" t="s">
        <v>97</v>
      </c>
    </row>
    <row r="130" spans="1:96" ht="52.5" customHeight="1" x14ac:dyDescent="0.2">
      <c r="A130" s="1" t="s">
        <v>790</v>
      </c>
      <c r="B130" s="1" t="b">
        <v>0</v>
      </c>
      <c r="C130" s="1" t="b">
        <v>1</v>
      </c>
      <c r="D130" s="1">
        <v>54306</v>
      </c>
      <c r="E130" s="1" t="s">
        <v>85</v>
      </c>
      <c r="F130" s="1" t="s">
        <v>99</v>
      </c>
      <c r="G130" s="1" t="s">
        <v>791</v>
      </c>
      <c r="H130" s="1" t="s">
        <v>792</v>
      </c>
      <c r="I130" s="1"/>
      <c r="J130" s="1" t="s">
        <v>793</v>
      </c>
      <c r="K130" s="1"/>
      <c r="L130" s="1"/>
      <c r="M130" s="1"/>
      <c r="N130" s="1" t="s">
        <v>87</v>
      </c>
      <c r="O130" s="1" t="s">
        <v>1798</v>
      </c>
      <c r="P130" s="1">
        <v>1615</v>
      </c>
      <c r="Q130" s="1">
        <v>1868</v>
      </c>
      <c r="U130" s="1" t="s">
        <v>88</v>
      </c>
      <c r="W130" s="1" t="s">
        <v>89</v>
      </c>
      <c r="X130" s="1" t="s">
        <v>1801</v>
      </c>
      <c r="Z130" s="1" t="s">
        <v>89</v>
      </c>
      <c r="AA130" s="1" t="s">
        <v>90</v>
      </c>
      <c r="AB130" s="1">
        <v>1760</v>
      </c>
      <c r="AC130" s="1">
        <v>1849</v>
      </c>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t="s">
        <v>268</v>
      </c>
      <c r="BG130" s="1">
        <v>1820</v>
      </c>
      <c r="BH130" s="1">
        <v>1830</v>
      </c>
      <c r="BI130" s="1">
        <v>1</v>
      </c>
      <c r="BJ130" s="6" t="s">
        <v>1757</v>
      </c>
      <c r="BK130" s="1" t="s">
        <v>1760</v>
      </c>
      <c r="BL130" s="1" t="s">
        <v>1746</v>
      </c>
      <c r="BM130" s="1"/>
      <c r="BN130" s="1" t="s">
        <v>794</v>
      </c>
      <c r="BO130" s="12">
        <v>9.75</v>
      </c>
      <c r="BP130" s="11">
        <v>14.1875</v>
      </c>
      <c r="BQ130" s="11"/>
      <c r="BR130" s="1">
        <v>24.8</v>
      </c>
      <c r="BS130" s="1">
        <v>36</v>
      </c>
      <c r="BT130" s="1"/>
      <c r="BU130" s="1"/>
      <c r="BV130" s="1" t="s">
        <v>279</v>
      </c>
      <c r="BW130" s="1" t="s">
        <v>94</v>
      </c>
      <c r="BX130" s="1" t="s">
        <v>271</v>
      </c>
      <c r="BY130" s="1">
        <v>1911</v>
      </c>
      <c r="BZ130" s="1" t="s">
        <v>280</v>
      </c>
      <c r="CA130" s="1"/>
      <c r="CB130" s="1"/>
      <c r="CN130" s="1" t="s">
        <v>96</v>
      </c>
      <c r="CP130" s="8" t="str">
        <f>HYPERLINK("http://www.metmuseum.org/art/collection/search/54306","http://www.metmuseum.org/art/collection/search/54306")</f>
        <v>http://www.metmuseum.org/art/collection/search/54306</v>
      </c>
      <c r="CQ130" s="4">
        <v>42842.333402777775</v>
      </c>
      <c r="CR130" s="1" t="s">
        <v>97</v>
      </c>
    </row>
    <row r="131" spans="1:96" ht="52.5" customHeight="1" x14ac:dyDescent="0.2">
      <c r="A131" s="1" t="s">
        <v>795</v>
      </c>
      <c r="B131" s="1" t="b">
        <v>0</v>
      </c>
      <c r="C131" s="1" t="b">
        <v>1</v>
      </c>
      <c r="D131" s="1">
        <v>54315</v>
      </c>
      <c r="E131" s="1" t="s">
        <v>85</v>
      </c>
      <c r="F131" s="1" t="s">
        <v>86</v>
      </c>
      <c r="N131" s="1" t="s">
        <v>87</v>
      </c>
      <c r="O131" s="1" t="s">
        <v>1798</v>
      </c>
      <c r="P131" s="1">
        <v>1615</v>
      </c>
      <c r="Q131" s="1">
        <v>1868</v>
      </c>
      <c r="U131" s="1" t="s">
        <v>88</v>
      </c>
      <c r="W131" s="1" t="s">
        <v>89</v>
      </c>
      <c r="X131" s="1" t="s">
        <v>1801</v>
      </c>
      <c r="Z131" s="1" t="s">
        <v>89</v>
      </c>
      <c r="AA131" s="1" t="s">
        <v>90</v>
      </c>
      <c r="AB131" s="1">
        <v>1760</v>
      </c>
      <c r="AC131" s="1">
        <v>1849</v>
      </c>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t="s">
        <v>745</v>
      </c>
      <c r="BG131" s="1">
        <v>1790</v>
      </c>
      <c r="BH131" s="1">
        <v>1810</v>
      </c>
      <c r="BI131" s="1">
        <v>1</v>
      </c>
      <c r="BJ131" s="6" t="s">
        <v>1757</v>
      </c>
      <c r="BK131" s="1" t="s">
        <v>1760</v>
      </c>
      <c r="BL131" s="1" t="s">
        <v>1746</v>
      </c>
      <c r="BM131" s="1"/>
      <c r="BN131" s="1" t="s">
        <v>796</v>
      </c>
      <c r="BO131" s="11">
        <v>7.6875</v>
      </c>
      <c r="BP131" s="12">
        <v>20.375</v>
      </c>
      <c r="BQ131" s="12"/>
      <c r="BR131" s="1">
        <v>19.5</v>
      </c>
      <c r="BS131" s="1">
        <v>51.8</v>
      </c>
      <c r="BT131" s="1"/>
      <c r="BU131" s="1"/>
      <c r="BV131" s="1" t="s">
        <v>797</v>
      </c>
      <c r="BW131" s="1" t="s">
        <v>386</v>
      </c>
      <c r="BX131" s="1"/>
      <c r="BY131" s="1">
        <v>1914</v>
      </c>
      <c r="BZ131" s="1" t="s">
        <v>798</v>
      </c>
      <c r="CA131" s="1"/>
      <c r="CB131" s="1"/>
      <c r="CN131" s="1" t="s">
        <v>96</v>
      </c>
      <c r="CP131" s="8" t="str">
        <f>HYPERLINK("http://www.metmuseum.org/art/collection/search/54315","http://www.metmuseum.org/art/collection/search/54315")</f>
        <v>http://www.metmuseum.org/art/collection/search/54315</v>
      </c>
      <c r="CQ131" s="4">
        <v>42842.333402777775</v>
      </c>
      <c r="CR131" s="1" t="s">
        <v>97</v>
      </c>
    </row>
    <row r="132" spans="1:96" ht="52.5" customHeight="1" x14ac:dyDescent="0.2">
      <c r="A132" s="1" t="s">
        <v>799</v>
      </c>
      <c r="B132" s="1" t="b">
        <v>0</v>
      </c>
      <c r="C132" s="1" t="b">
        <v>1</v>
      </c>
      <c r="D132" s="1">
        <v>54337</v>
      </c>
      <c r="E132" s="1" t="s">
        <v>85</v>
      </c>
      <c r="F132" s="1" t="s">
        <v>86</v>
      </c>
      <c r="N132" s="1" t="s">
        <v>87</v>
      </c>
      <c r="O132" s="1" t="s">
        <v>1798</v>
      </c>
      <c r="P132" s="1">
        <v>1615</v>
      </c>
      <c r="Q132" s="1">
        <v>1868</v>
      </c>
      <c r="U132" s="1" t="s">
        <v>88</v>
      </c>
      <c r="W132" s="1" t="s">
        <v>89</v>
      </c>
      <c r="X132" s="1" t="s">
        <v>1801</v>
      </c>
      <c r="Z132" s="1" t="s">
        <v>89</v>
      </c>
      <c r="AA132" s="1" t="s">
        <v>90</v>
      </c>
      <c r="AB132" s="1">
        <v>1760</v>
      </c>
      <c r="AC132" s="1">
        <v>1849</v>
      </c>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G132" s="1">
        <v>1760</v>
      </c>
      <c r="BH132" s="1">
        <v>1850</v>
      </c>
      <c r="BI132" s="1">
        <v>1</v>
      </c>
      <c r="BJ132" s="6" t="s">
        <v>1757</v>
      </c>
      <c r="BK132" s="1" t="s">
        <v>1760</v>
      </c>
      <c r="BL132" s="1" t="s">
        <v>1746</v>
      </c>
      <c r="BM132" s="1"/>
      <c r="BN132" s="1" t="s">
        <v>800</v>
      </c>
      <c r="BO132" s="12">
        <v>8.5</v>
      </c>
      <c r="BP132" s="11">
        <v>13.3125</v>
      </c>
      <c r="BQ132" s="11"/>
      <c r="BR132" s="1">
        <v>21.6</v>
      </c>
      <c r="BS132" s="1">
        <v>33.799999999999997</v>
      </c>
      <c r="BT132" s="1"/>
      <c r="BU132" s="1"/>
      <c r="BV132" s="1" t="s">
        <v>801</v>
      </c>
      <c r="BW132" s="1" t="s">
        <v>94</v>
      </c>
      <c r="BX132" s="1" t="s">
        <v>95</v>
      </c>
      <c r="BY132" s="1">
        <v>1919</v>
      </c>
      <c r="BZ132" s="1"/>
      <c r="CA132" s="1"/>
      <c r="CB132" s="1"/>
      <c r="CN132" s="1" t="s">
        <v>96</v>
      </c>
      <c r="CP132" s="8" t="str">
        <f>HYPERLINK("http://www.metmuseum.org/art/collection/search/54337","http://www.metmuseum.org/art/collection/search/54337")</f>
        <v>http://www.metmuseum.org/art/collection/search/54337</v>
      </c>
      <c r="CQ132" s="4">
        <v>42842.333402777775</v>
      </c>
      <c r="CR132" s="1" t="s">
        <v>97</v>
      </c>
    </row>
    <row r="133" spans="1:96" ht="52.5" customHeight="1" x14ac:dyDescent="0.2">
      <c r="A133" s="1" t="s">
        <v>802</v>
      </c>
      <c r="B133" s="1" t="b">
        <v>0</v>
      </c>
      <c r="C133" s="1" t="b">
        <v>1</v>
      </c>
      <c r="D133" s="1">
        <v>54349</v>
      </c>
      <c r="E133" s="1" t="s">
        <v>85</v>
      </c>
      <c r="F133" s="1" t="s">
        <v>86</v>
      </c>
      <c r="N133" s="1" t="s">
        <v>87</v>
      </c>
      <c r="O133" s="1" t="s">
        <v>1798</v>
      </c>
      <c r="P133" s="1">
        <v>1615</v>
      </c>
      <c r="Q133" s="1">
        <v>1868</v>
      </c>
      <c r="U133" s="1" t="s">
        <v>88</v>
      </c>
      <c r="W133" s="1" t="s">
        <v>89</v>
      </c>
      <c r="X133" s="1" t="s">
        <v>1801</v>
      </c>
      <c r="Z133" s="1" t="s">
        <v>89</v>
      </c>
      <c r="AA133" s="1" t="s">
        <v>90</v>
      </c>
      <c r="AB133" s="1">
        <v>1760</v>
      </c>
      <c r="AC133" s="1">
        <v>1849</v>
      </c>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t="s">
        <v>392</v>
      </c>
      <c r="BG133" s="1">
        <v>1800</v>
      </c>
      <c r="BH133" s="1">
        <v>1820</v>
      </c>
      <c r="BI133" s="1">
        <v>1</v>
      </c>
      <c r="BJ133" s="6" t="s">
        <v>1757</v>
      </c>
      <c r="BK133" s="1" t="s">
        <v>1760</v>
      </c>
      <c r="BL133" s="1" t="s">
        <v>1746</v>
      </c>
      <c r="BM133" s="1"/>
      <c r="BN133" s="1" t="s">
        <v>803</v>
      </c>
      <c r="BO133" s="12">
        <v>8.375</v>
      </c>
      <c r="BP133" s="12">
        <v>7.25</v>
      </c>
      <c r="BQ133" s="12"/>
      <c r="BR133" s="1">
        <v>21.3</v>
      </c>
      <c r="BS133" s="1">
        <v>18.399999999999999</v>
      </c>
      <c r="BT133" s="1"/>
      <c r="BU133" s="1"/>
      <c r="BV133" s="1" t="s">
        <v>801</v>
      </c>
      <c r="BW133" s="1" t="s">
        <v>94</v>
      </c>
      <c r="BX133" s="1" t="s">
        <v>95</v>
      </c>
      <c r="BY133" s="1">
        <v>1919</v>
      </c>
      <c r="BZ133" s="1"/>
      <c r="CA133" s="1"/>
      <c r="CB133" s="1"/>
      <c r="CN133" s="1" t="s">
        <v>96</v>
      </c>
      <c r="CP133" s="8" t="str">
        <f>HYPERLINK("http://www.metmuseum.org/art/collection/search/54349","http://www.metmuseum.org/art/collection/search/54349")</f>
        <v>http://www.metmuseum.org/art/collection/search/54349</v>
      </c>
      <c r="CQ133" s="4">
        <v>42842.333402777775</v>
      </c>
      <c r="CR133" s="1" t="s">
        <v>97</v>
      </c>
    </row>
    <row r="134" spans="1:96" ht="52.5" customHeight="1" x14ac:dyDescent="0.2">
      <c r="A134" s="1" t="s">
        <v>804</v>
      </c>
      <c r="B134" s="1" t="b">
        <v>0</v>
      </c>
      <c r="C134" s="1" t="b">
        <v>1</v>
      </c>
      <c r="D134" s="1">
        <v>54377</v>
      </c>
      <c r="E134" s="1" t="s">
        <v>85</v>
      </c>
      <c r="F134" s="1" t="s">
        <v>86</v>
      </c>
      <c r="N134" s="1" t="s">
        <v>87</v>
      </c>
      <c r="O134" s="1" t="s">
        <v>1798</v>
      </c>
      <c r="P134" s="1">
        <v>1615</v>
      </c>
      <c r="Q134" s="1">
        <v>1868</v>
      </c>
      <c r="U134" s="1" t="s">
        <v>88</v>
      </c>
      <c r="W134" s="1" t="s">
        <v>89</v>
      </c>
      <c r="X134" s="1" t="s">
        <v>1801</v>
      </c>
      <c r="Z134" s="1" t="s">
        <v>89</v>
      </c>
      <c r="AA134" s="1" t="s">
        <v>90</v>
      </c>
      <c r="AB134" s="1">
        <v>1760</v>
      </c>
      <c r="AC134" s="1">
        <v>1849</v>
      </c>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t="s">
        <v>805</v>
      </c>
      <c r="BG134" s="1">
        <v>1804</v>
      </c>
      <c r="BH134" s="1">
        <v>1824</v>
      </c>
      <c r="BI134" s="1">
        <v>1</v>
      </c>
      <c r="BJ134" s="6" t="s">
        <v>1757</v>
      </c>
      <c r="BK134" s="1" t="s">
        <v>1760</v>
      </c>
      <c r="BL134" s="1" t="s">
        <v>1746</v>
      </c>
      <c r="BM134" s="1"/>
      <c r="BN134" s="1" t="s">
        <v>806</v>
      </c>
      <c r="BO134" s="11">
        <v>8.3125</v>
      </c>
      <c r="BP134" s="11">
        <v>5.5625</v>
      </c>
      <c r="BQ134" s="11"/>
      <c r="BR134" s="1">
        <v>21.1</v>
      </c>
      <c r="BS134" s="1">
        <v>14.1</v>
      </c>
      <c r="BT134" s="1"/>
      <c r="BU134" s="1"/>
      <c r="BV134" s="1" t="s">
        <v>807</v>
      </c>
      <c r="BW134" s="1" t="s">
        <v>94</v>
      </c>
      <c r="BX134" s="1" t="s">
        <v>95</v>
      </c>
      <c r="BY134" s="1">
        <v>1921</v>
      </c>
      <c r="BZ134" s="1"/>
      <c r="CA134" s="1"/>
      <c r="CB134" s="1"/>
      <c r="CN134" s="1" t="s">
        <v>96</v>
      </c>
      <c r="CP134" s="8" t="str">
        <f>HYPERLINK("http://www.metmuseum.org/art/collection/search/54377","http://www.metmuseum.org/art/collection/search/54377")</f>
        <v>http://www.metmuseum.org/art/collection/search/54377</v>
      </c>
      <c r="CQ134" s="4">
        <v>42842.333402777775</v>
      </c>
      <c r="CR134" s="1" t="s">
        <v>97</v>
      </c>
    </row>
    <row r="135" spans="1:96" ht="52.5" customHeight="1" x14ac:dyDescent="0.2">
      <c r="A135" s="1" t="s">
        <v>808</v>
      </c>
      <c r="B135" s="1" t="b">
        <v>0</v>
      </c>
      <c r="C135" s="1" t="b">
        <v>1</v>
      </c>
      <c r="D135" s="1">
        <v>54378</v>
      </c>
      <c r="E135" s="1" t="s">
        <v>85</v>
      </c>
      <c r="F135" s="1" t="s">
        <v>86</v>
      </c>
      <c r="N135" s="1" t="s">
        <v>87</v>
      </c>
      <c r="O135" s="1" t="s">
        <v>1798</v>
      </c>
      <c r="P135" s="1">
        <v>1615</v>
      </c>
      <c r="Q135" s="1">
        <v>1868</v>
      </c>
      <c r="U135" s="1" t="s">
        <v>88</v>
      </c>
      <c r="W135" s="1" t="s">
        <v>89</v>
      </c>
      <c r="X135" s="1" t="s">
        <v>1801</v>
      </c>
      <c r="Z135" s="1" t="s">
        <v>89</v>
      </c>
      <c r="AA135" s="1" t="s">
        <v>90</v>
      </c>
      <c r="AB135" s="1">
        <v>1760</v>
      </c>
      <c r="AC135" s="1">
        <v>1849</v>
      </c>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v>1820</v>
      </c>
      <c r="BG135" s="1">
        <v>1820</v>
      </c>
      <c r="BH135" s="1">
        <v>1820</v>
      </c>
      <c r="BI135" s="1">
        <v>1</v>
      </c>
      <c r="BJ135" s="6" t="s">
        <v>1757</v>
      </c>
      <c r="BK135" s="1" t="s">
        <v>1760</v>
      </c>
      <c r="BL135" s="1" t="s">
        <v>1746</v>
      </c>
      <c r="BM135" s="1"/>
      <c r="BN135" s="1" t="s">
        <v>809</v>
      </c>
      <c r="BO135" s="1">
        <v>8</v>
      </c>
      <c r="BP135" s="12">
        <v>10.375</v>
      </c>
      <c r="BQ135" s="12"/>
      <c r="BR135" s="1">
        <v>20.3</v>
      </c>
      <c r="BS135" s="1">
        <v>26.4</v>
      </c>
      <c r="BT135" s="1"/>
      <c r="BU135" s="1"/>
      <c r="BV135" s="1" t="s">
        <v>807</v>
      </c>
      <c r="BW135" s="1" t="s">
        <v>94</v>
      </c>
      <c r="BX135" s="1" t="s">
        <v>95</v>
      </c>
      <c r="BY135" s="1">
        <v>1921</v>
      </c>
      <c r="BZ135" s="1"/>
      <c r="CA135" s="1"/>
      <c r="CB135" s="1"/>
      <c r="CN135" s="1" t="s">
        <v>96</v>
      </c>
      <c r="CP135" s="8" t="str">
        <f>HYPERLINK("http://www.metmuseum.org/art/collection/search/54378","http://www.metmuseum.org/art/collection/search/54378")</f>
        <v>http://www.metmuseum.org/art/collection/search/54378</v>
      </c>
      <c r="CQ135" s="4">
        <v>42842.333402777775</v>
      </c>
      <c r="CR135" s="1" t="s">
        <v>97</v>
      </c>
    </row>
    <row r="136" spans="1:96" ht="52.5" customHeight="1" x14ac:dyDescent="0.2">
      <c r="A136" s="1" t="s">
        <v>810</v>
      </c>
      <c r="B136" s="1" t="b">
        <v>0</v>
      </c>
      <c r="C136" s="1" t="b">
        <v>1</v>
      </c>
      <c r="D136" s="1">
        <v>54389</v>
      </c>
      <c r="E136" s="1" t="s">
        <v>85</v>
      </c>
      <c r="F136" s="1" t="s">
        <v>99</v>
      </c>
      <c r="N136" s="1" t="s">
        <v>87</v>
      </c>
      <c r="O136" s="1" t="s">
        <v>1798</v>
      </c>
      <c r="P136" s="1">
        <v>1615</v>
      </c>
      <c r="Q136" s="1">
        <v>1868</v>
      </c>
      <c r="U136" s="1" t="s">
        <v>88</v>
      </c>
      <c r="W136" s="1" t="s">
        <v>89</v>
      </c>
      <c r="X136" s="1" t="s">
        <v>1801</v>
      </c>
      <c r="Z136" s="1" t="s">
        <v>89</v>
      </c>
      <c r="AA136" s="1" t="s">
        <v>90</v>
      </c>
      <c r="AB136" s="1">
        <v>1760</v>
      </c>
      <c r="AC136" s="1">
        <v>1849</v>
      </c>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v>1822</v>
      </c>
      <c r="BG136" s="1">
        <v>1822</v>
      </c>
      <c r="BH136" s="1">
        <v>1822</v>
      </c>
      <c r="BI136" s="1">
        <v>1</v>
      </c>
      <c r="BJ136" s="6" t="s">
        <v>1757</v>
      </c>
      <c r="BK136" s="1" t="s">
        <v>1760</v>
      </c>
      <c r="BL136" s="1" t="s">
        <v>1746</v>
      </c>
      <c r="BM136" s="1"/>
      <c r="BN136" s="1" t="s">
        <v>811</v>
      </c>
      <c r="BO136" s="12">
        <v>8.25</v>
      </c>
      <c r="BP136" s="12">
        <v>7.375</v>
      </c>
      <c r="BQ136" s="12"/>
      <c r="BR136" s="1">
        <v>21</v>
      </c>
      <c r="BS136" s="1">
        <v>18.7</v>
      </c>
      <c r="BT136" s="1"/>
      <c r="BU136" s="1"/>
      <c r="BV136" s="1" t="s">
        <v>309</v>
      </c>
      <c r="BW136" s="1" t="s">
        <v>94</v>
      </c>
      <c r="BX136" s="1" t="s">
        <v>95</v>
      </c>
      <c r="BY136" s="1">
        <v>1922</v>
      </c>
      <c r="BZ136" s="1"/>
      <c r="CA136" s="1"/>
      <c r="CB136" s="1"/>
      <c r="CN136" s="1" t="s">
        <v>96</v>
      </c>
      <c r="CP136" s="8" t="str">
        <f>HYPERLINK("http://www.metmuseum.org/art/collection/search/54389","http://www.metmuseum.org/art/collection/search/54389")</f>
        <v>http://www.metmuseum.org/art/collection/search/54389</v>
      </c>
      <c r="CQ136" s="4">
        <v>42842.333402777775</v>
      </c>
      <c r="CR136" s="1" t="s">
        <v>97</v>
      </c>
    </row>
    <row r="137" spans="1:96" ht="52.5" customHeight="1" x14ac:dyDescent="0.2">
      <c r="A137" s="1" t="s">
        <v>812</v>
      </c>
      <c r="B137" s="1" t="b">
        <v>0</v>
      </c>
      <c r="C137" s="1" t="b">
        <v>1</v>
      </c>
      <c r="D137" s="1">
        <v>54428</v>
      </c>
      <c r="E137" s="1" t="s">
        <v>85</v>
      </c>
      <c r="F137" s="1" t="s">
        <v>86</v>
      </c>
      <c r="N137" s="1" t="s">
        <v>87</v>
      </c>
      <c r="O137" s="1" t="s">
        <v>1798</v>
      </c>
      <c r="P137" s="1">
        <v>1615</v>
      </c>
      <c r="Q137" s="1">
        <v>1868</v>
      </c>
      <c r="U137" s="1" t="s">
        <v>88</v>
      </c>
      <c r="W137" s="1" t="s">
        <v>89</v>
      </c>
      <c r="X137" s="1" t="s">
        <v>1801</v>
      </c>
      <c r="Z137" s="1" t="s">
        <v>89</v>
      </c>
      <c r="AA137" s="1" t="s">
        <v>90</v>
      </c>
      <c r="AB137" s="1">
        <v>1760</v>
      </c>
      <c r="AC137" s="1">
        <v>1849</v>
      </c>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G137" s="1">
        <v>1760</v>
      </c>
      <c r="BH137" s="1">
        <v>1849</v>
      </c>
      <c r="BI137" s="1">
        <v>1</v>
      </c>
      <c r="BJ137" s="6" t="s">
        <v>1757</v>
      </c>
      <c r="BK137" s="1" t="s">
        <v>1760</v>
      </c>
      <c r="BL137" s="1" t="s">
        <v>1746</v>
      </c>
      <c r="BM137" s="1"/>
      <c r="BN137" s="1" t="s">
        <v>813</v>
      </c>
      <c r="BO137" s="11">
        <v>6.6875</v>
      </c>
      <c r="BP137" s="11">
        <v>18.1875</v>
      </c>
      <c r="BQ137" s="11"/>
      <c r="BR137" s="1">
        <v>17</v>
      </c>
      <c r="BS137" s="1">
        <v>46.2</v>
      </c>
      <c r="BT137" s="1"/>
      <c r="BU137" s="1"/>
      <c r="BV137" s="1" t="s">
        <v>447</v>
      </c>
      <c r="BW137" s="1" t="s">
        <v>346</v>
      </c>
      <c r="BX137" s="1"/>
      <c r="BY137" s="1">
        <v>1929</v>
      </c>
      <c r="BZ137" s="1" t="s">
        <v>448</v>
      </c>
      <c r="CA137" s="1" t="s">
        <v>449</v>
      </c>
      <c r="CB137" s="1"/>
      <c r="CN137" s="1" t="s">
        <v>96</v>
      </c>
      <c r="CP137" s="8" t="str">
        <f>HYPERLINK("http://www.metmuseum.org/art/collection/search/54428","http://www.metmuseum.org/art/collection/search/54428")</f>
        <v>http://www.metmuseum.org/art/collection/search/54428</v>
      </c>
      <c r="CQ137" s="4">
        <v>42842.333402777775</v>
      </c>
      <c r="CR137" s="1" t="s">
        <v>97</v>
      </c>
    </row>
    <row r="138" spans="1:96" ht="52.5" customHeight="1" x14ac:dyDescent="0.2">
      <c r="A138" s="1" t="s">
        <v>814</v>
      </c>
      <c r="B138" s="1" t="b">
        <v>0</v>
      </c>
      <c r="C138" s="1" t="b">
        <v>1</v>
      </c>
      <c r="D138" s="1">
        <v>54429</v>
      </c>
      <c r="E138" s="1" t="s">
        <v>85</v>
      </c>
      <c r="F138" s="1" t="s">
        <v>86</v>
      </c>
      <c r="N138" s="1" t="s">
        <v>87</v>
      </c>
      <c r="O138" s="1" t="s">
        <v>1798</v>
      </c>
      <c r="P138" s="1">
        <v>1615</v>
      </c>
      <c r="Q138" s="1">
        <v>1868</v>
      </c>
      <c r="U138" s="1" t="s">
        <v>88</v>
      </c>
      <c r="W138" s="1" t="s">
        <v>89</v>
      </c>
      <c r="X138" s="1" t="s">
        <v>1801</v>
      </c>
      <c r="Z138" s="1" t="s">
        <v>89</v>
      </c>
      <c r="AA138" s="1" t="s">
        <v>90</v>
      </c>
      <c r="AB138" s="1">
        <v>1760</v>
      </c>
      <c r="AC138" s="1">
        <v>1849</v>
      </c>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G138" s="1">
        <v>1760</v>
      </c>
      <c r="BH138" s="1">
        <v>1849</v>
      </c>
      <c r="BI138" s="1">
        <v>1</v>
      </c>
      <c r="BJ138" s="6" t="s">
        <v>1757</v>
      </c>
      <c r="BK138" s="1" t="s">
        <v>1760</v>
      </c>
      <c r="BL138" s="1" t="s">
        <v>1746</v>
      </c>
      <c r="BM138" s="1"/>
      <c r="BN138" s="1" t="s">
        <v>815</v>
      </c>
      <c r="BO138" s="12">
        <v>7.75</v>
      </c>
      <c r="BP138" s="11">
        <v>27.4375</v>
      </c>
      <c r="BQ138" s="11"/>
      <c r="BR138" s="1">
        <v>19.7</v>
      </c>
      <c r="BS138" s="1">
        <v>69.7</v>
      </c>
      <c r="BT138" s="1"/>
      <c r="BU138" s="1"/>
      <c r="BV138" s="1" t="s">
        <v>447</v>
      </c>
      <c r="BW138" s="1" t="s">
        <v>346</v>
      </c>
      <c r="BX138" s="1"/>
      <c r="BY138" s="1">
        <v>1929</v>
      </c>
      <c r="BZ138" s="1" t="s">
        <v>448</v>
      </c>
      <c r="CA138" s="1" t="s">
        <v>449</v>
      </c>
      <c r="CB138" s="1"/>
      <c r="CN138" s="1" t="s">
        <v>96</v>
      </c>
      <c r="CP138" s="8" t="str">
        <f>HYPERLINK("http://www.metmuseum.org/art/collection/search/54429","http://www.metmuseum.org/art/collection/search/54429")</f>
        <v>http://www.metmuseum.org/art/collection/search/54429</v>
      </c>
      <c r="CQ138" s="4">
        <v>42842.333402777775</v>
      </c>
      <c r="CR138" s="1" t="s">
        <v>97</v>
      </c>
    </row>
    <row r="139" spans="1:96" ht="52.5" customHeight="1" x14ac:dyDescent="0.2">
      <c r="A139" s="1" t="s">
        <v>816</v>
      </c>
      <c r="B139" s="1" t="b">
        <v>0</v>
      </c>
      <c r="C139" s="1" t="b">
        <v>1</v>
      </c>
      <c r="D139" s="1">
        <v>54430</v>
      </c>
      <c r="E139" s="1" t="s">
        <v>85</v>
      </c>
      <c r="F139" s="1" t="s">
        <v>86</v>
      </c>
      <c r="N139" s="1" t="s">
        <v>87</v>
      </c>
      <c r="O139" s="1" t="s">
        <v>1798</v>
      </c>
      <c r="P139" s="1">
        <v>1615</v>
      </c>
      <c r="Q139" s="1">
        <v>1868</v>
      </c>
      <c r="U139" s="1" t="s">
        <v>88</v>
      </c>
      <c r="W139" s="1" t="s">
        <v>89</v>
      </c>
      <c r="X139" s="1" t="s">
        <v>1801</v>
      </c>
      <c r="Z139" s="1" t="s">
        <v>89</v>
      </c>
      <c r="AA139" s="1" t="s">
        <v>90</v>
      </c>
      <c r="AB139" s="1">
        <v>1760</v>
      </c>
      <c r="AC139" s="1">
        <v>1849</v>
      </c>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t="s">
        <v>817</v>
      </c>
      <c r="BG139" s="1">
        <v>1800</v>
      </c>
      <c r="BH139" s="1">
        <v>1815</v>
      </c>
      <c r="BI139" s="1">
        <v>1</v>
      </c>
      <c r="BJ139" s="6" t="s">
        <v>1757</v>
      </c>
      <c r="BK139" s="1" t="s">
        <v>1760</v>
      </c>
      <c r="BL139" s="1" t="s">
        <v>1746</v>
      </c>
      <c r="BM139" s="1"/>
      <c r="BN139" s="1" t="s">
        <v>818</v>
      </c>
      <c r="BO139" s="11">
        <v>7.3125</v>
      </c>
      <c r="BP139" s="12">
        <v>19.875</v>
      </c>
      <c r="BQ139" s="12"/>
      <c r="BR139" s="1">
        <v>18.600000000000001</v>
      </c>
      <c r="BS139" s="1">
        <v>50.5</v>
      </c>
      <c r="BT139" s="1"/>
      <c r="BU139" s="1"/>
      <c r="BV139" s="1" t="s">
        <v>447</v>
      </c>
      <c r="BW139" s="1" t="s">
        <v>346</v>
      </c>
      <c r="BX139" s="1"/>
      <c r="BY139" s="1">
        <v>1929</v>
      </c>
      <c r="BZ139" s="1" t="s">
        <v>448</v>
      </c>
      <c r="CA139" s="1" t="s">
        <v>449</v>
      </c>
      <c r="CB139" s="1"/>
      <c r="CN139" s="1" t="s">
        <v>96</v>
      </c>
      <c r="CP139" s="8" t="str">
        <f>HYPERLINK("http://www.metmuseum.org/art/collection/search/54430","http://www.metmuseum.org/art/collection/search/54430")</f>
        <v>http://www.metmuseum.org/art/collection/search/54430</v>
      </c>
      <c r="CQ139" s="4">
        <v>42842.333402777775</v>
      </c>
      <c r="CR139" s="1" t="s">
        <v>97</v>
      </c>
    </row>
    <row r="140" spans="1:96" ht="52.5" customHeight="1" x14ac:dyDescent="0.2">
      <c r="A140" s="1" t="s">
        <v>819</v>
      </c>
      <c r="B140" s="1" t="b">
        <v>0</v>
      </c>
      <c r="C140" s="1" t="b">
        <v>1</v>
      </c>
      <c r="D140" s="1">
        <v>54431</v>
      </c>
      <c r="E140" s="1" t="s">
        <v>85</v>
      </c>
      <c r="F140" s="1" t="s">
        <v>86</v>
      </c>
      <c r="N140" s="1" t="s">
        <v>87</v>
      </c>
      <c r="O140" s="1" t="s">
        <v>1798</v>
      </c>
      <c r="P140" s="1">
        <v>1615</v>
      </c>
      <c r="Q140" s="1">
        <v>1868</v>
      </c>
      <c r="U140" s="1" t="s">
        <v>88</v>
      </c>
      <c r="W140" s="1" t="s">
        <v>89</v>
      </c>
      <c r="X140" s="1" t="s">
        <v>1801</v>
      </c>
      <c r="Z140" s="1" t="s">
        <v>89</v>
      </c>
      <c r="AA140" s="1" t="s">
        <v>90</v>
      </c>
      <c r="AB140" s="1">
        <v>1760</v>
      </c>
      <c r="AC140" s="1">
        <v>1849</v>
      </c>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G140" s="1">
        <v>1760</v>
      </c>
      <c r="BH140" s="1">
        <v>1849</v>
      </c>
      <c r="BI140" s="1">
        <v>1</v>
      </c>
      <c r="BJ140" s="6" t="s">
        <v>1757</v>
      </c>
      <c r="BK140" s="1" t="s">
        <v>1760</v>
      </c>
      <c r="BL140" s="1" t="s">
        <v>1746</v>
      </c>
      <c r="BM140" s="1"/>
      <c r="BN140" s="1" t="s">
        <v>820</v>
      </c>
      <c r="BO140" s="12">
        <v>5.125</v>
      </c>
      <c r="BP140" s="11">
        <v>7.3125</v>
      </c>
      <c r="BQ140" s="11"/>
      <c r="BR140" s="1">
        <v>13</v>
      </c>
      <c r="BS140" s="1">
        <v>18.600000000000001</v>
      </c>
      <c r="BT140" s="1"/>
      <c r="BU140" s="1"/>
      <c r="BV140" s="1" t="s">
        <v>447</v>
      </c>
      <c r="BW140" s="1" t="s">
        <v>346</v>
      </c>
      <c r="BX140" s="1"/>
      <c r="BY140" s="1">
        <v>1929</v>
      </c>
      <c r="BZ140" s="1" t="s">
        <v>448</v>
      </c>
      <c r="CA140" s="1" t="s">
        <v>449</v>
      </c>
      <c r="CB140" s="1"/>
      <c r="CN140" s="1" t="s">
        <v>96</v>
      </c>
      <c r="CP140" s="8" t="str">
        <f>HYPERLINK("http://www.metmuseum.org/art/collection/search/54431","http://www.metmuseum.org/art/collection/search/54431")</f>
        <v>http://www.metmuseum.org/art/collection/search/54431</v>
      </c>
      <c r="CQ140" s="4">
        <v>42842.333402777775</v>
      </c>
      <c r="CR140" s="1" t="s">
        <v>97</v>
      </c>
    </row>
    <row r="141" spans="1:96" ht="52.5" customHeight="1" x14ac:dyDescent="0.2">
      <c r="A141" s="1" t="s">
        <v>821</v>
      </c>
      <c r="B141" s="1" t="b">
        <v>0</v>
      </c>
      <c r="C141" s="1" t="b">
        <v>1</v>
      </c>
      <c r="D141" s="1">
        <v>54432</v>
      </c>
      <c r="E141" s="1" t="s">
        <v>85</v>
      </c>
      <c r="F141" s="1" t="s">
        <v>86</v>
      </c>
      <c r="N141" s="1" t="s">
        <v>87</v>
      </c>
      <c r="O141" s="1" t="s">
        <v>1798</v>
      </c>
      <c r="P141" s="1">
        <v>1615</v>
      </c>
      <c r="Q141" s="1">
        <v>1868</v>
      </c>
      <c r="U141" s="1" t="s">
        <v>88</v>
      </c>
      <c r="W141" s="1" t="s">
        <v>89</v>
      </c>
      <c r="X141" s="1" t="s">
        <v>1801</v>
      </c>
      <c r="Z141" s="1" t="s">
        <v>89</v>
      </c>
      <c r="AA141" s="1" t="s">
        <v>90</v>
      </c>
      <c r="AB141" s="1">
        <v>1760</v>
      </c>
      <c r="AC141" s="1">
        <v>1849</v>
      </c>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G141" s="1">
        <v>1760</v>
      </c>
      <c r="BH141" s="1">
        <v>1849</v>
      </c>
      <c r="BI141" s="1">
        <v>1</v>
      </c>
      <c r="BJ141" s="6" t="s">
        <v>1757</v>
      </c>
      <c r="BK141" s="1" t="s">
        <v>1760</v>
      </c>
      <c r="BL141" s="1" t="s">
        <v>1746</v>
      </c>
      <c r="BM141" s="1"/>
      <c r="BN141" s="1" t="s">
        <v>822</v>
      </c>
      <c r="BO141" s="12">
        <v>7.875</v>
      </c>
      <c r="BP141" s="12">
        <v>7.25</v>
      </c>
      <c r="BQ141" s="12"/>
      <c r="BR141" s="1">
        <v>20</v>
      </c>
      <c r="BS141" s="1">
        <v>18.399999999999999</v>
      </c>
      <c r="BT141" s="1"/>
      <c r="BU141" s="1"/>
      <c r="BV141" s="1" t="s">
        <v>447</v>
      </c>
      <c r="BW141" s="1" t="s">
        <v>346</v>
      </c>
      <c r="BX141" s="1"/>
      <c r="BY141" s="1">
        <v>1929</v>
      </c>
      <c r="BZ141" s="1" t="s">
        <v>448</v>
      </c>
      <c r="CA141" s="1" t="s">
        <v>449</v>
      </c>
      <c r="CB141" s="1"/>
      <c r="CN141" s="1" t="s">
        <v>96</v>
      </c>
      <c r="CP141" s="8" t="str">
        <f>HYPERLINK("http://www.metmuseum.org/art/collection/search/54432","http://www.metmuseum.org/art/collection/search/54432")</f>
        <v>http://www.metmuseum.org/art/collection/search/54432</v>
      </c>
      <c r="CQ141" s="4">
        <v>42842.333402777775</v>
      </c>
      <c r="CR141" s="1" t="s">
        <v>97</v>
      </c>
    </row>
    <row r="142" spans="1:96" ht="52.5" customHeight="1" x14ac:dyDescent="0.2">
      <c r="A142" s="1" t="s">
        <v>823</v>
      </c>
      <c r="B142" s="1" t="b">
        <v>0</v>
      </c>
      <c r="C142" s="1" t="b">
        <v>1</v>
      </c>
      <c r="D142" s="1">
        <v>54433</v>
      </c>
      <c r="E142" s="1" t="s">
        <v>85</v>
      </c>
      <c r="F142" s="1" t="s">
        <v>86</v>
      </c>
      <c r="N142" s="1" t="s">
        <v>87</v>
      </c>
      <c r="O142" s="1" t="s">
        <v>1798</v>
      </c>
      <c r="P142" s="1">
        <v>1615</v>
      </c>
      <c r="Q142" s="1">
        <v>1868</v>
      </c>
      <c r="U142" s="1" t="s">
        <v>88</v>
      </c>
      <c r="W142" s="1" t="s">
        <v>89</v>
      </c>
      <c r="X142" s="1" t="s">
        <v>1801</v>
      </c>
      <c r="Z142" s="1" t="s">
        <v>89</v>
      </c>
      <c r="AA142" s="1" t="s">
        <v>90</v>
      </c>
      <c r="AB142" s="1">
        <v>1760</v>
      </c>
      <c r="AC142" s="1">
        <v>1849</v>
      </c>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t="s">
        <v>824</v>
      </c>
      <c r="BG142" s="1">
        <v>1820</v>
      </c>
      <c r="BH142" s="1">
        <v>1833</v>
      </c>
      <c r="BI142" s="1">
        <v>1</v>
      </c>
      <c r="BJ142" s="6" t="s">
        <v>1757</v>
      </c>
      <c r="BK142" s="1" t="s">
        <v>1760</v>
      </c>
      <c r="BL142" s="1" t="s">
        <v>1746</v>
      </c>
      <c r="BM142" s="1"/>
      <c r="BN142" s="1" t="s">
        <v>825</v>
      </c>
      <c r="BO142" s="11">
        <v>8.5625</v>
      </c>
      <c r="BP142" s="11">
        <v>7.0625</v>
      </c>
      <c r="BQ142" s="11"/>
      <c r="BR142" s="1">
        <v>21.7</v>
      </c>
      <c r="BS142" s="1">
        <v>17.899999999999999</v>
      </c>
      <c r="BT142" s="1"/>
      <c r="BU142" s="1"/>
      <c r="BV142" s="1" t="s">
        <v>447</v>
      </c>
      <c r="BW142" s="1" t="s">
        <v>346</v>
      </c>
      <c r="BX142" s="1"/>
      <c r="BY142" s="1">
        <v>1929</v>
      </c>
      <c r="BZ142" s="1" t="s">
        <v>448</v>
      </c>
      <c r="CA142" s="1" t="s">
        <v>449</v>
      </c>
      <c r="CB142" s="1"/>
      <c r="CN142" s="1" t="s">
        <v>96</v>
      </c>
      <c r="CP142" s="8" t="str">
        <f>HYPERLINK("http://www.metmuseum.org/art/collection/search/54433","http://www.metmuseum.org/art/collection/search/54433")</f>
        <v>http://www.metmuseum.org/art/collection/search/54433</v>
      </c>
      <c r="CQ142" s="4">
        <v>42842.333402777775</v>
      </c>
      <c r="CR142" s="1" t="s">
        <v>97</v>
      </c>
    </row>
    <row r="143" spans="1:96" ht="52.5" customHeight="1" x14ac:dyDescent="0.2">
      <c r="A143" s="1" t="s">
        <v>826</v>
      </c>
      <c r="B143" s="1" t="b">
        <v>0</v>
      </c>
      <c r="C143" s="1" t="b">
        <v>1</v>
      </c>
      <c r="D143" s="1">
        <v>54434</v>
      </c>
      <c r="E143" s="1" t="s">
        <v>85</v>
      </c>
      <c r="F143" s="1" t="s">
        <v>86</v>
      </c>
      <c r="N143" s="1" t="s">
        <v>87</v>
      </c>
      <c r="O143" s="1" t="s">
        <v>1798</v>
      </c>
      <c r="P143" s="1">
        <v>1615</v>
      </c>
      <c r="Q143" s="1">
        <v>1868</v>
      </c>
      <c r="U143" s="1" t="s">
        <v>88</v>
      </c>
      <c r="W143" s="1" t="s">
        <v>89</v>
      </c>
      <c r="X143" s="1" t="s">
        <v>1801</v>
      </c>
      <c r="Z143" s="1" t="s">
        <v>89</v>
      </c>
      <c r="AA143" s="1" t="s">
        <v>90</v>
      </c>
      <c r="AB143" s="1">
        <v>1760</v>
      </c>
      <c r="AC143" s="1">
        <v>1849</v>
      </c>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G143" s="1">
        <v>1760</v>
      </c>
      <c r="BH143" s="1">
        <v>1849</v>
      </c>
      <c r="BI143" s="1">
        <v>1</v>
      </c>
      <c r="BJ143" s="6" t="s">
        <v>1757</v>
      </c>
      <c r="BK143" s="1" t="s">
        <v>1760</v>
      </c>
      <c r="BL143" s="1" t="s">
        <v>1746</v>
      </c>
      <c r="BM143" s="1"/>
      <c r="BN143" s="1" t="s">
        <v>827</v>
      </c>
      <c r="BO143" s="11">
        <v>6.3125</v>
      </c>
      <c r="BP143" s="11">
        <v>12.4375</v>
      </c>
      <c r="BQ143" s="11"/>
      <c r="BR143" s="1">
        <v>16</v>
      </c>
      <c r="BS143" s="1">
        <v>31.6</v>
      </c>
      <c r="BT143" s="1"/>
      <c r="BU143" s="1"/>
      <c r="BV143" s="1" t="s">
        <v>447</v>
      </c>
      <c r="BW143" s="1" t="s">
        <v>346</v>
      </c>
      <c r="BX143" s="1"/>
      <c r="BY143" s="1">
        <v>1929</v>
      </c>
      <c r="BZ143" s="1" t="s">
        <v>448</v>
      </c>
      <c r="CA143" s="1" t="s">
        <v>449</v>
      </c>
      <c r="CB143" s="1"/>
      <c r="CN143" s="1" t="s">
        <v>96</v>
      </c>
      <c r="CP143" s="8" t="str">
        <f>HYPERLINK("http://www.metmuseum.org/art/collection/search/54434","http://www.metmuseum.org/art/collection/search/54434")</f>
        <v>http://www.metmuseum.org/art/collection/search/54434</v>
      </c>
      <c r="CQ143" s="4">
        <v>42842.333402777775</v>
      </c>
      <c r="CR143" s="1" t="s">
        <v>97</v>
      </c>
    </row>
    <row r="144" spans="1:96" ht="52.5" customHeight="1" x14ac:dyDescent="0.2">
      <c r="A144" s="1" t="s">
        <v>828</v>
      </c>
      <c r="B144" s="1" t="b">
        <v>0</v>
      </c>
      <c r="C144" s="1" t="b">
        <v>1</v>
      </c>
      <c r="D144" s="1">
        <v>54435</v>
      </c>
      <c r="E144" s="1" t="s">
        <v>85</v>
      </c>
      <c r="F144" s="1" t="s">
        <v>99</v>
      </c>
      <c r="N144" s="1" t="s">
        <v>87</v>
      </c>
      <c r="O144" s="1" t="s">
        <v>1798</v>
      </c>
      <c r="P144" s="1">
        <v>1615</v>
      </c>
      <c r="Q144" s="1">
        <v>1868</v>
      </c>
      <c r="U144" s="1" t="s">
        <v>88</v>
      </c>
      <c r="W144" s="1" t="s">
        <v>89</v>
      </c>
      <c r="X144" s="1" t="s">
        <v>1801</v>
      </c>
      <c r="Z144" s="1" t="s">
        <v>89</v>
      </c>
      <c r="AA144" s="1" t="s">
        <v>90</v>
      </c>
      <c r="AB144" s="1">
        <v>1760</v>
      </c>
      <c r="AC144" s="1">
        <v>1849</v>
      </c>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t="s">
        <v>829</v>
      </c>
      <c r="BG144" s="1">
        <v>1804</v>
      </c>
      <c r="BH144" s="1">
        <v>1813</v>
      </c>
      <c r="BI144" s="1">
        <v>1</v>
      </c>
      <c r="BJ144" s="6" t="s">
        <v>1757</v>
      </c>
      <c r="BK144" s="1" t="s">
        <v>1760</v>
      </c>
      <c r="BL144" s="1" t="s">
        <v>1746</v>
      </c>
      <c r="BM144" s="1"/>
      <c r="BN144" s="1" t="s">
        <v>830</v>
      </c>
      <c r="BO144" s="12">
        <v>8.125</v>
      </c>
      <c r="BP144" s="11">
        <v>10.6875</v>
      </c>
      <c r="BQ144" s="11"/>
      <c r="BR144" s="1">
        <v>20.6</v>
      </c>
      <c r="BS144" s="1">
        <v>27.1</v>
      </c>
      <c r="BT144" s="1"/>
      <c r="BU144" s="1"/>
      <c r="BV144" s="1" t="s">
        <v>447</v>
      </c>
      <c r="BW144" s="1" t="s">
        <v>346</v>
      </c>
      <c r="BX144" s="1"/>
      <c r="BY144" s="1">
        <v>1929</v>
      </c>
      <c r="BZ144" s="1" t="s">
        <v>448</v>
      </c>
      <c r="CA144" s="1" t="s">
        <v>449</v>
      </c>
      <c r="CB144" s="1"/>
      <c r="CN144" s="1" t="s">
        <v>96</v>
      </c>
      <c r="CP144" s="8" t="str">
        <f>HYPERLINK("http://www.metmuseum.org/art/collection/search/54435","http://www.metmuseum.org/art/collection/search/54435")</f>
        <v>http://www.metmuseum.org/art/collection/search/54435</v>
      </c>
      <c r="CQ144" s="4">
        <v>42842.333402777775</v>
      </c>
      <c r="CR144" s="1" t="s">
        <v>97</v>
      </c>
    </row>
    <row r="145" spans="1:96" ht="52.5" customHeight="1" x14ac:dyDescent="0.2">
      <c r="A145" s="1" t="s">
        <v>831</v>
      </c>
      <c r="B145" s="1" t="b">
        <v>0</v>
      </c>
      <c r="C145" s="1" t="b">
        <v>1</v>
      </c>
      <c r="D145" s="1">
        <v>54437</v>
      </c>
      <c r="E145" s="1" t="s">
        <v>85</v>
      </c>
      <c r="F145" s="1" t="s">
        <v>86</v>
      </c>
      <c r="N145" s="1" t="s">
        <v>87</v>
      </c>
      <c r="O145" s="1" t="s">
        <v>1798</v>
      </c>
      <c r="P145" s="1">
        <v>1615</v>
      </c>
      <c r="Q145" s="1">
        <v>1868</v>
      </c>
      <c r="U145" s="1" t="s">
        <v>88</v>
      </c>
      <c r="W145" s="1" t="s">
        <v>89</v>
      </c>
      <c r="X145" s="1" t="s">
        <v>1801</v>
      </c>
      <c r="Z145" s="1" t="s">
        <v>89</v>
      </c>
      <c r="AA145" s="1" t="s">
        <v>90</v>
      </c>
      <c r="AB145" s="1">
        <v>1760</v>
      </c>
      <c r="AC145" s="1">
        <v>1849</v>
      </c>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G145" s="1">
        <v>1760</v>
      </c>
      <c r="BH145" s="1">
        <v>1849</v>
      </c>
      <c r="BI145" s="1">
        <v>1</v>
      </c>
      <c r="BJ145" s="6" t="s">
        <v>1757</v>
      </c>
      <c r="BK145" s="1" t="s">
        <v>1760</v>
      </c>
      <c r="BL145" s="1" t="s">
        <v>1746</v>
      </c>
      <c r="BM145" s="1"/>
      <c r="BN145" s="1" t="s">
        <v>832</v>
      </c>
      <c r="BO145" s="11">
        <v>8.0625</v>
      </c>
      <c r="BP145" s="12">
        <v>7.25</v>
      </c>
      <c r="BQ145" s="12"/>
      <c r="BR145" s="1">
        <v>20.5</v>
      </c>
      <c r="BS145" s="1">
        <v>18.399999999999999</v>
      </c>
      <c r="BT145" s="1"/>
      <c r="BU145" s="1"/>
      <c r="BV145" s="1" t="s">
        <v>447</v>
      </c>
      <c r="BW145" s="1" t="s">
        <v>346</v>
      </c>
      <c r="BX145" s="1"/>
      <c r="BY145" s="1">
        <v>1929</v>
      </c>
      <c r="BZ145" s="1" t="s">
        <v>448</v>
      </c>
      <c r="CA145" s="1" t="s">
        <v>449</v>
      </c>
      <c r="CB145" s="1"/>
      <c r="CN145" s="1" t="s">
        <v>96</v>
      </c>
      <c r="CP145" s="8" t="str">
        <f>HYPERLINK("http://www.metmuseum.org/art/collection/search/54437","http://www.metmuseum.org/art/collection/search/54437")</f>
        <v>http://www.metmuseum.org/art/collection/search/54437</v>
      </c>
      <c r="CQ145" s="4">
        <v>42842.333402777775</v>
      </c>
      <c r="CR145" s="1" t="s">
        <v>97</v>
      </c>
    </row>
    <row r="146" spans="1:96" ht="52.5" customHeight="1" x14ac:dyDescent="0.2">
      <c r="A146" s="1" t="s">
        <v>833</v>
      </c>
      <c r="B146" s="1" t="b">
        <v>0</v>
      </c>
      <c r="C146" s="1" t="b">
        <v>1</v>
      </c>
      <c r="D146" s="1">
        <v>54438</v>
      </c>
      <c r="E146" s="1" t="s">
        <v>85</v>
      </c>
      <c r="F146" s="1" t="s">
        <v>86</v>
      </c>
      <c r="G146" s="1" t="s">
        <v>834</v>
      </c>
      <c r="H146" s="1"/>
      <c r="I146" s="1" t="s">
        <v>835</v>
      </c>
      <c r="J146" s="1" t="s">
        <v>836</v>
      </c>
      <c r="K146" s="1" t="s">
        <v>751</v>
      </c>
      <c r="L146" s="1" t="s">
        <v>752</v>
      </c>
      <c r="M146" s="1" t="s">
        <v>753</v>
      </c>
      <c r="N146" s="1" t="s">
        <v>87</v>
      </c>
      <c r="O146" s="1" t="s">
        <v>1798</v>
      </c>
      <c r="P146" s="1">
        <v>1615</v>
      </c>
      <c r="Q146" s="1">
        <v>1868</v>
      </c>
      <c r="U146" s="1" t="s">
        <v>88</v>
      </c>
      <c r="W146" s="1" t="s">
        <v>89</v>
      </c>
      <c r="X146" s="1" t="s">
        <v>1801</v>
      </c>
      <c r="Z146" s="1" t="s">
        <v>89</v>
      </c>
      <c r="AA146" s="1" t="s">
        <v>90</v>
      </c>
      <c r="AB146" s="1">
        <v>1760</v>
      </c>
      <c r="AC146" s="1">
        <v>1849</v>
      </c>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v>1821</v>
      </c>
      <c r="BG146" s="1">
        <v>1821</v>
      </c>
      <c r="BH146" s="1">
        <v>1821</v>
      </c>
      <c r="BI146" s="1">
        <v>1</v>
      </c>
      <c r="BJ146" s="6"/>
      <c r="BK146" s="1" t="s">
        <v>1760</v>
      </c>
      <c r="BL146" s="1" t="s">
        <v>1746</v>
      </c>
      <c r="BM146" s="1"/>
      <c r="BN146" s="1" t="s">
        <v>837</v>
      </c>
      <c r="BO146" s="11">
        <v>7.9375</v>
      </c>
      <c r="BP146" s="1">
        <v>7</v>
      </c>
      <c r="BQ146" s="1"/>
      <c r="BR146" s="1">
        <v>20.2</v>
      </c>
      <c r="BS146" s="1">
        <v>17.8</v>
      </c>
      <c r="BT146" s="1"/>
      <c r="BU146" s="1"/>
      <c r="BV146" s="1" t="s">
        <v>447</v>
      </c>
      <c r="BW146" s="1" t="s">
        <v>346</v>
      </c>
      <c r="BX146" s="1"/>
      <c r="BY146" s="1">
        <v>1929</v>
      </c>
      <c r="BZ146" s="1" t="s">
        <v>448</v>
      </c>
      <c r="CA146" s="1" t="s">
        <v>449</v>
      </c>
      <c r="CB146" s="1"/>
      <c r="CN146" s="1" t="s">
        <v>96</v>
      </c>
      <c r="CP146" s="8" t="str">
        <f>HYPERLINK("http://www.metmuseum.org/art/collection/search/54438","http://www.metmuseum.org/art/collection/search/54438")</f>
        <v>http://www.metmuseum.org/art/collection/search/54438</v>
      </c>
      <c r="CQ146" s="4">
        <v>42842.333402777775</v>
      </c>
      <c r="CR146" s="1" t="s">
        <v>97</v>
      </c>
    </row>
    <row r="147" spans="1:96" ht="52.5" customHeight="1" x14ac:dyDescent="0.2">
      <c r="A147" s="1" t="s">
        <v>838</v>
      </c>
      <c r="B147" s="1" t="b">
        <v>0</v>
      </c>
      <c r="C147" s="1" t="b">
        <v>1</v>
      </c>
      <c r="D147" s="1">
        <v>54439</v>
      </c>
      <c r="E147" s="1" t="s">
        <v>85</v>
      </c>
      <c r="F147" s="1" t="s">
        <v>86</v>
      </c>
      <c r="N147" s="1" t="s">
        <v>87</v>
      </c>
      <c r="O147" s="1" t="s">
        <v>1798</v>
      </c>
      <c r="P147" s="1">
        <v>1615</v>
      </c>
      <c r="Q147" s="1">
        <v>1868</v>
      </c>
      <c r="U147" s="1" t="s">
        <v>88</v>
      </c>
      <c r="W147" s="1" t="s">
        <v>89</v>
      </c>
      <c r="X147" s="1" t="s">
        <v>1801</v>
      </c>
      <c r="Z147" s="1" t="s">
        <v>89</v>
      </c>
      <c r="AA147" s="1" t="s">
        <v>90</v>
      </c>
      <c r="AB147" s="1">
        <v>1760</v>
      </c>
      <c r="AC147" s="1">
        <v>1849</v>
      </c>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t="s">
        <v>839</v>
      </c>
      <c r="BG147" s="1">
        <v>1808</v>
      </c>
      <c r="BH147" s="1">
        <v>1827</v>
      </c>
      <c r="BI147" s="1">
        <v>1</v>
      </c>
      <c r="BJ147" s="6" t="s">
        <v>1757</v>
      </c>
      <c r="BK147" s="1" t="s">
        <v>1760</v>
      </c>
      <c r="BL147" s="1" t="s">
        <v>1746</v>
      </c>
      <c r="BM147" s="1"/>
      <c r="BN147" s="1" t="s">
        <v>840</v>
      </c>
      <c r="BO147" s="12">
        <v>8.25</v>
      </c>
      <c r="BP147" s="12">
        <v>7.5</v>
      </c>
      <c r="BQ147" s="12"/>
      <c r="BR147" s="1">
        <v>21</v>
      </c>
      <c r="BS147" s="1">
        <v>19.100000000000001</v>
      </c>
      <c r="BT147" s="1"/>
      <c r="BU147" s="1"/>
      <c r="BV147" s="1" t="s">
        <v>447</v>
      </c>
      <c r="BW147" s="1" t="s">
        <v>346</v>
      </c>
      <c r="BX147" s="1"/>
      <c r="BY147" s="1">
        <v>1929</v>
      </c>
      <c r="BZ147" s="1" t="s">
        <v>448</v>
      </c>
      <c r="CA147" s="1" t="s">
        <v>449</v>
      </c>
      <c r="CB147" s="1"/>
      <c r="CN147" s="1" t="s">
        <v>96</v>
      </c>
      <c r="CP147" s="8" t="str">
        <f>HYPERLINK("http://www.metmuseum.org/art/collection/search/54439","http://www.metmuseum.org/art/collection/search/54439")</f>
        <v>http://www.metmuseum.org/art/collection/search/54439</v>
      </c>
      <c r="CQ147" s="4">
        <v>42842.333402777775</v>
      </c>
      <c r="CR147" s="1" t="s">
        <v>97</v>
      </c>
    </row>
    <row r="148" spans="1:96" ht="52.5" customHeight="1" x14ac:dyDescent="0.2">
      <c r="A148" s="1" t="s">
        <v>841</v>
      </c>
      <c r="B148" s="1" t="b">
        <v>0</v>
      </c>
      <c r="C148" s="1" t="b">
        <v>1</v>
      </c>
      <c r="D148" s="1">
        <v>54768</v>
      </c>
      <c r="E148" s="1" t="s">
        <v>85</v>
      </c>
      <c r="F148" s="1" t="s">
        <v>86</v>
      </c>
      <c r="G148" s="1" t="s">
        <v>842</v>
      </c>
      <c r="H148" s="1" t="s">
        <v>843</v>
      </c>
      <c r="I148" s="1"/>
      <c r="J148" s="1" t="s">
        <v>844</v>
      </c>
      <c r="K148" s="1"/>
      <c r="L148" s="1"/>
      <c r="M148" s="1"/>
      <c r="N148" s="1" t="s">
        <v>87</v>
      </c>
      <c r="O148" s="6" t="s">
        <v>1798</v>
      </c>
      <c r="P148" s="1">
        <v>1615</v>
      </c>
      <c r="Q148" s="1">
        <v>1868</v>
      </c>
      <c r="U148" s="1" t="s">
        <v>88</v>
      </c>
      <c r="W148" s="1" t="s">
        <v>89</v>
      </c>
      <c r="X148" s="1" t="s">
        <v>1801</v>
      </c>
      <c r="Z148" s="1" t="s">
        <v>89</v>
      </c>
      <c r="AA148" s="1" t="s">
        <v>90</v>
      </c>
      <c r="AB148" s="1">
        <v>1760</v>
      </c>
      <c r="AC148" s="1">
        <v>1849</v>
      </c>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v>1814</v>
      </c>
      <c r="BG148" s="1">
        <v>1814</v>
      </c>
      <c r="BH148" s="1">
        <v>1814</v>
      </c>
      <c r="BI148" s="1">
        <v>1</v>
      </c>
      <c r="BJ148" s="6" t="s">
        <v>1757</v>
      </c>
      <c r="BK148" s="1" t="s">
        <v>1760</v>
      </c>
      <c r="BL148" s="1" t="s">
        <v>1746</v>
      </c>
      <c r="BM148" s="1"/>
      <c r="BN148" s="1" t="s">
        <v>845</v>
      </c>
      <c r="BO148" s="12">
        <v>8.375</v>
      </c>
      <c r="BP148" s="11">
        <v>5.4375</v>
      </c>
      <c r="BQ148" s="11"/>
      <c r="BR148" s="1">
        <v>21.3</v>
      </c>
      <c r="BS148" s="1">
        <v>13.8</v>
      </c>
      <c r="BT148" s="1"/>
      <c r="BU148" s="1"/>
      <c r="BV148" s="1" t="s">
        <v>447</v>
      </c>
      <c r="BW148" s="1" t="s">
        <v>346</v>
      </c>
      <c r="BX148" s="1"/>
      <c r="BY148" s="1">
        <v>1929</v>
      </c>
      <c r="BZ148" s="1" t="s">
        <v>448</v>
      </c>
      <c r="CA148" s="1" t="s">
        <v>449</v>
      </c>
      <c r="CB148" s="1"/>
      <c r="CN148" s="1" t="s">
        <v>96</v>
      </c>
      <c r="CP148" s="8" t="str">
        <f>HYPERLINK("http://www.metmuseum.org/art/collection/search/54768","http://www.metmuseum.org/art/collection/search/54768")</f>
        <v>http://www.metmuseum.org/art/collection/search/54768</v>
      </c>
      <c r="CQ148" s="4">
        <v>42842.333402777775</v>
      </c>
      <c r="CR148" s="1" t="s">
        <v>97</v>
      </c>
    </row>
    <row r="149" spans="1:96" ht="52.5" customHeight="1" x14ac:dyDescent="0.2">
      <c r="A149" s="1" t="s">
        <v>846</v>
      </c>
      <c r="B149" s="1" t="b">
        <v>0</v>
      </c>
      <c r="C149" s="1" t="b">
        <v>1</v>
      </c>
      <c r="D149" s="1">
        <v>54868</v>
      </c>
      <c r="E149" s="1" t="s">
        <v>85</v>
      </c>
      <c r="F149" s="1" t="s">
        <v>99</v>
      </c>
      <c r="G149" s="1" t="s">
        <v>847</v>
      </c>
      <c r="H149" s="1" t="s">
        <v>187</v>
      </c>
      <c r="I149" s="1" t="s">
        <v>188</v>
      </c>
      <c r="J149" s="1" t="s">
        <v>848</v>
      </c>
      <c r="K149" s="1" t="s">
        <v>165</v>
      </c>
      <c r="L149" s="1" t="s">
        <v>156</v>
      </c>
      <c r="M149" s="1" t="s">
        <v>157</v>
      </c>
      <c r="N149" s="1" t="s">
        <v>87</v>
      </c>
      <c r="O149" s="1" t="s">
        <v>1798</v>
      </c>
      <c r="P149" s="1">
        <v>1615</v>
      </c>
      <c r="Q149" s="1">
        <v>1868</v>
      </c>
      <c r="U149" s="1" t="s">
        <v>88</v>
      </c>
      <c r="W149" s="1" t="s">
        <v>89</v>
      </c>
      <c r="X149" s="1" t="s">
        <v>1801</v>
      </c>
      <c r="Z149" s="1" t="s">
        <v>89</v>
      </c>
      <c r="AA149" s="1" t="s">
        <v>90</v>
      </c>
      <c r="AB149" s="1">
        <v>1760</v>
      </c>
      <c r="AC149" s="1">
        <v>1849</v>
      </c>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t="s">
        <v>158</v>
      </c>
      <c r="BG149" s="1">
        <v>1820</v>
      </c>
      <c r="BH149" s="1">
        <v>1842</v>
      </c>
      <c r="BI149" s="1">
        <v>1</v>
      </c>
      <c r="BJ149" s="6"/>
      <c r="BK149" s="1" t="s">
        <v>1760</v>
      </c>
      <c r="BL149" s="1" t="s">
        <v>1746</v>
      </c>
      <c r="BM149" s="1"/>
      <c r="BN149" s="1" t="s">
        <v>344</v>
      </c>
      <c r="BO149" s="12">
        <v>9.625</v>
      </c>
      <c r="BP149" s="12">
        <v>14.75</v>
      </c>
      <c r="BQ149" s="12"/>
      <c r="BR149" s="1">
        <v>24.4</v>
      </c>
      <c r="BS149" s="1">
        <v>37.5</v>
      </c>
      <c r="BT149" s="1"/>
      <c r="BU149" s="1"/>
      <c r="BV149" s="1" t="s">
        <v>345</v>
      </c>
      <c r="BW149" s="1" t="s">
        <v>346</v>
      </c>
      <c r="BX149" s="1"/>
      <c r="BY149" s="1">
        <v>1939</v>
      </c>
      <c r="BZ149" s="1" t="s">
        <v>347</v>
      </c>
      <c r="CA149" s="1" t="s">
        <v>348</v>
      </c>
      <c r="CB149" s="1"/>
      <c r="CN149" s="1" t="s">
        <v>96</v>
      </c>
      <c r="CP149" s="8" t="str">
        <f>HYPERLINK("http://www.metmuseum.org/art/collection/search/54868","http://www.metmuseum.org/art/collection/search/54868")</f>
        <v>http://www.metmuseum.org/art/collection/search/54868</v>
      </c>
      <c r="CQ149" s="4">
        <v>42842.333402777775</v>
      </c>
      <c r="CR149" s="1" t="s">
        <v>97</v>
      </c>
    </row>
    <row r="150" spans="1:96" ht="52.5" customHeight="1" x14ac:dyDescent="0.2">
      <c r="A150" s="1" t="s">
        <v>849</v>
      </c>
      <c r="B150" s="1" t="b">
        <v>0</v>
      </c>
      <c r="C150" s="1" t="b">
        <v>1</v>
      </c>
      <c r="D150" s="1">
        <v>54887</v>
      </c>
      <c r="E150" s="1" t="s">
        <v>85</v>
      </c>
      <c r="F150" s="1" t="s">
        <v>86</v>
      </c>
      <c r="G150" s="1" t="s">
        <v>850</v>
      </c>
      <c r="H150" s="1"/>
      <c r="I150" s="1" t="s">
        <v>851</v>
      </c>
      <c r="J150" s="1" t="s">
        <v>852</v>
      </c>
      <c r="K150" s="1"/>
      <c r="L150" s="1"/>
      <c r="M150" s="1"/>
      <c r="N150" s="1" t="s">
        <v>87</v>
      </c>
      <c r="O150" s="1" t="s">
        <v>1798</v>
      </c>
      <c r="P150" s="1">
        <v>1615</v>
      </c>
      <c r="Q150" s="1">
        <v>1868</v>
      </c>
      <c r="U150" s="1" t="s">
        <v>88</v>
      </c>
      <c r="W150" s="1" t="s">
        <v>89</v>
      </c>
      <c r="X150" s="1" t="s">
        <v>1801</v>
      </c>
      <c r="Z150" s="1" t="s">
        <v>89</v>
      </c>
      <c r="AA150" s="1" t="s">
        <v>90</v>
      </c>
      <c r="AB150" s="1">
        <v>1760</v>
      </c>
      <c r="AC150" s="1">
        <v>1849</v>
      </c>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t="s">
        <v>745</v>
      </c>
      <c r="BG150" s="1">
        <v>1790</v>
      </c>
      <c r="BH150" s="1">
        <v>1810</v>
      </c>
      <c r="BI150" s="1">
        <v>1</v>
      </c>
      <c r="BJ150" s="1"/>
      <c r="BK150" s="1" t="s">
        <v>1760</v>
      </c>
      <c r="BL150" s="1" t="s">
        <v>1746</v>
      </c>
      <c r="BM150" s="1"/>
      <c r="BN150" s="1" t="s">
        <v>853</v>
      </c>
      <c r="BO150" s="12">
        <v>10.125</v>
      </c>
      <c r="BP150" s="12">
        <v>15.25</v>
      </c>
      <c r="BQ150" s="12"/>
      <c r="BR150" s="1">
        <v>25.7</v>
      </c>
      <c r="BS150" s="1">
        <v>38.700000000000003</v>
      </c>
      <c r="BT150" s="1"/>
      <c r="BU150" s="1"/>
      <c r="BV150" s="1" t="s">
        <v>797</v>
      </c>
      <c r="BW150" s="1" t="s">
        <v>386</v>
      </c>
      <c r="BX150" s="1"/>
      <c r="BY150" s="1">
        <v>1914</v>
      </c>
      <c r="BZ150" s="1"/>
      <c r="CA150" s="1" t="s">
        <v>798</v>
      </c>
      <c r="CB150" s="1"/>
      <c r="CN150" s="1" t="s">
        <v>96</v>
      </c>
      <c r="CP150" s="8" t="str">
        <f>HYPERLINK("http://www.metmuseum.org/art/collection/search/54887","http://www.metmuseum.org/art/collection/search/54887")</f>
        <v>http://www.metmuseum.org/art/collection/search/54887</v>
      </c>
      <c r="CQ150" s="4">
        <v>42842.333402777775</v>
      </c>
      <c r="CR150" s="1" t="s">
        <v>97</v>
      </c>
    </row>
    <row r="151" spans="1:96" ht="52.5" customHeight="1" x14ac:dyDescent="0.2">
      <c r="A151" s="1" t="s">
        <v>854</v>
      </c>
      <c r="B151" s="1" t="b">
        <v>0</v>
      </c>
      <c r="C151" s="1" t="b">
        <v>1</v>
      </c>
      <c r="D151" s="1">
        <v>54888</v>
      </c>
      <c r="E151" s="1" t="s">
        <v>85</v>
      </c>
      <c r="F151" s="1" t="s">
        <v>86</v>
      </c>
      <c r="G151" s="1" t="s">
        <v>855</v>
      </c>
      <c r="H151" s="1" t="s">
        <v>856</v>
      </c>
      <c r="I151" s="1" t="s">
        <v>857</v>
      </c>
      <c r="J151" s="1"/>
      <c r="K151" s="1"/>
      <c r="L151" s="1"/>
      <c r="M151" s="1"/>
      <c r="N151" s="1" t="s">
        <v>87</v>
      </c>
      <c r="O151" s="1" t="s">
        <v>1798</v>
      </c>
      <c r="P151" s="1">
        <v>1615</v>
      </c>
      <c r="Q151" s="1">
        <v>1868</v>
      </c>
      <c r="U151" s="1" t="s">
        <v>88</v>
      </c>
      <c r="W151" s="1" t="s">
        <v>89</v>
      </c>
      <c r="X151" s="1" t="s">
        <v>1801</v>
      </c>
      <c r="Z151" s="1" t="s">
        <v>89</v>
      </c>
      <c r="AA151" s="1" t="s">
        <v>90</v>
      </c>
      <c r="AB151" s="1">
        <v>1760</v>
      </c>
      <c r="AC151" s="1">
        <v>1849</v>
      </c>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t="s">
        <v>858</v>
      </c>
      <c r="BG151" s="1">
        <v>1801</v>
      </c>
      <c r="BH151" s="1">
        <v>1804</v>
      </c>
      <c r="BI151" s="1">
        <v>1</v>
      </c>
      <c r="BJ151" s="1"/>
      <c r="BK151" s="1" t="s">
        <v>1760</v>
      </c>
      <c r="BL151" s="1" t="s">
        <v>1746</v>
      </c>
      <c r="BM151" s="1"/>
      <c r="BN151" s="1" t="s">
        <v>859</v>
      </c>
      <c r="BO151" s="11">
        <v>10.1875</v>
      </c>
      <c r="BP151" s="12">
        <v>15.25</v>
      </c>
      <c r="BQ151" s="12"/>
      <c r="BR151" s="1">
        <v>25.9</v>
      </c>
      <c r="BS151" s="1">
        <v>38.299999999999997</v>
      </c>
      <c r="BT151" s="1"/>
      <c r="BU151" s="1"/>
      <c r="BV151" s="1" t="s">
        <v>797</v>
      </c>
      <c r="BW151" s="1" t="s">
        <v>386</v>
      </c>
      <c r="BX151" s="1"/>
      <c r="BY151" s="1">
        <v>1914</v>
      </c>
      <c r="BZ151" s="1"/>
      <c r="CA151" s="1" t="s">
        <v>798</v>
      </c>
      <c r="CB151" s="1"/>
      <c r="CN151" s="1" t="s">
        <v>96</v>
      </c>
      <c r="CP151" s="8" t="str">
        <f>HYPERLINK("http://www.metmuseum.org/art/collection/search/54888","http://www.metmuseum.org/art/collection/search/54888")</f>
        <v>http://www.metmuseum.org/art/collection/search/54888</v>
      </c>
      <c r="CQ151" s="4">
        <v>42842.333402777775</v>
      </c>
      <c r="CR151" s="1" t="s">
        <v>97</v>
      </c>
    </row>
    <row r="152" spans="1:96" ht="52.5" customHeight="1" x14ac:dyDescent="0.2">
      <c r="A152" s="1" t="s">
        <v>860</v>
      </c>
      <c r="B152" s="1" t="b">
        <v>0</v>
      </c>
      <c r="C152" s="1" t="b">
        <v>1</v>
      </c>
      <c r="D152" s="1">
        <v>54889</v>
      </c>
      <c r="E152" s="1" t="s">
        <v>85</v>
      </c>
      <c r="F152" s="1" t="s">
        <v>99</v>
      </c>
      <c r="G152" s="1" t="s">
        <v>861</v>
      </c>
      <c r="H152" s="1" t="s">
        <v>862</v>
      </c>
      <c r="I152" s="1" t="s">
        <v>863</v>
      </c>
      <c r="J152" s="1" t="s">
        <v>864</v>
      </c>
      <c r="K152" s="1" t="s">
        <v>865</v>
      </c>
      <c r="L152" s="1" t="s">
        <v>116</v>
      </c>
      <c r="M152" s="1" t="s">
        <v>117</v>
      </c>
      <c r="N152" s="1" t="s">
        <v>87</v>
      </c>
      <c r="O152" s="1" t="s">
        <v>1798</v>
      </c>
      <c r="P152" s="1">
        <v>1615</v>
      </c>
      <c r="Q152" s="1">
        <v>1868</v>
      </c>
      <c r="U152" s="1" t="s">
        <v>88</v>
      </c>
      <c r="W152" s="1" t="s">
        <v>89</v>
      </c>
      <c r="X152" s="1" t="s">
        <v>1801</v>
      </c>
      <c r="Z152" s="1" t="s">
        <v>89</v>
      </c>
      <c r="AA152" s="1" t="s">
        <v>90</v>
      </c>
      <c r="AB152" s="1">
        <v>1760</v>
      </c>
      <c r="AC152" s="1">
        <v>1849</v>
      </c>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t="s">
        <v>131</v>
      </c>
      <c r="BG152" s="1">
        <v>1829</v>
      </c>
      <c r="BH152" s="1">
        <v>1849</v>
      </c>
      <c r="BI152" s="1">
        <v>1</v>
      </c>
      <c r="BJ152" s="1"/>
      <c r="BK152" s="1" t="s">
        <v>1760</v>
      </c>
      <c r="BL152" s="1" t="s">
        <v>1746</v>
      </c>
      <c r="BM152" s="1"/>
      <c r="BN152" s="1" t="s">
        <v>866</v>
      </c>
      <c r="BO152" s="12">
        <v>10.125</v>
      </c>
      <c r="BP152" s="12">
        <v>14.5</v>
      </c>
      <c r="BQ152" s="12"/>
      <c r="BR152" s="1">
        <v>25.7</v>
      </c>
      <c r="BS152" s="1">
        <v>36.799999999999997</v>
      </c>
      <c r="BT152" s="1"/>
      <c r="BU152" s="1"/>
      <c r="BV152" s="1" t="s">
        <v>797</v>
      </c>
      <c r="BW152" s="1" t="s">
        <v>386</v>
      </c>
      <c r="BX152" s="1"/>
      <c r="BY152" s="1">
        <v>1914</v>
      </c>
      <c r="BZ152" s="1"/>
      <c r="CA152" s="1" t="s">
        <v>798</v>
      </c>
      <c r="CB152" s="1"/>
      <c r="CN152" s="1" t="s">
        <v>96</v>
      </c>
      <c r="CP152" s="8" t="str">
        <f>HYPERLINK("http://www.metmuseum.org/art/collection/search/54889","http://www.metmuseum.org/art/collection/search/54889")</f>
        <v>http://www.metmuseum.org/art/collection/search/54889</v>
      </c>
      <c r="CQ152" s="4">
        <v>42842.333402777775</v>
      </c>
      <c r="CR152" s="1" t="s">
        <v>97</v>
      </c>
    </row>
    <row r="153" spans="1:96" ht="52.5" customHeight="1" x14ac:dyDescent="0.2">
      <c r="A153" s="1" t="s">
        <v>867</v>
      </c>
      <c r="B153" s="1" t="b">
        <v>0</v>
      </c>
      <c r="C153" s="1" t="b">
        <v>1</v>
      </c>
      <c r="D153" s="1">
        <v>54890</v>
      </c>
      <c r="E153" s="1" t="s">
        <v>85</v>
      </c>
      <c r="F153" s="1" t="s">
        <v>86</v>
      </c>
      <c r="N153" s="1" t="s">
        <v>87</v>
      </c>
      <c r="O153" s="1" t="s">
        <v>1798</v>
      </c>
      <c r="P153" s="1">
        <v>1615</v>
      </c>
      <c r="Q153" s="1">
        <v>1868</v>
      </c>
      <c r="U153" s="1" t="s">
        <v>88</v>
      </c>
      <c r="W153" s="1" t="s">
        <v>89</v>
      </c>
      <c r="X153" s="1" t="s">
        <v>1801</v>
      </c>
      <c r="Z153" s="1" t="s">
        <v>89</v>
      </c>
      <c r="AA153" s="1" t="s">
        <v>90</v>
      </c>
      <c r="AB153" s="1">
        <v>1760</v>
      </c>
      <c r="AC153" s="1">
        <v>1849</v>
      </c>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G153" s="1">
        <v>1760</v>
      </c>
      <c r="BH153" s="1">
        <v>1849</v>
      </c>
      <c r="BI153" s="1">
        <v>1</v>
      </c>
      <c r="BJ153" s="1"/>
      <c r="BK153" s="1" t="s">
        <v>1760</v>
      </c>
      <c r="BL153" s="1" t="s">
        <v>1746</v>
      </c>
      <c r="BM153" s="1"/>
      <c r="BN153" s="1" t="s">
        <v>644</v>
      </c>
      <c r="BO153" s="12">
        <v>9.75</v>
      </c>
      <c r="BP153" s="12">
        <v>14.5</v>
      </c>
      <c r="BQ153" s="12"/>
      <c r="BR153" s="1">
        <v>24.8</v>
      </c>
      <c r="BS153" s="1">
        <v>36.799999999999997</v>
      </c>
      <c r="BT153" s="1"/>
      <c r="BU153" s="1"/>
      <c r="BV153" s="1" t="s">
        <v>797</v>
      </c>
      <c r="BW153" s="1" t="s">
        <v>386</v>
      </c>
      <c r="BX153" s="1"/>
      <c r="BY153" s="1">
        <v>1914</v>
      </c>
      <c r="BZ153" s="1"/>
      <c r="CA153" s="1" t="s">
        <v>798</v>
      </c>
      <c r="CB153" s="1"/>
      <c r="CN153" s="1" t="s">
        <v>96</v>
      </c>
      <c r="CP153" s="8" t="str">
        <f>HYPERLINK("http://www.metmuseum.org/art/collection/search/54890","http://www.metmuseum.org/art/collection/search/54890")</f>
        <v>http://www.metmuseum.org/art/collection/search/54890</v>
      </c>
      <c r="CQ153" s="4">
        <v>42842.333402777775</v>
      </c>
      <c r="CR153" s="1" t="s">
        <v>97</v>
      </c>
    </row>
    <row r="154" spans="1:96" ht="52.5" customHeight="1" x14ac:dyDescent="0.2">
      <c r="A154" s="1" t="s">
        <v>868</v>
      </c>
      <c r="B154" s="1" t="b">
        <v>0</v>
      </c>
      <c r="C154" s="1" t="b">
        <v>1</v>
      </c>
      <c r="D154" s="1">
        <v>54925</v>
      </c>
      <c r="E154" s="1" t="s">
        <v>85</v>
      </c>
      <c r="F154" s="1" t="s">
        <v>86</v>
      </c>
      <c r="G154" s="1" t="s">
        <v>869</v>
      </c>
      <c r="H154" s="1" t="s">
        <v>870</v>
      </c>
      <c r="I154" s="1"/>
      <c r="J154" s="1" t="s">
        <v>871</v>
      </c>
      <c r="K154" s="1"/>
      <c r="L154" s="1"/>
      <c r="M154" s="1"/>
      <c r="N154" s="1" t="s">
        <v>87</v>
      </c>
      <c r="O154" s="1" t="s">
        <v>1798</v>
      </c>
      <c r="P154" s="1">
        <v>1615</v>
      </c>
      <c r="Q154" s="1">
        <v>1868</v>
      </c>
      <c r="U154" s="1" t="s">
        <v>88</v>
      </c>
      <c r="W154" s="1" t="s">
        <v>89</v>
      </c>
      <c r="X154" s="1" t="s">
        <v>1801</v>
      </c>
      <c r="Z154" s="1" t="s">
        <v>89</v>
      </c>
      <c r="AA154" s="1" t="s">
        <v>90</v>
      </c>
      <c r="AB154" s="1">
        <v>1760</v>
      </c>
      <c r="AC154" s="1">
        <v>1849</v>
      </c>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t="s">
        <v>872</v>
      </c>
      <c r="BG154" s="1">
        <v>1815</v>
      </c>
      <c r="BH154" s="1">
        <v>1835</v>
      </c>
      <c r="BI154" s="1">
        <v>1</v>
      </c>
      <c r="BJ154" s="1"/>
      <c r="BK154" s="1" t="s">
        <v>1760</v>
      </c>
      <c r="BL154" s="1" t="s">
        <v>1746</v>
      </c>
      <c r="BM154" s="1"/>
      <c r="BN154" s="1" t="s">
        <v>873</v>
      </c>
      <c r="BO154" s="12">
        <v>8.5</v>
      </c>
      <c r="BP154" s="11">
        <v>10.8125</v>
      </c>
      <c r="BQ154" s="11"/>
      <c r="BR154" s="1">
        <v>21.6</v>
      </c>
      <c r="BS154" s="1">
        <v>27.5</v>
      </c>
      <c r="BT154" s="1"/>
      <c r="BU154" s="1"/>
      <c r="BV154" s="1" t="s">
        <v>797</v>
      </c>
      <c r="BW154" s="1" t="s">
        <v>386</v>
      </c>
      <c r="BX154" s="1"/>
      <c r="BY154" s="1">
        <v>1914</v>
      </c>
      <c r="BZ154" s="1"/>
      <c r="CA154" s="1" t="s">
        <v>798</v>
      </c>
      <c r="CB154" s="1"/>
      <c r="CN154" s="1" t="s">
        <v>96</v>
      </c>
      <c r="CP154" s="8" t="str">
        <f>HYPERLINK("http://www.metmuseum.org/art/collection/search/54925","http://www.metmuseum.org/art/collection/search/54925")</f>
        <v>http://www.metmuseum.org/art/collection/search/54925</v>
      </c>
      <c r="CQ154" s="4">
        <v>42842.333402777775</v>
      </c>
      <c r="CR154" s="1" t="s">
        <v>97</v>
      </c>
    </row>
    <row r="155" spans="1:96" ht="52.5" customHeight="1" x14ac:dyDescent="0.2">
      <c r="A155" s="1" t="s">
        <v>874</v>
      </c>
      <c r="B155" s="1" t="b">
        <v>0</v>
      </c>
      <c r="C155" s="1" t="b">
        <v>1</v>
      </c>
      <c r="D155" s="1">
        <v>54953</v>
      </c>
      <c r="E155" s="1" t="s">
        <v>85</v>
      </c>
      <c r="F155" s="1" t="s">
        <v>554</v>
      </c>
      <c r="N155" s="1" t="s">
        <v>87</v>
      </c>
      <c r="O155" s="1" t="s">
        <v>1798</v>
      </c>
      <c r="P155" s="1">
        <v>1615</v>
      </c>
      <c r="Q155" s="1">
        <v>1868</v>
      </c>
      <c r="U155" s="1" t="s">
        <v>88</v>
      </c>
      <c r="V155" s="1" t="s">
        <v>530</v>
      </c>
      <c r="W155" s="1" t="s">
        <v>89</v>
      </c>
      <c r="X155" s="1" t="s">
        <v>1801</v>
      </c>
      <c r="Z155" s="1" t="s">
        <v>89</v>
      </c>
      <c r="AA155" s="1" t="s">
        <v>90</v>
      </c>
      <c r="AB155" s="1">
        <v>1760</v>
      </c>
      <c r="AC155" s="1">
        <v>1849</v>
      </c>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G155" s="1">
        <v>1760</v>
      </c>
      <c r="BH155" s="1">
        <v>1849</v>
      </c>
      <c r="BI155" s="1">
        <v>1</v>
      </c>
      <c r="BJ155" s="1"/>
      <c r="BK155" s="6" t="s">
        <v>554</v>
      </c>
      <c r="BL155" s="1" t="s">
        <v>1746</v>
      </c>
      <c r="BM155" s="1"/>
      <c r="BN155" s="1" t="s">
        <v>875</v>
      </c>
      <c r="BO155" s="12">
        <v>23.875</v>
      </c>
      <c r="BP155" s="12">
        <v>15.75</v>
      </c>
      <c r="BQ155" s="12"/>
      <c r="BR155" s="1">
        <v>60.6</v>
      </c>
      <c r="BS155" s="1">
        <v>40</v>
      </c>
      <c r="BT155" s="1"/>
      <c r="BU155" s="1"/>
      <c r="BV155" s="1" t="s">
        <v>447</v>
      </c>
      <c r="BW155" s="1" t="s">
        <v>346</v>
      </c>
      <c r="BX155" s="1"/>
      <c r="BY155" s="1">
        <v>1929</v>
      </c>
      <c r="BZ155" s="1"/>
      <c r="CA155" s="1" t="s">
        <v>449</v>
      </c>
      <c r="CB155" s="1"/>
      <c r="CN155" s="1" t="s">
        <v>390</v>
      </c>
      <c r="CP155" s="8" t="str">
        <f>HYPERLINK("http://www.metmuseum.org/art/collection/search/54953","http://www.metmuseum.org/art/collection/search/54953")</f>
        <v>http://www.metmuseum.org/art/collection/search/54953</v>
      </c>
      <c r="CQ155" s="4">
        <v>42842.333402777775</v>
      </c>
      <c r="CR155" s="1" t="s">
        <v>97</v>
      </c>
    </row>
    <row r="156" spans="1:96" ht="52.5" customHeight="1" x14ac:dyDescent="0.2">
      <c r="A156" s="1" t="s">
        <v>876</v>
      </c>
      <c r="B156" s="1" t="b">
        <v>0</v>
      </c>
      <c r="C156" s="1" t="b">
        <v>1</v>
      </c>
      <c r="D156" s="1">
        <v>55011</v>
      </c>
      <c r="E156" s="1" t="s">
        <v>85</v>
      </c>
      <c r="F156" s="1" t="s">
        <v>86</v>
      </c>
      <c r="N156" s="1" t="s">
        <v>87</v>
      </c>
      <c r="O156" s="1" t="s">
        <v>1798</v>
      </c>
      <c r="P156" s="1">
        <v>1615</v>
      </c>
      <c r="Q156" s="1">
        <v>1868</v>
      </c>
      <c r="U156" s="1" t="s">
        <v>88</v>
      </c>
      <c r="W156" s="1" t="s">
        <v>89</v>
      </c>
      <c r="X156" s="1" t="s">
        <v>1801</v>
      </c>
      <c r="Z156" s="1" t="s">
        <v>89</v>
      </c>
      <c r="AA156" s="1" t="s">
        <v>90</v>
      </c>
      <c r="AB156" s="1">
        <v>1760</v>
      </c>
      <c r="AC156" s="1">
        <v>1849</v>
      </c>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G156" s="1">
        <v>1760</v>
      </c>
      <c r="BH156" s="1">
        <v>1849</v>
      </c>
      <c r="BI156" s="1">
        <v>1</v>
      </c>
      <c r="BJ156" s="6" t="s">
        <v>1757</v>
      </c>
      <c r="BK156" s="1" t="s">
        <v>1760</v>
      </c>
      <c r="BL156" s="1" t="s">
        <v>1746</v>
      </c>
      <c r="BM156" s="1"/>
      <c r="BN156" s="1" t="s">
        <v>877</v>
      </c>
      <c r="BO156" s="12">
        <v>7.5</v>
      </c>
      <c r="BP156" s="12">
        <v>10.375</v>
      </c>
      <c r="BQ156" s="12"/>
      <c r="BR156" s="1">
        <v>19.100000000000001</v>
      </c>
      <c r="BS156" s="1">
        <v>26.4</v>
      </c>
      <c r="BT156" s="1"/>
      <c r="BU156" s="1"/>
      <c r="BV156" s="1" t="s">
        <v>447</v>
      </c>
      <c r="BW156" s="1" t="s">
        <v>346</v>
      </c>
      <c r="BX156" s="1"/>
      <c r="BY156" s="1">
        <v>1929</v>
      </c>
      <c r="BZ156" s="1" t="s">
        <v>448</v>
      </c>
      <c r="CA156" s="1" t="s">
        <v>449</v>
      </c>
      <c r="CB156" s="1"/>
      <c r="CN156" s="1" t="s">
        <v>96</v>
      </c>
      <c r="CP156" s="8" t="str">
        <f>HYPERLINK("http://www.metmuseum.org/art/collection/search/55011","http://www.metmuseum.org/art/collection/search/55011")</f>
        <v>http://www.metmuseum.org/art/collection/search/55011</v>
      </c>
      <c r="CQ156" s="4">
        <v>42842.333402777775</v>
      </c>
      <c r="CR156" s="1" t="s">
        <v>97</v>
      </c>
    </row>
    <row r="157" spans="1:96" ht="66" customHeight="1" x14ac:dyDescent="0.2">
      <c r="A157" s="1" t="s">
        <v>878</v>
      </c>
      <c r="B157" s="1" t="b">
        <v>0</v>
      </c>
      <c r="C157" s="1" t="b">
        <v>1</v>
      </c>
      <c r="D157" s="1">
        <v>55019</v>
      </c>
      <c r="E157" s="1" t="s">
        <v>85</v>
      </c>
      <c r="F157" s="1" t="s">
        <v>99</v>
      </c>
      <c r="G157" s="1" t="s">
        <v>879</v>
      </c>
      <c r="H157" s="1" t="s">
        <v>880</v>
      </c>
      <c r="I157" s="1" t="s">
        <v>881</v>
      </c>
      <c r="J157" s="1" t="s">
        <v>882</v>
      </c>
      <c r="K157" s="1" t="s">
        <v>432</v>
      </c>
      <c r="L157" s="1" t="s">
        <v>105</v>
      </c>
      <c r="M157" s="1" t="s">
        <v>433</v>
      </c>
      <c r="N157" s="1" t="s">
        <v>87</v>
      </c>
      <c r="O157" s="1" t="s">
        <v>1798</v>
      </c>
      <c r="P157" s="1">
        <v>1615</v>
      </c>
      <c r="Q157" s="1">
        <v>1868</v>
      </c>
      <c r="U157" s="1" t="s">
        <v>88</v>
      </c>
      <c r="W157" s="1" t="s">
        <v>89</v>
      </c>
      <c r="X157" s="1" t="s">
        <v>1801</v>
      </c>
      <c r="Z157" s="1" t="s">
        <v>89</v>
      </c>
      <c r="AA157" s="1" t="s">
        <v>90</v>
      </c>
      <c r="AB157" s="1">
        <v>1760</v>
      </c>
      <c r="AC157" s="1">
        <v>1849</v>
      </c>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t="s">
        <v>404</v>
      </c>
      <c r="BG157" s="1">
        <v>1822</v>
      </c>
      <c r="BH157" s="1">
        <v>1842</v>
      </c>
      <c r="BI157" s="1">
        <v>1</v>
      </c>
      <c r="BJ157" s="1"/>
      <c r="BK157" s="1" t="s">
        <v>1760</v>
      </c>
      <c r="BL157" s="1" t="s">
        <v>1746</v>
      </c>
      <c r="BM157" s="1"/>
      <c r="BN157" s="1" t="s">
        <v>883</v>
      </c>
      <c r="BO157" s="12">
        <v>14.75</v>
      </c>
      <c r="BP157" s="12">
        <v>10.25</v>
      </c>
      <c r="BQ157" s="12"/>
      <c r="BR157" s="1">
        <v>37.5</v>
      </c>
      <c r="BS157" s="1">
        <v>26</v>
      </c>
      <c r="BT157" s="1"/>
      <c r="BU157" s="1" t="s">
        <v>884</v>
      </c>
      <c r="BV157" s="1" t="s">
        <v>885</v>
      </c>
      <c r="BW157" s="1"/>
      <c r="BX157" s="1"/>
      <c r="BY157" s="1"/>
      <c r="BZ157" s="1"/>
      <c r="CA157" s="1"/>
      <c r="CB157" s="1"/>
      <c r="CN157" s="1" t="s">
        <v>96</v>
      </c>
      <c r="CP157" s="8" t="str">
        <f>HYPERLINK("http://www.metmuseum.org/art/collection/search/55019","http://www.metmuseum.org/art/collection/search/55019")</f>
        <v>http://www.metmuseum.org/art/collection/search/55019</v>
      </c>
      <c r="CQ157" s="4">
        <v>42842.333402777775</v>
      </c>
      <c r="CR157" s="1" t="s">
        <v>97</v>
      </c>
    </row>
    <row r="158" spans="1:96" ht="52.5" customHeight="1" x14ac:dyDescent="0.2">
      <c r="A158" s="1" t="s">
        <v>886</v>
      </c>
      <c r="B158" s="1" t="b">
        <v>0</v>
      </c>
      <c r="C158" s="1" t="b">
        <v>1</v>
      </c>
      <c r="D158" s="1">
        <v>55020</v>
      </c>
      <c r="E158" s="1" t="s">
        <v>85</v>
      </c>
      <c r="F158" s="1" t="s">
        <v>99</v>
      </c>
      <c r="G158" s="1" t="s">
        <v>887</v>
      </c>
      <c r="H158" s="1" t="s">
        <v>888</v>
      </c>
      <c r="I158" s="1" t="s">
        <v>889</v>
      </c>
      <c r="J158" s="1" t="s">
        <v>890</v>
      </c>
      <c r="K158" s="1" t="s">
        <v>432</v>
      </c>
      <c r="L158" s="1" t="s">
        <v>105</v>
      </c>
      <c r="M158" s="1" t="s">
        <v>433</v>
      </c>
      <c r="N158" s="1" t="s">
        <v>87</v>
      </c>
      <c r="O158" s="1" t="s">
        <v>1798</v>
      </c>
      <c r="P158" s="1">
        <v>1615</v>
      </c>
      <c r="Q158" s="1">
        <v>1868</v>
      </c>
      <c r="U158" s="1" t="s">
        <v>88</v>
      </c>
      <c r="W158" s="1" t="s">
        <v>89</v>
      </c>
      <c r="X158" s="1" t="s">
        <v>1801</v>
      </c>
      <c r="Z158" s="1" t="s">
        <v>89</v>
      </c>
      <c r="AA158" s="1" t="s">
        <v>90</v>
      </c>
      <c r="AB158" s="1">
        <v>1760</v>
      </c>
      <c r="AC158" s="1">
        <v>1849</v>
      </c>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t="s">
        <v>404</v>
      </c>
      <c r="BG158" s="1">
        <v>1822</v>
      </c>
      <c r="BH158" s="1">
        <v>1842</v>
      </c>
      <c r="BI158" s="1">
        <v>1</v>
      </c>
      <c r="BJ158" s="1"/>
      <c r="BK158" s="1" t="s">
        <v>1760</v>
      </c>
      <c r="BL158" s="1" t="s">
        <v>1746</v>
      </c>
      <c r="BM158" s="1"/>
      <c r="BN158" s="1" t="s">
        <v>891</v>
      </c>
      <c r="BO158" s="12">
        <v>14.875</v>
      </c>
      <c r="BP158" s="11">
        <v>10.3125</v>
      </c>
      <c r="BQ158" s="11"/>
      <c r="BR158" s="1">
        <v>37.799999999999997</v>
      </c>
      <c r="BS158" s="1">
        <v>26.2</v>
      </c>
      <c r="BT158" s="1"/>
      <c r="BU158" s="1"/>
      <c r="BV158" s="1" t="s">
        <v>885</v>
      </c>
      <c r="BW158" s="1"/>
      <c r="BX158" s="1"/>
      <c r="BY158" s="1"/>
      <c r="BZ158" s="1"/>
      <c r="CA158" s="1"/>
      <c r="CB158" s="1"/>
      <c r="CN158" s="1" t="s">
        <v>96</v>
      </c>
      <c r="CP158" s="8" t="str">
        <f>HYPERLINK("http://www.metmuseum.org/art/collection/search/55020","http://www.metmuseum.org/art/collection/search/55020")</f>
        <v>http://www.metmuseum.org/art/collection/search/55020</v>
      </c>
      <c r="CQ158" s="4">
        <v>42842.333402777775</v>
      </c>
      <c r="CR158" s="1" t="s">
        <v>97</v>
      </c>
    </row>
    <row r="159" spans="1:96" ht="66" customHeight="1" x14ac:dyDescent="0.2">
      <c r="A159" s="1" t="s">
        <v>892</v>
      </c>
      <c r="B159" s="1" t="b">
        <v>0</v>
      </c>
      <c r="C159" s="1" t="b">
        <v>1</v>
      </c>
      <c r="D159" s="1">
        <v>55021</v>
      </c>
      <c r="E159" s="1" t="s">
        <v>85</v>
      </c>
      <c r="F159" s="1" t="s">
        <v>99</v>
      </c>
      <c r="G159" s="1" t="s">
        <v>893</v>
      </c>
      <c r="H159" s="1" t="s">
        <v>894</v>
      </c>
      <c r="I159" s="1" t="s">
        <v>895</v>
      </c>
      <c r="J159" s="1" t="s">
        <v>896</v>
      </c>
      <c r="K159" s="1" t="s">
        <v>432</v>
      </c>
      <c r="L159" s="1" t="s">
        <v>105</v>
      </c>
      <c r="M159" s="1" t="s">
        <v>433</v>
      </c>
      <c r="N159" s="1" t="s">
        <v>87</v>
      </c>
      <c r="O159" s="6" t="s">
        <v>1798</v>
      </c>
      <c r="P159" s="1">
        <v>1615</v>
      </c>
      <c r="Q159" s="1">
        <v>1868</v>
      </c>
      <c r="U159" s="1" t="s">
        <v>88</v>
      </c>
      <c r="W159" s="1" t="s">
        <v>89</v>
      </c>
      <c r="X159" s="1" t="s">
        <v>1801</v>
      </c>
      <c r="Z159" s="1" t="s">
        <v>89</v>
      </c>
      <c r="AA159" s="1" t="s">
        <v>90</v>
      </c>
      <c r="AB159" s="1">
        <v>1760</v>
      </c>
      <c r="AC159" s="1">
        <v>1849</v>
      </c>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t="s">
        <v>404</v>
      </c>
      <c r="BG159" s="1">
        <v>1822</v>
      </c>
      <c r="BH159" s="1">
        <v>1842</v>
      </c>
      <c r="BI159" s="1">
        <v>1</v>
      </c>
      <c r="BJ159" s="1"/>
      <c r="BK159" s="1" t="s">
        <v>1760</v>
      </c>
      <c r="BL159" s="1" t="s">
        <v>1746</v>
      </c>
      <c r="BM159" s="1"/>
      <c r="BN159" s="1" t="s">
        <v>897</v>
      </c>
      <c r="BO159" s="12">
        <v>14.625</v>
      </c>
      <c r="BP159" s="11">
        <v>10.1875</v>
      </c>
      <c r="BQ159" s="11"/>
      <c r="BR159" s="1">
        <v>37.1</v>
      </c>
      <c r="BS159" s="1">
        <v>25.9</v>
      </c>
      <c r="BT159" s="1"/>
      <c r="BU159" s="1"/>
      <c r="BV159" s="1" t="s">
        <v>885</v>
      </c>
      <c r="BW159" s="1"/>
      <c r="BX159" s="1"/>
      <c r="BY159" s="1"/>
      <c r="BZ159" s="1"/>
      <c r="CA159" s="1"/>
      <c r="CB159" s="1"/>
      <c r="CN159" s="1" t="s">
        <v>96</v>
      </c>
      <c r="CP159" s="8" t="str">
        <f>HYPERLINK("http://www.metmuseum.org/art/collection/search/55021","http://www.metmuseum.org/art/collection/search/55021")</f>
        <v>http://www.metmuseum.org/art/collection/search/55021</v>
      </c>
      <c r="CQ159" s="4">
        <v>42842.333402777775</v>
      </c>
      <c r="CR159" s="1" t="s">
        <v>97</v>
      </c>
    </row>
    <row r="160" spans="1:96" ht="52.5" customHeight="1" x14ac:dyDescent="0.2">
      <c r="A160" s="1" t="s">
        <v>898</v>
      </c>
      <c r="B160" s="1" t="b">
        <v>0</v>
      </c>
      <c r="C160" s="1" t="b">
        <v>1</v>
      </c>
      <c r="D160" s="1">
        <v>55022</v>
      </c>
      <c r="E160" s="1" t="s">
        <v>85</v>
      </c>
      <c r="F160" s="1" t="s">
        <v>99</v>
      </c>
      <c r="G160" s="1" t="s">
        <v>899</v>
      </c>
      <c r="H160" s="1" t="s">
        <v>900</v>
      </c>
      <c r="I160" s="1" t="s">
        <v>901</v>
      </c>
      <c r="J160" s="1" t="s">
        <v>902</v>
      </c>
      <c r="K160" s="1" t="s">
        <v>432</v>
      </c>
      <c r="L160" s="1" t="s">
        <v>105</v>
      </c>
      <c r="M160" s="1" t="s">
        <v>433</v>
      </c>
      <c r="N160" s="1" t="s">
        <v>87</v>
      </c>
      <c r="O160" s="1" t="s">
        <v>1798</v>
      </c>
      <c r="P160" s="1">
        <v>1615</v>
      </c>
      <c r="Q160" s="1">
        <v>1868</v>
      </c>
      <c r="U160" s="1" t="s">
        <v>88</v>
      </c>
      <c r="W160" s="1" t="s">
        <v>89</v>
      </c>
      <c r="X160" s="1" t="s">
        <v>1801</v>
      </c>
      <c r="Z160" s="1" t="s">
        <v>89</v>
      </c>
      <c r="AA160" s="1" t="s">
        <v>90</v>
      </c>
      <c r="AB160" s="1">
        <v>1760</v>
      </c>
      <c r="AC160" s="1">
        <v>1849</v>
      </c>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t="s">
        <v>107</v>
      </c>
      <c r="BG160" s="1">
        <v>1817</v>
      </c>
      <c r="BH160" s="1">
        <v>1837</v>
      </c>
      <c r="BI160" s="1">
        <v>1</v>
      </c>
      <c r="BJ160" s="1"/>
      <c r="BK160" s="1" t="s">
        <v>1760</v>
      </c>
      <c r="BL160" s="1" t="s">
        <v>1746</v>
      </c>
      <c r="BM160" s="1"/>
      <c r="BN160" s="1" t="s">
        <v>903</v>
      </c>
      <c r="BO160" s="12">
        <v>14.5</v>
      </c>
      <c r="BP160" s="1">
        <v>10</v>
      </c>
      <c r="BQ160" s="1"/>
      <c r="BR160" s="1">
        <v>36.799999999999997</v>
      </c>
      <c r="BS160" s="1">
        <v>25.4</v>
      </c>
      <c r="BT160" s="1"/>
      <c r="BU160" s="1" t="s">
        <v>884</v>
      </c>
      <c r="BV160" s="1" t="s">
        <v>885</v>
      </c>
      <c r="BW160" s="1"/>
      <c r="BX160" s="1"/>
      <c r="BY160" s="1"/>
      <c r="BZ160" s="1"/>
      <c r="CA160" s="1"/>
      <c r="CB160" s="1"/>
      <c r="CN160" s="1" t="s">
        <v>96</v>
      </c>
      <c r="CP160" s="8" t="str">
        <f>HYPERLINK("http://www.metmuseum.org/art/collection/search/55022","http://www.metmuseum.org/art/collection/search/55022")</f>
        <v>http://www.metmuseum.org/art/collection/search/55022</v>
      </c>
      <c r="CQ160" s="4">
        <v>42842.333402777775</v>
      </c>
      <c r="CR160" s="1" t="s">
        <v>97</v>
      </c>
    </row>
    <row r="161" spans="1:96" ht="52.5" customHeight="1" x14ac:dyDescent="0.2">
      <c r="A161" s="1" t="s">
        <v>904</v>
      </c>
      <c r="B161" s="1" t="b">
        <v>0</v>
      </c>
      <c r="C161" s="1" t="b">
        <v>1</v>
      </c>
      <c r="D161" s="1">
        <v>55023</v>
      </c>
      <c r="E161" s="1" t="s">
        <v>85</v>
      </c>
      <c r="F161" s="1" t="s">
        <v>86</v>
      </c>
      <c r="G161" s="1" t="s">
        <v>905</v>
      </c>
      <c r="H161" s="1" t="s">
        <v>906</v>
      </c>
      <c r="I161" s="1"/>
      <c r="J161" s="1" t="s">
        <v>907</v>
      </c>
      <c r="K161" s="1"/>
      <c r="L161" s="1"/>
      <c r="M161" s="1"/>
      <c r="N161" s="1" t="s">
        <v>87</v>
      </c>
      <c r="O161" s="6" t="s">
        <v>1798</v>
      </c>
      <c r="P161" s="1">
        <v>1615</v>
      </c>
      <c r="Q161" s="1">
        <v>1868</v>
      </c>
      <c r="U161" s="1" t="s">
        <v>88</v>
      </c>
      <c r="W161" s="1" t="s">
        <v>89</v>
      </c>
      <c r="X161" s="1" t="s">
        <v>1801</v>
      </c>
      <c r="Z161" s="1" t="s">
        <v>89</v>
      </c>
      <c r="AA161" s="1" t="s">
        <v>90</v>
      </c>
      <c r="AB161" s="1">
        <v>1760</v>
      </c>
      <c r="AC161" s="1">
        <v>1849</v>
      </c>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t="s">
        <v>107</v>
      </c>
      <c r="BG161" s="1">
        <v>1817</v>
      </c>
      <c r="BH161" s="1">
        <v>1837</v>
      </c>
      <c r="BI161" s="1">
        <v>1</v>
      </c>
      <c r="BJ161" s="1"/>
      <c r="BK161" s="1" t="s">
        <v>1760</v>
      </c>
      <c r="BL161" s="1" t="s">
        <v>1746</v>
      </c>
      <c r="BM161" s="1"/>
      <c r="BN161" s="1" t="s">
        <v>908</v>
      </c>
      <c r="BO161" s="12">
        <v>14.75</v>
      </c>
      <c r="BP161" s="11">
        <v>10.1875</v>
      </c>
      <c r="BQ161" s="11"/>
      <c r="BR161" s="1">
        <v>37.5</v>
      </c>
      <c r="BS161" s="1">
        <v>25.9</v>
      </c>
      <c r="BT161" s="1"/>
      <c r="BU161" s="1"/>
      <c r="BV161" s="1" t="s">
        <v>885</v>
      </c>
      <c r="BW161" s="1"/>
      <c r="BX161" s="1"/>
      <c r="BY161" s="1"/>
      <c r="BZ161" s="1"/>
      <c r="CA161" s="1"/>
      <c r="CB161" s="1"/>
      <c r="CN161" s="1" t="s">
        <v>96</v>
      </c>
      <c r="CP161" s="8" t="str">
        <f>HYPERLINK("http://www.metmuseum.org/art/collection/search/55023","http://www.metmuseum.org/art/collection/search/55023")</f>
        <v>http://www.metmuseum.org/art/collection/search/55023</v>
      </c>
      <c r="CQ161" s="4">
        <v>42842.333402777775</v>
      </c>
      <c r="CR161" s="1" t="s">
        <v>97</v>
      </c>
    </row>
    <row r="162" spans="1:96" ht="52.5" customHeight="1" x14ac:dyDescent="0.2">
      <c r="A162" s="1" t="s">
        <v>909</v>
      </c>
      <c r="B162" s="1" t="b">
        <v>0</v>
      </c>
      <c r="C162" s="1" t="b">
        <v>1</v>
      </c>
      <c r="D162" s="1">
        <v>55024</v>
      </c>
      <c r="E162" s="1" t="s">
        <v>85</v>
      </c>
      <c r="F162" s="1" t="s">
        <v>99</v>
      </c>
      <c r="G162" s="1" t="s">
        <v>100</v>
      </c>
      <c r="H162" s="1" t="s">
        <v>101</v>
      </c>
      <c r="I162" s="1" t="s">
        <v>102</v>
      </c>
      <c r="J162" s="1" t="s">
        <v>103</v>
      </c>
      <c r="K162" s="1" t="s">
        <v>432</v>
      </c>
      <c r="L162" s="1" t="s">
        <v>105</v>
      </c>
      <c r="M162" s="1" t="s">
        <v>433</v>
      </c>
      <c r="N162" s="1" t="s">
        <v>87</v>
      </c>
      <c r="O162" s="1" t="s">
        <v>1798</v>
      </c>
      <c r="P162" s="1">
        <v>1615</v>
      </c>
      <c r="Q162" s="1">
        <v>1868</v>
      </c>
      <c r="U162" s="1" t="s">
        <v>88</v>
      </c>
      <c r="W162" s="1" t="s">
        <v>89</v>
      </c>
      <c r="X162" s="1" t="s">
        <v>1801</v>
      </c>
      <c r="Z162" s="1" t="s">
        <v>89</v>
      </c>
      <c r="AA162" s="1" t="s">
        <v>90</v>
      </c>
      <c r="AB162" s="1">
        <v>1760</v>
      </c>
      <c r="AC162" s="1">
        <v>1849</v>
      </c>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t="s">
        <v>107</v>
      </c>
      <c r="BG162" s="1">
        <v>1817</v>
      </c>
      <c r="BH162" s="1">
        <v>1837</v>
      </c>
      <c r="BI162" s="1">
        <v>1</v>
      </c>
      <c r="BJ162" s="1"/>
      <c r="BK162" s="1" t="s">
        <v>1760</v>
      </c>
      <c r="BL162" s="1" t="s">
        <v>1746</v>
      </c>
      <c r="BM162" s="1"/>
      <c r="BN162" s="1" t="s">
        <v>910</v>
      </c>
      <c r="BO162" s="12">
        <v>14.375</v>
      </c>
      <c r="BP162" s="12">
        <v>10.125</v>
      </c>
      <c r="BQ162" s="12"/>
      <c r="BR162" s="1">
        <v>36.5</v>
      </c>
      <c r="BS162" s="1">
        <v>25.7</v>
      </c>
      <c r="BT162" s="1"/>
      <c r="BU162" s="1"/>
      <c r="BV162" s="1" t="s">
        <v>885</v>
      </c>
      <c r="BW162" s="1"/>
      <c r="BX162" s="1"/>
      <c r="BY162" s="1"/>
      <c r="BZ162" s="1"/>
      <c r="CA162" s="1"/>
      <c r="CB162" s="1"/>
      <c r="CN162" s="1" t="s">
        <v>96</v>
      </c>
      <c r="CP162" s="8" t="str">
        <f>HYPERLINK("http://www.metmuseum.org/art/collection/search/55024","http://www.metmuseum.org/art/collection/search/55024")</f>
        <v>http://www.metmuseum.org/art/collection/search/55024</v>
      </c>
      <c r="CQ162" s="4">
        <v>42842.333402777775</v>
      </c>
      <c r="CR162" s="1" t="s">
        <v>97</v>
      </c>
    </row>
    <row r="163" spans="1:96" ht="52.5" customHeight="1" x14ac:dyDescent="0.2">
      <c r="A163" s="1" t="s">
        <v>911</v>
      </c>
      <c r="B163" s="1" t="b">
        <v>0</v>
      </c>
      <c r="C163" s="1" t="b">
        <v>1</v>
      </c>
      <c r="D163" s="1">
        <v>55025</v>
      </c>
      <c r="E163" s="1" t="s">
        <v>85</v>
      </c>
      <c r="F163" s="1" t="s">
        <v>99</v>
      </c>
      <c r="G163" s="1" t="s">
        <v>912</v>
      </c>
      <c r="H163" s="1" t="s">
        <v>913</v>
      </c>
      <c r="I163" s="1" t="s">
        <v>914</v>
      </c>
      <c r="J163" s="1" t="s">
        <v>915</v>
      </c>
      <c r="K163" s="1" t="s">
        <v>432</v>
      </c>
      <c r="L163" s="1" t="s">
        <v>105</v>
      </c>
      <c r="M163" s="1" t="s">
        <v>433</v>
      </c>
      <c r="N163" s="1" t="s">
        <v>87</v>
      </c>
      <c r="O163" s="1" t="s">
        <v>1798</v>
      </c>
      <c r="P163" s="1">
        <v>1615</v>
      </c>
      <c r="Q163" s="1">
        <v>1868</v>
      </c>
      <c r="U163" s="1" t="s">
        <v>88</v>
      </c>
      <c r="W163" s="1" t="s">
        <v>89</v>
      </c>
      <c r="X163" s="1" t="s">
        <v>1801</v>
      </c>
      <c r="Z163" s="1" t="s">
        <v>89</v>
      </c>
      <c r="AA163" s="1" t="s">
        <v>90</v>
      </c>
      <c r="AB163" s="1">
        <v>1760</v>
      </c>
      <c r="AC163" s="1">
        <v>1849</v>
      </c>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t="s">
        <v>107</v>
      </c>
      <c r="BG163" s="1">
        <v>1817</v>
      </c>
      <c r="BH163" s="1">
        <v>1837</v>
      </c>
      <c r="BI163" s="1">
        <v>1</v>
      </c>
      <c r="BJ163" s="1"/>
      <c r="BK163" s="1" t="s">
        <v>1760</v>
      </c>
      <c r="BL163" s="1" t="s">
        <v>1746</v>
      </c>
      <c r="BM163" s="1"/>
      <c r="BN163" s="1" t="s">
        <v>916</v>
      </c>
      <c r="BO163" s="11">
        <v>14.4375</v>
      </c>
      <c r="BP163" s="11">
        <v>10.1875</v>
      </c>
      <c r="BQ163" s="11"/>
      <c r="BR163" s="1">
        <v>36.700000000000003</v>
      </c>
      <c r="BS163" s="1">
        <v>25.9</v>
      </c>
      <c r="BT163" s="1"/>
      <c r="BU163" s="1"/>
      <c r="BV163" s="1" t="s">
        <v>885</v>
      </c>
      <c r="BW163" s="1"/>
      <c r="BX163" s="1"/>
      <c r="BY163" s="1"/>
      <c r="BZ163" s="1"/>
      <c r="CA163" s="1"/>
      <c r="CB163" s="1"/>
      <c r="CN163" s="1" t="s">
        <v>96</v>
      </c>
      <c r="CP163" s="8" t="str">
        <f>HYPERLINK("http://www.metmuseum.org/art/collection/search/55025","http://www.metmuseum.org/art/collection/search/55025")</f>
        <v>http://www.metmuseum.org/art/collection/search/55025</v>
      </c>
      <c r="CQ163" s="4">
        <v>42842.333402777775</v>
      </c>
      <c r="CR163" s="1" t="s">
        <v>97</v>
      </c>
    </row>
    <row r="164" spans="1:96" ht="52.5" customHeight="1" x14ac:dyDescent="0.2">
      <c r="A164" s="1" t="s">
        <v>917</v>
      </c>
      <c r="B164" s="1" t="b">
        <v>0</v>
      </c>
      <c r="C164" s="1" t="b">
        <v>1</v>
      </c>
      <c r="D164" s="1">
        <v>55039</v>
      </c>
      <c r="E164" s="1" t="s">
        <v>85</v>
      </c>
      <c r="F164" s="1" t="s">
        <v>86</v>
      </c>
      <c r="N164" s="1" t="s">
        <v>87</v>
      </c>
      <c r="O164" s="1" t="s">
        <v>1798</v>
      </c>
      <c r="P164" s="1">
        <v>1615</v>
      </c>
      <c r="Q164" s="1">
        <v>1868</v>
      </c>
      <c r="U164" s="1" t="s">
        <v>88</v>
      </c>
      <c r="W164" s="1" t="s">
        <v>89</v>
      </c>
      <c r="X164" s="1" t="s">
        <v>1801</v>
      </c>
      <c r="Z164" s="1" t="s">
        <v>89</v>
      </c>
      <c r="AA164" s="1" t="s">
        <v>90</v>
      </c>
      <c r="AB164" s="1">
        <v>1760</v>
      </c>
      <c r="AC164" s="1">
        <v>1849</v>
      </c>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t="s">
        <v>872</v>
      </c>
      <c r="BG164" s="1">
        <v>1815</v>
      </c>
      <c r="BH164" s="1">
        <v>1835</v>
      </c>
      <c r="BI164" s="1">
        <v>1</v>
      </c>
      <c r="BJ164" s="1"/>
      <c r="BK164" s="1" t="s">
        <v>1760</v>
      </c>
      <c r="BL164" s="1" t="s">
        <v>1746</v>
      </c>
      <c r="BM164" s="1"/>
      <c r="BN164" s="1" t="s">
        <v>918</v>
      </c>
      <c r="BO164" s="12">
        <v>13.875</v>
      </c>
      <c r="BP164" s="11">
        <v>4.5625</v>
      </c>
      <c r="BQ164" s="11"/>
      <c r="BR164" s="1">
        <v>35.200000000000003</v>
      </c>
      <c r="BS164" s="1">
        <v>11.6</v>
      </c>
      <c r="BT164" s="1"/>
      <c r="BU164" s="1"/>
      <c r="BV164" s="1" t="s">
        <v>801</v>
      </c>
      <c r="BW164" s="1" t="s">
        <v>94</v>
      </c>
      <c r="BX164" s="1" t="s">
        <v>95</v>
      </c>
      <c r="BY164" s="1">
        <v>1919</v>
      </c>
      <c r="BZ164" s="1"/>
      <c r="CA164" s="1"/>
      <c r="CB164" s="1"/>
      <c r="CN164" s="1" t="s">
        <v>96</v>
      </c>
      <c r="CP164" s="8" t="str">
        <f>HYPERLINK("http://www.metmuseum.org/art/collection/search/55039","http://www.metmuseum.org/art/collection/search/55039")</f>
        <v>http://www.metmuseum.org/art/collection/search/55039</v>
      </c>
      <c r="CQ164" s="4">
        <v>42842.333402777775</v>
      </c>
      <c r="CR164" s="1" t="s">
        <v>97</v>
      </c>
    </row>
    <row r="165" spans="1:96" ht="52.5" customHeight="1" x14ac:dyDescent="0.2">
      <c r="A165" s="1" t="s">
        <v>919</v>
      </c>
      <c r="B165" s="1" t="b">
        <v>0</v>
      </c>
      <c r="C165" s="1" t="b">
        <v>1</v>
      </c>
      <c r="D165" s="1">
        <v>55091</v>
      </c>
      <c r="E165" s="1" t="s">
        <v>85</v>
      </c>
      <c r="F165" s="1" t="s">
        <v>86</v>
      </c>
      <c r="N165" s="1" t="s">
        <v>87</v>
      </c>
      <c r="O165" s="1" t="s">
        <v>1798</v>
      </c>
      <c r="P165" s="1">
        <v>1615</v>
      </c>
      <c r="Q165" s="1">
        <v>1868</v>
      </c>
      <c r="U165" s="1" t="s">
        <v>88</v>
      </c>
      <c r="W165" s="1" t="s">
        <v>89</v>
      </c>
      <c r="X165" s="1" t="s">
        <v>1801</v>
      </c>
      <c r="Z165" s="1" t="s">
        <v>89</v>
      </c>
      <c r="AA165" s="1" t="s">
        <v>90</v>
      </c>
      <c r="AB165" s="1">
        <v>1760</v>
      </c>
      <c r="AC165" s="1">
        <v>1849</v>
      </c>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G165" s="1">
        <v>1760</v>
      </c>
      <c r="BH165" s="1">
        <v>1849</v>
      </c>
      <c r="BI165" s="1">
        <v>1</v>
      </c>
      <c r="BJ165" s="6" t="s">
        <v>1757</v>
      </c>
      <c r="BK165" s="1" t="s">
        <v>1760</v>
      </c>
      <c r="BL165" s="1" t="s">
        <v>1746</v>
      </c>
      <c r="BM165" s="1"/>
      <c r="BN165" s="1" t="s">
        <v>920</v>
      </c>
      <c r="BO165" s="12">
        <v>7.5</v>
      </c>
      <c r="BP165" s="12">
        <v>21.25</v>
      </c>
      <c r="BQ165" s="12"/>
      <c r="BR165" s="1">
        <v>19.100000000000001</v>
      </c>
      <c r="BS165" s="1">
        <v>54</v>
      </c>
      <c r="BT165" s="1"/>
      <c r="BU165" s="1"/>
      <c r="BV165" s="1" t="s">
        <v>447</v>
      </c>
      <c r="BW165" s="1" t="s">
        <v>346</v>
      </c>
      <c r="BX165" s="1"/>
      <c r="BY165" s="1">
        <v>1929</v>
      </c>
      <c r="BZ165" s="1" t="s">
        <v>448</v>
      </c>
      <c r="CA165" s="1" t="s">
        <v>449</v>
      </c>
      <c r="CB165" s="1"/>
      <c r="CN165" s="1" t="s">
        <v>96</v>
      </c>
      <c r="CP165" s="8" t="str">
        <f>HYPERLINK("http://www.metmuseum.org/art/collection/search/55091","http://www.metmuseum.org/art/collection/search/55091")</f>
        <v>http://www.metmuseum.org/art/collection/search/55091</v>
      </c>
      <c r="CQ165" s="4">
        <v>42842.333402777775</v>
      </c>
      <c r="CR165" s="1" t="s">
        <v>97</v>
      </c>
    </row>
    <row r="166" spans="1:96" ht="52.5" customHeight="1" x14ac:dyDescent="0.2">
      <c r="A166" s="1" t="s">
        <v>921</v>
      </c>
      <c r="B166" s="1" t="b">
        <v>0</v>
      </c>
      <c r="C166" s="1" t="b">
        <v>1</v>
      </c>
      <c r="D166" s="1">
        <v>55223</v>
      </c>
      <c r="E166" s="1" t="s">
        <v>85</v>
      </c>
      <c r="F166" s="1" t="s">
        <v>99</v>
      </c>
      <c r="G166" s="1" t="s">
        <v>922</v>
      </c>
      <c r="H166" s="1" t="s">
        <v>923</v>
      </c>
      <c r="I166" s="1" t="s">
        <v>924</v>
      </c>
      <c r="J166" s="1" t="s">
        <v>925</v>
      </c>
      <c r="K166" s="1" t="s">
        <v>165</v>
      </c>
      <c r="L166" s="1" t="s">
        <v>156</v>
      </c>
      <c r="M166" s="1" t="s">
        <v>157</v>
      </c>
      <c r="N166" s="1" t="s">
        <v>87</v>
      </c>
      <c r="O166" s="1" t="s">
        <v>1798</v>
      </c>
      <c r="P166" s="1">
        <v>1615</v>
      </c>
      <c r="Q166" s="1">
        <v>1868</v>
      </c>
      <c r="U166" s="1" t="s">
        <v>88</v>
      </c>
      <c r="W166" s="1" t="s">
        <v>89</v>
      </c>
      <c r="X166" s="1" t="s">
        <v>1801</v>
      </c>
      <c r="Z166" s="1" t="s">
        <v>89</v>
      </c>
      <c r="AA166" s="1" t="s">
        <v>90</v>
      </c>
      <c r="AB166" s="1">
        <v>1760</v>
      </c>
      <c r="AC166" s="1">
        <v>1849</v>
      </c>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t="s">
        <v>158</v>
      </c>
      <c r="BG166" s="1">
        <v>1820</v>
      </c>
      <c r="BH166" s="1">
        <v>1842</v>
      </c>
      <c r="BI166" s="1">
        <v>1</v>
      </c>
      <c r="BJ166" s="1"/>
      <c r="BK166" s="1" t="s">
        <v>1760</v>
      </c>
      <c r="BL166" s="1" t="s">
        <v>1746</v>
      </c>
      <c r="BM166" s="1"/>
      <c r="BN166" s="1" t="s">
        <v>926</v>
      </c>
      <c r="BO166" s="12">
        <v>9.75</v>
      </c>
      <c r="BP166" s="11">
        <v>14.4375</v>
      </c>
      <c r="BQ166" s="11"/>
      <c r="BR166" s="1">
        <v>24.8</v>
      </c>
      <c r="BS166" s="1">
        <v>36.700000000000003</v>
      </c>
      <c r="BT166" s="1"/>
      <c r="BU166" s="1"/>
      <c r="BV166" s="1" t="s">
        <v>309</v>
      </c>
      <c r="BW166" s="1" t="s">
        <v>94</v>
      </c>
      <c r="BX166" s="1" t="s">
        <v>95</v>
      </c>
      <c r="BY166" s="1">
        <v>1922</v>
      </c>
      <c r="BZ166" s="1"/>
      <c r="CA166" s="1"/>
      <c r="CB166" s="1"/>
      <c r="CN166" s="1" t="s">
        <v>96</v>
      </c>
      <c r="CP166" s="8" t="str">
        <f>HYPERLINK("http://www.metmuseum.org/art/collection/search/55223","http://www.metmuseum.org/art/collection/search/55223")</f>
        <v>http://www.metmuseum.org/art/collection/search/55223</v>
      </c>
      <c r="CQ166" s="4">
        <v>42842.333402777775</v>
      </c>
      <c r="CR166" s="1" t="s">
        <v>97</v>
      </c>
    </row>
    <row r="167" spans="1:96" ht="52.5" customHeight="1" x14ac:dyDescent="0.2">
      <c r="A167" s="1" t="s">
        <v>927</v>
      </c>
      <c r="B167" s="1" t="b">
        <v>0</v>
      </c>
      <c r="C167" s="1" t="b">
        <v>1</v>
      </c>
      <c r="D167" s="1">
        <v>55225</v>
      </c>
      <c r="E167" s="1" t="s">
        <v>85</v>
      </c>
      <c r="F167" s="1" t="s">
        <v>99</v>
      </c>
      <c r="G167" s="1" t="s">
        <v>928</v>
      </c>
      <c r="H167" s="1" t="s">
        <v>929</v>
      </c>
      <c r="I167" s="1" t="s">
        <v>930</v>
      </c>
      <c r="J167" s="1" t="s">
        <v>931</v>
      </c>
      <c r="K167" s="1" t="s">
        <v>165</v>
      </c>
      <c r="L167" s="1" t="s">
        <v>156</v>
      </c>
      <c r="M167" s="1" t="s">
        <v>157</v>
      </c>
      <c r="N167" s="1" t="s">
        <v>87</v>
      </c>
      <c r="O167" s="1" t="s">
        <v>1798</v>
      </c>
      <c r="P167" s="1">
        <v>1615</v>
      </c>
      <c r="Q167" s="1">
        <v>1868</v>
      </c>
      <c r="U167" s="1" t="s">
        <v>88</v>
      </c>
      <c r="W167" s="1" t="s">
        <v>89</v>
      </c>
      <c r="X167" s="1" t="s">
        <v>1801</v>
      </c>
      <c r="Z167" s="1" t="s">
        <v>89</v>
      </c>
      <c r="AA167" s="1" t="s">
        <v>90</v>
      </c>
      <c r="AB167" s="1">
        <v>1760</v>
      </c>
      <c r="AC167" s="1">
        <v>1849</v>
      </c>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t="s">
        <v>158</v>
      </c>
      <c r="BG167" s="1">
        <v>1820</v>
      </c>
      <c r="BH167" s="1">
        <v>1842</v>
      </c>
      <c r="BI167" s="1">
        <v>1</v>
      </c>
      <c r="BJ167" s="1"/>
      <c r="BK167" s="1" t="s">
        <v>1760</v>
      </c>
      <c r="BL167" s="1" t="s">
        <v>1746</v>
      </c>
      <c r="BM167" s="1"/>
      <c r="BN167" s="1" t="s">
        <v>932</v>
      </c>
      <c r="BO167" s="12">
        <v>9.75</v>
      </c>
      <c r="BP167" s="12">
        <v>14.125</v>
      </c>
      <c r="BQ167" s="12"/>
      <c r="BR167" s="1">
        <v>24.8</v>
      </c>
      <c r="BS167" s="1">
        <v>35.9</v>
      </c>
      <c r="BT167" s="1"/>
      <c r="BU167" s="1"/>
      <c r="BV167" s="1" t="s">
        <v>309</v>
      </c>
      <c r="BW167" s="1" t="s">
        <v>94</v>
      </c>
      <c r="BX167" s="1" t="s">
        <v>95</v>
      </c>
      <c r="BY167" s="1">
        <v>1922</v>
      </c>
      <c r="BZ167" s="1"/>
      <c r="CA167" s="1"/>
      <c r="CB167" s="1"/>
      <c r="CN167" s="1" t="s">
        <v>96</v>
      </c>
      <c r="CP167" s="8" t="str">
        <f>HYPERLINK("http://www.metmuseum.org/art/collection/search/55225","http://www.metmuseum.org/art/collection/search/55225")</f>
        <v>http://www.metmuseum.org/art/collection/search/55225</v>
      </c>
      <c r="CQ167" s="4">
        <v>42842.333402777775</v>
      </c>
      <c r="CR167" s="1" t="s">
        <v>97</v>
      </c>
    </row>
    <row r="168" spans="1:96" ht="52.5" customHeight="1" x14ac:dyDescent="0.2">
      <c r="A168" s="1" t="s">
        <v>933</v>
      </c>
      <c r="B168" s="1" t="b">
        <v>0</v>
      </c>
      <c r="C168" s="1" t="b">
        <v>1</v>
      </c>
      <c r="D168" s="1">
        <v>55226</v>
      </c>
      <c r="E168" s="1" t="s">
        <v>85</v>
      </c>
      <c r="F168" s="1" t="s">
        <v>99</v>
      </c>
      <c r="G168" s="1" t="s">
        <v>934</v>
      </c>
      <c r="H168" s="1" t="s">
        <v>935</v>
      </c>
      <c r="I168" s="1" t="s">
        <v>936</v>
      </c>
      <c r="J168" s="1" t="s">
        <v>937</v>
      </c>
      <c r="K168" s="1" t="s">
        <v>165</v>
      </c>
      <c r="L168" s="1" t="s">
        <v>156</v>
      </c>
      <c r="M168" s="1" t="s">
        <v>157</v>
      </c>
      <c r="N168" s="1" t="s">
        <v>87</v>
      </c>
      <c r="O168" s="1" t="s">
        <v>1798</v>
      </c>
      <c r="P168" s="1">
        <v>1615</v>
      </c>
      <c r="Q168" s="1">
        <v>1868</v>
      </c>
      <c r="U168" s="1" t="s">
        <v>88</v>
      </c>
      <c r="W168" s="1" t="s">
        <v>89</v>
      </c>
      <c r="X168" s="1" t="s">
        <v>1801</v>
      </c>
      <c r="Z168" s="1" t="s">
        <v>89</v>
      </c>
      <c r="AA168" s="1" t="s">
        <v>90</v>
      </c>
      <c r="AB168" s="1">
        <v>1760</v>
      </c>
      <c r="AC168" s="1">
        <v>1849</v>
      </c>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t="s">
        <v>158</v>
      </c>
      <c r="BG168" s="1">
        <v>1820</v>
      </c>
      <c r="BH168" s="1">
        <v>1842</v>
      </c>
      <c r="BI168" s="1">
        <v>1</v>
      </c>
      <c r="BJ168" s="1"/>
      <c r="BK168" s="1" t="s">
        <v>1760</v>
      </c>
      <c r="BL168" s="1" t="s">
        <v>1746</v>
      </c>
      <c r="BM168" s="1"/>
      <c r="BN168" s="1" t="s">
        <v>938</v>
      </c>
      <c r="BO168" s="11">
        <v>9.6875</v>
      </c>
      <c r="BP168" s="12">
        <v>14.375</v>
      </c>
      <c r="BQ168" s="12"/>
      <c r="BR168" s="1">
        <v>24.6</v>
      </c>
      <c r="BS168" s="1">
        <v>36.5</v>
      </c>
      <c r="BT168" s="1"/>
      <c r="BU168" s="1"/>
      <c r="BV168" s="1" t="s">
        <v>309</v>
      </c>
      <c r="BW168" s="1" t="s">
        <v>94</v>
      </c>
      <c r="BX168" s="1" t="s">
        <v>95</v>
      </c>
      <c r="BY168" s="1">
        <v>1922</v>
      </c>
      <c r="BZ168" s="1"/>
      <c r="CA168" s="1"/>
      <c r="CB168" s="1"/>
      <c r="CN168" s="1" t="s">
        <v>96</v>
      </c>
      <c r="CP168" s="8" t="str">
        <f>HYPERLINK("http://www.metmuseum.org/art/collection/search/55226","http://www.metmuseum.org/art/collection/search/55226")</f>
        <v>http://www.metmuseum.org/art/collection/search/55226</v>
      </c>
      <c r="CQ168" s="4">
        <v>42842.333402777775</v>
      </c>
      <c r="CR168" s="1" t="s">
        <v>97</v>
      </c>
    </row>
    <row r="169" spans="1:96" ht="52.5" customHeight="1" x14ac:dyDescent="0.2">
      <c r="A169" s="1" t="s">
        <v>939</v>
      </c>
      <c r="B169" s="1" t="b">
        <v>0</v>
      </c>
      <c r="C169" s="1" t="b">
        <v>1</v>
      </c>
      <c r="D169" s="1">
        <v>55227</v>
      </c>
      <c r="E169" s="1" t="s">
        <v>85</v>
      </c>
      <c r="F169" s="1" t="s">
        <v>99</v>
      </c>
      <c r="G169" s="1" t="s">
        <v>940</v>
      </c>
      <c r="H169" s="1" t="s">
        <v>941</v>
      </c>
      <c r="I169" s="1" t="s">
        <v>942</v>
      </c>
      <c r="J169" s="1" t="s">
        <v>943</v>
      </c>
      <c r="K169" s="1" t="s">
        <v>165</v>
      </c>
      <c r="L169" s="1" t="s">
        <v>156</v>
      </c>
      <c r="M169" s="1" t="s">
        <v>157</v>
      </c>
      <c r="N169" s="1" t="s">
        <v>87</v>
      </c>
      <c r="O169" s="1" t="s">
        <v>1798</v>
      </c>
      <c r="P169" s="1">
        <v>1615</v>
      </c>
      <c r="Q169" s="1">
        <v>1868</v>
      </c>
      <c r="U169" s="1" t="s">
        <v>88</v>
      </c>
      <c r="W169" s="1" t="s">
        <v>89</v>
      </c>
      <c r="X169" s="1" t="s">
        <v>1801</v>
      </c>
      <c r="Z169" s="1" t="s">
        <v>89</v>
      </c>
      <c r="AA169" s="1" t="s">
        <v>90</v>
      </c>
      <c r="AB169" s="1">
        <v>1760</v>
      </c>
      <c r="AC169" s="1">
        <v>1849</v>
      </c>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t="s">
        <v>158</v>
      </c>
      <c r="BG169" s="1">
        <v>1820</v>
      </c>
      <c r="BH169" s="1">
        <v>1842</v>
      </c>
      <c r="BI169" s="1">
        <v>1</v>
      </c>
      <c r="BJ169" s="1"/>
      <c r="BK169" s="1" t="s">
        <v>1760</v>
      </c>
      <c r="BL169" s="1" t="s">
        <v>1746</v>
      </c>
      <c r="BM169" s="1"/>
      <c r="BN169" s="1" t="s">
        <v>944</v>
      </c>
      <c r="BO169" s="12">
        <v>9.75</v>
      </c>
      <c r="BP169" s="12">
        <v>14.375</v>
      </c>
      <c r="BQ169" s="12"/>
      <c r="BR169" s="1">
        <v>24.8</v>
      </c>
      <c r="BS169" s="1">
        <v>36.5</v>
      </c>
      <c r="BT169" s="1"/>
      <c r="BU169" s="1"/>
      <c r="BV169" s="1" t="s">
        <v>309</v>
      </c>
      <c r="BW169" s="1" t="s">
        <v>94</v>
      </c>
      <c r="BX169" s="1" t="s">
        <v>95</v>
      </c>
      <c r="BY169" s="1">
        <v>1922</v>
      </c>
      <c r="BZ169" s="1"/>
      <c r="CA169" s="1"/>
      <c r="CB169" s="1"/>
      <c r="CN169" s="1" t="s">
        <v>96</v>
      </c>
      <c r="CP169" s="8" t="str">
        <f>HYPERLINK("http://www.metmuseum.org/art/collection/search/55227","http://www.metmuseum.org/art/collection/search/55227")</f>
        <v>http://www.metmuseum.org/art/collection/search/55227</v>
      </c>
      <c r="CQ169" s="4">
        <v>42842.333402777775</v>
      </c>
      <c r="CR169" s="1" t="s">
        <v>97</v>
      </c>
    </row>
    <row r="170" spans="1:96" ht="52.5" customHeight="1" x14ac:dyDescent="0.2">
      <c r="A170" s="1" t="s">
        <v>945</v>
      </c>
      <c r="B170" s="1" t="b">
        <v>0</v>
      </c>
      <c r="C170" s="1" t="b">
        <v>1</v>
      </c>
      <c r="D170" s="1">
        <v>55228</v>
      </c>
      <c r="E170" s="1" t="s">
        <v>85</v>
      </c>
      <c r="F170" s="1" t="s">
        <v>99</v>
      </c>
      <c r="G170" s="1" t="s">
        <v>946</v>
      </c>
      <c r="H170" s="1" t="s">
        <v>947</v>
      </c>
      <c r="I170" s="1" t="s">
        <v>948</v>
      </c>
      <c r="J170" s="1" t="s">
        <v>949</v>
      </c>
      <c r="K170" s="1" t="s">
        <v>165</v>
      </c>
      <c r="L170" s="1" t="s">
        <v>156</v>
      </c>
      <c r="M170" s="1" t="s">
        <v>157</v>
      </c>
      <c r="N170" s="1" t="s">
        <v>87</v>
      </c>
      <c r="O170" s="1" t="s">
        <v>1798</v>
      </c>
      <c r="P170" s="1">
        <v>1615</v>
      </c>
      <c r="Q170" s="1">
        <v>1868</v>
      </c>
      <c r="U170" s="1" t="s">
        <v>88</v>
      </c>
      <c r="W170" s="1" t="s">
        <v>89</v>
      </c>
      <c r="X170" s="1" t="s">
        <v>1801</v>
      </c>
      <c r="Z170" s="1" t="s">
        <v>89</v>
      </c>
      <c r="AA170" s="1" t="s">
        <v>90</v>
      </c>
      <c r="AB170" s="1">
        <v>1760</v>
      </c>
      <c r="AC170" s="1">
        <v>1849</v>
      </c>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t="s">
        <v>158</v>
      </c>
      <c r="BG170" s="1">
        <v>1820</v>
      </c>
      <c r="BH170" s="1">
        <v>1842</v>
      </c>
      <c r="BI170" s="1">
        <v>1</v>
      </c>
      <c r="BJ170" s="1"/>
      <c r="BK170" s="1" t="s">
        <v>1760</v>
      </c>
      <c r="BL170" s="1" t="s">
        <v>1746</v>
      </c>
      <c r="BM170" s="1"/>
      <c r="BN170" s="1" t="s">
        <v>950</v>
      </c>
      <c r="BO170" s="12">
        <v>9.75</v>
      </c>
      <c r="BP170" s="12">
        <v>14.375</v>
      </c>
      <c r="BQ170" s="12"/>
      <c r="BR170" s="1">
        <v>24.8</v>
      </c>
      <c r="BS170" s="1">
        <v>36.5</v>
      </c>
      <c r="BT170" s="1"/>
      <c r="BU170" s="1"/>
      <c r="BV170" s="1" t="s">
        <v>309</v>
      </c>
      <c r="BW170" s="1" t="s">
        <v>94</v>
      </c>
      <c r="BX170" s="1" t="s">
        <v>95</v>
      </c>
      <c r="BY170" s="1">
        <v>1922</v>
      </c>
      <c r="BZ170" s="1"/>
      <c r="CA170" s="1"/>
      <c r="CB170" s="1"/>
      <c r="CN170" s="1" t="s">
        <v>96</v>
      </c>
      <c r="CP170" s="8" t="str">
        <f>HYPERLINK("http://www.metmuseum.org/art/collection/search/55228","http://www.metmuseum.org/art/collection/search/55228")</f>
        <v>http://www.metmuseum.org/art/collection/search/55228</v>
      </c>
      <c r="CQ170" s="4">
        <v>42842.333402777775</v>
      </c>
      <c r="CR170" s="1" t="s">
        <v>97</v>
      </c>
    </row>
    <row r="171" spans="1:96" ht="52.5" customHeight="1" x14ac:dyDescent="0.2">
      <c r="A171" s="1" t="s">
        <v>951</v>
      </c>
      <c r="B171" s="1" t="b">
        <v>0</v>
      </c>
      <c r="C171" s="1" t="b">
        <v>1</v>
      </c>
      <c r="D171" s="1">
        <v>55231</v>
      </c>
      <c r="E171" s="1" t="s">
        <v>85</v>
      </c>
      <c r="F171" s="1" t="s">
        <v>99</v>
      </c>
      <c r="G171" s="1" t="s">
        <v>952</v>
      </c>
      <c r="H171" s="1" t="s">
        <v>953</v>
      </c>
      <c r="I171" s="1" t="s">
        <v>954</v>
      </c>
      <c r="J171" s="1" t="s">
        <v>955</v>
      </c>
      <c r="K171" s="1" t="s">
        <v>165</v>
      </c>
      <c r="L171" s="1" t="s">
        <v>156</v>
      </c>
      <c r="M171" s="1" t="s">
        <v>157</v>
      </c>
      <c r="N171" s="1" t="s">
        <v>87</v>
      </c>
      <c r="O171" s="1" t="s">
        <v>1798</v>
      </c>
      <c r="P171" s="1">
        <v>1615</v>
      </c>
      <c r="Q171" s="1">
        <v>1868</v>
      </c>
      <c r="U171" s="1" t="s">
        <v>88</v>
      </c>
      <c r="W171" s="1" t="s">
        <v>89</v>
      </c>
      <c r="X171" s="1" t="s">
        <v>1801</v>
      </c>
      <c r="Z171" s="1" t="s">
        <v>89</v>
      </c>
      <c r="AA171" s="1" t="s">
        <v>90</v>
      </c>
      <c r="AB171" s="1">
        <v>1760</v>
      </c>
      <c r="AC171" s="1">
        <v>1849</v>
      </c>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t="s">
        <v>158</v>
      </c>
      <c r="BG171" s="1">
        <v>1820</v>
      </c>
      <c r="BH171" s="1">
        <v>1842</v>
      </c>
      <c r="BI171" s="1">
        <v>1</v>
      </c>
      <c r="BJ171" s="1"/>
      <c r="BK171" s="1" t="s">
        <v>1760</v>
      </c>
      <c r="BL171" s="1" t="s">
        <v>1746</v>
      </c>
      <c r="BM171" s="1"/>
      <c r="BN171" s="1" t="s">
        <v>938</v>
      </c>
      <c r="BO171" s="11">
        <v>9.6875</v>
      </c>
      <c r="BP171" s="12">
        <v>14.375</v>
      </c>
      <c r="BQ171" s="12"/>
      <c r="BR171" s="1">
        <v>24.6</v>
      </c>
      <c r="BS171" s="1">
        <v>36.5</v>
      </c>
      <c r="BT171" s="1"/>
      <c r="BU171" s="1"/>
      <c r="BV171" s="1" t="s">
        <v>309</v>
      </c>
      <c r="BW171" s="1" t="s">
        <v>94</v>
      </c>
      <c r="BX171" s="1" t="s">
        <v>95</v>
      </c>
      <c r="BY171" s="1">
        <v>1922</v>
      </c>
      <c r="BZ171" s="1"/>
      <c r="CA171" s="1"/>
      <c r="CB171" s="1"/>
      <c r="CN171" s="1" t="s">
        <v>96</v>
      </c>
      <c r="CP171" s="8" t="str">
        <f>HYPERLINK("http://www.metmuseum.org/art/collection/search/55231","http://www.metmuseum.org/art/collection/search/55231")</f>
        <v>http://www.metmuseum.org/art/collection/search/55231</v>
      </c>
      <c r="CQ171" s="4">
        <v>42842.333402777775</v>
      </c>
      <c r="CR171" s="1" t="s">
        <v>97</v>
      </c>
    </row>
    <row r="172" spans="1:96" ht="52.5" customHeight="1" x14ac:dyDescent="0.2">
      <c r="A172" s="1" t="s">
        <v>956</v>
      </c>
      <c r="B172" s="1" t="b">
        <v>0</v>
      </c>
      <c r="C172" s="1" t="b">
        <v>1</v>
      </c>
      <c r="D172" s="1">
        <v>55236</v>
      </c>
      <c r="E172" s="1" t="s">
        <v>85</v>
      </c>
      <c r="F172" s="1" t="s">
        <v>99</v>
      </c>
      <c r="G172" s="1" t="s">
        <v>957</v>
      </c>
      <c r="H172" s="1" t="s">
        <v>958</v>
      </c>
      <c r="I172" s="1" t="s">
        <v>959</v>
      </c>
      <c r="J172" s="1" t="s">
        <v>960</v>
      </c>
      <c r="K172" s="1" t="s">
        <v>165</v>
      </c>
      <c r="L172" s="1" t="s">
        <v>156</v>
      </c>
      <c r="M172" s="1" t="s">
        <v>157</v>
      </c>
      <c r="N172" s="1" t="s">
        <v>87</v>
      </c>
      <c r="O172" s="1" t="s">
        <v>1798</v>
      </c>
      <c r="P172" s="1">
        <v>1615</v>
      </c>
      <c r="Q172" s="1">
        <v>1868</v>
      </c>
      <c r="U172" s="1" t="s">
        <v>88</v>
      </c>
      <c r="W172" s="1" t="s">
        <v>89</v>
      </c>
      <c r="X172" s="1" t="s">
        <v>1801</v>
      </c>
      <c r="Z172" s="1" t="s">
        <v>89</v>
      </c>
      <c r="AA172" s="1" t="s">
        <v>90</v>
      </c>
      <c r="AB172" s="1">
        <v>1760</v>
      </c>
      <c r="AC172" s="1">
        <v>1849</v>
      </c>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t="s">
        <v>158</v>
      </c>
      <c r="BG172" s="1">
        <v>1820</v>
      </c>
      <c r="BH172" s="1">
        <v>1842</v>
      </c>
      <c r="BI172" s="1">
        <v>1</v>
      </c>
      <c r="BJ172" s="1"/>
      <c r="BK172" s="1" t="s">
        <v>1760</v>
      </c>
      <c r="BL172" s="1" t="s">
        <v>1746</v>
      </c>
      <c r="BM172" s="1"/>
      <c r="BN172" s="1" t="s">
        <v>961</v>
      </c>
      <c r="BO172" s="1">
        <v>10</v>
      </c>
      <c r="BP172" s="12">
        <v>14.5</v>
      </c>
      <c r="BQ172" s="12"/>
      <c r="BR172" s="1">
        <v>25.4</v>
      </c>
      <c r="BS172" s="1">
        <v>36.799999999999997</v>
      </c>
      <c r="BT172" s="1"/>
      <c r="BU172" s="1"/>
      <c r="BV172" s="1" t="s">
        <v>309</v>
      </c>
      <c r="BW172" s="1" t="s">
        <v>94</v>
      </c>
      <c r="BX172" s="1" t="s">
        <v>95</v>
      </c>
      <c r="BY172" s="1">
        <v>1922</v>
      </c>
      <c r="BZ172" s="1"/>
      <c r="CA172" s="1"/>
      <c r="CB172" s="1"/>
      <c r="CN172" s="1" t="s">
        <v>96</v>
      </c>
      <c r="CP172" s="8" t="str">
        <f>HYPERLINK("http://www.metmuseum.org/art/collection/search/55236","http://www.metmuseum.org/art/collection/search/55236")</f>
        <v>http://www.metmuseum.org/art/collection/search/55236</v>
      </c>
      <c r="CQ172" s="4">
        <v>42842.333402777775</v>
      </c>
      <c r="CR172" s="1" t="s">
        <v>97</v>
      </c>
    </row>
    <row r="173" spans="1:96" ht="52.5" customHeight="1" x14ac:dyDescent="0.2">
      <c r="A173" s="1" t="s">
        <v>962</v>
      </c>
      <c r="B173" s="1" t="b">
        <v>0</v>
      </c>
      <c r="C173" s="1" t="b">
        <v>1</v>
      </c>
      <c r="D173" s="1">
        <v>55237</v>
      </c>
      <c r="E173" s="1" t="s">
        <v>85</v>
      </c>
      <c r="F173" s="1" t="s">
        <v>99</v>
      </c>
      <c r="G173" s="1" t="s">
        <v>963</v>
      </c>
      <c r="H173" s="1" t="s">
        <v>964</v>
      </c>
      <c r="I173" s="1" t="s">
        <v>965</v>
      </c>
      <c r="J173" s="1" t="s">
        <v>966</v>
      </c>
      <c r="K173" s="1" t="s">
        <v>165</v>
      </c>
      <c r="L173" s="1" t="s">
        <v>156</v>
      </c>
      <c r="M173" s="1" t="s">
        <v>157</v>
      </c>
      <c r="N173" s="1" t="s">
        <v>87</v>
      </c>
      <c r="O173" s="1" t="s">
        <v>1798</v>
      </c>
      <c r="P173" s="1">
        <v>1615</v>
      </c>
      <c r="Q173" s="1">
        <v>1868</v>
      </c>
      <c r="U173" s="1" t="s">
        <v>88</v>
      </c>
      <c r="W173" s="1" t="s">
        <v>89</v>
      </c>
      <c r="X173" s="1" t="s">
        <v>1801</v>
      </c>
      <c r="Z173" s="1" t="s">
        <v>89</v>
      </c>
      <c r="AA173" s="1" t="s">
        <v>90</v>
      </c>
      <c r="AB173" s="1">
        <v>1760</v>
      </c>
      <c r="AC173" s="1">
        <v>1849</v>
      </c>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t="s">
        <v>158</v>
      </c>
      <c r="BG173" s="1">
        <v>1820</v>
      </c>
      <c r="BH173" s="1">
        <v>1842</v>
      </c>
      <c r="BI173" s="1">
        <v>1</v>
      </c>
      <c r="BJ173" s="1"/>
      <c r="BK173" s="1" t="s">
        <v>1760</v>
      </c>
      <c r="BL173" s="1" t="s">
        <v>1746</v>
      </c>
      <c r="BM173" s="1"/>
      <c r="BN173" s="1" t="s">
        <v>961</v>
      </c>
      <c r="BO173" s="1">
        <v>10</v>
      </c>
      <c r="BP173" s="12">
        <v>14.5</v>
      </c>
      <c r="BQ173" s="12"/>
      <c r="BR173" s="1">
        <v>25.4</v>
      </c>
      <c r="BS173" s="1">
        <v>36.799999999999997</v>
      </c>
      <c r="BT173" s="1"/>
      <c r="BU173" s="1"/>
      <c r="BV173" s="1" t="s">
        <v>435</v>
      </c>
      <c r="BW173" s="1" t="s">
        <v>94</v>
      </c>
      <c r="BX173" s="1" t="s">
        <v>95</v>
      </c>
      <c r="BY173" s="1">
        <v>1936</v>
      </c>
      <c r="BZ173" s="1"/>
      <c r="CA173" s="1"/>
      <c r="CB173" s="1"/>
      <c r="CN173" s="1" t="s">
        <v>96</v>
      </c>
      <c r="CP173" s="8" t="str">
        <f>HYPERLINK("http://www.metmuseum.org/art/collection/search/55237","http://www.metmuseum.org/art/collection/search/55237")</f>
        <v>http://www.metmuseum.org/art/collection/search/55237</v>
      </c>
      <c r="CQ173" s="4">
        <v>42842.333402777775</v>
      </c>
      <c r="CR173" s="1" t="s">
        <v>97</v>
      </c>
    </row>
    <row r="174" spans="1:96" ht="52.5" customHeight="1" x14ac:dyDescent="0.2">
      <c r="A174" s="1" t="s">
        <v>967</v>
      </c>
      <c r="B174" s="1" t="b">
        <v>0</v>
      </c>
      <c r="C174" s="1" t="b">
        <v>1</v>
      </c>
      <c r="D174" s="1">
        <v>55238</v>
      </c>
      <c r="E174" s="1" t="s">
        <v>85</v>
      </c>
      <c r="F174" s="1" t="s">
        <v>99</v>
      </c>
      <c r="G174" s="1" t="s">
        <v>670</v>
      </c>
      <c r="H174" s="1" t="s">
        <v>671</v>
      </c>
      <c r="I174" s="1" t="s">
        <v>672</v>
      </c>
      <c r="J174" s="1" t="s">
        <v>673</v>
      </c>
      <c r="K174" s="1" t="s">
        <v>165</v>
      </c>
      <c r="L174" s="1" t="s">
        <v>156</v>
      </c>
      <c r="M174" s="1" t="s">
        <v>157</v>
      </c>
      <c r="N174" s="1" t="s">
        <v>87</v>
      </c>
      <c r="O174" s="1" t="s">
        <v>1798</v>
      </c>
      <c r="P174" s="1">
        <v>1615</v>
      </c>
      <c r="Q174" s="1">
        <v>1868</v>
      </c>
      <c r="U174" s="1" t="s">
        <v>88</v>
      </c>
      <c r="W174" s="1" t="s">
        <v>89</v>
      </c>
      <c r="X174" s="1" t="s">
        <v>1801</v>
      </c>
      <c r="Z174" s="1" t="s">
        <v>89</v>
      </c>
      <c r="AA174" s="1" t="s">
        <v>90</v>
      </c>
      <c r="AB174" s="1">
        <v>1760</v>
      </c>
      <c r="AC174" s="1">
        <v>1849</v>
      </c>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t="s">
        <v>158</v>
      </c>
      <c r="BG174" s="1">
        <v>1820</v>
      </c>
      <c r="BH174" s="1">
        <v>1842</v>
      </c>
      <c r="BI174" s="1">
        <v>1</v>
      </c>
      <c r="BJ174" s="1"/>
      <c r="BK174" s="1" t="s">
        <v>1760</v>
      </c>
      <c r="BL174" s="1" t="s">
        <v>1746</v>
      </c>
      <c r="BM174" s="1"/>
      <c r="BN174" s="1" t="s">
        <v>697</v>
      </c>
      <c r="BO174" s="12">
        <v>10.25</v>
      </c>
      <c r="BP174" s="12">
        <v>15.125</v>
      </c>
      <c r="BQ174" s="12"/>
      <c r="BR174" s="1">
        <v>26</v>
      </c>
      <c r="BS174" s="1">
        <v>38.4</v>
      </c>
      <c r="BT174" s="1"/>
      <c r="BU174" s="1"/>
      <c r="BV174" s="1" t="s">
        <v>309</v>
      </c>
      <c r="BW174" s="1" t="s">
        <v>94</v>
      </c>
      <c r="BX174" s="1" t="s">
        <v>95</v>
      </c>
      <c r="BY174" s="1">
        <v>1922</v>
      </c>
      <c r="BZ174" s="1"/>
      <c r="CA174" s="1"/>
      <c r="CB174" s="1"/>
      <c r="CN174" s="1" t="s">
        <v>96</v>
      </c>
      <c r="CP174" s="8" t="str">
        <f>HYPERLINK("http://www.metmuseum.org/art/collection/search/55238","http://www.metmuseum.org/art/collection/search/55238")</f>
        <v>http://www.metmuseum.org/art/collection/search/55238</v>
      </c>
      <c r="CQ174" s="4">
        <v>42842.333402777775</v>
      </c>
      <c r="CR174" s="1" t="s">
        <v>97</v>
      </c>
    </row>
    <row r="175" spans="1:96" ht="52.5" customHeight="1" x14ac:dyDescent="0.2">
      <c r="A175" s="1" t="s">
        <v>968</v>
      </c>
      <c r="B175" s="1" t="b">
        <v>0</v>
      </c>
      <c r="C175" s="1" t="b">
        <v>1</v>
      </c>
      <c r="D175" s="1">
        <v>55281</v>
      </c>
      <c r="E175" s="1" t="s">
        <v>85</v>
      </c>
      <c r="F175" s="1" t="s">
        <v>99</v>
      </c>
      <c r="G175" s="1" t="s">
        <v>969</v>
      </c>
      <c r="H175" s="1" t="s">
        <v>970</v>
      </c>
      <c r="I175" s="1" t="s">
        <v>971</v>
      </c>
      <c r="J175" s="1" t="s">
        <v>972</v>
      </c>
      <c r="K175" s="1" t="s">
        <v>165</v>
      </c>
      <c r="L175" s="1" t="s">
        <v>156</v>
      </c>
      <c r="M175" s="1" t="s">
        <v>157</v>
      </c>
      <c r="N175" s="1" t="s">
        <v>87</v>
      </c>
      <c r="O175" s="1" t="s">
        <v>1798</v>
      </c>
      <c r="P175" s="1">
        <v>1615</v>
      </c>
      <c r="Q175" s="1">
        <v>1868</v>
      </c>
      <c r="U175" s="1" t="s">
        <v>88</v>
      </c>
      <c r="W175" s="1" t="s">
        <v>89</v>
      </c>
      <c r="X175" s="1" t="s">
        <v>1801</v>
      </c>
      <c r="Z175" s="1" t="s">
        <v>89</v>
      </c>
      <c r="AA175" s="1" t="s">
        <v>90</v>
      </c>
      <c r="AB175" s="1">
        <v>1760</v>
      </c>
      <c r="AC175" s="1">
        <v>1849</v>
      </c>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t="s">
        <v>158</v>
      </c>
      <c r="BG175" s="1">
        <v>1820</v>
      </c>
      <c r="BH175" s="1">
        <v>1842</v>
      </c>
      <c r="BI175" s="1">
        <v>1</v>
      </c>
      <c r="BJ175" s="1"/>
      <c r="BK175" s="1" t="s">
        <v>1760</v>
      </c>
      <c r="BL175" s="1" t="s">
        <v>1746</v>
      </c>
      <c r="BM175" s="1"/>
      <c r="BN175" s="1" t="s">
        <v>973</v>
      </c>
      <c r="BO175" s="1">
        <v>10</v>
      </c>
      <c r="BP175" s="12">
        <v>14.75</v>
      </c>
      <c r="BQ175" s="12"/>
      <c r="BR175" s="1">
        <v>25.4</v>
      </c>
      <c r="BS175" s="1">
        <v>37.5</v>
      </c>
      <c r="BT175" s="1"/>
      <c r="BU175" s="1"/>
      <c r="BV175" s="1" t="s">
        <v>309</v>
      </c>
      <c r="BW175" s="1" t="s">
        <v>94</v>
      </c>
      <c r="BX175" s="1" t="s">
        <v>95</v>
      </c>
      <c r="BY175" s="1">
        <v>1922</v>
      </c>
      <c r="BZ175" s="1"/>
      <c r="CA175" s="1"/>
      <c r="CB175" s="1"/>
      <c r="CN175" s="1" t="s">
        <v>96</v>
      </c>
      <c r="CP175" s="8" t="str">
        <f>HYPERLINK("http://www.metmuseum.org/art/collection/search/55281","http://www.metmuseum.org/art/collection/search/55281")</f>
        <v>http://www.metmuseum.org/art/collection/search/55281</v>
      </c>
      <c r="CQ175" s="4">
        <v>42842.333402777775</v>
      </c>
      <c r="CR175" s="1" t="s">
        <v>97</v>
      </c>
    </row>
    <row r="176" spans="1:96" ht="52.5" customHeight="1" x14ac:dyDescent="0.2">
      <c r="A176" s="1" t="s">
        <v>974</v>
      </c>
      <c r="B176" s="1" t="b">
        <v>0</v>
      </c>
      <c r="C176" s="1" t="b">
        <v>1</v>
      </c>
      <c r="D176" s="1">
        <v>55282</v>
      </c>
      <c r="E176" s="1" t="s">
        <v>85</v>
      </c>
      <c r="F176" s="1" t="s">
        <v>99</v>
      </c>
      <c r="G176" s="1" t="s">
        <v>975</v>
      </c>
      <c r="H176" s="1" t="s">
        <v>976</v>
      </c>
      <c r="I176" s="1" t="s">
        <v>977</v>
      </c>
      <c r="J176" s="1" t="s">
        <v>978</v>
      </c>
      <c r="K176" s="1" t="s">
        <v>165</v>
      </c>
      <c r="L176" s="1" t="s">
        <v>156</v>
      </c>
      <c r="M176" s="1" t="s">
        <v>157</v>
      </c>
      <c r="N176" s="1" t="s">
        <v>87</v>
      </c>
      <c r="O176" s="1" t="s">
        <v>1798</v>
      </c>
      <c r="P176" s="1">
        <v>1615</v>
      </c>
      <c r="Q176" s="1">
        <v>1868</v>
      </c>
      <c r="U176" s="1" t="s">
        <v>88</v>
      </c>
      <c r="W176" s="1" t="s">
        <v>89</v>
      </c>
      <c r="X176" s="1" t="s">
        <v>1801</v>
      </c>
      <c r="Z176" s="1" t="s">
        <v>89</v>
      </c>
      <c r="AA176" s="1" t="s">
        <v>90</v>
      </c>
      <c r="AB176" s="1">
        <v>1760</v>
      </c>
      <c r="AC176" s="1">
        <v>1849</v>
      </c>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t="s">
        <v>158</v>
      </c>
      <c r="BG176" s="1">
        <v>1820</v>
      </c>
      <c r="BH176" s="1">
        <v>1842</v>
      </c>
      <c r="BI176" s="1">
        <v>1</v>
      </c>
      <c r="BJ176" s="1"/>
      <c r="BK176" s="1" t="s">
        <v>1760</v>
      </c>
      <c r="BL176" s="1" t="s">
        <v>1746</v>
      </c>
      <c r="BM176" s="1"/>
      <c r="BN176" s="1" t="s">
        <v>657</v>
      </c>
      <c r="BO176" s="12">
        <v>10.125</v>
      </c>
      <c r="BP176" s="12">
        <v>15.125</v>
      </c>
      <c r="BQ176" s="12"/>
      <c r="BR176" s="1">
        <v>25.7</v>
      </c>
      <c r="BS176" s="1">
        <v>38.4</v>
      </c>
      <c r="BT176" s="1"/>
      <c r="BU176" s="1"/>
      <c r="BV176" s="1" t="s">
        <v>309</v>
      </c>
      <c r="BW176" s="1" t="s">
        <v>94</v>
      </c>
      <c r="BX176" s="1" t="s">
        <v>95</v>
      </c>
      <c r="BY176" s="1">
        <v>1922</v>
      </c>
      <c r="BZ176" s="1"/>
      <c r="CA176" s="1"/>
      <c r="CB176" s="1"/>
      <c r="CN176" s="1" t="s">
        <v>96</v>
      </c>
      <c r="CP176" s="8" t="str">
        <f>HYPERLINK("http://www.metmuseum.org/art/collection/search/55282","http://www.metmuseum.org/art/collection/search/55282")</f>
        <v>http://www.metmuseum.org/art/collection/search/55282</v>
      </c>
      <c r="CQ176" s="4">
        <v>42842.333402777775</v>
      </c>
      <c r="CR176" s="1" t="s">
        <v>97</v>
      </c>
    </row>
    <row r="177" spans="1:96" ht="52.5" customHeight="1" x14ac:dyDescent="0.2">
      <c r="A177" s="1" t="s">
        <v>979</v>
      </c>
      <c r="B177" s="1" t="b">
        <v>0</v>
      </c>
      <c r="C177" s="1" t="b">
        <v>1</v>
      </c>
      <c r="D177" s="1">
        <v>55283</v>
      </c>
      <c r="E177" s="1" t="s">
        <v>85</v>
      </c>
      <c r="F177" s="1" t="s">
        <v>99</v>
      </c>
      <c r="G177" s="1" t="s">
        <v>980</v>
      </c>
      <c r="H177" s="1" t="s">
        <v>981</v>
      </c>
      <c r="I177" s="1" t="s">
        <v>982</v>
      </c>
      <c r="J177" s="1" t="s">
        <v>983</v>
      </c>
      <c r="K177" s="1" t="s">
        <v>165</v>
      </c>
      <c r="L177" s="1" t="s">
        <v>156</v>
      </c>
      <c r="M177" s="1" t="s">
        <v>157</v>
      </c>
      <c r="N177" s="1" t="s">
        <v>87</v>
      </c>
      <c r="O177" s="1" t="s">
        <v>1798</v>
      </c>
      <c r="P177" s="1">
        <v>1615</v>
      </c>
      <c r="Q177" s="6">
        <v>1868</v>
      </c>
      <c r="U177" s="1" t="s">
        <v>88</v>
      </c>
      <c r="W177" s="1" t="s">
        <v>89</v>
      </c>
      <c r="X177" s="1" t="s">
        <v>1801</v>
      </c>
      <c r="Z177" s="1" t="s">
        <v>89</v>
      </c>
      <c r="AA177" s="1" t="s">
        <v>90</v>
      </c>
      <c r="AB177" s="1">
        <v>1760</v>
      </c>
      <c r="AC177" s="1">
        <v>1849</v>
      </c>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t="s">
        <v>158</v>
      </c>
      <c r="BG177" s="1">
        <v>1830</v>
      </c>
      <c r="BH177" s="1">
        <v>1832</v>
      </c>
      <c r="BI177" s="1">
        <v>1</v>
      </c>
      <c r="BJ177" s="1"/>
      <c r="BK177" s="1" t="s">
        <v>1760</v>
      </c>
      <c r="BL177" s="1" t="s">
        <v>1746</v>
      </c>
      <c r="BM177" s="1"/>
      <c r="BN177" s="1" t="s">
        <v>853</v>
      </c>
      <c r="BO177" s="12">
        <v>10.125</v>
      </c>
      <c r="BP177" s="12">
        <v>15.25</v>
      </c>
      <c r="BQ177" s="12"/>
      <c r="BR177" s="1">
        <v>25.7</v>
      </c>
      <c r="BS177" s="1">
        <v>38.700000000000003</v>
      </c>
      <c r="BT177" s="1"/>
      <c r="BU177" s="1"/>
      <c r="BV177" s="1" t="s">
        <v>309</v>
      </c>
      <c r="BW177" s="1" t="s">
        <v>94</v>
      </c>
      <c r="BX177" s="1" t="s">
        <v>95</v>
      </c>
      <c r="BY177" s="1">
        <v>1922</v>
      </c>
      <c r="BZ177" s="1"/>
      <c r="CA177" s="1"/>
      <c r="CB177" s="1"/>
      <c r="CN177" s="1" t="s">
        <v>96</v>
      </c>
      <c r="CP177" s="8" t="str">
        <f>HYPERLINK("http://www.metmuseum.org/art/collection/search/55283","http://www.metmuseum.org/art/collection/search/55283")</f>
        <v>http://www.metmuseum.org/art/collection/search/55283</v>
      </c>
      <c r="CQ177" s="4">
        <v>42842.333402777775</v>
      </c>
      <c r="CR177" s="1" t="s">
        <v>97</v>
      </c>
    </row>
    <row r="178" spans="1:96" ht="52.5" customHeight="1" x14ac:dyDescent="0.2">
      <c r="A178" s="1" t="s">
        <v>984</v>
      </c>
      <c r="B178" s="1" t="b">
        <v>0</v>
      </c>
      <c r="C178" s="1" t="b">
        <v>1</v>
      </c>
      <c r="D178" s="1">
        <v>55284</v>
      </c>
      <c r="E178" s="1" t="s">
        <v>85</v>
      </c>
      <c r="F178" s="1" t="s">
        <v>99</v>
      </c>
      <c r="G178" s="1" t="s">
        <v>985</v>
      </c>
      <c r="H178" s="1" t="s">
        <v>986</v>
      </c>
      <c r="I178" s="1" t="s">
        <v>987</v>
      </c>
      <c r="J178" s="1" t="s">
        <v>988</v>
      </c>
      <c r="K178" s="1" t="s">
        <v>165</v>
      </c>
      <c r="L178" s="1" t="s">
        <v>156</v>
      </c>
      <c r="M178" s="1" t="s">
        <v>157</v>
      </c>
      <c r="N178" s="1" t="s">
        <v>87</v>
      </c>
      <c r="O178" s="6" t="s">
        <v>1798</v>
      </c>
      <c r="P178" s="1">
        <v>1615</v>
      </c>
      <c r="Q178" s="1">
        <v>1868</v>
      </c>
      <c r="U178" s="1" t="s">
        <v>88</v>
      </c>
      <c r="W178" s="1" t="s">
        <v>89</v>
      </c>
      <c r="X178" s="1" t="s">
        <v>1801</v>
      </c>
      <c r="Z178" s="1" t="s">
        <v>89</v>
      </c>
      <c r="AA178" s="1" t="s">
        <v>90</v>
      </c>
      <c r="AB178" s="1">
        <v>1760</v>
      </c>
      <c r="AC178" s="1">
        <v>1849</v>
      </c>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t="s">
        <v>158</v>
      </c>
      <c r="BG178" s="1">
        <v>1820</v>
      </c>
      <c r="BH178" s="1">
        <v>1842</v>
      </c>
      <c r="BI178" s="1">
        <v>1</v>
      </c>
      <c r="BJ178" s="1"/>
      <c r="BK178" s="1" t="s">
        <v>1760</v>
      </c>
      <c r="BL178" s="1" t="s">
        <v>1746</v>
      </c>
      <c r="BM178" s="1"/>
      <c r="BN178" s="1" t="s">
        <v>973</v>
      </c>
      <c r="BO178" s="1">
        <v>10</v>
      </c>
      <c r="BP178" s="12">
        <v>14.75</v>
      </c>
      <c r="BQ178" s="12"/>
      <c r="BR178" s="1">
        <v>25.4</v>
      </c>
      <c r="BS178" s="1">
        <v>37.5</v>
      </c>
      <c r="BT178" s="1"/>
      <c r="BU178" s="1"/>
      <c r="BV178" s="1" t="s">
        <v>309</v>
      </c>
      <c r="BW178" s="1" t="s">
        <v>94</v>
      </c>
      <c r="BX178" s="1" t="s">
        <v>95</v>
      </c>
      <c r="BY178" s="1">
        <v>1922</v>
      </c>
      <c r="BZ178" s="1"/>
      <c r="CA178" s="1"/>
      <c r="CB178" s="1"/>
      <c r="CN178" s="1" t="s">
        <v>96</v>
      </c>
      <c r="CP178" s="8" t="str">
        <f>HYPERLINK("http://www.metmuseum.org/art/collection/search/55284","http://www.metmuseum.org/art/collection/search/55284")</f>
        <v>http://www.metmuseum.org/art/collection/search/55284</v>
      </c>
      <c r="CQ178" s="4">
        <v>42842.333402777775</v>
      </c>
      <c r="CR178" s="1" t="s">
        <v>97</v>
      </c>
    </row>
    <row r="179" spans="1:96" ht="52.5" customHeight="1" x14ac:dyDescent="0.2">
      <c r="A179" s="1" t="s">
        <v>989</v>
      </c>
      <c r="B179" s="1" t="b">
        <v>0</v>
      </c>
      <c r="C179" s="1" t="b">
        <v>1</v>
      </c>
      <c r="D179" s="1">
        <v>55285</v>
      </c>
      <c r="E179" s="1" t="s">
        <v>85</v>
      </c>
      <c r="F179" s="1" t="s">
        <v>99</v>
      </c>
      <c r="G179" s="1" t="s">
        <v>990</v>
      </c>
      <c r="H179" s="1" t="s">
        <v>991</v>
      </c>
      <c r="I179" s="1" t="s">
        <v>992</v>
      </c>
      <c r="J179" s="1" t="s">
        <v>993</v>
      </c>
      <c r="K179" s="1" t="s">
        <v>165</v>
      </c>
      <c r="L179" s="1" t="s">
        <v>156</v>
      </c>
      <c r="M179" s="1" t="s">
        <v>157</v>
      </c>
      <c r="N179" s="1" t="s">
        <v>87</v>
      </c>
      <c r="O179" s="1" t="s">
        <v>1798</v>
      </c>
      <c r="P179" s="1">
        <v>1615</v>
      </c>
      <c r="Q179" s="1">
        <v>1868</v>
      </c>
      <c r="U179" s="1" t="s">
        <v>88</v>
      </c>
      <c r="W179" s="1" t="s">
        <v>89</v>
      </c>
      <c r="X179" s="1" t="s">
        <v>1801</v>
      </c>
      <c r="Z179" s="1" t="s">
        <v>89</v>
      </c>
      <c r="AA179" s="1" t="s">
        <v>90</v>
      </c>
      <c r="AB179" s="1">
        <v>1760</v>
      </c>
      <c r="AC179" s="1">
        <v>1849</v>
      </c>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t="s">
        <v>158</v>
      </c>
      <c r="BG179" s="1">
        <v>1820</v>
      </c>
      <c r="BH179" s="1">
        <v>1842</v>
      </c>
      <c r="BI179" s="1">
        <v>1</v>
      </c>
      <c r="BJ179" s="1"/>
      <c r="BK179" s="1" t="s">
        <v>1760</v>
      </c>
      <c r="BL179" s="1" t="s">
        <v>1746</v>
      </c>
      <c r="BM179" s="1"/>
      <c r="BN179" s="1" t="s">
        <v>994</v>
      </c>
      <c r="BO179" s="12">
        <v>9.875</v>
      </c>
      <c r="BP179" s="12">
        <v>14.75</v>
      </c>
      <c r="BQ179" s="12"/>
      <c r="BR179" s="1">
        <v>25.1</v>
      </c>
      <c r="BS179" s="1">
        <v>37.5</v>
      </c>
      <c r="BT179" s="1"/>
      <c r="BU179" s="1"/>
      <c r="BV179" s="1" t="s">
        <v>309</v>
      </c>
      <c r="BW179" s="1" t="s">
        <v>94</v>
      </c>
      <c r="BX179" s="1" t="s">
        <v>95</v>
      </c>
      <c r="BY179" s="1">
        <v>1922</v>
      </c>
      <c r="BZ179" s="1"/>
      <c r="CA179" s="1"/>
      <c r="CB179" s="1"/>
      <c r="CN179" s="1" t="s">
        <v>96</v>
      </c>
      <c r="CP179" s="8" t="str">
        <f>HYPERLINK("http://www.metmuseum.org/art/collection/search/55285","http://www.metmuseum.org/art/collection/search/55285")</f>
        <v>http://www.metmuseum.org/art/collection/search/55285</v>
      </c>
      <c r="CQ179" s="4">
        <v>42842.333402777775</v>
      </c>
      <c r="CR179" s="1" t="s">
        <v>97</v>
      </c>
    </row>
    <row r="180" spans="1:96" ht="52.5" customHeight="1" x14ac:dyDescent="0.2">
      <c r="A180" s="1" t="s">
        <v>995</v>
      </c>
      <c r="B180" s="1" t="b">
        <v>0</v>
      </c>
      <c r="C180" s="1" t="b">
        <v>1</v>
      </c>
      <c r="D180" s="1">
        <v>55286</v>
      </c>
      <c r="E180" s="1" t="s">
        <v>85</v>
      </c>
      <c r="F180" s="1" t="s">
        <v>99</v>
      </c>
      <c r="G180" s="1" t="s">
        <v>996</v>
      </c>
      <c r="H180" s="1" t="s">
        <v>997</v>
      </c>
      <c r="I180" s="1" t="s">
        <v>998</v>
      </c>
      <c r="J180" s="1" t="s">
        <v>999</v>
      </c>
      <c r="K180" s="1" t="s">
        <v>165</v>
      </c>
      <c r="L180" s="1" t="s">
        <v>156</v>
      </c>
      <c r="M180" s="1" t="s">
        <v>157</v>
      </c>
      <c r="N180" s="1" t="s">
        <v>87</v>
      </c>
      <c r="O180" s="1" t="s">
        <v>1798</v>
      </c>
      <c r="P180" s="1">
        <v>1615</v>
      </c>
      <c r="Q180" s="1">
        <v>1868</v>
      </c>
      <c r="U180" s="1" t="s">
        <v>88</v>
      </c>
      <c r="W180" s="1" t="s">
        <v>89</v>
      </c>
      <c r="X180" s="1" t="s">
        <v>1801</v>
      </c>
      <c r="Z180" s="1" t="s">
        <v>89</v>
      </c>
      <c r="AA180" s="1" t="s">
        <v>90</v>
      </c>
      <c r="AB180" s="1">
        <v>1760</v>
      </c>
      <c r="AC180" s="1">
        <v>1849</v>
      </c>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t="s">
        <v>158</v>
      </c>
      <c r="BG180" s="1">
        <v>1820</v>
      </c>
      <c r="BH180" s="1">
        <v>1842</v>
      </c>
      <c r="BI180" s="1">
        <v>1</v>
      </c>
      <c r="BJ180" s="1"/>
      <c r="BK180" s="1" t="s">
        <v>1760</v>
      </c>
      <c r="BL180" s="1" t="s">
        <v>1746</v>
      </c>
      <c r="BM180" s="1"/>
      <c r="BN180" s="1" t="s">
        <v>1000</v>
      </c>
      <c r="BO180" s="11">
        <v>10.3125</v>
      </c>
      <c r="BP180" s="1">
        <v>15</v>
      </c>
      <c r="BQ180" s="1"/>
      <c r="BR180" s="1">
        <v>26.2</v>
      </c>
      <c r="BS180" s="1">
        <v>38.1</v>
      </c>
      <c r="BT180" s="1"/>
      <c r="BU180" s="1"/>
      <c r="BV180" s="1" t="s">
        <v>309</v>
      </c>
      <c r="BW180" s="1" t="s">
        <v>94</v>
      </c>
      <c r="BX180" s="1" t="s">
        <v>95</v>
      </c>
      <c r="BY180" s="1">
        <v>1922</v>
      </c>
      <c r="BZ180" s="1"/>
      <c r="CA180" s="1"/>
      <c r="CB180" s="1"/>
      <c r="CN180" s="1" t="s">
        <v>96</v>
      </c>
      <c r="CP180" s="8" t="str">
        <f>HYPERLINK("http://www.metmuseum.org/art/collection/search/55286","http://www.metmuseum.org/art/collection/search/55286")</f>
        <v>http://www.metmuseum.org/art/collection/search/55286</v>
      </c>
      <c r="CQ180" s="4">
        <v>42842.333402777775</v>
      </c>
      <c r="CR180" s="1" t="s">
        <v>97</v>
      </c>
    </row>
    <row r="181" spans="1:96" ht="52.5" customHeight="1" x14ac:dyDescent="0.2">
      <c r="A181" s="1" t="s">
        <v>1001</v>
      </c>
      <c r="B181" s="1" t="b">
        <v>0</v>
      </c>
      <c r="C181" s="1" t="b">
        <v>1</v>
      </c>
      <c r="D181" s="1">
        <v>55287</v>
      </c>
      <c r="E181" s="1" t="s">
        <v>85</v>
      </c>
      <c r="F181" s="1" t="s">
        <v>99</v>
      </c>
      <c r="G181" s="1" t="s">
        <v>670</v>
      </c>
      <c r="H181" s="1" t="s">
        <v>671</v>
      </c>
      <c r="I181" s="1" t="s">
        <v>672</v>
      </c>
      <c r="J181" s="1" t="s">
        <v>673</v>
      </c>
      <c r="K181" s="1" t="s">
        <v>165</v>
      </c>
      <c r="L181" s="1" t="s">
        <v>156</v>
      </c>
      <c r="M181" s="1" t="s">
        <v>157</v>
      </c>
      <c r="N181" s="1" t="s">
        <v>87</v>
      </c>
      <c r="O181" s="1" t="s">
        <v>1798</v>
      </c>
      <c r="P181" s="1">
        <v>1615</v>
      </c>
      <c r="Q181" s="1">
        <v>1868</v>
      </c>
      <c r="U181" s="1" t="s">
        <v>88</v>
      </c>
      <c r="W181" s="1" t="s">
        <v>89</v>
      </c>
      <c r="X181" s="1" t="s">
        <v>1801</v>
      </c>
      <c r="Z181" s="1" t="s">
        <v>89</v>
      </c>
      <c r="AA181" s="1" t="s">
        <v>90</v>
      </c>
      <c r="AB181" s="1">
        <v>1760</v>
      </c>
      <c r="AC181" s="1">
        <v>1849</v>
      </c>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t="s">
        <v>158</v>
      </c>
      <c r="BG181" s="1">
        <v>1820</v>
      </c>
      <c r="BH181" s="1">
        <v>1842</v>
      </c>
      <c r="BI181" s="1">
        <v>1</v>
      </c>
      <c r="BJ181" s="1"/>
      <c r="BK181" s="1" t="s">
        <v>1760</v>
      </c>
      <c r="BL181" s="1" t="s">
        <v>1746</v>
      </c>
      <c r="BM181" s="1" t="s">
        <v>615</v>
      </c>
      <c r="BN181" s="1" t="s">
        <v>263</v>
      </c>
      <c r="BO181" s="1">
        <v>10</v>
      </c>
      <c r="BP181" s="1">
        <v>15</v>
      </c>
      <c r="BQ181" s="1"/>
      <c r="BR181" s="1">
        <v>25.4</v>
      </c>
      <c r="BS181" s="1">
        <v>38.1</v>
      </c>
      <c r="BT181" s="1"/>
      <c r="BU181" s="1"/>
      <c r="BV181" s="1" t="s">
        <v>309</v>
      </c>
      <c r="BW181" s="1" t="s">
        <v>94</v>
      </c>
      <c r="BX181" s="1" t="s">
        <v>95</v>
      </c>
      <c r="BY181" s="1">
        <v>1922</v>
      </c>
      <c r="BZ181" s="1"/>
      <c r="CA181" s="1"/>
      <c r="CB181" s="1"/>
      <c r="CN181" s="1" t="s">
        <v>96</v>
      </c>
      <c r="CP181" s="8" t="str">
        <f>HYPERLINK("http://www.metmuseum.org/art/collection/search/55287","http://www.metmuseum.org/art/collection/search/55287")</f>
        <v>http://www.metmuseum.org/art/collection/search/55287</v>
      </c>
      <c r="CQ181" s="4">
        <v>42842.333402777775</v>
      </c>
      <c r="CR181" s="1" t="s">
        <v>97</v>
      </c>
    </row>
    <row r="182" spans="1:96" ht="52.5" customHeight="1" x14ac:dyDescent="0.2">
      <c r="A182" s="1" t="s">
        <v>1002</v>
      </c>
      <c r="B182" s="1" t="b">
        <v>0</v>
      </c>
      <c r="C182" s="1" t="b">
        <v>1</v>
      </c>
      <c r="D182" s="1">
        <v>55288</v>
      </c>
      <c r="E182" s="1" t="s">
        <v>85</v>
      </c>
      <c r="F182" s="1" t="s">
        <v>99</v>
      </c>
      <c r="G182" s="1" t="s">
        <v>1003</v>
      </c>
      <c r="H182" s="1" t="s">
        <v>1004</v>
      </c>
      <c r="I182" s="1" t="s">
        <v>1005</v>
      </c>
      <c r="J182" s="1" t="s">
        <v>1006</v>
      </c>
      <c r="K182" s="1" t="s">
        <v>165</v>
      </c>
      <c r="L182" s="1" t="s">
        <v>156</v>
      </c>
      <c r="M182" s="1" t="s">
        <v>157</v>
      </c>
      <c r="N182" s="1" t="s">
        <v>87</v>
      </c>
      <c r="O182" s="1" t="s">
        <v>1798</v>
      </c>
      <c r="P182" s="1">
        <v>1615</v>
      </c>
      <c r="Q182" s="1">
        <v>1868</v>
      </c>
      <c r="U182" s="1" t="s">
        <v>88</v>
      </c>
      <c r="W182" s="1" t="s">
        <v>89</v>
      </c>
      <c r="X182" s="1" t="s">
        <v>1801</v>
      </c>
      <c r="Z182" s="1" t="s">
        <v>89</v>
      </c>
      <c r="AA182" s="1" t="s">
        <v>90</v>
      </c>
      <c r="AB182" s="1">
        <v>1760</v>
      </c>
      <c r="AC182" s="1">
        <v>1849</v>
      </c>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t="s">
        <v>158</v>
      </c>
      <c r="BG182" s="1">
        <v>1820</v>
      </c>
      <c r="BH182" s="1">
        <v>1842</v>
      </c>
      <c r="BI182" s="1">
        <v>1</v>
      </c>
      <c r="BJ182" s="1"/>
      <c r="BK182" s="1" t="s">
        <v>1760</v>
      </c>
      <c r="BL182" s="1" t="s">
        <v>1746</v>
      </c>
      <c r="BM182" s="1"/>
      <c r="BN182" s="1" t="s">
        <v>1007</v>
      </c>
      <c r="BO182" s="12">
        <v>10.125</v>
      </c>
      <c r="BP182" s="11">
        <v>15.0625</v>
      </c>
      <c r="BQ182" s="11"/>
      <c r="BR182" s="1">
        <v>25.7</v>
      </c>
      <c r="BS182" s="1">
        <v>38.299999999999997</v>
      </c>
      <c r="BT182" s="1"/>
      <c r="BU182" s="1"/>
      <c r="BV182" s="1" t="s">
        <v>309</v>
      </c>
      <c r="BW182" s="1" t="s">
        <v>94</v>
      </c>
      <c r="BX182" s="1" t="s">
        <v>95</v>
      </c>
      <c r="BY182" s="1">
        <v>1922</v>
      </c>
      <c r="BZ182" s="1"/>
      <c r="CA182" s="1"/>
      <c r="CB182" s="1"/>
      <c r="CN182" s="1" t="s">
        <v>96</v>
      </c>
      <c r="CP182" s="8" t="str">
        <f>HYPERLINK("http://www.metmuseum.org/art/collection/search/55288","http://www.metmuseum.org/art/collection/search/55288")</f>
        <v>http://www.metmuseum.org/art/collection/search/55288</v>
      </c>
      <c r="CQ182" s="4">
        <v>42842.333402777775</v>
      </c>
      <c r="CR182" s="1" t="s">
        <v>97</v>
      </c>
    </row>
    <row r="183" spans="1:96" ht="52.5" customHeight="1" x14ac:dyDescent="0.2">
      <c r="A183" s="1" t="s">
        <v>1008</v>
      </c>
      <c r="B183" s="1" t="b">
        <v>0</v>
      </c>
      <c r="C183" s="1" t="b">
        <v>1</v>
      </c>
      <c r="D183" s="1">
        <v>55289</v>
      </c>
      <c r="E183" s="1" t="s">
        <v>85</v>
      </c>
      <c r="F183" s="1" t="s">
        <v>99</v>
      </c>
      <c r="G183" s="1" t="s">
        <v>1009</v>
      </c>
      <c r="H183" s="1" t="s">
        <v>1010</v>
      </c>
      <c r="I183" s="1" t="s">
        <v>1011</v>
      </c>
      <c r="J183" s="1" t="s">
        <v>1012</v>
      </c>
      <c r="K183" s="1" t="s">
        <v>165</v>
      </c>
      <c r="L183" s="1" t="s">
        <v>156</v>
      </c>
      <c r="M183" s="1" t="s">
        <v>157</v>
      </c>
      <c r="N183" s="1" t="s">
        <v>87</v>
      </c>
      <c r="O183" s="1" t="s">
        <v>1798</v>
      </c>
      <c r="P183" s="1">
        <v>1615</v>
      </c>
      <c r="Q183" s="1">
        <v>1868</v>
      </c>
      <c r="U183" s="1" t="s">
        <v>88</v>
      </c>
      <c r="W183" s="1" t="s">
        <v>89</v>
      </c>
      <c r="X183" s="1" t="s">
        <v>1801</v>
      </c>
      <c r="Z183" s="1" t="s">
        <v>89</v>
      </c>
      <c r="AA183" s="1" t="s">
        <v>90</v>
      </c>
      <c r="AB183" s="1">
        <v>1760</v>
      </c>
      <c r="AC183" s="1">
        <v>1849</v>
      </c>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t="s">
        <v>158</v>
      </c>
      <c r="BG183" s="1">
        <v>1820</v>
      </c>
      <c r="BH183" s="1">
        <v>1842</v>
      </c>
      <c r="BI183" s="1">
        <v>1</v>
      </c>
      <c r="BJ183" s="1"/>
      <c r="BK183" s="1" t="s">
        <v>1760</v>
      </c>
      <c r="BL183" s="1" t="s">
        <v>1746</v>
      </c>
      <c r="BM183" s="1"/>
      <c r="BN183" s="1" t="s">
        <v>1013</v>
      </c>
      <c r="BO183" s="12">
        <v>10.125</v>
      </c>
      <c r="BP183" s="11">
        <v>15.1875</v>
      </c>
      <c r="BQ183" s="11"/>
      <c r="BR183" s="1">
        <v>25.7</v>
      </c>
      <c r="BS183" s="1">
        <v>38.6</v>
      </c>
      <c r="BT183" s="1"/>
      <c r="BU183" s="1"/>
      <c r="BV183" s="1" t="s">
        <v>309</v>
      </c>
      <c r="BW183" s="1" t="s">
        <v>94</v>
      </c>
      <c r="BX183" s="1" t="s">
        <v>95</v>
      </c>
      <c r="BY183" s="1">
        <v>1922</v>
      </c>
      <c r="BZ183" s="1"/>
      <c r="CA183" s="1"/>
      <c r="CB183" s="1"/>
      <c r="CN183" s="1" t="s">
        <v>96</v>
      </c>
      <c r="CP183" s="8" t="str">
        <f>HYPERLINK("http://www.metmuseum.org/art/collection/search/55289","http://www.metmuseum.org/art/collection/search/55289")</f>
        <v>http://www.metmuseum.org/art/collection/search/55289</v>
      </c>
      <c r="CQ183" s="4">
        <v>42842.333402777775</v>
      </c>
      <c r="CR183" s="1" t="s">
        <v>97</v>
      </c>
    </row>
    <row r="184" spans="1:96" ht="52.5" customHeight="1" x14ac:dyDescent="0.2">
      <c r="A184" s="1" t="s">
        <v>1014</v>
      </c>
      <c r="B184" s="1" t="b">
        <v>0</v>
      </c>
      <c r="C184" s="1" t="b">
        <v>1</v>
      </c>
      <c r="D184" s="1">
        <v>55290</v>
      </c>
      <c r="E184" s="1" t="s">
        <v>85</v>
      </c>
      <c r="F184" s="1" t="s">
        <v>99</v>
      </c>
      <c r="G184" s="1" t="s">
        <v>311</v>
      </c>
      <c r="H184" s="1" t="s">
        <v>312</v>
      </c>
      <c r="I184" s="1" t="s">
        <v>313</v>
      </c>
      <c r="J184" s="1" t="s">
        <v>314</v>
      </c>
      <c r="K184" s="1" t="s">
        <v>165</v>
      </c>
      <c r="L184" s="1" t="s">
        <v>156</v>
      </c>
      <c r="M184" s="1" t="s">
        <v>157</v>
      </c>
      <c r="N184" s="1" t="s">
        <v>87</v>
      </c>
      <c r="O184" s="1" t="s">
        <v>1798</v>
      </c>
      <c r="P184" s="1">
        <v>1615</v>
      </c>
      <c r="Q184" s="1">
        <v>1868</v>
      </c>
      <c r="U184" s="1" t="s">
        <v>88</v>
      </c>
      <c r="W184" s="1" t="s">
        <v>89</v>
      </c>
      <c r="X184" s="1" t="s">
        <v>1801</v>
      </c>
      <c r="Z184" s="1" t="s">
        <v>89</v>
      </c>
      <c r="AA184" s="1" t="s">
        <v>90</v>
      </c>
      <c r="AB184" s="1">
        <v>1760</v>
      </c>
      <c r="AC184" s="1">
        <v>1849</v>
      </c>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t="s">
        <v>158</v>
      </c>
      <c r="BG184" s="1">
        <v>1820</v>
      </c>
      <c r="BH184" s="1">
        <v>1842</v>
      </c>
      <c r="BI184" s="1">
        <v>1</v>
      </c>
      <c r="BJ184" s="1"/>
      <c r="BK184" s="1" t="s">
        <v>1760</v>
      </c>
      <c r="BL184" s="1" t="s">
        <v>1746</v>
      </c>
      <c r="BM184" s="1"/>
      <c r="BN184" s="1" t="s">
        <v>1015</v>
      </c>
      <c r="BO184" s="12">
        <v>10.25</v>
      </c>
      <c r="BP184" s="1">
        <v>15</v>
      </c>
      <c r="BQ184" s="1"/>
      <c r="BR184" s="1">
        <v>26</v>
      </c>
      <c r="BS184" s="1">
        <v>38.1</v>
      </c>
      <c r="BT184" s="1"/>
      <c r="BU184" s="1"/>
      <c r="BV184" s="1" t="s">
        <v>309</v>
      </c>
      <c r="BW184" s="1" t="s">
        <v>94</v>
      </c>
      <c r="BX184" s="1" t="s">
        <v>95</v>
      </c>
      <c r="BY184" s="1">
        <v>1922</v>
      </c>
      <c r="BZ184" s="1"/>
      <c r="CA184" s="1"/>
      <c r="CB184" s="1"/>
      <c r="CN184" s="1" t="s">
        <v>96</v>
      </c>
      <c r="CP184" s="8" t="str">
        <f>HYPERLINK("http://www.metmuseum.org/art/collection/search/55290","http://www.metmuseum.org/art/collection/search/55290")</f>
        <v>http://www.metmuseum.org/art/collection/search/55290</v>
      </c>
      <c r="CQ184" s="4">
        <v>42842.333402777775</v>
      </c>
      <c r="CR184" s="1" t="s">
        <v>97</v>
      </c>
    </row>
    <row r="185" spans="1:96" ht="52.5" customHeight="1" x14ac:dyDescent="0.2">
      <c r="A185" s="1" t="s">
        <v>1016</v>
      </c>
      <c r="B185" s="1" t="b">
        <v>0</v>
      </c>
      <c r="C185" s="1" t="b">
        <v>1</v>
      </c>
      <c r="D185" s="1">
        <v>55291</v>
      </c>
      <c r="E185" s="1" t="s">
        <v>85</v>
      </c>
      <c r="F185" s="1" t="s">
        <v>99</v>
      </c>
      <c r="G185" s="1" t="s">
        <v>1017</v>
      </c>
      <c r="H185" s="1" t="s">
        <v>1018</v>
      </c>
      <c r="I185" s="1" t="s">
        <v>1019</v>
      </c>
      <c r="J185" s="1" t="s">
        <v>1020</v>
      </c>
      <c r="K185" s="1" t="s">
        <v>165</v>
      </c>
      <c r="L185" s="1" t="s">
        <v>156</v>
      </c>
      <c r="M185" s="1" t="s">
        <v>157</v>
      </c>
      <c r="N185" s="1" t="s">
        <v>87</v>
      </c>
      <c r="O185" s="1" t="s">
        <v>1798</v>
      </c>
      <c r="P185" s="1">
        <v>1615</v>
      </c>
      <c r="Q185" s="1">
        <v>1868</v>
      </c>
      <c r="U185" s="1" t="s">
        <v>88</v>
      </c>
      <c r="W185" s="1" t="s">
        <v>89</v>
      </c>
      <c r="X185" s="1" t="s">
        <v>1801</v>
      </c>
      <c r="Z185" s="1" t="s">
        <v>89</v>
      </c>
      <c r="AA185" s="1" t="s">
        <v>90</v>
      </c>
      <c r="AB185" s="1">
        <v>1760</v>
      </c>
      <c r="AC185" s="1">
        <v>1849</v>
      </c>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t="s">
        <v>158</v>
      </c>
      <c r="BG185" s="1">
        <v>1820</v>
      </c>
      <c r="BH185" s="1">
        <v>1842</v>
      </c>
      <c r="BI185" s="1">
        <v>1</v>
      </c>
      <c r="BJ185" s="1"/>
      <c r="BK185" s="1" t="s">
        <v>1760</v>
      </c>
      <c r="BL185" s="1" t="s">
        <v>1746</v>
      </c>
      <c r="BM185" s="1"/>
      <c r="BN185" s="1" t="s">
        <v>1021</v>
      </c>
      <c r="BO185" s="1">
        <v>10</v>
      </c>
      <c r="BP185" s="12">
        <v>15.25</v>
      </c>
      <c r="BQ185" s="12"/>
      <c r="BR185" s="1">
        <v>25.4</v>
      </c>
      <c r="BS185" s="1">
        <v>38.700000000000003</v>
      </c>
      <c r="BT185" s="1"/>
      <c r="BU185" s="1"/>
      <c r="BV185" s="1" t="s">
        <v>309</v>
      </c>
      <c r="BW185" s="1" t="s">
        <v>94</v>
      </c>
      <c r="BX185" s="1" t="s">
        <v>95</v>
      </c>
      <c r="BY185" s="1">
        <v>1922</v>
      </c>
      <c r="BZ185" s="1"/>
      <c r="CA185" s="1"/>
      <c r="CB185" s="1"/>
      <c r="CN185" s="1" t="s">
        <v>96</v>
      </c>
      <c r="CP185" s="8" t="str">
        <f>HYPERLINK("http://www.metmuseum.org/art/collection/search/55291","http://www.metmuseum.org/art/collection/search/55291")</f>
        <v>http://www.metmuseum.org/art/collection/search/55291</v>
      </c>
      <c r="CQ185" s="4">
        <v>42842.333402777775</v>
      </c>
      <c r="CR185" s="1" t="s">
        <v>97</v>
      </c>
    </row>
    <row r="186" spans="1:96" ht="52.5" customHeight="1" x14ac:dyDescent="0.2">
      <c r="A186" s="1" t="s">
        <v>1022</v>
      </c>
      <c r="B186" s="1" t="b">
        <v>0</v>
      </c>
      <c r="C186" s="1" t="b">
        <v>1</v>
      </c>
      <c r="D186" s="1">
        <v>55306</v>
      </c>
      <c r="E186" s="1" t="s">
        <v>85</v>
      </c>
      <c r="F186" s="1" t="s">
        <v>99</v>
      </c>
      <c r="G186" s="1" t="s">
        <v>1023</v>
      </c>
      <c r="H186" s="1" t="s">
        <v>1024</v>
      </c>
      <c r="I186" s="1" t="s">
        <v>1025</v>
      </c>
      <c r="J186" s="1" t="s">
        <v>1026</v>
      </c>
      <c r="K186" s="1" t="s">
        <v>115</v>
      </c>
      <c r="L186" s="1" t="s">
        <v>116</v>
      </c>
      <c r="M186" s="1" t="s">
        <v>117</v>
      </c>
      <c r="N186" s="1" t="s">
        <v>87</v>
      </c>
      <c r="O186" s="1" t="s">
        <v>1798</v>
      </c>
      <c r="P186" s="1">
        <v>1615</v>
      </c>
      <c r="Q186" s="1">
        <v>1868</v>
      </c>
      <c r="U186" s="1" t="s">
        <v>88</v>
      </c>
      <c r="W186" s="1" t="s">
        <v>89</v>
      </c>
      <c r="X186" s="1" t="s">
        <v>1801</v>
      </c>
      <c r="Z186" s="1" t="s">
        <v>89</v>
      </c>
      <c r="AA186" s="1" t="s">
        <v>90</v>
      </c>
      <c r="AB186" s="1">
        <v>1760</v>
      </c>
      <c r="AC186" s="1">
        <v>1849</v>
      </c>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v>1839</v>
      </c>
      <c r="BG186" s="1">
        <v>1839</v>
      </c>
      <c r="BH186" s="1">
        <v>1839</v>
      </c>
      <c r="BI186" s="1">
        <v>1</v>
      </c>
      <c r="BJ186" s="1"/>
      <c r="BK186" s="1" t="s">
        <v>1760</v>
      </c>
      <c r="BL186" s="1" t="s">
        <v>1746</v>
      </c>
      <c r="BM186" s="1"/>
      <c r="BN186" s="1" t="s">
        <v>1027</v>
      </c>
      <c r="BO186" s="11">
        <v>9.9375</v>
      </c>
      <c r="BP186" s="11">
        <v>14.3125</v>
      </c>
      <c r="BQ186" s="11"/>
      <c r="BR186" s="1">
        <v>25.2</v>
      </c>
      <c r="BS186" s="1">
        <v>36.4</v>
      </c>
      <c r="BT186" s="1"/>
      <c r="BU186" s="1"/>
      <c r="BV186" s="1" t="s">
        <v>309</v>
      </c>
      <c r="BW186" s="1" t="s">
        <v>94</v>
      </c>
      <c r="BX186" s="1" t="s">
        <v>95</v>
      </c>
      <c r="BY186" s="1">
        <v>1922</v>
      </c>
      <c r="BZ186" s="1"/>
      <c r="CA186" s="1"/>
      <c r="CB186" s="1"/>
      <c r="CN186" s="1" t="s">
        <v>96</v>
      </c>
      <c r="CP186" s="8" t="str">
        <f>HYPERLINK("http://www.metmuseum.org/art/collection/search/55306","http://www.metmuseum.org/art/collection/search/55306")</f>
        <v>http://www.metmuseum.org/art/collection/search/55306</v>
      </c>
      <c r="CQ186" s="4">
        <v>42842.333402777775</v>
      </c>
      <c r="CR186" s="1" t="s">
        <v>97</v>
      </c>
    </row>
    <row r="187" spans="1:96" ht="52.5" customHeight="1" x14ac:dyDescent="0.2">
      <c r="A187" s="1" t="s">
        <v>1028</v>
      </c>
      <c r="B187" s="1" t="b">
        <v>0</v>
      </c>
      <c r="C187" s="1" t="b">
        <v>1</v>
      </c>
      <c r="D187" s="1">
        <v>55369</v>
      </c>
      <c r="E187" s="1" t="s">
        <v>85</v>
      </c>
      <c r="F187" s="1" t="s">
        <v>99</v>
      </c>
      <c r="G187" s="1" t="s">
        <v>1029</v>
      </c>
      <c r="H187" s="1" t="s">
        <v>1030</v>
      </c>
      <c r="I187" s="1" t="s">
        <v>1031</v>
      </c>
      <c r="J187" s="1" t="s">
        <v>1032</v>
      </c>
      <c r="K187" s="1" t="s">
        <v>165</v>
      </c>
      <c r="L187" s="1" t="s">
        <v>156</v>
      </c>
      <c r="M187" s="1" t="s">
        <v>157</v>
      </c>
      <c r="N187" s="1" t="s">
        <v>87</v>
      </c>
      <c r="O187" s="1" t="s">
        <v>1798</v>
      </c>
      <c r="P187" s="1">
        <v>1615</v>
      </c>
      <c r="Q187" s="1">
        <v>1868</v>
      </c>
      <c r="U187" s="1" t="s">
        <v>88</v>
      </c>
      <c r="W187" s="1" t="s">
        <v>89</v>
      </c>
      <c r="X187" s="1" t="s">
        <v>1801</v>
      </c>
      <c r="Z187" s="1" t="s">
        <v>89</v>
      </c>
      <c r="AA187" s="1" t="s">
        <v>90</v>
      </c>
      <c r="AB187" s="1">
        <v>1760</v>
      </c>
      <c r="AC187" s="1">
        <v>1849</v>
      </c>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t="s">
        <v>158</v>
      </c>
      <c r="BG187" s="1">
        <v>1830</v>
      </c>
      <c r="BH187" s="1">
        <v>1832</v>
      </c>
      <c r="BI187" s="1">
        <v>1</v>
      </c>
      <c r="BJ187" s="1"/>
      <c r="BK187" s="1" t="s">
        <v>1760</v>
      </c>
      <c r="BL187" s="1" t="s">
        <v>1746</v>
      </c>
      <c r="BM187" s="1"/>
      <c r="BN187" s="1" t="s">
        <v>682</v>
      </c>
      <c r="BO187" s="12">
        <v>9.75</v>
      </c>
      <c r="BP187" s="11">
        <v>14.5625</v>
      </c>
      <c r="BQ187" s="11"/>
      <c r="BR187" s="1">
        <v>24.8</v>
      </c>
      <c r="BS187" s="1">
        <v>37</v>
      </c>
      <c r="BT187" s="1"/>
      <c r="BU187" s="1"/>
      <c r="BV187" s="1" t="s">
        <v>309</v>
      </c>
      <c r="BW187" s="1" t="s">
        <v>94</v>
      </c>
      <c r="BX187" s="1" t="s">
        <v>95</v>
      </c>
      <c r="BY187" s="1">
        <v>1922</v>
      </c>
      <c r="BZ187" s="1"/>
      <c r="CA187" s="1"/>
      <c r="CB187" s="1"/>
      <c r="CN187" s="1" t="s">
        <v>96</v>
      </c>
      <c r="CP187" s="8" t="str">
        <f>HYPERLINK("http://www.metmuseum.org/art/collection/search/55369","http://www.metmuseum.org/art/collection/search/55369")</f>
        <v>http://www.metmuseum.org/art/collection/search/55369</v>
      </c>
      <c r="CQ187" s="4">
        <v>42842.333402777775</v>
      </c>
      <c r="CR187" s="1" t="s">
        <v>97</v>
      </c>
    </row>
    <row r="188" spans="1:96" ht="52.5" customHeight="1" x14ac:dyDescent="0.2">
      <c r="A188" s="1" t="s">
        <v>1033</v>
      </c>
      <c r="B188" s="1" t="b">
        <v>0</v>
      </c>
      <c r="C188" s="1" t="b">
        <v>1</v>
      </c>
      <c r="D188" s="1">
        <v>55402</v>
      </c>
      <c r="E188" s="1" t="s">
        <v>85</v>
      </c>
      <c r="F188" s="1" t="s">
        <v>99</v>
      </c>
      <c r="G188" s="1" t="s">
        <v>1034</v>
      </c>
      <c r="H188" s="1" t="s">
        <v>1035</v>
      </c>
      <c r="I188" s="1" t="s">
        <v>1036</v>
      </c>
      <c r="J188" s="1" t="s">
        <v>1037</v>
      </c>
      <c r="K188" s="1" t="s">
        <v>415</v>
      </c>
      <c r="L188" s="1" t="s">
        <v>416</v>
      </c>
      <c r="M188" s="1" t="s">
        <v>417</v>
      </c>
      <c r="N188" s="1" t="s">
        <v>87</v>
      </c>
      <c r="O188" s="1" t="s">
        <v>1798</v>
      </c>
      <c r="P188" s="1">
        <v>1615</v>
      </c>
      <c r="Q188" s="1">
        <v>1868</v>
      </c>
      <c r="U188" s="1" t="s">
        <v>88</v>
      </c>
      <c r="W188" s="1" t="s">
        <v>89</v>
      </c>
      <c r="X188" s="1" t="s">
        <v>1801</v>
      </c>
      <c r="Z188" s="1" t="s">
        <v>89</v>
      </c>
      <c r="AA188" s="1" t="s">
        <v>90</v>
      </c>
      <c r="AB188" s="1">
        <v>1760</v>
      </c>
      <c r="AC188" s="1">
        <v>1849</v>
      </c>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t="s">
        <v>418</v>
      </c>
      <c r="BG188" s="1">
        <v>1823</v>
      </c>
      <c r="BH188" s="1">
        <v>1843</v>
      </c>
      <c r="BI188" s="1">
        <v>1</v>
      </c>
      <c r="BJ188" s="1"/>
      <c r="BK188" s="1" t="s">
        <v>1760</v>
      </c>
      <c r="BL188" s="1" t="s">
        <v>1746</v>
      </c>
      <c r="BM188" s="1"/>
      <c r="BN188" s="1" t="s">
        <v>1038</v>
      </c>
      <c r="BO188" s="12">
        <v>10.25</v>
      </c>
      <c r="BP188" s="11">
        <v>14.9375</v>
      </c>
      <c r="BQ188" s="11"/>
      <c r="BR188" s="1">
        <v>26</v>
      </c>
      <c r="BS188" s="1">
        <v>37.9</v>
      </c>
      <c r="BT188" s="1"/>
      <c r="BU188" s="1"/>
      <c r="BV188" s="1" t="s">
        <v>309</v>
      </c>
      <c r="BW188" s="1" t="s">
        <v>94</v>
      </c>
      <c r="BX188" s="1" t="s">
        <v>95</v>
      </c>
      <c r="BY188" s="1">
        <v>1922</v>
      </c>
      <c r="BZ188" s="1"/>
      <c r="CA188" s="1"/>
      <c r="CB188" s="1"/>
      <c r="CN188" s="1" t="s">
        <v>96</v>
      </c>
      <c r="CP188" s="8" t="str">
        <f>HYPERLINK("http://www.metmuseum.org/art/collection/search/55402","http://www.metmuseum.org/art/collection/search/55402")</f>
        <v>http://www.metmuseum.org/art/collection/search/55402</v>
      </c>
      <c r="CQ188" s="4">
        <v>42842.333402777775</v>
      </c>
      <c r="CR188" s="1" t="s">
        <v>97</v>
      </c>
    </row>
    <row r="189" spans="1:96" ht="52.5" customHeight="1" x14ac:dyDescent="0.2">
      <c r="A189" s="1" t="s">
        <v>1039</v>
      </c>
      <c r="B189" s="1" t="b">
        <v>0</v>
      </c>
      <c r="C189" s="1" t="b">
        <v>1</v>
      </c>
      <c r="D189" s="1">
        <v>55454</v>
      </c>
      <c r="E189" s="1" t="s">
        <v>85</v>
      </c>
      <c r="F189" s="1" t="s">
        <v>99</v>
      </c>
      <c r="G189" s="1" t="s">
        <v>1040</v>
      </c>
      <c r="H189" s="1" t="s">
        <v>1041</v>
      </c>
      <c r="I189" s="1" t="s">
        <v>1042</v>
      </c>
      <c r="J189" s="1" t="s">
        <v>1043</v>
      </c>
      <c r="K189" s="1" t="s">
        <v>1044</v>
      </c>
      <c r="L189" s="1" t="s">
        <v>116</v>
      </c>
      <c r="M189" s="1" t="s">
        <v>117</v>
      </c>
      <c r="N189" s="1" t="s">
        <v>87</v>
      </c>
      <c r="O189" s="1" t="s">
        <v>1798</v>
      </c>
      <c r="P189" s="1">
        <v>1615</v>
      </c>
      <c r="Q189" s="1">
        <v>1868</v>
      </c>
      <c r="U189" s="1" t="s">
        <v>88</v>
      </c>
      <c r="W189" s="1" t="s">
        <v>89</v>
      </c>
      <c r="X189" s="1" t="s">
        <v>1801</v>
      </c>
      <c r="Z189" s="1" t="s">
        <v>89</v>
      </c>
      <c r="AA189" s="1" t="s">
        <v>90</v>
      </c>
      <c r="AB189" s="1">
        <v>1760</v>
      </c>
      <c r="AC189" s="1">
        <v>1849</v>
      </c>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v>1839</v>
      </c>
      <c r="BG189" s="1">
        <v>1839</v>
      </c>
      <c r="BH189" s="1">
        <v>1839</v>
      </c>
      <c r="BI189" s="1">
        <v>1</v>
      </c>
      <c r="BJ189" s="1"/>
      <c r="BK189" s="1" t="s">
        <v>1760</v>
      </c>
      <c r="BL189" s="1" t="s">
        <v>1746</v>
      </c>
      <c r="BM189" s="1"/>
      <c r="BN189" s="1" t="s">
        <v>1045</v>
      </c>
      <c r="BO189" s="12">
        <v>10.125</v>
      </c>
      <c r="BP189" s="1">
        <v>15</v>
      </c>
      <c r="BQ189" s="1"/>
      <c r="BR189" s="1">
        <v>25.7</v>
      </c>
      <c r="BS189" s="1">
        <v>38.1</v>
      </c>
      <c r="BT189" s="1"/>
      <c r="BU189" s="1"/>
      <c r="BV189" s="1" t="s">
        <v>309</v>
      </c>
      <c r="BW189" s="1" t="s">
        <v>94</v>
      </c>
      <c r="BX189" s="1" t="s">
        <v>95</v>
      </c>
      <c r="BY189" s="1">
        <v>1922</v>
      </c>
      <c r="BZ189" s="1"/>
      <c r="CA189" s="1"/>
      <c r="CB189" s="1"/>
      <c r="CN189" s="1" t="s">
        <v>96</v>
      </c>
      <c r="CP189" s="8" t="str">
        <f>HYPERLINK("http://www.metmuseum.org/art/collection/search/55454","http://www.metmuseum.org/art/collection/search/55454")</f>
        <v>http://www.metmuseum.org/art/collection/search/55454</v>
      </c>
      <c r="CQ189" s="4">
        <v>42842.333402777775</v>
      </c>
      <c r="CR189" s="1" t="s">
        <v>97</v>
      </c>
    </row>
    <row r="190" spans="1:96" ht="52.5" customHeight="1" x14ac:dyDescent="0.2">
      <c r="A190" s="1" t="s">
        <v>1046</v>
      </c>
      <c r="B190" s="1" t="b">
        <v>0</v>
      </c>
      <c r="C190" s="1" t="b">
        <v>1</v>
      </c>
      <c r="D190" s="1">
        <v>55456</v>
      </c>
      <c r="E190" s="1" t="s">
        <v>85</v>
      </c>
      <c r="F190" s="1" t="s">
        <v>99</v>
      </c>
      <c r="G190" s="1" t="s">
        <v>455</v>
      </c>
      <c r="H190" s="1" t="s">
        <v>456</v>
      </c>
      <c r="I190" s="1" t="s">
        <v>457</v>
      </c>
      <c r="J190" s="1" t="s">
        <v>458</v>
      </c>
      <c r="K190" s="1" t="s">
        <v>165</v>
      </c>
      <c r="L190" s="1" t="s">
        <v>156</v>
      </c>
      <c r="M190" s="1" t="s">
        <v>157</v>
      </c>
      <c r="N190" s="1" t="s">
        <v>87</v>
      </c>
      <c r="O190" s="1" t="s">
        <v>1798</v>
      </c>
      <c r="P190" s="1">
        <v>1615</v>
      </c>
      <c r="Q190" s="1">
        <v>1868</v>
      </c>
      <c r="U190" s="1" t="s">
        <v>88</v>
      </c>
      <c r="W190" s="1" t="s">
        <v>89</v>
      </c>
      <c r="X190" s="1" t="s">
        <v>1801</v>
      </c>
      <c r="Z190" s="1" t="s">
        <v>89</v>
      </c>
      <c r="AA190" s="1" t="s">
        <v>90</v>
      </c>
      <c r="AB190" s="1">
        <v>1760</v>
      </c>
      <c r="AC190" s="1">
        <v>1849</v>
      </c>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t="s">
        <v>158</v>
      </c>
      <c r="BG190" s="1">
        <v>1820</v>
      </c>
      <c r="BH190" s="1">
        <v>1842</v>
      </c>
      <c r="BI190" s="1">
        <v>1</v>
      </c>
      <c r="BJ190" s="1"/>
      <c r="BK190" s="1" t="s">
        <v>1760</v>
      </c>
      <c r="BL190" s="1" t="s">
        <v>1746</v>
      </c>
      <c r="BM190" s="1"/>
      <c r="BN190" s="1" t="s">
        <v>1047</v>
      </c>
      <c r="BO190" s="11">
        <v>9.6875</v>
      </c>
      <c r="BP190" s="12">
        <v>14.25</v>
      </c>
      <c r="BQ190" s="12"/>
      <c r="BR190" s="1">
        <v>24.6</v>
      </c>
      <c r="BS190" s="1">
        <v>36.200000000000003</v>
      </c>
      <c r="BT190" s="1"/>
      <c r="BU190" s="1"/>
      <c r="BV190" s="1" t="s">
        <v>309</v>
      </c>
      <c r="BW190" s="1" t="s">
        <v>94</v>
      </c>
      <c r="BX190" s="1" t="s">
        <v>95</v>
      </c>
      <c r="BY190" s="1">
        <v>1922</v>
      </c>
      <c r="BZ190" s="1"/>
      <c r="CA190" s="1"/>
      <c r="CB190" s="1"/>
      <c r="CN190" s="1" t="s">
        <v>96</v>
      </c>
      <c r="CP190" s="8" t="str">
        <f>HYPERLINK("http://www.metmuseum.org/art/collection/search/55456","http://www.metmuseum.org/art/collection/search/55456")</f>
        <v>http://www.metmuseum.org/art/collection/search/55456</v>
      </c>
      <c r="CQ190" s="4">
        <v>42842.333402777775</v>
      </c>
      <c r="CR190" s="1" t="s">
        <v>97</v>
      </c>
    </row>
    <row r="191" spans="1:96" ht="52.5" customHeight="1" x14ac:dyDescent="0.2">
      <c r="A191" s="1" t="s">
        <v>1048</v>
      </c>
      <c r="B191" s="1" t="b">
        <v>0</v>
      </c>
      <c r="C191" s="1" t="b">
        <v>1</v>
      </c>
      <c r="D191" s="1">
        <v>55458</v>
      </c>
      <c r="E191" s="1" t="s">
        <v>85</v>
      </c>
      <c r="F191" s="1" t="s">
        <v>99</v>
      </c>
      <c r="G191" s="1" t="s">
        <v>1029</v>
      </c>
      <c r="H191" s="1" t="s">
        <v>1030</v>
      </c>
      <c r="I191" s="1" t="s">
        <v>1031</v>
      </c>
      <c r="J191" s="1" t="s">
        <v>1032</v>
      </c>
      <c r="K191" s="1" t="s">
        <v>165</v>
      </c>
      <c r="L191" s="1" t="s">
        <v>156</v>
      </c>
      <c r="M191" s="1" t="s">
        <v>157</v>
      </c>
      <c r="N191" s="1" t="s">
        <v>87</v>
      </c>
      <c r="O191" s="1" t="s">
        <v>1798</v>
      </c>
      <c r="P191" s="1">
        <v>1615</v>
      </c>
      <c r="Q191" s="1">
        <v>1868</v>
      </c>
      <c r="U191" s="1" t="s">
        <v>88</v>
      </c>
      <c r="W191" s="1" t="s">
        <v>89</v>
      </c>
      <c r="X191" s="1" t="s">
        <v>1801</v>
      </c>
      <c r="Z191" s="1" t="s">
        <v>89</v>
      </c>
      <c r="AA191" s="1" t="s">
        <v>90</v>
      </c>
      <c r="AB191" s="1">
        <v>1760</v>
      </c>
      <c r="AC191" s="1">
        <v>1849</v>
      </c>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t="s">
        <v>158</v>
      </c>
      <c r="BG191" s="1">
        <v>1820</v>
      </c>
      <c r="BH191" s="1">
        <v>1842</v>
      </c>
      <c r="BI191" s="1">
        <v>1</v>
      </c>
      <c r="BJ191" s="1"/>
      <c r="BK191" s="1" t="s">
        <v>1760</v>
      </c>
      <c r="BL191" s="1" t="s">
        <v>1746</v>
      </c>
      <c r="BM191" s="1"/>
      <c r="BN191" s="1" t="s">
        <v>1049</v>
      </c>
      <c r="BO191" s="11">
        <v>9.9375</v>
      </c>
      <c r="BP191" s="12">
        <v>14.75</v>
      </c>
      <c r="BQ191" s="12"/>
      <c r="BR191" s="1">
        <v>25.2</v>
      </c>
      <c r="BS191" s="1">
        <v>37.5</v>
      </c>
      <c r="BT191" s="1"/>
      <c r="BU191" s="1"/>
      <c r="BV191" s="1" t="s">
        <v>309</v>
      </c>
      <c r="BW191" s="1" t="s">
        <v>94</v>
      </c>
      <c r="BX191" s="1" t="s">
        <v>95</v>
      </c>
      <c r="BY191" s="1">
        <v>1922</v>
      </c>
      <c r="BZ191" s="1"/>
      <c r="CA191" s="1"/>
      <c r="CB191" s="1"/>
      <c r="CN191" s="1" t="s">
        <v>96</v>
      </c>
      <c r="CP191" s="8" t="str">
        <f>HYPERLINK("http://www.metmuseum.org/art/collection/search/55458","http://www.metmuseum.org/art/collection/search/55458")</f>
        <v>http://www.metmuseum.org/art/collection/search/55458</v>
      </c>
      <c r="CQ191" s="4">
        <v>42842.333402777775</v>
      </c>
      <c r="CR191" s="1" t="s">
        <v>97</v>
      </c>
    </row>
    <row r="192" spans="1:96" ht="66" customHeight="1" x14ac:dyDescent="0.2">
      <c r="A192" s="1" t="s">
        <v>1050</v>
      </c>
      <c r="B192" s="1" t="b">
        <v>0</v>
      </c>
      <c r="C192" s="1" t="b">
        <v>1</v>
      </c>
      <c r="D192" s="1">
        <v>55461</v>
      </c>
      <c r="E192" s="1" t="s">
        <v>85</v>
      </c>
      <c r="F192" s="1" t="s">
        <v>99</v>
      </c>
      <c r="G192" s="1" t="s">
        <v>893</v>
      </c>
      <c r="H192" s="1" t="s">
        <v>894</v>
      </c>
      <c r="I192" s="1" t="s">
        <v>895</v>
      </c>
      <c r="J192" s="1" t="s">
        <v>896</v>
      </c>
      <c r="K192" s="1" t="s">
        <v>432</v>
      </c>
      <c r="L192" s="1" t="s">
        <v>105</v>
      </c>
      <c r="M192" s="1" t="s">
        <v>433</v>
      </c>
      <c r="N192" s="1" t="s">
        <v>87</v>
      </c>
      <c r="O192" s="1" t="s">
        <v>1798</v>
      </c>
      <c r="P192" s="1">
        <v>1615</v>
      </c>
      <c r="Q192" s="1">
        <v>1868</v>
      </c>
      <c r="U192" s="1" t="s">
        <v>88</v>
      </c>
      <c r="W192" s="1" t="s">
        <v>89</v>
      </c>
      <c r="X192" s="1" t="s">
        <v>1801</v>
      </c>
      <c r="Z192" s="1" t="s">
        <v>89</v>
      </c>
      <c r="AA192" s="1" t="s">
        <v>90</v>
      </c>
      <c r="AB192" s="1">
        <v>1760</v>
      </c>
      <c r="AC192" s="1">
        <v>1849</v>
      </c>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t="s">
        <v>404</v>
      </c>
      <c r="BG192" s="1">
        <v>1822</v>
      </c>
      <c r="BH192" s="1">
        <v>1842</v>
      </c>
      <c r="BI192" s="1">
        <v>1</v>
      </c>
      <c r="BJ192" s="1"/>
      <c r="BK192" s="1" t="s">
        <v>1760</v>
      </c>
      <c r="BL192" s="1" t="s">
        <v>1746</v>
      </c>
      <c r="BM192" s="1"/>
      <c r="BN192" s="1" t="s">
        <v>1051</v>
      </c>
      <c r="BO192" s="12">
        <v>14.75</v>
      </c>
      <c r="BP192" s="1">
        <v>10</v>
      </c>
      <c r="BQ192" s="1"/>
      <c r="BR192" s="1">
        <v>37.5</v>
      </c>
      <c r="BS192" s="1">
        <v>25.4</v>
      </c>
      <c r="BT192" s="1"/>
      <c r="BU192" s="1"/>
      <c r="BV192" s="1" t="s">
        <v>309</v>
      </c>
      <c r="BW192" s="1" t="s">
        <v>94</v>
      </c>
      <c r="BX192" s="1" t="s">
        <v>95</v>
      </c>
      <c r="BY192" s="1">
        <v>1922</v>
      </c>
      <c r="BZ192" s="1"/>
      <c r="CA192" s="1"/>
      <c r="CB192" s="1"/>
      <c r="CN192" s="1" t="s">
        <v>96</v>
      </c>
      <c r="CP192" s="8" t="str">
        <f>HYPERLINK("http://www.metmuseum.org/art/collection/search/55461","http://www.metmuseum.org/art/collection/search/55461")</f>
        <v>http://www.metmuseum.org/art/collection/search/55461</v>
      </c>
      <c r="CQ192" s="4">
        <v>42842.333402777775</v>
      </c>
      <c r="CR192" s="1" t="s">
        <v>97</v>
      </c>
    </row>
    <row r="193" spans="1:96" ht="52.5" customHeight="1" x14ac:dyDescent="0.2">
      <c r="A193" s="1" t="s">
        <v>1052</v>
      </c>
      <c r="B193" s="1" t="b">
        <v>0</v>
      </c>
      <c r="C193" s="1" t="b">
        <v>1</v>
      </c>
      <c r="D193" s="1">
        <v>55463</v>
      </c>
      <c r="E193" s="1" t="s">
        <v>85</v>
      </c>
      <c r="F193" s="1" t="s">
        <v>99</v>
      </c>
      <c r="G193" s="1" t="s">
        <v>1053</v>
      </c>
      <c r="H193" s="1" t="s">
        <v>1054</v>
      </c>
      <c r="I193" s="1" t="s">
        <v>1055</v>
      </c>
      <c r="J193" s="1" t="s">
        <v>1056</v>
      </c>
      <c r="K193" s="1" t="s">
        <v>415</v>
      </c>
      <c r="L193" s="1" t="s">
        <v>416</v>
      </c>
      <c r="M193" s="1" t="s">
        <v>417</v>
      </c>
      <c r="N193" s="1" t="s">
        <v>87</v>
      </c>
      <c r="O193" s="1" t="s">
        <v>1798</v>
      </c>
      <c r="P193" s="1">
        <v>1615</v>
      </c>
      <c r="Q193" s="1">
        <v>1868</v>
      </c>
      <c r="U193" s="1" t="s">
        <v>88</v>
      </c>
      <c r="W193" s="1" t="s">
        <v>89</v>
      </c>
      <c r="X193" s="1" t="s">
        <v>1801</v>
      </c>
      <c r="Z193" s="1" t="s">
        <v>89</v>
      </c>
      <c r="AA193" s="1" t="s">
        <v>90</v>
      </c>
      <c r="AB193" s="1">
        <v>1760</v>
      </c>
      <c r="AC193" s="1">
        <v>1849</v>
      </c>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t="s">
        <v>418</v>
      </c>
      <c r="BG193" s="1">
        <v>1823</v>
      </c>
      <c r="BH193" s="1">
        <v>1843</v>
      </c>
      <c r="BI193" s="1">
        <v>1</v>
      </c>
      <c r="BJ193" s="1"/>
      <c r="BK193" s="1" t="s">
        <v>1760</v>
      </c>
      <c r="BL193" s="1" t="s">
        <v>1746</v>
      </c>
      <c r="BM193" s="1"/>
      <c r="BN193" s="1" t="s">
        <v>1057</v>
      </c>
      <c r="BO193" s="12">
        <v>9.625</v>
      </c>
      <c r="BP193" s="11">
        <v>14.5625</v>
      </c>
      <c r="BQ193" s="11"/>
      <c r="BR193" s="1">
        <v>24.4</v>
      </c>
      <c r="BS193" s="1">
        <v>37</v>
      </c>
      <c r="BT193" s="1"/>
      <c r="BU193" s="1"/>
      <c r="BV193" s="1" t="s">
        <v>309</v>
      </c>
      <c r="BW193" s="1" t="s">
        <v>94</v>
      </c>
      <c r="BX193" s="1" t="s">
        <v>95</v>
      </c>
      <c r="BY193" s="1">
        <v>1922</v>
      </c>
      <c r="BZ193" s="1"/>
      <c r="CA193" s="1"/>
      <c r="CB193" s="1"/>
      <c r="CN193" s="1" t="s">
        <v>96</v>
      </c>
      <c r="CP193" s="8" t="str">
        <f>HYPERLINK("http://www.metmuseum.org/art/collection/search/55463","http://www.metmuseum.org/art/collection/search/55463")</f>
        <v>http://www.metmuseum.org/art/collection/search/55463</v>
      </c>
      <c r="CQ193" s="4">
        <v>42842.333402777775</v>
      </c>
      <c r="CR193" s="1" t="s">
        <v>97</v>
      </c>
    </row>
    <row r="194" spans="1:96" ht="52.5" customHeight="1" x14ac:dyDescent="0.2">
      <c r="A194" s="1" t="s">
        <v>1058</v>
      </c>
      <c r="B194" s="1" t="b">
        <v>0</v>
      </c>
      <c r="C194" s="1" t="b">
        <v>1</v>
      </c>
      <c r="D194" s="1">
        <v>55466</v>
      </c>
      <c r="E194" s="1" t="s">
        <v>85</v>
      </c>
      <c r="F194" s="1" t="s">
        <v>99</v>
      </c>
      <c r="G194" s="1" t="s">
        <v>606</v>
      </c>
      <c r="H194" s="1" t="s">
        <v>607</v>
      </c>
      <c r="I194" s="1" t="s">
        <v>608</v>
      </c>
      <c r="J194" s="1" t="s">
        <v>609</v>
      </c>
      <c r="K194" s="1" t="s">
        <v>591</v>
      </c>
      <c r="L194" s="1" t="s">
        <v>592</v>
      </c>
      <c r="M194" s="1" t="s">
        <v>1059</v>
      </c>
      <c r="N194" s="1" t="s">
        <v>87</v>
      </c>
      <c r="O194" s="1" t="s">
        <v>1798</v>
      </c>
      <c r="P194" s="1">
        <v>1615</v>
      </c>
      <c r="Q194" s="1">
        <v>1868</v>
      </c>
      <c r="U194" s="1" t="s">
        <v>88</v>
      </c>
      <c r="W194" s="1" t="s">
        <v>89</v>
      </c>
      <c r="X194" s="1" t="s">
        <v>1801</v>
      </c>
      <c r="Z194" s="1" t="s">
        <v>89</v>
      </c>
      <c r="AA194" s="1" t="s">
        <v>90</v>
      </c>
      <c r="AB194" s="1">
        <v>1760</v>
      </c>
      <c r="AC194" s="1">
        <v>1849</v>
      </c>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v>1832</v>
      </c>
      <c r="BG194" s="1">
        <v>1822</v>
      </c>
      <c r="BH194" s="1">
        <v>1842</v>
      </c>
      <c r="BI194" s="1">
        <v>1</v>
      </c>
      <c r="BJ194" s="1"/>
      <c r="BK194" s="1" t="s">
        <v>1760</v>
      </c>
      <c r="BL194" s="1" t="s">
        <v>1746</v>
      </c>
      <c r="BM194" s="1"/>
      <c r="BN194" s="1" t="s">
        <v>1060</v>
      </c>
      <c r="BO194" s="11">
        <v>10.0625</v>
      </c>
      <c r="BP194" s="12">
        <v>14.625</v>
      </c>
      <c r="BQ194" s="12"/>
      <c r="BR194" s="1">
        <v>25.6</v>
      </c>
      <c r="BS194" s="1">
        <v>37.1</v>
      </c>
      <c r="BT194" s="1"/>
      <c r="BU194" s="1"/>
      <c r="BV194" s="1" t="s">
        <v>309</v>
      </c>
      <c r="BW194" s="1" t="s">
        <v>94</v>
      </c>
      <c r="BX194" s="1" t="s">
        <v>95</v>
      </c>
      <c r="BY194" s="1">
        <v>1922</v>
      </c>
      <c r="BZ194" s="1"/>
      <c r="CA194" s="1"/>
      <c r="CB194" s="1"/>
      <c r="CN194" s="1" t="s">
        <v>96</v>
      </c>
      <c r="CP194" s="8" t="str">
        <f>HYPERLINK("http://www.metmuseum.org/art/collection/search/55466","http://www.metmuseum.org/art/collection/search/55466")</f>
        <v>http://www.metmuseum.org/art/collection/search/55466</v>
      </c>
      <c r="CQ194" s="4">
        <v>42842.333402777775</v>
      </c>
      <c r="CR194" s="1" t="s">
        <v>97</v>
      </c>
    </row>
    <row r="195" spans="1:96" ht="52.5" customHeight="1" x14ac:dyDescent="0.2">
      <c r="A195" s="1" t="s">
        <v>1061</v>
      </c>
      <c r="B195" s="1" t="b">
        <v>0</v>
      </c>
      <c r="C195" s="1" t="b">
        <v>1</v>
      </c>
      <c r="D195" s="1">
        <v>55503</v>
      </c>
      <c r="E195" s="1" t="s">
        <v>85</v>
      </c>
      <c r="F195" s="1" t="s">
        <v>99</v>
      </c>
      <c r="G195" s="1" t="s">
        <v>1062</v>
      </c>
      <c r="H195" s="1" t="s">
        <v>1063</v>
      </c>
      <c r="I195" s="1" t="s">
        <v>1064</v>
      </c>
      <c r="J195" s="1" t="s">
        <v>1065</v>
      </c>
      <c r="K195" s="1" t="s">
        <v>165</v>
      </c>
      <c r="L195" s="1" t="s">
        <v>156</v>
      </c>
      <c r="M195" s="1" t="s">
        <v>157</v>
      </c>
      <c r="N195" s="1" t="s">
        <v>87</v>
      </c>
      <c r="O195" s="1" t="s">
        <v>1798</v>
      </c>
      <c r="P195" s="1">
        <v>1615</v>
      </c>
      <c r="Q195" s="1">
        <v>1868</v>
      </c>
      <c r="U195" s="1" t="s">
        <v>88</v>
      </c>
      <c r="W195" s="1" t="s">
        <v>89</v>
      </c>
      <c r="X195" s="1" t="s">
        <v>1801</v>
      </c>
      <c r="Z195" s="1" t="s">
        <v>89</v>
      </c>
      <c r="AA195" s="1" t="s">
        <v>90</v>
      </c>
      <c r="AB195" s="1">
        <v>1760</v>
      </c>
      <c r="AC195" s="1">
        <v>1849</v>
      </c>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t="s">
        <v>158</v>
      </c>
      <c r="BG195" s="1">
        <v>1820</v>
      </c>
      <c r="BH195" s="1">
        <v>1842</v>
      </c>
      <c r="BI195" s="1">
        <v>1</v>
      </c>
      <c r="BJ195" s="1"/>
      <c r="BK195" s="1" t="s">
        <v>1760</v>
      </c>
      <c r="BL195" s="1" t="s">
        <v>1746</v>
      </c>
      <c r="BM195" s="1"/>
      <c r="BN195" s="1" t="s">
        <v>1066</v>
      </c>
      <c r="BO195" s="12">
        <v>9.875</v>
      </c>
      <c r="BP195" s="12">
        <v>14.875</v>
      </c>
      <c r="BQ195" s="12"/>
      <c r="BR195" s="1">
        <v>25.1</v>
      </c>
      <c r="BS195" s="1">
        <v>37.799999999999997</v>
      </c>
      <c r="BT195" s="1"/>
      <c r="BU195" s="1"/>
      <c r="BV195" s="1" t="s">
        <v>1067</v>
      </c>
      <c r="BW195" s="1" t="s">
        <v>94</v>
      </c>
      <c r="BX195" s="1" t="s">
        <v>95</v>
      </c>
      <c r="BY195" s="1">
        <v>1923</v>
      </c>
      <c r="BZ195" s="1"/>
      <c r="CA195" s="1"/>
      <c r="CB195" s="1"/>
      <c r="CN195" s="1" t="s">
        <v>96</v>
      </c>
      <c r="CP195" s="8" t="str">
        <f>HYPERLINK("http://www.metmuseum.org/art/collection/search/55503","http://www.metmuseum.org/art/collection/search/55503")</f>
        <v>http://www.metmuseum.org/art/collection/search/55503</v>
      </c>
      <c r="CQ195" s="4">
        <v>42842.333402777775</v>
      </c>
      <c r="CR195" s="1" t="s">
        <v>97</v>
      </c>
    </row>
    <row r="196" spans="1:96" ht="66" customHeight="1" x14ac:dyDescent="0.2">
      <c r="A196" s="1" t="s">
        <v>1068</v>
      </c>
      <c r="B196" s="1" t="b">
        <v>0</v>
      </c>
      <c r="C196" s="1" t="b">
        <v>1</v>
      </c>
      <c r="D196" s="1">
        <v>55505</v>
      </c>
      <c r="E196" s="1" t="s">
        <v>85</v>
      </c>
      <c r="F196" s="1" t="s">
        <v>99</v>
      </c>
      <c r="G196" s="1" t="s">
        <v>1069</v>
      </c>
      <c r="H196" s="1" t="s">
        <v>1070</v>
      </c>
      <c r="I196" s="1" t="s">
        <v>1071</v>
      </c>
      <c r="J196" s="1" t="s">
        <v>1072</v>
      </c>
      <c r="K196" s="1" t="s">
        <v>145</v>
      </c>
      <c r="L196" s="1" t="s">
        <v>146</v>
      </c>
      <c r="M196" s="1" t="s">
        <v>147</v>
      </c>
      <c r="N196" s="1" t="s">
        <v>87</v>
      </c>
      <c r="O196" s="1" t="s">
        <v>1798</v>
      </c>
      <c r="P196" s="1">
        <v>1615</v>
      </c>
      <c r="Q196" s="1">
        <v>1868</v>
      </c>
      <c r="U196" s="1" t="s">
        <v>88</v>
      </c>
      <c r="W196" s="1" t="s">
        <v>89</v>
      </c>
      <c r="X196" s="1" t="s">
        <v>1801</v>
      </c>
      <c r="Z196" s="1" t="s">
        <v>89</v>
      </c>
      <c r="AA196" s="1" t="s">
        <v>90</v>
      </c>
      <c r="AB196" s="1">
        <v>1760</v>
      </c>
      <c r="AC196" s="1">
        <v>1849</v>
      </c>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t="s">
        <v>148</v>
      </c>
      <c r="BG196" s="1">
        <v>1827</v>
      </c>
      <c r="BH196" s="1">
        <v>1830</v>
      </c>
      <c r="BI196" s="1">
        <v>1</v>
      </c>
      <c r="BJ196" s="1"/>
      <c r="BK196" s="1" t="s">
        <v>1760</v>
      </c>
      <c r="BL196" s="1" t="s">
        <v>1746</v>
      </c>
      <c r="BM196" s="1"/>
      <c r="BN196" s="1" t="s">
        <v>1073</v>
      </c>
      <c r="BO196" s="1">
        <v>10</v>
      </c>
      <c r="BP196" s="12">
        <v>14.625</v>
      </c>
      <c r="BQ196" s="12"/>
      <c r="BR196" s="1">
        <v>25.4</v>
      </c>
      <c r="BS196" s="1">
        <v>37.1</v>
      </c>
      <c r="BT196" s="1"/>
      <c r="BU196" s="1"/>
      <c r="BV196" s="1" t="s">
        <v>1067</v>
      </c>
      <c r="BW196" s="1" t="s">
        <v>94</v>
      </c>
      <c r="BX196" s="1" t="s">
        <v>95</v>
      </c>
      <c r="BY196" s="1">
        <v>1923</v>
      </c>
      <c r="BZ196" s="1"/>
      <c r="CA196" s="1"/>
      <c r="CB196" s="1"/>
      <c r="CN196" s="1" t="s">
        <v>96</v>
      </c>
      <c r="CP196" s="8" t="str">
        <f>HYPERLINK("http://www.metmuseum.org/art/collection/search/55505","http://www.metmuseum.org/art/collection/search/55505")</f>
        <v>http://www.metmuseum.org/art/collection/search/55505</v>
      </c>
      <c r="CQ196" s="4">
        <v>42842.333402777775</v>
      </c>
      <c r="CR196" s="1" t="s">
        <v>97</v>
      </c>
    </row>
    <row r="197" spans="1:96" ht="52.5" customHeight="1" x14ac:dyDescent="0.2">
      <c r="A197" s="1" t="s">
        <v>1074</v>
      </c>
      <c r="B197" s="1" t="b">
        <v>0</v>
      </c>
      <c r="C197" s="1" t="b">
        <v>1</v>
      </c>
      <c r="D197" s="1">
        <v>55571</v>
      </c>
      <c r="E197" s="1" t="s">
        <v>85</v>
      </c>
      <c r="F197" s="1" t="s">
        <v>99</v>
      </c>
      <c r="G197" s="1" t="s">
        <v>225</v>
      </c>
      <c r="H197" s="1" t="s">
        <v>226</v>
      </c>
      <c r="I197" s="1" t="s">
        <v>227</v>
      </c>
      <c r="J197" s="1" t="s">
        <v>1075</v>
      </c>
      <c r="K197" s="1" t="s">
        <v>165</v>
      </c>
      <c r="L197" s="1" t="s">
        <v>156</v>
      </c>
      <c r="M197" s="1" t="s">
        <v>157</v>
      </c>
      <c r="N197" s="1" t="s">
        <v>87</v>
      </c>
      <c r="O197" s="1" t="s">
        <v>1798</v>
      </c>
      <c r="P197" s="1">
        <v>1615</v>
      </c>
      <c r="Q197" s="1">
        <v>1868</v>
      </c>
      <c r="U197" s="1" t="s">
        <v>88</v>
      </c>
      <c r="W197" s="1" t="s">
        <v>89</v>
      </c>
      <c r="X197" s="1" t="s">
        <v>1801</v>
      </c>
      <c r="Z197" s="1" t="s">
        <v>89</v>
      </c>
      <c r="AA197" s="1" t="s">
        <v>90</v>
      </c>
      <c r="AB197" s="1">
        <v>1760</v>
      </c>
      <c r="AC197" s="1">
        <v>1849</v>
      </c>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t="s">
        <v>158</v>
      </c>
      <c r="BG197" s="1">
        <v>1830</v>
      </c>
      <c r="BH197" s="1">
        <v>1832</v>
      </c>
      <c r="BI197" s="1">
        <v>1</v>
      </c>
      <c r="BJ197" s="1"/>
      <c r="BK197" s="1" t="s">
        <v>1760</v>
      </c>
      <c r="BL197" s="1" t="s">
        <v>1746</v>
      </c>
      <c r="BM197" s="1"/>
      <c r="BN197" s="1" t="s">
        <v>1076</v>
      </c>
      <c r="BO197" s="12">
        <v>9.875</v>
      </c>
      <c r="BP197" s="11">
        <v>15.0625</v>
      </c>
      <c r="BQ197" s="11"/>
      <c r="BR197" s="1">
        <v>25.1</v>
      </c>
      <c r="BS197" s="1">
        <v>38.299999999999997</v>
      </c>
      <c r="BT197" s="1"/>
      <c r="BU197" s="1"/>
      <c r="BV197" s="1" t="s">
        <v>1077</v>
      </c>
      <c r="BW197" s="1" t="s">
        <v>94</v>
      </c>
      <c r="BX197" s="1" t="s">
        <v>95</v>
      </c>
      <c r="BY197" s="1">
        <v>1926</v>
      </c>
      <c r="BZ197" s="1"/>
      <c r="CA197" s="1"/>
      <c r="CB197" s="1"/>
      <c r="CN197" s="1" t="s">
        <v>96</v>
      </c>
      <c r="CP197" s="8" t="str">
        <f>HYPERLINK("http://www.metmuseum.org/art/collection/search/55571","http://www.metmuseum.org/art/collection/search/55571")</f>
        <v>http://www.metmuseum.org/art/collection/search/55571</v>
      </c>
      <c r="CQ197" s="4">
        <v>42842.333402777775</v>
      </c>
      <c r="CR197" s="1" t="s">
        <v>97</v>
      </c>
    </row>
    <row r="198" spans="1:96" ht="52.5" customHeight="1" x14ac:dyDescent="0.2">
      <c r="A198" s="1" t="s">
        <v>1078</v>
      </c>
      <c r="B198" s="1" t="b">
        <v>0</v>
      </c>
      <c r="C198" s="1" t="b">
        <v>1</v>
      </c>
      <c r="D198" s="1">
        <v>55605</v>
      </c>
      <c r="E198" s="1" t="s">
        <v>85</v>
      </c>
      <c r="F198" s="1" t="s">
        <v>99</v>
      </c>
      <c r="G198" s="1" t="s">
        <v>1079</v>
      </c>
      <c r="H198" s="1" t="s">
        <v>1080</v>
      </c>
      <c r="I198" s="1" t="s">
        <v>1081</v>
      </c>
      <c r="J198" s="1" t="s">
        <v>1082</v>
      </c>
      <c r="K198" s="1" t="s">
        <v>115</v>
      </c>
      <c r="L198" s="1" t="s">
        <v>116</v>
      </c>
      <c r="M198" s="1" t="s">
        <v>117</v>
      </c>
      <c r="N198" s="1" t="s">
        <v>87</v>
      </c>
      <c r="O198" s="1" t="s">
        <v>1083</v>
      </c>
      <c r="P198" s="1">
        <v>1912</v>
      </c>
      <c r="Q198" s="1">
        <v>1926</v>
      </c>
      <c r="U198" s="1" t="s">
        <v>88</v>
      </c>
      <c r="W198" s="1" t="s">
        <v>89</v>
      </c>
      <c r="X198" s="1" t="s">
        <v>1801</v>
      </c>
      <c r="Z198" s="1" t="s">
        <v>89</v>
      </c>
      <c r="AA198" s="1" t="s">
        <v>90</v>
      </c>
      <c r="AB198" s="1">
        <v>1760</v>
      </c>
      <c r="AC198" s="1">
        <v>1849</v>
      </c>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v>1921</v>
      </c>
      <c r="BG198" s="1">
        <v>1921</v>
      </c>
      <c r="BH198" s="1">
        <v>1921</v>
      </c>
      <c r="BI198" s="1">
        <v>1</v>
      </c>
      <c r="BJ198" s="1"/>
      <c r="BK198" s="1" t="s">
        <v>1760</v>
      </c>
      <c r="BL198" s="1" t="s">
        <v>1746</v>
      </c>
      <c r="BM198" s="1"/>
      <c r="BN198" s="1" t="s">
        <v>1084</v>
      </c>
      <c r="BO198" s="12">
        <v>9.75</v>
      </c>
      <c r="BP198" s="12">
        <v>14.625</v>
      </c>
      <c r="BQ198" s="12"/>
      <c r="BR198" s="1">
        <v>24.8</v>
      </c>
      <c r="BS198" s="1">
        <v>37.1</v>
      </c>
      <c r="BT198" s="1"/>
      <c r="BU198" s="1"/>
      <c r="BV198" s="1" t="s">
        <v>1085</v>
      </c>
      <c r="BW198" s="1" t="s">
        <v>386</v>
      </c>
      <c r="BX198" s="1"/>
      <c r="BY198" s="1">
        <v>1962</v>
      </c>
      <c r="BZ198" s="1"/>
      <c r="CA198" s="1" t="s">
        <v>1086</v>
      </c>
      <c r="CB198" s="1"/>
      <c r="CN198" s="1" t="s">
        <v>96</v>
      </c>
      <c r="CP198" s="8" t="str">
        <f>HYPERLINK("http://www.metmuseum.org/art/collection/search/55605","http://www.metmuseum.org/art/collection/search/55605")</f>
        <v>http://www.metmuseum.org/art/collection/search/55605</v>
      </c>
      <c r="CQ198" s="4">
        <v>42842.333402777775</v>
      </c>
      <c r="CR198" s="1" t="s">
        <v>97</v>
      </c>
    </row>
    <row r="199" spans="1:96" ht="52.5" customHeight="1" x14ac:dyDescent="0.2">
      <c r="A199" s="1" t="s">
        <v>1087</v>
      </c>
      <c r="B199" s="1" t="b">
        <v>0</v>
      </c>
      <c r="C199" s="1" t="b">
        <v>1</v>
      </c>
      <c r="D199" s="1">
        <v>55609</v>
      </c>
      <c r="E199" s="1" t="s">
        <v>85</v>
      </c>
      <c r="F199" s="1" t="s">
        <v>99</v>
      </c>
      <c r="G199" s="1" t="s">
        <v>1088</v>
      </c>
      <c r="H199" s="1" t="s">
        <v>1089</v>
      </c>
      <c r="I199" s="1" t="s">
        <v>1090</v>
      </c>
      <c r="J199" s="1" t="s">
        <v>1091</v>
      </c>
      <c r="K199" s="1" t="s">
        <v>115</v>
      </c>
      <c r="L199" s="1" t="s">
        <v>116</v>
      </c>
      <c r="M199" s="1" t="s">
        <v>117</v>
      </c>
      <c r="N199" s="1" t="s">
        <v>87</v>
      </c>
      <c r="O199" s="1" t="s">
        <v>1083</v>
      </c>
      <c r="P199" s="1">
        <v>1912</v>
      </c>
      <c r="Q199" s="1">
        <v>1926</v>
      </c>
      <c r="U199" s="1" t="s">
        <v>88</v>
      </c>
      <c r="W199" s="1" t="s">
        <v>89</v>
      </c>
      <c r="X199" s="1" t="s">
        <v>1801</v>
      </c>
      <c r="Z199" s="1" t="s">
        <v>89</v>
      </c>
      <c r="AA199" s="1" t="s">
        <v>90</v>
      </c>
      <c r="AB199" s="1">
        <v>1760</v>
      </c>
      <c r="AC199" s="1">
        <v>1849</v>
      </c>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v>1921</v>
      </c>
      <c r="BG199" s="1">
        <v>1921</v>
      </c>
      <c r="BH199" s="1">
        <v>1921</v>
      </c>
      <c r="BI199" s="1">
        <v>1</v>
      </c>
      <c r="BJ199" s="1"/>
      <c r="BK199" s="1" t="s">
        <v>1760</v>
      </c>
      <c r="BL199" s="1" t="s">
        <v>1746</v>
      </c>
      <c r="BM199" s="1"/>
      <c r="BN199" s="1" t="s">
        <v>1092</v>
      </c>
      <c r="BO199" s="12">
        <v>9.625</v>
      </c>
      <c r="BP199" s="12">
        <v>14.375</v>
      </c>
      <c r="BQ199" s="12"/>
      <c r="BR199" s="1">
        <v>24.4</v>
      </c>
      <c r="BS199" s="1">
        <v>36.5</v>
      </c>
      <c r="BT199" s="1"/>
      <c r="BU199" s="1"/>
      <c r="BV199" s="1" t="s">
        <v>1085</v>
      </c>
      <c r="BW199" s="1" t="s">
        <v>386</v>
      </c>
      <c r="BX199" s="1"/>
      <c r="BY199" s="1">
        <v>1962</v>
      </c>
      <c r="BZ199" s="1"/>
      <c r="CA199" s="1" t="s">
        <v>1086</v>
      </c>
      <c r="CB199" s="1"/>
      <c r="CN199" s="1" t="s">
        <v>96</v>
      </c>
      <c r="CP199" s="8" t="str">
        <f>HYPERLINK("http://www.metmuseum.org/art/collection/search/55609","http://www.metmuseum.org/art/collection/search/55609")</f>
        <v>http://www.metmuseum.org/art/collection/search/55609</v>
      </c>
      <c r="CQ199" s="4">
        <v>42842.333402777775</v>
      </c>
      <c r="CR199" s="1" t="s">
        <v>97</v>
      </c>
    </row>
    <row r="200" spans="1:96" ht="52.5" customHeight="1" x14ac:dyDescent="0.2">
      <c r="A200" s="1" t="s">
        <v>1093</v>
      </c>
      <c r="B200" s="1" t="b">
        <v>0</v>
      </c>
      <c r="C200" s="1" t="b">
        <v>1</v>
      </c>
      <c r="D200" s="1">
        <v>55611</v>
      </c>
      <c r="E200" s="1" t="s">
        <v>85</v>
      </c>
      <c r="F200" s="1" t="s">
        <v>99</v>
      </c>
      <c r="G200" s="1" t="s">
        <v>1094</v>
      </c>
      <c r="H200" s="1" t="s">
        <v>1095</v>
      </c>
      <c r="I200" s="1" t="s">
        <v>1096</v>
      </c>
      <c r="J200" s="1" t="s">
        <v>1097</v>
      </c>
      <c r="K200" s="1" t="s">
        <v>1098</v>
      </c>
      <c r="L200" s="1" t="s">
        <v>116</v>
      </c>
      <c r="M200" s="1" t="s">
        <v>117</v>
      </c>
      <c r="N200" s="1" t="s">
        <v>87</v>
      </c>
      <c r="O200" s="1" t="s">
        <v>1083</v>
      </c>
      <c r="P200" s="1">
        <v>1912</v>
      </c>
      <c r="Q200" s="1">
        <v>1926</v>
      </c>
      <c r="U200" s="1" t="s">
        <v>88</v>
      </c>
      <c r="W200" s="1" t="s">
        <v>89</v>
      </c>
      <c r="X200" s="1" t="s">
        <v>1801</v>
      </c>
      <c r="Z200" s="1" t="s">
        <v>89</v>
      </c>
      <c r="AA200" s="1" t="s">
        <v>90</v>
      </c>
      <c r="AB200" s="1">
        <v>1760</v>
      </c>
      <c r="AC200" s="1">
        <v>1849</v>
      </c>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v>1921</v>
      </c>
      <c r="BG200" s="1">
        <v>1921</v>
      </c>
      <c r="BH200" s="1">
        <v>1921</v>
      </c>
      <c r="BI200" s="1">
        <v>1</v>
      </c>
      <c r="BJ200" s="1"/>
      <c r="BK200" s="1" t="s">
        <v>1760</v>
      </c>
      <c r="BL200" s="1" t="s">
        <v>1746</v>
      </c>
      <c r="BM200" s="1"/>
      <c r="BN200" s="1" t="s">
        <v>1099</v>
      </c>
      <c r="BO200" s="12">
        <v>10.25</v>
      </c>
      <c r="BP200" s="12">
        <v>15.25</v>
      </c>
      <c r="BQ200" s="12"/>
      <c r="BR200" s="1">
        <v>26</v>
      </c>
      <c r="BS200" s="1">
        <v>38.700000000000003</v>
      </c>
      <c r="BT200" s="1"/>
      <c r="BU200" s="1" t="s">
        <v>1100</v>
      </c>
      <c r="BV200" s="1" t="s">
        <v>1085</v>
      </c>
      <c r="BW200" s="1" t="s">
        <v>386</v>
      </c>
      <c r="BX200" s="1"/>
      <c r="BY200" s="1">
        <v>1962</v>
      </c>
      <c r="BZ200" s="1"/>
      <c r="CA200" s="1" t="s">
        <v>1086</v>
      </c>
      <c r="CB200" s="1"/>
      <c r="CN200" s="1" t="s">
        <v>96</v>
      </c>
      <c r="CP200" s="8" t="str">
        <f>HYPERLINK("http://www.metmuseum.org/art/collection/search/55611","http://www.metmuseum.org/art/collection/search/55611")</f>
        <v>http://www.metmuseum.org/art/collection/search/55611</v>
      </c>
      <c r="CQ200" s="4">
        <v>42842.333402777775</v>
      </c>
      <c r="CR200" s="1" t="s">
        <v>97</v>
      </c>
    </row>
    <row r="201" spans="1:96" ht="52.5" customHeight="1" x14ac:dyDescent="0.2">
      <c r="A201" s="1" t="s">
        <v>1101</v>
      </c>
      <c r="B201" s="1" t="b">
        <v>0</v>
      </c>
      <c r="C201" s="1" t="b">
        <v>1</v>
      </c>
      <c r="D201" s="1">
        <v>55612</v>
      </c>
      <c r="E201" s="1" t="s">
        <v>85</v>
      </c>
      <c r="F201" s="1" t="s">
        <v>99</v>
      </c>
      <c r="G201" s="1" t="s">
        <v>1102</v>
      </c>
      <c r="H201" s="1" t="s">
        <v>1103</v>
      </c>
      <c r="I201" s="1" t="s">
        <v>1104</v>
      </c>
      <c r="J201" s="1" t="s">
        <v>1105</v>
      </c>
      <c r="K201" s="1" t="s">
        <v>1044</v>
      </c>
      <c r="L201" s="1" t="s">
        <v>116</v>
      </c>
      <c r="M201" s="1" t="s">
        <v>117</v>
      </c>
      <c r="N201" s="1" t="s">
        <v>87</v>
      </c>
      <c r="O201" s="1" t="s">
        <v>1083</v>
      </c>
      <c r="P201" s="1">
        <v>1912</v>
      </c>
      <c r="Q201" s="1">
        <v>1926</v>
      </c>
      <c r="U201" s="1" t="s">
        <v>88</v>
      </c>
      <c r="W201" s="1" t="s">
        <v>89</v>
      </c>
      <c r="X201" s="1" t="s">
        <v>1801</v>
      </c>
      <c r="Z201" s="1" t="s">
        <v>89</v>
      </c>
      <c r="AA201" s="1" t="s">
        <v>90</v>
      </c>
      <c r="AB201" s="1">
        <v>1760</v>
      </c>
      <c r="AC201" s="1">
        <v>1849</v>
      </c>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v>1921</v>
      </c>
      <c r="BG201" s="1">
        <v>1921</v>
      </c>
      <c r="BH201" s="1">
        <v>1921</v>
      </c>
      <c r="BI201" s="1">
        <v>1</v>
      </c>
      <c r="BJ201" s="1"/>
      <c r="BK201" s="1" t="s">
        <v>1760</v>
      </c>
      <c r="BL201" s="1" t="s">
        <v>1746</v>
      </c>
      <c r="BM201" s="1"/>
      <c r="BN201" s="1" t="s">
        <v>1106</v>
      </c>
      <c r="BO201" s="12">
        <v>9.75</v>
      </c>
      <c r="BP201" s="12">
        <v>14.75</v>
      </c>
      <c r="BQ201" s="12"/>
      <c r="BR201" s="1">
        <v>24.8</v>
      </c>
      <c r="BS201" s="1">
        <v>37.5</v>
      </c>
      <c r="BT201" s="1"/>
      <c r="BU201" s="1"/>
      <c r="BV201" s="1" t="s">
        <v>1085</v>
      </c>
      <c r="BW201" s="1" t="s">
        <v>386</v>
      </c>
      <c r="BX201" s="1"/>
      <c r="BY201" s="1">
        <v>1962</v>
      </c>
      <c r="BZ201" s="1"/>
      <c r="CA201" s="1" t="s">
        <v>1086</v>
      </c>
      <c r="CB201" s="1"/>
      <c r="CN201" s="1" t="s">
        <v>96</v>
      </c>
      <c r="CP201" s="8" t="str">
        <f>HYPERLINK("http://www.metmuseum.org/art/collection/search/55612","http://www.metmuseum.org/art/collection/search/55612")</f>
        <v>http://www.metmuseum.org/art/collection/search/55612</v>
      </c>
      <c r="CQ201" s="4">
        <v>42842.333402777775</v>
      </c>
      <c r="CR201" s="1" t="s">
        <v>97</v>
      </c>
    </row>
    <row r="202" spans="1:96" ht="52.5" customHeight="1" x14ac:dyDescent="0.2">
      <c r="A202" s="1" t="s">
        <v>1107</v>
      </c>
      <c r="B202" s="1" t="b">
        <v>0</v>
      </c>
      <c r="C202" s="1" t="b">
        <v>1</v>
      </c>
      <c r="D202" s="1">
        <v>55734</v>
      </c>
      <c r="E202" s="1" t="s">
        <v>85</v>
      </c>
      <c r="F202" s="1" t="s">
        <v>99</v>
      </c>
      <c r="G202" s="1" t="s">
        <v>1108</v>
      </c>
      <c r="H202" s="1" t="s">
        <v>1109</v>
      </c>
      <c r="I202" s="1" t="s">
        <v>1110</v>
      </c>
      <c r="J202" s="1" t="s">
        <v>1111</v>
      </c>
      <c r="K202" s="1" t="s">
        <v>1112</v>
      </c>
      <c r="L202" s="1" t="s">
        <v>116</v>
      </c>
      <c r="M202" s="1" t="s">
        <v>117</v>
      </c>
      <c r="N202" s="1" t="s">
        <v>87</v>
      </c>
      <c r="O202" s="1" t="s">
        <v>1798</v>
      </c>
      <c r="P202" s="1">
        <v>1615</v>
      </c>
      <c r="Q202" s="1">
        <v>1868</v>
      </c>
      <c r="U202" s="1" t="s">
        <v>88</v>
      </c>
      <c r="W202" s="1" t="s">
        <v>89</v>
      </c>
      <c r="X202" s="1" t="s">
        <v>1801</v>
      </c>
      <c r="Z202" s="1" t="s">
        <v>89</v>
      </c>
      <c r="AA202" s="1" t="s">
        <v>90</v>
      </c>
      <c r="AB202" s="1">
        <v>1760</v>
      </c>
      <c r="AC202" s="1">
        <v>1849</v>
      </c>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t="s">
        <v>301</v>
      </c>
      <c r="BG202" s="1">
        <v>1825</v>
      </c>
      <c r="BH202" s="1">
        <v>1845</v>
      </c>
      <c r="BI202" s="1">
        <v>1</v>
      </c>
      <c r="BJ202" s="1"/>
      <c r="BK202" s="1" t="s">
        <v>1760</v>
      </c>
      <c r="BL202" s="1" t="s">
        <v>1746</v>
      </c>
      <c r="BM202" s="1" t="s">
        <v>615</v>
      </c>
      <c r="BN202" s="1" t="s">
        <v>1113</v>
      </c>
      <c r="BO202" s="12">
        <v>10.25</v>
      </c>
      <c r="BP202" s="12">
        <v>14.75</v>
      </c>
      <c r="BQ202" s="12"/>
      <c r="BR202" s="1">
        <v>26</v>
      </c>
      <c r="BS202" s="1">
        <v>37.5</v>
      </c>
      <c r="BT202" s="1"/>
      <c r="BU202" s="1"/>
      <c r="BV202" s="1" t="s">
        <v>345</v>
      </c>
      <c r="BW202" s="1" t="s">
        <v>346</v>
      </c>
      <c r="BX202" s="1"/>
      <c r="BY202" s="1">
        <v>1939</v>
      </c>
      <c r="BZ202" s="1" t="s">
        <v>347</v>
      </c>
      <c r="CA202" s="1" t="s">
        <v>348</v>
      </c>
      <c r="CB202" s="1"/>
      <c r="CN202" s="1" t="s">
        <v>96</v>
      </c>
      <c r="CP202" s="8" t="str">
        <f>HYPERLINK("http://www.metmuseum.org/art/collection/search/55734","http://www.metmuseum.org/art/collection/search/55734")</f>
        <v>http://www.metmuseum.org/art/collection/search/55734</v>
      </c>
      <c r="CQ202" s="4">
        <v>42842.333402777775</v>
      </c>
      <c r="CR202" s="1" t="s">
        <v>97</v>
      </c>
    </row>
    <row r="203" spans="1:96" ht="52.5" customHeight="1" x14ac:dyDescent="0.2">
      <c r="A203" s="1" t="s">
        <v>1114</v>
      </c>
      <c r="B203" s="1" t="b">
        <v>0</v>
      </c>
      <c r="C203" s="1" t="b">
        <v>1</v>
      </c>
      <c r="D203" s="1">
        <v>55735</v>
      </c>
      <c r="E203" s="1" t="s">
        <v>85</v>
      </c>
      <c r="F203" s="1" t="s">
        <v>99</v>
      </c>
      <c r="G203" s="1" t="s">
        <v>175</v>
      </c>
      <c r="H203" s="1" t="s">
        <v>176</v>
      </c>
      <c r="I203" s="1" t="s">
        <v>177</v>
      </c>
      <c r="J203" s="1" t="s">
        <v>178</v>
      </c>
      <c r="K203" s="1" t="s">
        <v>165</v>
      </c>
      <c r="L203" s="1" t="s">
        <v>156</v>
      </c>
      <c r="M203" s="1" t="s">
        <v>157</v>
      </c>
      <c r="N203" s="1" t="s">
        <v>87</v>
      </c>
      <c r="O203" s="1" t="s">
        <v>1798</v>
      </c>
      <c r="P203" s="1">
        <v>1615</v>
      </c>
      <c r="Q203" s="1">
        <v>1868</v>
      </c>
      <c r="U203" s="1" t="s">
        <v>88</v>
      </c>
      <c r="W203" s="1" t="s">
        <v>89</v>
      </c>
      <c r="X203" s="1" t="s">
        <v>1801</v>
      </c>
      <c r="Z203" s="1" t="s">
        <v>89</v>
      </c>
      <c r="AA203" s="1" t="s">
        <v>90</v>
      </c>
      <c r="AB203" s="1">
        <v>1760</v>
      </c>
      <c r="AC203" s="1">
        <v>1849</v>
      </c>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t="s">
        <v>158</v>
      </c>
      <c r="BG203" s="1">
        <v>1830</v>
      </c>
      <c r="BH203" s="1">
        <v>1832</v>
      </c>
      <c r="BI203" s="1">
        <v>1</v>
      </c>
      <c r="BJ203" s="1"/>
      <c r="BK203" s="1" t="s">
        <v>1760</v>
      </c>
      <c r="BL203" s="1" t="s">
        <v>1746</v>
      </c>
      <c r="BM203" s="1" t="s">
        <v>615</v>
      </c>
      <c r="BN203" s="1" t="s">
        <v>184</v>
      </c>
      <c r="BO203" s="12">
        <v>9.875</v>
      </c>
      <c r="BP203" s="12">
        <v>14.75</v>
      </c>
      <c r="BQ203" s="12"/>
      <c r="BR203" s="1">
        <v>25.1</v>
      </c>
      <c r="BS203" s="1">
        <v>37.5</v>
      </c>
      <c r="BT203" s="1"/>
      <c r="BU203" s="1"/>
      <c r="BV203" s="1" t="s">
        <v>345</v>
      </c>
      <c r="BW203" s="1" t="s">
        <v>346</v>
      </c>
      <c r="BX203" s="1"/>
      <c r="BY203" s="1">
        <v>1939</v>
      </c>
      <c r="BZ203" s="1" t="s">
        <v>347</v>
      </c>
      <c r="CA203" s="1" t="s">
        <v>348</v>
      </c>
      <c r="CB203" s="1"/>
      <c r="CN203" s="1" t="s">
        <v>96</v>
      </c>
      <c r="CP203" s="8" t="str">
        <f>HYPERLINK("http://www.metmuseum.org/art/collection/search/55735","http://www.metmuseum.org/art/collection/search/55735")</f>
        <v>http://www.metmuseum.org/art/collection/search/55735</v>
      </c>
      <c r="CQ203" s="4">
        <v>42842.333402777775</v>
      </c>
      <c r="CR203" s="1" t="s">
        <v>97</v>
      </c>
    </row>
    <row r="204" spans="1:96" ht="52.5" customHeight="1" x14ac:dyDescent="0.2">
      <c r="A204" s="1" t="s">
        <v>1115</v>
      </c>
      <c r="B204" s="1" t="b">
        <v>0</v>
      </c>
      <c r="C204" s="1" t="b">
        <v>1</v>
      </c>
      <c r="D204" s="1">
        <v>55736</v>
      </c>
      <c r="E204" s="1" t="s">
        <v>85</v>
      </c>
      <c r="F204" s="1" t="s">
        <v>99</v>
      </c>
      <c r="G204" s="1" t="s">
        <v>1116</v>
      </c>
      <c r="H204" s="1" t="s">
        <v>152</v>
      </c>
      <c r="I204" s="1" t="s">
        <v>153</v>
      </c>
      <c r="J204" s="1" t="s">
        <v>1117</v>
      </c>
      <c r="K204" s="1" t="s">
        <v>165</v>
      </c>
      <c r="L204" s="1" t="s">
        <v>156</v>
      </c>
      <c r="M204" s="1" t="s">
        <v>157</v>
      </c>
      <c r="N204" s="1" t="s">
        <v>87</v>
      </c>
      <c r="O204" s="1" t="s">
        <v>1798</v>
      </c>
      <c r="P204" s="1">
        <v>1615</v>
      </c>
      <c r="Q204" s="1">
        <v>1868</v>
      </c>
      <c r="U204" s="1" t="s">
        <v>88</v>
      </c>
      <c r="W204" s="1" t="s">
        <v>89</v>
      </c>
      <c r="X204" s="1" t="s">
        <v>1801</v>
      </c>
      <c r="Z204" s="1" t="s">
        <v>89</v>
      </c>
      <c r="AA204" s="1" t="s">
        <v>90</v>
      </c>
      <c r="AB204" s="1">
        <v>1760</v>
      </c>
      <c r="AC204" s="1">
        <v>1849</v>
      </c>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t="s">
        <v>158</v>
      </c>
      <c r="BG204" s="1">
        <v>1830</v>
      </c>
      <c r="BH204" s="1">
        <v>1832</v>
      </c>
      <c r="BI204" s="1">
        <v>1</v>
      </c>
      <c r="BJ204" s="1"/>
      <c r="BK204" s="1" t="s">
        <v>1760</v>
      </c>
      <c r="BL204" s="1" t="s">
        <v>1746</v>
      </c>
      <c r="BM204" s="1" t="s">
        <v>615</v>
      </c>
      <c r="BN204" s="1" t="s">
        <v>693</v>
      </c>
      <c r="BO204" s="1">
        <v>10</v>
      </c>
      <c r="BP204" s="12">
        <v>14.875</v>
      </c>
      <c r="BQ204" s="12"/>
      <c r="BR204" s="1">
        <v>25.4</v>
      </c>
      <c r="BS204" s="1">
        <v>37.799999999999997</v>
      </c>
      <c r="BT204" s="1"/>
      <c r="BU204" s="1"/>
      <c r="BV204" s="1" t="s">
        <v>345</v>
      </c>
      <c r="BW204" s="1" t="s">
        <v>346</v>
      </c>
      <c r="BX204" s="1"/>
      <c r="BY204" s="1">
        <v>1939</v>
      </c>
      <c r="BZ204" s="1" t="s">
        <v>347</v>
      </c>
      <c r="CA204" s="1" t="s">
        <v>348</v>
      </c>
      <c r="CB204" s="1"/>
      <c r="CN204" s="1" t="s">
        <v>96</v>
      </c>
      <c r="CP204" s="8" t="str">
        <f>HYPERLINK("http://www.metmuseum.org/art/collection/search/55736","http://www.metmuseum.org/art/collection/search/55736")</f>
        <v>http://www.metmuseum.org/art/collection/search/55736</v>
      </c>
      <c r="CQ204" s="4">
        <v>42842.333402777775</v>
      </c>
      <c r="CR204" s="1" t="s">
        <v>97</v>
      </c>
    </row>
    <row r="205" spans="1:96" ht="52.5" customHeight="1" x14ac:dyDescent="0.2">
      <c r="A205" s="1" t="s">
        <v>1118</v>
      </c>
      <c r="B205" s="1" t="b">
        <v>0</v>
      </c>
      <c r="C205" s="1" t="b">
        <v>1</v>
      </c>
      <c r="D205" s="1">
        <v>55737</v>
      </c>
      <c r="E205" s="1" t="s">
        <v>85</v>
      </c>
      <c r="F205" s="1" t="s">
        <v>99</v>
      </c>
      <c r="G205" s="1" t="s">
        <v>192</v>
      </c>
      <c r="H205" s="1" t="s">
        <v>193</v>
      </c>
      <c r="I205" s="1" t="s">
        <v>194</v>
      </c>
      <c r="J205" s="1" t="s">
        <v>195</v>
      </c>
      <c r="K205" s="1" t="s">
        <v>165</v>
      </c>
      <c r="L205" s="1" t="s">
        <v>156</v>
      </c>
      <c r="M205" s="1" t="s">
        <v>157</v>
      </c>
      <c r="N205" s="1" t="s">
        <v>87</v>
      </c>
      <c r="O205" s="1" t="s">
        <v>1798</v>
      </c>
      <c r="P205" s="1">
        <v>1615</v>
      </c>
      <c r="Q205" s="1">
        <v>1868</v>
      </c>
      <c r="U205" s="1" t="s">
        <v>88</v>
      </c>
      <c r="W205" s="1" t="s">
        <v>89</v>
      </c>
      <c r="X205" s="1" t="s">
        <v>1801</v>
      </c>
      <c r="Z205" s="1" t="s">
        <v>89</v>
      </c>
      <c r="AA205" s="1" t="s">
        <v>90</v>
      </c>
      <c r="AB205" s="1">
        <v>1760</v>
      </c>
      <c r="AC205" s="1">
        <v>1849</v>
      </c>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t="s">
        <v>158</v>
      </c>
      <c r="BG205" s="1">
        <v>1830</v>
      </c>
      <c r="BH205" s="1">
        <v>1832</v>
      </c>
      <c r="BI205" s="1">
        <v>1</v>
      </c>
      <c r="BJ205" s="1"/>
      <c r="BK205" s="1" t="s">
        <v>1760</v>
      </c>
      <c r="BL205" s="1" t="s">
        <v>1746</v>
      </c>
      <c r="BM205" s="1" t="s">
        <v>615</v>
      </c>
      <c r="BN205" s="1" t="s">
        <v>1119</v>
      </c>
      <c r="BO205" s="1">
        <v>10</v>
      </c>
      <c r="BP205" s="12">
        <v>14.75</v>
      </c>
      <c r="BQ205" s="12"/>
      <c r="BR205" s="1">
        <v>25.4</v>
      </c>
      <c r="BS205" s="1">
        <v>37.5</v>
      </c>
      <c r="BT205" s="1"/>
      <c r="BU205" s="1"/>
      <c r="BV205" s="1" t="s">
        <v>345</v>
      </c>
      <c r="BW205" s="1" t="s">
        <v>346</v>
      </c>
      <c r="BX205" s="1"/>
      <c r="BY205" s="1">
        <v>1939</v>
      </c>
      <c r="BZ205" s="1" t="s">
        <v>347</v>
      </c>
      <c r="CA205" s="1" t="s">
        <v>348</v>
      </c>
      <c r="CB205" s="1"/>
      <c r="CN205" s="1" t="s">
        <v>96</v>
      </c>
      <c r="CP205" s="8" t="str">
        <f>HYPERLINK("http://www.metmuseum.org/art/collection/search/55737","http://www.metmuseum.org/art/collection/search/55737")</f>
        <v>http://www.metmuseum.org/art/collection/search/55737</v>
      </c>
      <c r="CQ205" s="4">
        <v>42842.333402777775</v>
      </c>
      <c r="CR205" s="1" t="s">
        <v>97</v>
      </c>
    </row>
    <row r="206" spans="1:96" ht="52.5" customHeight="1" x14ac:dyDescent="0.2">
      <c r="A206" s="1" t="s">
        <v>1120</v>
      </c>
      <c r="B206" s="1" t="b">
        <v>0</v>
      </c>
      <c r="C206" s="1" t="b">
        <v>1</v>
      </c>
      <c r="D206" s="1">
        <v>55738</v>
      </c>
      <c r="E206" s="1" t="s">
        <v>85</v>
      </c>
      <c r="F206" s="1" t="s">
        <v>99</v>
      </c>
      <c r="G206" s="1" t="s">
        <v>1121</v>
      </c>
      <c r="H206" s="1" t="s">
        <v>221</v>
      </c>
      <c r="I206" s="1" t="s">
        <v>222</v>
      </c>
      <c r="J206" s="1" t="s">
        <v>223</v>
      </c>
      <c r="K206" s="1" t="s">
        <v>165</v>
      </c>
      <c r="L206" s="1" t="s">
        <v>156</v>
      </c>
      <c r="M206" s="1" t="s">
        <v>157</v>
      </c>
      <c r="N206" s="1" t="s">
        <v>87</v>
      </c>
      <c r="O206" s="1" t="s">
        <v>1798</v>
      </c>
      <c r="P206" s="1">
        <v>1615</v>
      </c>
      <c r="Q206" s="1">
        <v>1868</v>
      </c>
      <c r="U206" s="1" t="s">
        <v>88</v>
      </c>
      <c r="W206" s="1" t="s">
        <v>89</v>
      </c>
      <c r="X206" s="1" t="s">
        <v>1801</v>
      </c>
      <c r="Z206" s="1" t="s">
        <v>89</v>
      </c>
      <c r="AA206" s="1" t="s">
        <v>90</v>
      </c>
      <c r="AB206" s="1">
        <v>1760</v>
      </c>
      <c r="AC206" s="1">
        <v>1849</v>
      </c>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t="s">
        <v>158</v>
      </c>
      <c r="BG206" s="1">
        <v>1830</v>
      </c>
      <c r="BH206" s="1">
        <v>1832</v>
      </c>
      <c r="BI206" s="1">
        <v>1</v>
      </c>
      <c r="BJ206" s="1"/>
      <c r="BK206" s="1" t="s">
        <v>1760</v>
      </c>
      <c r="BL206" s="1" t="s">
        <v>1746</v>
      </c>
      <c r="BM206" s="1" t="s">
        <v>615</v>
      </c>
      <c r="BN206" s="1" t="s">
        <v>196</v>
      </c>
      <c r="BO206" s="12">
        <v>10.125</v>
      </c>
      <c r="BP206" s="1">
        <v>15</v>
      </c>
      <c r="BQ206" s="1"/>
      <c r="BR206" s="1">
        <v>25.7</v>
      </c>
      <c r="BS206" s="1">
        <v>38.1</v>
      </c>
      <c r="BT206" s="1"/>
      <c r="BU206" s="1"/>
      <c r="BV206" s="1" t="s">
        <v>345</v>
      </c>
      <c r="BW206" s="1" t="s">
        <v>346</v>
      </c>
      <c r="BX206" s="1"/>
      <c r="BY206" s="1">
        <v>1939</v>
      </c>
      <c r="BZ206" s="1" t="s">
        <v>347</v>
      </c>
      <c r="CA206" s="1" t="s">
        <v>348</v>
      </c>
      <c r="CB206" s="1"/>
      <c r="CN206" s="1" t="s">
        <v>96</v>
      </c>
      <c r="CP206" s="8" t="str">
        <f>HYPERLINK("http://www.metmuseum.org/art/collection/search/55738","http://www.metmuseum.org/art/collection/search/55738")</f>
        <v>http://www.metmuseum.org/art/collection/search/55738</v>
      </c>
      <c r="CQ206" s="4">
        <v>42842.333402777775</v>
      </c>
      <c r="CR206" s="1" t="s">
        <v>97</v>
      </c>
    </row>
    <row r="207" spans="1:96" ht="52.5" customHeight="1" x14ac:dyDescent="0.2">
      <c r="A207" s="1" t="s">
        <v>1122</v>
      </c>
      <c r="B207" s="1" t="b">
        <v>0</v>
      </c>
      <c r="C207" s="1" t="b">
        <v>1</v>
      </c>
      <c r="D207" s="1">
        <v>55739</v>
      </c>
      <c r="E207" s="1" t="s">
        <v>85</v>
      </c>
      <c r="F207" s="1" t="s">
        <v>86</v>
      </c>
      <c r="G207" s="1" t="s">
        <v>1123</v>
      </c>
      <c r="H207" s="1" t="s">
        <v>1124</v>
      </c>
      <c r="I207" s="1" t="s">
        <v>1125</v>
      </c>
      <c r="J207" s="1" t="s">
        <v>1126</v>
      </c>
      <c r="K207" s="1"/>
      <c r="L207" s="1"/>
      <c r="M207" s="1"/>
      <c r="N207" s="1" t="s">
        <v>87</v>
      </c>
      <c r="O207" s="1" t="s">
        <v>1798</v>
      </c>
      <c r="P207" s="1">
        <v>1615</v>
      </c>
      <c r="Q207" s="1">
        <v>1868</v>
      </c>
      <c r="U207" s="1" t="s">
        <v>88</v>
      </c>
      <c r="W207" s="1" t="s">
        <v>89</v>
      </c>
      <c r="X207" s="1" t="s">
        <v>1801</v>
      </c>
      <c r="Z207" s="1" t="s">
        <v>89</v>
      </c>
      <c r="AA207" s="1" t="s">
        <v>90</v>
      </c>
      <c r="AB207" s="1">
        <v>1760</v>
      </c>
      <c r="AC207" s="1">
        <v>1849</v>
      </c>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t="s">
        <v>1127</v>
      </c>
      <c r="BG207" s="1">
        <v>1832</v>
      </c>
      <c r="BH207" s="1">
        <v>1833</v>
      </c>
      <c r="BI207" s="1">
        <v>1</v>
      </c>
      <c r="BJ207" s="1"/>
      <c r="BK207" s="1" t="s">
        <v>1760</v>
      </c>
      <c r="BL207" s="1" t="s">
        <v>1746</v>
      </c>
      <c r="BM207" s="1"/>
      <c r="BN207" s="1" t="s">
        <v>1128</v>
      </c>
      <c r="BO207" s="12">
        <v>7.25</v>
      </c>
      <c r="BP207" s="1">
        <v>10</v>
      </c>
      <c r="BQ207" s="1"/>
      <c r="BR207" s="1">
        <v>18.399999999999999</v>
      </c>
      <c r="BS207" s="1">
        <v>25.4</v>
      </c>
      <c r="BT207" s="1"/>
      <c r="BU207" s="1"/>
      <c r="BV207" s="1" t="s">
        <v>345</v>
      </c>
      <c r="BW207" s="1" t="s">
        <v>346</v>
      </c>
      <c r="BX207" s="1"/>
      <c r="BY207" s="1">
        <v>1939</v>
      </c>
      <c r="BZ207" s="1" t="s">
        <v>347</v>
      </c>
      <c r="CA207" s="1" t="s">
        <v>348</v>
      </c>
      <c r="CB207" s="1"/>
      <c r="CN207" s="1" t="s">
        <v>96</v>
      </c>
      <c r="CP207" s="8" t="str">
        <f>HYPERLINK("http://www.metmuseum.org/art/collection/search/55739","http://www.metmuseum.org/art/collection/search/55739")</f>
        <v>http://www.metmuseum.org/art/collection/search/55739</v>
      </c>
      <c r="CQ207" s="4">
        <v>42842.333402777775</v>
      </c>
      <c r="CR207" s="1" t="s">
        <v>97</v>
      </c>
    </row>
    <row r="208" spans="1:96" ht="52.5" customHeight="1" x14ac:dyDescent="0.2">
      <c r="A208" s="1" t="s">
        <v>1129</v>
      </c>
      <c r="B208" s="1" t="b">
        <v>0</v>
      </c>
      <c r="C208" s="1" t="b">
        <v>1</v>
      </c>
      <c r="D208" s="1">
        <v>55740</v>
      </c>
      <c r="E208" s="1" t="s">
        <v>85</v>
      </c>
      <c r="F208" s="1" t="s">
        <v>99</v>
      </c>
      <c r="G208" s="1" t="s">
        <v>317</v>
      </c>
      <c r="H208" s="1" t="s">
        <v>318</v>
      </c>
      <c r="I208" s="1" t="s">
        <v>319</v>
      </c>
      <c r="J208" s="1" t="s">
        <v>320</v>
      </c>
      <c r="K208" s="1" t="s">
        <v>165</v>
      </c>
      <c r="L208" s="1" t="s">
        <v>156</v>
      </c>
      <c r="M208" s="1" t="s">
        <v>157</v>
      </c>
      <c r="N208" s="1" t="s">
        <v>87</v>
      </c>
      <c r="O208" s="1" t="s">
        <v>1798</v>
      </c>
      <c r="P208" s="1">
        <v>1615</v>
      </c>
      <c r="Q208" s="6">
        <v>1868</v>
      </c>
      <c r="U208" s="1" t="s">
        <v>88</v>
      </c>
      <c r="W208" s="1" t="s">
        <v>89</v>
      </c>
      <c r="X208" s="1" t="s">
        <v>1801</v>
      </c>
      <c r="Z208" s="1" t="s">
        <v>89</v>
      </c>
      <c r="AA208" s="1" t="s">
        <v>90</v>
      </c>
      <c r="AB208" s="1">
        <v>1760</v>
      </c>
      <c r="AC208" s="1">
        <v>1849</v>
      </c>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t="s">
        <v>158</v>
      </c>
      <c r="BG208" s="1">
        <v>1830</v>
      </c>
      <c r="BH208" s="1">
        <v>1832</v>
      </c>
      <c r="BI208" s="1">
        <v>1</v>
      </c>
      <c r="BJ208" s="1"/>
      <c r="BK208" s="1" t="s">
        <v>1760</v>
      </c>
      <c r="BL208" s="1" t="s">
        <v>1746</v>
      </c>
      <c r="BM208" s="1" t="s">
        <v>615</v>
      </c>
      <c r="BN208" s="1" t="s">
        <v>1130</v>
      </c>
      <c r="BO208" s="12">
        <v>10.25</v>
      </c>
      <c r="BP208" s="12">
        <v>15.25</v>
      </c>
      <c r="BQ208" s="12"/>
      <c r="BR208" s="1">
        <v>26</v>
      </c>
      <c r="BS208" s="1">
        <v>38.700000000000003</v>
      </c>
      <c r="BT208" s="1"/>
      <c r="BU208" s="1"/>
      <c r="BV208" s="1" t="s">
        <v>345</v>
      </c>
      <c r="BW208" s="1" t="s">
        <v>346</v>
      </c>
      <c r="BX208" s="1"/>
      <c r="BY208" s="1">
        <v>1939</v>
      </c>
      <c r="BZ208" s="1" t="s">
        <v>347</v>
      </c>
      <c r="CA208" s="1" t="s">
        <v>348</v>
      </c>
      <c r="CB208" s="1"/>
      <c r="CN208" s="1" t="s">
        <v>96</v>
      </c>
      <c r="CP208" s="8" t="str">
        <f>HYPERLINK("http://www.metmuseum.org/art/collection/search/55740","http://www.metmuseum.org/art/collection/search/55740")</f>
        <v>http://www.metmuseum.org/art/collection/search/55740</v>
      </c>
      <c r="CQ208" s="4">
        <v>42842.333402777775</v>
      </c>
      <c r="CR208" s="1" t="s">
        <v>97</v>
      </c>
    </row>
    <row r="209" spans="1:96" ht="52.5" customHeight="1" x14ac:dyDescent="0.2">
      <c r="A209" s="1" t="s">
        <v>1131</v>
      </c>
      <c r="B209" s="1" t="b">
        <v>0</v>
      </c>
      <c r="C209" s="1" t="b">
        <v>1</v>
      </c>
      <c r="D209" s="1">
        <v>55741</v>
      </c>
      <c r="E209" s="1" t="s">
        <v>85</v>
      </c>
      <c r="F209" s="1" t="s">
        <v>99</v>
      </c>
      <c r="G209" s="1" t="s">
        <v>237</v>
      </c>
      <c r="H209" s="1" t="s">
        <v>238</v>
      </c>
      <c r="I209" s="1" t="s">
        <v>239</v>
      </c>
      <c r="J209" s="1" t="s">
        <v>1132</v>
      </c>
      <c r="K209" s="1" t="s">
        <v>165</v>
      </c>
      <c r="L209" s="1" t="s">
        <v>156</v>
      </c>
      <c r="M209" s="1" t="s">
        <v>157</v>
      </c>
      <c r="N209" s="1" t="s">
        <v>87</v>
      </c>
      <c r="O209" s="1" t="s">
        <v>1798</v>
      </c>
      <c r="P209" s="1">
        <v>1615</v>
      </c>
      <c r="Q209" s="1">
        <v>1868</v>
      </c>
      <c r="U209" s="1" t="s">
        <v>88</v>
      </c>
      <c r="W209" s="1" t="s">
        <v>89</v>
      </c>
      <c r="X209" s="1" t="s">
        <v>1801</v>
      </c>
      <c r="Z209" s="1" t="s">
        <v>89</v>
      </c>
      <c r="AA209" s="1" t="s">
        <v>90</v>
      </c>
      <c r="AB209" s="1">
        <v>1760</v>
      </c>
      <c r="AC209" s="1">
        <v>1849</v>
      </c>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t="s">
        <v>158</v>
      </c>
      <c r="BG209" s="1">
        <v>1830</v>
      </c>
      <c r="BH209" s="1">
        <v>1832</v>
      </c>
      <c r="BI209" s="1">
        <v>1</v>
      </c>
      <c r="BJ209" s="1"/>
      <c r="BK209" s="1" t="s">
        <v>1760</v>
      </c>
      <c r="BL209" s="1" t="s">
        <v>1746</v>
      </c>
      <c r="BM209" s="1" t="s">
        <v>615</v>
      </c>
      <c r="BN209" s="1" t="s">
        <v>196</v>
      </c>
      <c r="BO209" s="12">
        <v>10.125</v>
      </c>
      <c r="BP209" s="1">
        <v>15</v>
      </c>
      <c r="BQ209" s="1"/>
      <c r="BR209" s="1">
        <v>25.7</v>
      </c>
      <c r="BS209" s="1">
        <v>25.7</v>
      </c>
      <c r="BT209" s="1"/>
      <c r="BU209" s="1"/>
      <c r="BV209" s="1" t="s">
        <v>345</v>
      </c>
      <c r="BW209" s="1" t="s">
        <v>346</v>
      </c>
      <c r="BX209" s="1"/>
      <c r="BY209" s="1">
        <v>1939</v>
      </c>
      <c r="BZ209" s="1" t="s">
        <v>347</v>
      </c>
      <c r="CA209" s="1" t="s">
        <v>348</v>
      </c>
      <c r="CB209" s="1"/>
      <c r="CN209" s="1" t="s">
        <v>96</v>
      </c>
      <c r="CP209" s="8" t="str">
        <f>HYPERLINK("http://www.metmuseum.org/art/collection/search/55741","http://www.metmuseum.org/art/collection/search/55741")</f>
        <v>http://www.metmuseum.org/art/collection/search/55741</v>
      </c>
      <c r="CQ209" s="4">
        <v>42842.333402777775</v>
      </c>
      <c r="CR209" s="1" t="s">
        <v>97</v>
      </c>
    </row>
    <row r="210" spans="1:96" ht="52.5" customHeight="1" x14ac:dyDescent="0.2">
      <c r="A210" s="1" t="s">
        <v>1133</v>
      </c>
      <c r="B210" s="1" t="b">
        <v>0</v>
      </c>
      <c r="C210" s="1" t="b">
        <v>1</v>
      </c>
      <c r="D210" s="1">
        <v>55742</v>
      </c>
      <c r="E210" s="1" t="s">
        <v>85</v>
      </c>
      <c r="F210" s="1" t="s">
        <v>99</v>
      </c>
      <c r="G210" s="1" t="s">
        <v>1017</v>
      </c>
      <c r="H210" s="1" t="s">
        <v>1018</v>
      </c>
      <c r="I210" s="1" t="s">
        <v>1019</v>
      </c>
      <c r="J210" s="1" t="s">
        <v>1020</v>
      </c>
      <c r="K210" s="1" t="s">
        <v>165</v>
      </c>
      <c r="L210" s="1" t="s">
        <v>156</v>
      </c>
      <c r="M210" s="1" t="s">
        <v>157</v>
      </c>
      <c r="N210" s="1" t="s">
        <v>87</v>
      </c>
      <c r="O210" s="1" t="s">
        <v>1798</v>
      </c>
      <c r="P210" s="1">
        <v>1615</v>
      </c>
      <c r="Q210" s="1">
        <v>1868</v>
      </c>
      <c r="U210" s="1" t="s">
        <v>88</v>
      </c>
      <c r="W210" s="1" t="s">
        <v>89</v>
      </c>
      <c r="X210" s="1" t="s">
        <v>1801</v>
      </c>
      <c r="Z210" s="1" t="s">
        <v>89</v>
      </c>
      <c r="AA210" s="1" t="s">
        <v>90</v>
      </c>
      <c r="AB210" s="1">
        <v>1760</v>
      </c>
      <c r="AC210" s="1">
        <v>1849</v>
      </c>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t="s">
        <v>158</v>
      </c>
      <c r="BG210" s="1">
        <v>1830</v>
      </c>
      <c r="BH210" s="1">
        <v>1832</v>
      </c>
      <c r="BI210" s="1">
        <v>1</v>
      </c>
      <c r="BJ210" s="1"/>
      <c r="BK210" s="1" t="s">
        <v>1760</v>
      </c>
      <c r="BL210" s="1" t="s">
        <v>1746</v>
      </c>
      <c r="BM210" s="1" t="s">
        <v>615</v>
      </c>
      <c r="BN210" s="1" t="s">
        <v>377</v>
      </c>
      <c r="BO210" s="12">
        <v>10.25</v>
      </c>
      <c r="BP210" s="12">
        <v>15.125</v>
      </c>
      <c r="BQ210" s="12"/>
      <c r="BR210" s="1">
        <v>26</v>
      </c>
      <c r="BS210" s="1">
        <v>38.4</v>
      </c>
      <c r="BT210" s="1"/>
      <c r="BU210" s="1"/>
      <c r="BV210" s="1" t="s">
        <v>345</v>
      </c>
      <c r="BW210" s="1" t="s">
        <v>346</v>
      </c>
      <c r="BX210" s="1"/>
      <c r="BY210" s="1">
        <v>1939</v>
      </c>
      <c r="BZ210" s="1" t="s">
        <v>347</v>
      </c>
      <c r="CA210" s="1" t="s">
        <v>348</v>
      </c>
      <c r="CB210" s="1"/>
      <c r="CN210" s="1" t="s">
        <v>96</v>
      </c>
      <c r="CP210" s="8" t="str">
        <f>HYPERLINK("http://www.metmuseum.org/art/collection/search/55742","http://www.metmuseum.org/art/collection/search/55742")</f>
        <v>http://www.metmuseum.org/art/collection/search/55742</v>
      </c>
      <c r="CQ210" s="4">
        <v>42842.333402777775</v>
      </c>
      <c r="CR210" s="1" t="s">
        <v>97</v>
      </c>
    </row>
    <row r="211" spans="1:96" ht="52.5" customHeight="1" x14ac:dyDescent="0.2">
      <c r="A211" s="1" t="s">
        <v>1134</v>
      </c>
      <c r="B211" s="1" t="b">
        <v>0</v>
      </c>
      <c r="C211" s="1" t="b">
        <v>1</v>
      </c>
      <c r="D211" s="1">
        <v>56018</v>
      </c>
      <c r="E211" s="1" t="s">
        <v>85</v>
      </c>
      <c r="F211" s="1" t="s">
        <v>99</v>
      </c>
      <c r="N211" s="1" t="s">
        <v>87</v>
      </c>
      <c r="O211" s="1" t="s">
        <v>1798</v>
      </c>
      <c r="P211" s="1">
        <v>1615</v>
      </c>
      <c r="Q211" s="1">
        <v>1868</v>
      </c>
      <c r="U211" s="1" t="s">
        <v>88</v>
      </c>
      <c r="W211" s="1" t="s">
        <v>89</v>
      </c>
      <c r="X211" s="1" t="s">
        <v>1801</v>
      </c>
      <c r="Z211" s="1" t="s">
        <v>89</v>
      </c>
      <c r="AA211" s="1" t="s">
        <v>90</v>
      </c>
      <c r="AB211" s="1">
        <v>1760</v>
      </c>
      <c r="AC211" s="1">
        <v>1849</v>
      </c>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t="s">
        <v>1135</v>
      </c>
      <c r="BG211" s="1">
        <v>1781</v>
      </c>
      <c r="BH211" s="1">
        <v>1801</v>
      </c>
      <c r="BI211" s="1">
        <v>1</v>
      </c>
      <c r="BJ211" s="1"/>
      <c r="BK211" s="1" t="s">
        <v>1760</v>
      </c>
      <c r="BL211" s="1" t="s">
        <v>1746</v>
      </c>
      <c r="BM211" s="1"/>
      <c r="BN211" s="1" t="s">
        <v>1136</v>
      </c>
      <c r="BO211" s="12">
        <v>11.75</v>
      </c>
      <c r="BP211" s="12">
        <v>5.25</v>
      </c>
      <c r="BQ211" s="12"/>
      <c r="BR211" s="1">
        <v>29.8</v>
      </c>
      <c r="BS211" s="1">
        <v>13.3</v>
      </c>
      <c r="BT211" s="1"/>
      <c r="BU211" s="1"/>
      <c r="BV211" s="1" t="s">
        <v>345</v>
      </c>
      <c r="BW211" s="1" t="s">
        <v>346</v>
      </c>
      <c r="BX211" s="1"/>
      <c r="BY211" s="1">
        <v>1939</v>
      </c>
      <c r="BZ211" s="1" t="s">
        <v>347</v>
      </c>
      <c r="CA211" s="1" t="s">
        <v>348</v>
      </c>
      <c r="CB211" s="1"/>
      <c r="CN211" s="1" t="s">
        <v>96</v>
      </c>
      <c r="CP211" s="8" t="str">
        <f>HYPERLINK("http://www.metmuseum.org/art/collection/search/56018","http://www.metmuseum.org/art/collection/search/56018")</f>
        <v>http://www.metmuseum.org/art/collection/search/56018</v>
      </c>
      <c r="CQ211" s="4">
        <v>42842.333402777775</v>
      </c>
      <c r="CR211" s="1" t="s">
        <v>97</v>
      </c>
    </row>
    <row r="212" spans="1:96" ht="52.5" customHeight="1" x14ac:dyDescent="0.2">
      <c r="A212" s="1" t="s">
        <v>1137</v>
      </c>
      <c r="B212" s="1" t="b">
        <v>0</v>
      </c>
      <c r="C212" s="1" t="b">
        <v>1</v>
      </c>
      <c r="D212" s="1">
        <v>56019</v>
      </c>
      <c r="E212" s="1" t="s">
        <v>85</v>
      </c>
      <c r="F212" s="1" t="s">
        <v>86</v>
      </c>
      <c r="G212" s="1" t="s">
        <v>1138</v>
      </c>
      <c r="H212" s="1" t="s">
        <v>1139</v>
      </c>
      <c r="I212" s="1" t="s">
        <v>1140</v>
      </c>
      <c r="J212" s="1" t="s">
        <v>1141</v>
      </c>
      <c r="K212" s="1"/>
      <c r="L212" s="1"/>
      <c r="M212" s="1"/>
      <c r="N212" s="1" t="s">
        <v>87</v>
      </c>
      <c r="O212" s="1" t="s">
        <v>1798</v>
      </c>
      <c r="P212" s="1">
        <v>1615</v>
      </c>
      <c r="Q212" s="1">
        <v>1868</v>
      </c>
      <c r="U212" s="1" t="s">
        <v>88</v>
      </c>
      <c r="W212" s="1" t="s">
        <v>89</v>
      </c>
      <c r="X212" s="1" t="s">
        <v>1801</v>
      </c>
      <c r="Z212" s="1" t="s">
        <v>89</v>
      </c>
      <c r="AA212" s="1" t="s">
        <v>90</v>
      </c>
      <c r="AB212" s="1">
        <v>1760</v>
      </c>
      <c r="AC212" s="1">
        <v>1849</v>
      </c>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t="s">
        <v>1142</v>
      </c>
      <c r="BG212" s="1">
        <v>1796</v>
      </c>
      <c r="BH212" s="1">
        <v>1796</v>
      </c>
      <c r="BI212" s="1">
        <v>1</v>
      </c>
      <c r="BJ212" s="1"/>
      <c r="BK212" s="1" t="s">
        <v>1760</v>
      </c>
      <c r="BL212" s="1" t="s">
        <v>1746</v>
      </c>
      <c r="BM212" s="1"/>
      <c r="BN212" s="1" t="s">
        <v>1136</v>
      </c>
      <c r="BO212" s="12">
        <v>11.75</v>
      </c>
      <c r="BP212" s="12">
        <v>5.25</v>
      </c>
      <c r="BQ212" s="12"/>
      <c r="BR212" s="1">
        <v>29.8</v>
      </c>
      <c r="BS212" s="1">
        <v>13.3</v>
      </c>
      <c r="BT212" s="1"/>
      <c r="BU212" s="1"/>
      <c r="BV212" s="1" t="s">
        <v>345</v>
      </c>
      <c r="BW212" s="1" t="s">
        <v>346</v>
      </c>
      <c r="BX212" s="1"/>
      <c r="BY212" s="1">
        <v>1939</v>
      </c>
      <c r="BZ212" s="1" t="s">
        <v>347</v>
      </c>
      <c r="CA212" s="1" t="s">
        <v>348</v>
      </c>
      <c r="CB212" s="1"/>
      <c r="CN212" s="1" t="s">
        <v>96</v>
      </c>
      <c r="CP212" s="8" t="str">
        <f>HYPERLINK("http://www.metmuseum.org/art/collection/search/56019","http://www.metmuseum.org/art/collection/search/56019")</f>
        <v>http://www.metmuseum.org/art/collection/search/56019</v>
      </c>
      <c r="CQ212" s="4">
        <v>42842.333402777775</v>
      </c>
      <c r="CR212" s="1" t="s">
        <v>97</v>
      </c>
    </row>
    <row r="213" spans="1:96" ht="52.5" customHeight="1" x14ac:dyDescent="0.2">
      <c r="A213" s="1" t="s">
        <v>1143</v>
      </c>
      <c r="B213" s="1" t="b">
        <v>0</v>
      </c>
      <c r="C213" s="1" t="b">
        <v>1</v>
      </c>
      <c r="D213" s="1">
        <v>56128</v>
      </c>
      <c r="E213" s="1" t="s">
        <v>85</v>
      </c>
      <c r="F213" s="1" t="s">
        <v>86</v>
      </c>
      <c r="N213" s="1" t="s">
        <v>87</v>
      </c>
      <c r="O213" s="1" t="s">
        <v>1798</v>
      </c>
      <c r="P213" s="1">
        <v>1615</v>
      </c>
      <c r="Q213" s="1">
        <v>1868</v>
      </c>
      <c r="U213" s="1" t="s">
        <v>88</v>
      </c>
      <c r="W213" s="1" t="s">
        <v>89</v>
      </c>
      <c r="X213" s="1" t="s">
        <v>1801</v>
      </c>
      <c r="Z213" s="1" t="s">
        <v>89</v>
      </c>
      <c r="AA213" s="1" t="s">
        <v>90</v>
      </c>
      <c r="AB213" s="1">
        <v>1760</v>
      </c>
      <c r="AC213" s="1">
        <v>1849</v>
      </c>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t="s">
        <v>1144</v>
      </c>
      <c r="BG213" s="1">
        <v>1830</v>
      </c>
      <c r="BH213" s="1">
        <v>1839</v>
      </c>
      <c r="BI213" s="1">
        <v>1</v>
      </c>
      <c r="BJ213" s="1"/>
      <c r="BK213" s="6" t="s">
        <v>1772</v>
      </c>
      <c r="BL213" s="1" t="s">
        <v>1748</v>
      </c>
      <c r="BM213" s="1"/>
      <c r="BN213" s="1" t="s">
        <v>1145</v>
      </c>
      <c r="BO213" s="12">
        <v>10.5</v>
      </c>
      <c r="BP213" s="12">
        <v>14.75</v>
      </c>
      <c r="BQ213" s="12"/>
      <c r="BR213" s="1">
        <v>26.7</v>
      </c>
      <c r="BS213" s="1">
        <v>37.5</v>
      </c>
      <c r="BT213" s="1"/>
      <c r="BU213" s="1"/>
      <c r="BV213" s="1" t="s">
        <v>447</v>
      </c>
      <c r="BW213" s="1" t="s">
        <v>346</v>
      </c>
      <c r="BX213" s="1"/>
      <c r="BY213" s="1">
        <v>1929</v>
      </c>
      <c r="BZ213" s="1" t="s">
        <v>448</v>
      </c>
      <c r="CA213" s="1" t="s">
        <v>449</v>
      </c>
      <c r="CB213" s="1"/>
      <c r="CN213" s="1" t="s">
        <v>96</v>
      </c>
      <c r="CP213" s="8" t="str">
        <f>HYPERLINK("http://www.metmuseum.org/art/collection/search/56128","http://www.metmuseum.org/art/collection/search/56128")</f>
        <v>http://www.metmuseum.org/art/collection/search/56128</v>
      </c>
      <c r="CQ213" s="4">
        <v>42842.333402777775</v>
      </c>
      <c r="CR213" s="1" t="s">
        <v>97</v>
      </c>
    </row>
    <row r="214" spans="1:96" ht="52.5" customHeight="1" x14ac:dyDescent="0.2">
      <c r="A214" s="1" t="s">
        <v>1146</v>
      </c>
      <c r="B214" s="1" t="b">
        <v>0</v>
      </c>
      <c r="C214" s="1" t="b">
        <v>1</v>
      </c>
      <c r="D214" s="1">
        <v>56129</v>
      </c>
      <c r="E214" s="1" t="s">
        <v>85</v>
      </c>
      <c r="F214" s="1" t="s">
        <v>99</v>
      </c>
      <c r="N214" s="1" t="s">
        <v>87</v>
      </c>
      <c r="O214" s="1" t="s">
        <v>1798</v>
      </c>
      <c r="P214" s="1">
        <v>1615</v>
      </c>
      <c r="Q214" s="1">
        <v>1868</v>
      </c>
      <c r="U214" s="1" t="s">
        <v>88</v>
      </c>
      <c r="W214" s="1" t="s">
        <v>89</v>
      </c>
      <c r="X214" s="1" t="s">
        <v>1801</v>
      </c>
      <c r="Z214" s="1" t="s">
        <v>89</v>
      </c>
      <c r="AA214" s="1" t="s">
        <v>90</v>
      </c>
      <c r="AB214" s="1">
        <v>1760</v>
      </c>
      <c r="AC214" s="1">
        <v>1849</v>
      </c>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G214" s="1">
        <v>1760</v>
      </c>
      <c r="BH214" s="1">
        <v>1849</v>
      </c>
      <c r="BI214" s="1">
        <v>1</v>
      </c>
      <c r="BJ214" s="1"/>
      <c r="BK214" s="6" t="s">
        <v>1772</v>
      </c>
      <c r="BL214" s="1" t="s">
        <v>1748</v>
      </c>
      <c r="BM214" s="1"/>
      <c r="BN214" s="1" t="s">
        <v>1147</v>
      </c>
      <c r="BO214" s="11">
        <v>14.9375</v>
      </c>
      <c r="BP214" s="11">
        <v>10.3125</v>
      </c>
      <c r="BQ214" s="11"/>
      <c r="BR214" s="1">
        <v>37.9</v>
      </c>
      <c r="BS214" s="1">
        <v>26.2</v>
      </c>
      <c r="BT214" s="1"/>
      <c r="BU214" s="1"/>
      <c r="BV214" s="1" t="s">
        <v>447</v>
      </c>
      <c r="BW214" s="1" t="s">
        <v>346</v>
      </c>
      <c r="BX214" s="1"/>
      <c r="BY214" s="1">
        <v>1929</v>
      </c>
      <c r="BZ214" s="1" t="s">
        <v>448</v>
      </c>
      <c r="CA214" s="1" t="s">
        <v>449</v>
      </c>
      <c r="CB214" s="1"/>
      <c r="CN214" s="1" t="s">
        <v>96</v>
      </c>
      <c r="CP214" s="8" t="str">
        <f>HYPERLINK("http://www.metmuseum.org/art/collection/search/56129","http://www.metmuseum.org/art/collection/search/56129")</f>
        <v>http://www.metmuseum.org/art/collection/search/56129</v>
      </c>
      <c r="CQ214" s="4">
        <v>42842.333402777775</v>
      </c>
      <c r="CR214" s="1" t="s">
        <v>97</v>
      </c>
    </row>
    <row r="215" spans="1:96" ht="52.5" customHeight="1" x14ac:dyDescent="0.2">
      <c r="A215" s="1" t="s">
        <v>1148</v>
      </c>
      <c r="B215" s="1" t="b">
        <v>0</v>
      </c>
      <c r="C215" s="1" t="b">
        <v>1</v>
      </c>
      <c r="D215" s="1">
        <v>56130</v>
      </c>
      <c r="E215" s="1" t="s">
        <v>85</v>
      </c>
      <c r="F215" s="1" t="s">
        <v>86</v>
      </c>
      <c r="N215" s="1" t="s">
        <v>87</v>
      </c>
      <c r="O215" s="1" t="s">
        <v>1798</v>
      </c>
      <c r="P215" s="1">
        <v>1615</v>
      </c>
      <c r="Q215" s="1">
        <v>1868</v>
      </c>
      <c r="U215" s="1" t="s">
        <v>88</v>
      </c>
      <c r="W215" s="1" t="s">
        <v>89</v>
      </c>
      <c r="X215" s="1" t="s">
        <v>1801</v>
      </c>
      <c r="Z215" s="1" t="s">
        <v>89</v>
      </c>
      <c r="AA215" s="1" t="s">
        <v>90</v>
      </c>
      <c r="AB215" s="1">
        <v>1760</v>
      </c>
      <c r="AC215" s="1">
        <v>1849</v>
      </c>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G215" s="1">
        <v>1760</v>
      </c>
      <c r="BH215" s="1">
        <v>1849</v>
      </c>
      <c r="BI215" s="1">
        <v>1</v>
      </c>
      <c r="BJ215" s="1"/>
      <c r="BK215" s="6" t="s">
        <v>1772</v>
      </c>
      <c r="BL215" s="1" t="s">
        <v>1748</v>
      </c>
      <c r="BM215" s="1"/>
      <c r="BN215" s="1" t="s">
        <v>1149</v>
      </c>
      <c r="BO215" s="1">
        <v>15</v>
      </c>
      <c r="BP215" s="12">
        <v>10.375</v>
      </c>
      <c r="BQ215" s="12"/>
      <c r="BR215" s="1">
        <v>38.1</v>
      </c>
      <c r="BS215" s="1">
        <v>26.4</v>
      </c>
      <c r="BT215" s="1"/>
      <c r="BU215" s="1"/>
      <c r="BV215" s="1" t="s">
        <v>447</v>
      </c>
      <c r="BW215" s="1" t="s">
        <v>346</v>
      </c>
      <c r="BX215" s="1"/>
      <c r="BY215" s="1">
        <v>1929</v>
      </c>
      <c r="BZ215" s="1" t="s">
        <v>448</v>
      </c>
      <c r="CA215" s="1" t="s">
        <v>449</v>
      </c>
      <c r="CB215" s="1"/>
      <c r="CN215" s="1" t="s">
        <v>96</v>
      </c>
      <c r="CP215" s="8" t="str">
        <f>HYPERLINK("http://www.metmuseum.org/art/collection/search/56130","http://www.metmuseum.org/art/collection/search/56130")</f>
        <v>http://www.metmuseum.org/art/collection/search/56130</v>
      </c>
      <c r="CQ215" s="4">
        <v>42842.333402777775</v>
      </c>
      <c r="CR215" s="1" t="s">
        <v>97</v>
      </c>
    </row>
    <row r="216" spans="1:96" ht="52.5" customHeight="1" x14ac:dyDescent="0.2">
      <c r="A216" s="1" t="s">
        <v>1150</v>
      </c>
      <c r="B216" s="1" t="b">
        <v>0</v>
      </c>
      <c r="C216" s="1" t="b">
        <v>1</v>
      </c>
      <c r="D216" s="1">
        <v>56131</v>
      </c>
      <c r="E216" s="1" t="s">
        <v>85</v>
      </c>
      <c r="F216" s="1" t="s">
        <v>99</v>
      </c>
      <c r="G216" s="1" t="s">
        <v>323</v>
      </c>
      <c r="H216" s="1" t="s">
        <v>324</v>
      </c>
      <c r="I216" s="1" t="s">
        <v>325</v>
      </c>
      <c r="J216" s="1" t="s">
        <v>1151</v>
      </c>
      <c r="K216" s="1" t="s">
        <v>165</v>
      </c>
      <c r="L216" s="1" t="s">
        <v>156</v>
      </c>
      <c r="M216" s="1" t="s">
        <v>157</v>
      </c>
      <c r="N216" s="1" t="s">
        <v>87</v>
      </c>
      <c r="O216" s="1" t="s">
        <v>1798</v>
      </c>
      <c r="P216" s="1">
        <v>1615</v>
      </c>
      <c r="Q216" s="1">
        <v>1868</v>
      </c>
      <c r="U216" s="1" t="s">
        <v>88</v>
      </c>
      <c r="W216" s="1" t="s">
        <v>89</v>
      </c>
      <c r="X216" s="1" t="s">
        <v>1801</v>
      </c>
      <c r="Z216" s="1" t="s">
        <v>89</v>
      </c>
      <c r="AA216" s="1" t="s">
        <v>90</v>
      </c>
      <c r="AB216" s="1">
        <v>1760</v>
      </c>
      <c r="AC216" s="1">
        <v>1849</v>
      </c>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t="s">
        <v>158</v>
      </c>
      <c r="BG216" s="1">
        <v>1820</v>
      </c>
      <c r="BH216" s="1">
        <v>1842</v>
      </c>
      <c r="BI216" s="1">
        <v>1</v>
      </c>
      <c r="BJ216" s="1"/>
      <c r="BK216" s="6" t="s">
        <v>1760</v>
      </c>
      <c r="BL216" s="1" t="s">
        <v>1746</v>
      </c>
      <c r="BM216" s="1"/>
      <c r="BN216" s="1" t="s">
        <v>1152</v>
      </c>
      <c r="BO216" s="12">
        <v>9.375</v>
      </c>
      <c r="BP216" s="1">
        <v>14</v>
      </c>
      <c r="BQ216" s="1"/>
      <c r="BR216" s="1">
        <v>23.8</v>
      </c>
      <c r="BS216" s="1">
        <v>35.6</v>
      </c>
      <c r="BT216" s="1"/>
      <c r="BU216" s="1"/>
      <c r="BV216" s="1" t="s">
        <v>447</v>
      </c>
      <c r="BW216" s="1" t="s">
        <v>346</v>
      </c>
      <c r="BX216" s="1"/>
      <c r="BY216" s="1">
        <v>1929</v>
      </c>
      <c r="BZ216" s="1" t="s">
        <v>448</v>
      </c>
      <c r="CA216" s="1" t="s">
        <v>449</v>
      </c>
      <c r="CB216" s="1"/>
      <c r="CN216" s="1" t="s">
        <v>96</v>
      </c>
      <c r="CP216" s="8" t="str">
        <f>HYPERLINK("http://www.metmuseum.org/art/collection/search/56131","http://www.metmuseum.org/art/collection/search/56131")</f>
        <v>http://www.metmuseum.org/art/collection/search/56131</v>
      </c>
      <c r="CQ216" s="4">
        <v>42842.333402777775</v>
      </c>
      <c r="CR216" s="1" t="s">
        <v>97</v>
      </c>
    </row>
    <row r="217" spans="1:96" ht="52.5" customHeight="1" x14ac:dyDescent="0.2">
      <c r="A217" s="1" t="s">
        <v>1153</v>
      </c>
      <c r="B217" s="1" t="b">
        <v>0</v>
      </c>
      <c r="C217" s="1" t="b">
        <v>1</v>
      </c>
      <c r="D217" s="1">
        <v>56132</v>
      </c>
      <c r="E217" s="1" t="s">
        <v>85</v>
      </c>
      <c r="F217" s="1" t="s">
        <v>99</v>
      </c>
      <c r="G217" s="1" t="s">
        <v>253</v>
      </c>
      <c r="H217" s="1" t="s">
        <v>254</v>
      </c>
      <c r="I217" s="1" t="s">
        <v>255</v>
      </c>
      <c r="J217" s="1" t="s">
        <v>256</v>
      </c>
      <c r="K217" s="1" t="s">
        <v>165</v>
      </c>
      <c r="L217" s="1" t="s">
        <v>156</v>
      </c>
      <c r="M217" s="1" t="s">
        <v>157</v>
      </c>
      <c r="N217" s="1" t="s">
        <v>87</v>
      </c>
      <c r="O217" s="1" t="s">
        <v>1798</v>
      </c>
      <c r="P217" s="1">
        <v>1615</v>
      </c>
      <c r="Q217" s="1">
        <v>1868</v>
      </c>
      <c r="U217" s="1" t="s">
        <v>88</v>
      </c>
      <c r="W217" s="1" t="s">
        <v>89</v>
      </c>
      <c r="X217" s="1" t="s">
        <v>1801</v>
      </c>
      <c r="Z217" s="1" t="s">
        <v>89</v>
      </c>
      <c r="AA217" s="1" t="s">
        <v>90</v>
      </c>
      <c r="AB217" s="1">
        <v>1760</v>
      </c>
      <c r="AC217" s="1">
        <v>1849</v>
      </c>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t="s">
        <v>158</v>
      </c>
      <c r="BG217" s="1">
        <v>1820</v>
      </c>
      <c r="BH217" s="1">
        <v>1842</v>
      </c>
      <c r="BI217" s="1">
        <v>1</v>
      </c>
      <c r="BJ217" s="1"/>
      <c r="BK217" s="1" t="s">
        <v>1760</v>
      </c>
      <c r="BL217" s="1" t="s">
        <v>1746</v>
      </c>
      <c r="BM217" s="1"/>
      <c r="BN217" s="1" t="s">
        <v>1154</v>
      </c>
      <c r="BO217" s="11">
        <v>9.8125</v>
      </c>
      <c r="BP217" s="12">
        <v>13.875</v>
      </c>
      <c r="BQ217" s="12"/>
      <c r="BR217" s="1">
        <v>24.9</v>
      </c>
      <c r="BS217" s="1">
        <v>35.200000000000003</v>
      </c>
      <c r="BT217" s="1"/>
      <c r="BU217" s="1"/>
      <c r="BV217" s="1" t="s">
        <v>447</v>
      </c>
      <c r="BW217" s="1" t="s">
        <v>346</v>
      </c>
      <c r="BX217" s="1"/>
      <c r="BY217" s="1">
        <v>1929</v>
      </c>
      <c r="BZ217" s="1" t="s">
        <v>448</v>
      </c>
      <c r="CA217" s="1" t="s">
        <v>449</v>
      </c>
      <c r="CB217" s="1"/>
      <c r="CN217" s="1" t="s">
        <v>96</v>
      </c>
      <c r="CP217" s="8" t="str">
        <f>HYPERLINK("http://www.metmuseum.org/art/collection/search/56132","http://www.metmuseum.org/art/collection/search/56132")</f>
        <v>http://www.metmuseum.org/art/collection/search/56132</v>
      </c>
      <c r="CQ217" s="4">
        <v>42842.333402777775</v>
      </c>
      <c r="CR217" s="1" t="s">
        <v>97</v>
      </c>
    </row>
    <row r="218" spans="1:96" ht="52.5" customHeight="1" x14ac:dyDescent="0.2">
      <c r="A218" s="1" t="s">
        <v>1155</v>
      </c>
      <c r="B218" s="1" t="b">
        <v>0</v>
      </c>
      <c r="C218" s="1" t="b">
        <v>1</v>
      </c>
      <c r="D218" s="1">
        <v>56133</v>
      </c>
      <c r="E218" s="1" t="s">
        <v>85</v>
      </c>
      <c r="F218" s="1" t="s">
        <v>99</v>
      </c>
      <c r="G218" s="1" t="s">
        <v>367</v>
      </c>
      <c r="H218" s="1" t="s">
        <v>368</v>
      </c>
      <c r="I218" s="1" t="s">
        <v>369</v>
      </c>
      <c r="J218" s="1" t="s">
        <v>370</v>
      </c>
      <c r="K218" s="1" t="s">
        <v>165</v>
      </c>
      <c r="L218" s="1" t="s">
        <v>156</v>
      </c>
      <c r="M218" s="1" t="s">
        <v>157</v>
      </c>
      <c r="N218" s="1" t="s">
        <v>87</v>
      </c>
      <c r="O218" s="1" t="s">
        <v>1798</v>
      </c>
      <c r="P218" s="1">
        <v>1615</v>
      </c>
      <c r="Q218" s="1">
        <v>1868</v>
      </c>
      <c r="U218" s="1" t="s">
        <v>88</v>
      </c>
      <c r="W218" s="1" t="s">
        <v>89</v>
      </c>
      <c r="X218" s="1" t="s">
        <v>1801</v>
      </c>
      <c r="Z218" s="1" t="s">
        <v>89</v>
      </c>
      <c r="AA218" s="1" t="s">
        <v>90</v>
      </c>
      <c r="AB218" s="1">
        <v>1760</v>
      </c>
      <c r="AC218" s="1">
        <v>1849</v>
      </c>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t="s">
        <v>158</v>
      </c>
      <c r="BG218" s="1">
        <v>1820</v>
      </c>
      <c r="BH218" s="1">
        <v>1842</v>
      </c>
      <c r="BI218" s="1">
        <v>1</v>
      </c>
      <c r="BJ218" s="1"/>
      <c r="BK218" s="1" t="s">
        <v>1760</v>
      </c>
      <c r="BL218" s="1" t="s">
        <v>1746</v>
      </c>
      <c r="BM218" s="1"/>
      <c r="BN218" s="1" t="s">
        <v>1156</v>
      </c>
      <c r="BO218" s="12">
        <v>10.125</v>
      </c>
      <c r="BP218" s="11">
        <v>14.8125</v>
      </c>
      <c r="BQ218" s="11"/>
      <c r="BR218" s="1">
        <v>25.7</v>
      </c>
      <c r="BS218" s="1">
        <v>37.6</v>
      </c>
      <c r="BT218" s="1"/>
      <c r="BU218" s="1"/>
      <c r="BV218" s="1" t="s">
        <v>447</v>
      </c>
      <c r="BW218" s="1" t="s">
        <v>346</v>
      </c>
      <c r="BX218" s="1"/>
      <c r="BY218" s="1">
        <v>1929</v>
      </c>
      <c r="BZ218" s="1" t="s">
        <v>448</v>
      </c>
      <c r="CA218" s="1" t="s">
        <v>449</v>
      </c>
      <c r="CB218" s="1"/>
      <c r="CN218" s="1" t="s">
        <v>96</v>
      </c>
      <c r="CP218" s="8" t="str">
        <f>HYPERLINK("http://www.metmuseum.org/art/collection/search/56133","http://www.metmuseum.org/art/collection/search/56133")</f>
        <v>http://www.metmuseum.org/art/collection/search/56133</v>
      </c>
      <c r="CQ218" s="4">
        <v>42842.333402777775</v>
      </c>
      <c r="CR218" s="1" t="s">
        <v>97</v>
      </c>
    </row>
    <row r="219" spans="1:96" ht="52.5" customHeight="1" x14ac:dyDescent="0.2">
      <c r="A219" s="1" t="s">
        <v>1157</v>
      </c>
      <c r="B219" s="1" t="b">
        <v>0</v>
      </c>
      <c r="C219" s="1" t="b">
        <v>1</v>
      </c>
      <c r="D219" s="1">
        <v>56135</v>
      </c>
      <c r="E219" s="1" t="s">
        <v>85</v>
      </c>
      <c r="F219" s="1" t="s">
        <v>99</v>
      </c>
      <c r="G219" s="1" t="s">
        <v>1158</v>
      </c>
      <c r="H219" s="1" t="s">
        <v>923</v>
      </c>
      <c r="I219" s="1" t="s">
        <v>924</v>
      </c>
      <c r="J219" s="1" t="s">
        <v>1159</v>
      </c>
      <c r="K219" s="1" t="s">
        <v>165</v>
      </c>
      <c r="L219" s="1" t="s">
        <v>156</v>
      </c>
      <c r="M219" s="1" t="s">
        <v>157</v>
      </c>
      <c r="N219" s="1" t="s">
        <v>87</v>
      </c>
      <c r="O219" s="1" t="s">
        <v>1798</v>
      </c>
      <c r="P219" s="1">
        <v>1615</v>
      </c>
      <c r="Q219" s="1">
        <v>1868</v>
      </c>
      <c r="U219" s="1" t="s">
        <v>88</v>
      </c>
      <c r="W219" s="1" t="s">
        <v>89</v>
      </c>
      <c r="X219" s="1" t="s">
        <v>1801</v>
      </c>
      <c r="Z219" s="1" t="s">
        <v>89</v>
      </c>
      <c r="AA219" s="1" t="s">
        <v>90</v>
      </c>
      <c r="AB219" s="1">
        <v>1760</v>
      </c>
      <c r="AC219" s="1">
        <v>1849</v>
      </c>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t="s">
        <v>158</v>
      </c>
      <c r="BG219" s="1">
        <v>1830</v>
      </c>
      <c r="BH219" s="1">
        <v>1842</v>
      </c>
      <c r="BI219" s="1">
        <v>1</v>
      </c>
      <c r="BJ219" s="1"/>
      <c r="BK219" s="1" t="s">
        <v>1760</v>
      </c>
      <c r="BL219" s="1" t="s">
        <v>1746</v>
      </c>
      <c r="BM219" s="1"/>
      <c r="BN219" s="1" t="s">
        <v>1160</v>
      </c>
      <c r="BO219" s="12">
        <v>9.5</v>
      </c>
      <c r="BP219" s="12">
        <v>14.125</v>
      </c>
      <c r="BQ219" s="12"/>
      <c r="BR219" s="1">
        <v>24.1</v>
      </c>
      <c r="BS219" s="1">
        <v>35.9</v>
      </c>
      <c r="BT219" s="1"/>
      <c r="BU219" s="1"/>
      <c r="BV219" s="1" t="s">
        <v>447</v>
      </c>
      <c r="BW219" s="1" t="s">
        <v>346</v>
      </c>
      <c r="BX219" s="1"/>
      <c r="BY219" s="1">
        <v>1929</v>
      </c>
      <c r="BZ219" s="1" t="s">
        <v>448</v>
      </c>
      <c r="CA219" s="1" t="s">
        <v>449</v>
      </c>
      <c r="CB219" s="1"/>
      <c r="CN219" s="1" t="s">
        <v>96</v>
      </c>
      <c r="CP219" s="8" t="str">
        <f>HYPERLINK("http://www.metmuseum.org/art/collection/search/56135","http://www.metmuseum.org/art/collection/search/56135")</f>
        <v>http://www.metmuseum.org/art/collection/search/56135</v>
      </c>
      <c r="CQ219" s="4">
        <v>42842.333402777775</v>
      </c>
      <c r="CR219" s="1" t="s">
        <v>97</v>
      </c>
    </row>
    <row r="220" spans="1:96" ht="52.5" customHeight="1" x14ac:dyDescent="0.2">
      <c r="A220" s="1" t="s">
        <v>1161</v>
      </c>
      <c r="B220" s="1" t="b">
        <v>0</v>
      </c>
      <c r="C220" s="1" t="b">
        <v>1</v>
      </c>
      <c r="D220" s="1">
        <v>56136</v>
      </c>
      <c r="E220" s="1" t="s">
        <v>85</v>
      </c>
      <c r="F220" s="1" t="s">
        <v>99</v>
      </c>
      <c r="G220" s="1" t="s">
        <v>1162</v>
      </c>
      <c r="H220" s="1" t="s">
        <v>1163</v>
      </c>
      <c r="I220" s="1" t="s">
        <v>1164</v>
      </c>
      <c r="J220" s="1" t="s">
        <v>1165</v>
      </c>
      <c r="K220" s="1" t="s">
        <v>124</v>
      </c>
      <c r="L220" s="1" t="s">
        <v>116</v>
      </c>
      <c r="M220" s="1" t="s">
        <v>1166</v>
      </c>
      <c r="N220" s="1" t="s">
        <v>87</v>
      </c>
      <c r="O220" s="1" t="s">
        <v>1798</v>
      </c>
      <c r="P220" s="1">
        <v>1615</v>
      </c>
      <c r="Q220" s="1">
        <v>1868</v>
      </c>
      <c r="U220" s="1" t="s">
        <v>88</v>
      </c>
      <c r="W220" s="1" t="s">
        <v>89</v>
      </c>
      <c r="X220" s="1" t="s">
        <v>1801</v>
      </c>
      <c r="Z220" s="1" t="s">
        <v>89</v>
      </c>
      <c r="AA220" s="1" t="s">
        <v>90</v>
      </c>
      <c r="AB220" s="1">
        <v>1760</v>
      </c>
      <c r="AC220" s="1">
        <v>1849</v>
      </c>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v>1839</v>
      </c>
      <c r="BG220" s="1">
        <v>1839</v>
      </c>
      <c r="BH220" s="1">
        <v>1839</v>
      </c>
      <c r="BI220" s="1">
        <v>1</v>
      </c>
      <c r="BJ220" s="1"/>
      <c r="BK220" s="1" t="s">
        <v>1760</v>
      </c>
      <c r="BL220" s="1" t="s">
        <v>1746</v>
      </c>
      <c r="BM220" s="1"/>
      <c r="BN220" s="1" t="s">
        <v>1167</v>
      </c>
      <c r="BO220" s="1">
        <v>10</v>
      </c>
      <c r="BP220" s="12">
        <v>14.375</v>
      </c>
      <c r="BQ220" s="12"/>
      <c r="BR220" s="1">
        <v>25.4</v>
      </c>
      <c r="BS220" s="1">
        <v>36.5</v>
      </c>
      <c r="BT220" s="1"/>
      <c r="BU220" s="1"/>
      <c r="BV220" s="1" t="s">
        <v>447</v>
      </c>
      <c r="BW220" s="1" t="s">
        <v>346</v>
      </c>
      <c r="BX220" s="1"/>
      <c r="BY220" s="1">
        <v>1929</v>
      </c>
      <c r="BZ220" s="1" t="s">
        <v>448</v>
      </c>
      <c r="CA220" s="1" t="s">
        <v>449</v>
      </c>
      <c r="CB220" s="1"/>
      <c r="CN220" s="1" t="s">
        <v>96</v>
      </c>
      <c r="CP220" s="8" t="str">
        <f>HYPERLINK("http://www.metmuseum.org/art/collection/search/56136","http://www.metmuseum.org/art/collection/search/56136")</f>
        <v>http://www.metmuseum.org/art/collection/search/56136</v>
      </c>
      <c r="CQ220" s="4">
        <v>42842.333402777775</v>
      </c>
      <c r="CR220" s="1" t="s">
        <v>97</v>
      </c>
    </row>
    <row r="221" spans="1:96" ht="52.5" customHeight="1" x14ac:dyDescent="0.2">
      <c r="A221" s="1" t="s">
        <v>1168</v>
      </c>
      <c r="B221" s="1" t="b">
        <v>0</v>
      </c>
      <c r="C221" s="1" t="b">
        <v>1</v>
      </c>
      <c r="D221" s="1">
        <v>56137</v>
      </c>
      <c r="E221" s="1" t="s">
        <v>85</v>
      </c>
      <c r="F221" s="1" t="s">
        <v>99</v>
      </c>
      <c r="G221" s="1" t="s">
        <v>1053</v>
      </c>
      <c r="H221" s="1" t="s">
        <v>1054</v>
      </c>
      <c r="I221" s="1" t="s">
        <v>1055</v>
      </c>
      <c r="J221" s="1" t="s">
        <v>1056</v>
      </c>
      <c r="K221" s="1" t="s">
        <v>415</v>
      </c>
      <c r="L221" s="1" t="s">
        <v>416</v>
      </c>
      <c r="M221" s="1" t="s">
        <v>417</v>
      </c>
      <c r="N221" s="1" t="s">
        <v>87</v>
      </c>
      <c r="O221" s="1" t="s">
        <v>1798</v>
      </c>
      <c r="P221" s="1">
        <v>1615</v>
      </c>
      <c r="Q221" s="1">
        <v>1868</v>
      </c>
      <c r="U221" s="1" t="s">
        <v>88</v>
      </c>
      <c r="W221" s="1" t="s">
        <v>89</v>
      </c>
      <c r="X221" s="1" t="s">
        <v>1801</v>
      </c>
      <c r="Z221" s="1" t="s">
        <v>89</v>
      </c>
      <c r="AA221" s="1" t="s">
        <v>90</v>
      </c>
      <c r="AB221" s="1">
        <v>1760</v>
      </c>
      <c r="AC221" s="1">
        <v>1849</v>
      </c>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t="s">
        <v>418</v>
      </c>
      <c r="BG221" s="1">
        <v>1823</v>
      </c>
      <c r="BH221" s="1">
        <v>1843</v>
      </c>
      <c r="BI221" s="1">
        <v>1</v>
      </c>
      <c r="BJ221" s="1"/>
      <c r="BK221" s="1" t="s">
        <v>1760</v>
      </c>
      <c r="BL221" s="1" t="s">
        <v>1746</v>
      </c>
      <c r="BM221" s="1"/>
      <c r="BN221" s="1" t="s">
        <v>460</v>
      </c>
      <c r="BO221" s="12">
        <v>9.875</v>
      </c>
      <c r="BP221" s="12">
        <v>14.875</v>
      </c>
      <c r="BQ221" s="12"/>
      <c r="BR221" s="1">
        <v>25.1</v>
      </c>
      <c r="BS221" s="1">
        <v>37.799999999999997</v>
      </c>
      <c r="BT221" s="1"/>
      <c r="BU221" s="1"/>
      <c r="BV221" s="1" t="s">
        <v>345</v>
      </c>
      <c r="BW221" s="1" t="s">
        <v>346</v>
      </c>
      <c r="BX221" s="1"/>
      <c r="BY221" s="1">
        <v>1939</v>
      </c>
      <c r="BZ221" s="1" t="s">
        <v>347</v>
      </c>
      <c r="CA221" s="1" t="s">
        <v>348</v>
      </c>
      <c r="CB221" s="1"/>
      <c r="CN221" s="1" t="s">
        <v>96</v>
      </c>
      <c r="CP221" s="8" t="str">
        <f>HYPERLINK("http://www.metmuseum.org/art/collection/search/56137","http://www.metmuseum.org/art/collection/search/56137")</f>
        <v>http://www.metmuseum.org/art/collection/search/56137</v>
      </c>
      <c r="CQ221" s="4">
        <v>42842.333402777775</v>
      </c>
      <c r="CR221" s="1" t="s">
        <v>97</v>
      </c>
    </row>
    <row r="222" spans="1:96" ht="52.5" customHeight="1" x14ac:dyDescent="0.2">
      <c r="A222" s="1" t="s">
        <v>1169</v>
      </c>
      <c r="B222" s="1" t="b">
        <v>0</v>
      </c>
      <c r="C222" s="1" t="b">
        <v>1</v>
      </c>
      <c r="D222" s="1">
        <v>56138</v>
      </c>
      <c r="E222" s="1" t="s">
        <v>85</v>
      </c>
      <c r="F222" s="1" t="s">
        <v>99</v>
      </c>
      <c r="G222" s="1" t="s">
        <v>1034</v>
      </c>
      <c r="H222" s="1" t="s">
        <v>1035</v>
      </c>
      <c r="I222" s="1" t="s">
        <v>1036</v>
      </c>
      <c r="J222" s="1" t="s">
        <v>1037</v>
      </c>
      <c r="K222" s="1" t="s">
        <v>415</v>
      </c>
      <c r="L222" s="1" t="s">
        <v>416</v>
      </c>
      <c r="M222" s="1" t="s">
        <v>417</v>
      </c>
      <c r="N222" s="1" t="s">
        <v>87</v>
      </c>
      <c r="O222" s="1" t="s">
        <v>1798</v>
      </c>
      <c r="P222" s="1">
        <v>1615</v>
      </c>
      <c r="Q222" s="1">
        <v>1868</v>
      </c>
      <c r="U222" s="1" t="s">
        <v>88</v>
      </c>
      <c r="W222" s="1" t="s">
        <v>89</v>
      </c>
      <c r="X222" s="1" t="s">
        <v>1801</v>
      </c>
      <c r="Z222" s="1" t="s">
        <v>89</v>
      </c>
      <c r="AA222" s="1" t="s">
        <v>90</v>
      </c>
      <c r="AB222" s="1">
        <v>1760</v>
      </c>
      <c r="AC222" s="1">
        <v>1849</v>
      </c>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t="s">
        <v>418</v>
      </c>
      <c r="BG222" s="1">
        <v>1823</v>
      </c>
      <c r="BH222" s="1">
        <v>1843</v>
      </c>
      <c r="BI222" s="1">
        <v>1</v>
      </c>
      <c r="BJ222" s="1"/>
      <c r="BK222" s="1" t="s">
        <v>1760</v>
      </c>
      <c r="BL222" s="1" t="s">
        <v>1746</v>
      </c>
      <c r="BM222" s="1"/>
      <c r="BN222" s="1" t="s">
        <v>594</v>
      </c>
      <c r="BO222" s="12">
        <v>9.875</v>
      </c>
      <c r="BP222" s="12">
        <v>14.625</v>
      </c>
      <c r="BQ222" s="12"/>
      <c r="BR222" s="1">
        <v>25.1</v>
      </c>
      <c r="BS222" s="1">
        <v>37.1</v>
      </c>
      <c r="BT222" s="1"/>
      <c r="BU222" s="1"/>
      <c r="BV222" s="1" t="s">
        <v>345</v>
      </c>
      <c r="BW222" s="1" t="s">
        <v>346</v>
      </c>
      <c r="BX222" s="1"/>
      <c r="BY222" s="1">
        <v>1939</v>
      </c>
      <c r="BZ222" s="1" t="s">
        <v>347</v>
      </c>
      <c r="CA222" s="1" t="s">
        <v>348</v>
      </c>
      <c r="CB222" s="1"/>
      <c r="CN222" s="1" t="s">
        <v>96</v>
      </c>
      <c r="CP222" s="8" t="str">
        <f>HYPERLINK("http://www.metmuseum.org/art/collection/search/56138","http://www.metmuseum.org/art/collection/search/56138")</f>
        <v>http://www.metmuseum.org/art/collection/search/56138</v>
      </c>
      <c r="CQ222" s="4">
        <v>42842.333402777775</v>
      </c>
      <c r="CR222" s="1" t="s">
        <v>97</v>
      </c>
    </row>
    <row r="223" spans="1:96" ht="66" customHeight="1" x14ac:dyDescent="0.2">
      <c r="A223" s="1" t="s">
        <v>1170</v>
      </c>
      <c r="B223" s="1" t="b">
        <v>0</v>
      </c>
      <c r="C223" s="1" t="b">
        <v>1</v>
      </c>
      <c r="D223" s="1">
        <v>56139</v>
      </c>
      <c r="E223" s="1" t="s">
        <v>85</v>
      </c>
      <c r="F223" s="1" t="s">
        <v>99</v>
      </c>
      <c r="G223" s="1" t="s">
        <v>879</v>
      </c>
      <c r="H223" s="1" t="s">
        <v>880</v>
      </c>
      <c r="I223" s="1" t="s">
        <v>881</v>
      </c>
      <c r="J223" s="1" t="s">
        <v>882</v>
      </c>
      <c r="K223" s="1" t="s">
        <v>432</v>
      </c>
      <c r="L223" s="1" t="s">
        <v>105</v>
      </c>
      <c r="M223" s="1" t="s">
        <v>433</v>
      </c>
      <c r="N223" s="1" t="s">
        <v>87</v>
      </c>
      <c r="O223" s="1" t="s">
        <v>1798</v>
      </c>
      <c r="P223" s="1">
        <v>1615</v>
      </c>
      <c r="Q223" s="1">
        <v>1868</v>
      </c>
      <c r="U223" s="1" t="s">
        <v>88</v>
      </c>
      <c r="W223" s="1" t="s">
        <v>89</v>
      </c>
      <c r="X223" s="1" t="s">
        <v>1801</v>
      </c>
      <c r="Z223" s="1" t="s">
        <v>89</v>
      </c>
      <c r="AA223" s="1" t="s">
        <v>90</v>
      </c>
      <c r="AB223" s="1">
        <v>1760</v>
      </c>
      <c r="AC223" s="1">
        <v>1849</v>
      </c>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t="s">
        <v>404</v>
      </c>
      <c r="BG223" s="1">
        <v>1827</v>
      </c>
      <c r="BH223" s="1">
        <v>1837</v>
      </c>
      <c r="BI223" s="1">
        <v>1</v>
      </c>
      <c r="BJ223" s="1"/>
      <c r="BK223" s="1" t="s">
        <v>1760</v>
      </c>
      <c r="BL223" s="1" t="s">
        <v>1746</v>
      </c>
      <c r="BM223" s="1"/>
      <c r="BN223" s="1" t="s">
        <v>1171</v>
      </c>
      <c r="BO223" s="12">
        <v>14.625</v>
      </c>
      <c r="BP223" s="11">
        <v>10.3125</v>
      </c>
      <c r="BQ223" s="11"/>
      <c r="BR223" s="1">
        <v>37.1</v>
      </c>
      <c r="BS223" s="1">
        <v>26.2</v>
      </c>
      <c r="BT223" s="1"/>
      <c r="BU223" s="1"/>
      <c r="BV223" s="1" t="s">
        <v>345</v>
      </c>
      <c r="BW223" s="1" t="s">
        <v>346</v>
      </c>
      <c r="BX223" s="1"/>
      <c r="BY223" s="1">
        <v>1939</v>
      </c>
      <c r="BZ223" s="1" t="s">
        <v>347</v>
      </c>
      <c r="CA223" s="1" t="s">
        <v>348</v>
      </c>
      <c r="CB223" s="1"/>
      <c r="CN223" s="1" t="s">
        <v>96</v>
      </c>
      <c r="CP223" s="8" t="str">
        <f>HYPERLINK("http://www.metmuseum.org/art/collection/search/56139","http://www.metmuseum.org/art/collection/search/56139")</f>
        <v>http://www.metmuseum.org/art/collection/search/56139</v>
      </c>
      <c r="CQ223" s="4">
        <v>42842.333402777775</v>
      </c>
      <c r="CR223" s="1" t="s">
        <v>97</v>
      </c>
    </row>
    <row r="224" spans="1:96" ht="52.5" customHeight="1" x14ac:dyDescent="0.2">
      <c r="A224" s="1" t="s">
        <v>1172</v>
      </c>
      <c r="B224" s="1" t="b">
        <v>0</v>
      </c>
      <c r="C224" s="1" t="b">
        <v>1</v>
      </c>
      <c r="D224" s="1">
        <v>56140</v>
      </c>
      <c r="E224" s="1" t="s">
        <v>85</v>
      </c>
      <c r="F224" s="1" t="s">
        <v>99</v>
      </c>
      <c r="G224" s="1" t="s">
        <v>887</v>
      </c>
      <c r="H224" s="1" t="s">
        <v>888</v>
      </c>
      <c r="I224" s="1" t="s">
        <v>889</v>
      </c>
      <c r="J224" s="1" t="s">
        <v>890</v>
      </c>
      <c r="K224" s="1" t="s">
        <v>432</v>
      </c>
      <c r="L224" s="1" t="s">
        <v>105</v>
      </c>
      <c r="M224" s="1" t="s">
        <v>433</v>
      </c>
      <c r="N224" s="1" t="s">
        <v>87</v>
      </c>
      <c r="O224" s="1" t="s">
        <v>1798</v>
      </c>
      <c r="P224" s="1">
        <v>1615</v>
      </c>
      <c r="Q224" s="1">
        <v>1868</v>
      </c>
      <c r="U224" s="1" t="s">
        <v>88</v>
      </c>
      <c r="W224" s="1" t="s">
        <v>89</v>
      </c>
      <c r="X224" s="1" t="s">
        <v>1801</v>
      </c>
      <c r="Z224" s="1" t="s">
        <v>89</v>
      </c>
      <c r="AA224" s="1" t="s">
        <v>90</v>
      </c>
      <c r="AB224" s="1">
        <v>1760</v>
      </c>
      <c r="AC224" s="1">
        <v>1849</v>
      </c>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t="s">
        <v>418</v>
      </c>
      <c r="BG224" s="1">
        <v>1823</v>
      </c>
      <c r="BH224" s="1">
        <v>1843</v>
      </c>
      <c r="BI224" s="1">
        <v>1</v>
      </c>
      <c r="BJ224" s="1"/>
      <c r="BK224" s="1" t="s">
        <v>1760</v>
      </c>
      <c r="BL224" s="1" t="s">
        <v>1746</v>
      </c>
      <c r="BM224" s="1"/>
      <c r="BN224" s="1" t="s">
        <v>109</v>
      </c>
      <c r="BO224" s="12">
        <v>14.75</v>
      </c>
      <c r="BP224" s="12">
        <v>10.25</v>
      </c>
      <c r="BQ224" s="12"/>
      <c r="BR224" s="1">
        <v>37.5</v>
      </c>
      <c r="BS224" s="1">
        <v>26</v>
      </c>
      <c r="BT224" s="1"/>
      <c r="BU224" s="1"/>
      <c r="BV224" s="1" t="s">
        <v>345</v>
      </c>
      <c r="BW224" s="1" t="s">
        <v>346</v>
      </c>
      <c r="BX224" s="1"/>
      <c r="BY224" s="1">
        <v>1939</v>
      </c>
      <c r="BZ224" s="1" t="s">
        <v>347</v>
      </c>
      <c r="CA224" s="1" t="s">
        <v>348</v>
      </c>
      <c r="CB224" s="1"/>
      <c r="CN224" s="1" t="s">
        <v>96</v>
      </c>
      <c r="CP224" s="8" t="str">
        <f>HYPERLINK("http://www.metmuseum.org/art/collection/search/56140","http://www.metmuseum.org/art/collection/search/56140")</f>
        <v>http://www.metmuseum.org/art/collection/search/56140</v>
      </c>
      <c r="CQ224" s="4">
        <v>42842.333402777775</v>
      </c>
      <c r="CR224" s="1" t="s">
        <v>97</v>
      </c>
    </row>
    <row r="225" spans="1:96" ht="66" customHeight="1" x14ac:dyDescent="0.2">
      <c r="A225" s="1" t="s">
        <v>1173</v>
      </c>
      <c r="B225" s="1" t="b">
        <v>0</v>
      </c>
      <c r="C225" s="1" t="b">
        <v>1</v>
      </c>
      <c r="D225" s="1">
        <v>56141</v>
      </c>
      <c r="E225" s="1" t="s">
        <v>85</v>
      </c>
      <c r="F225" s="1" t="s">
        <v>99</v>
      </c>
      <c r="G225" s="1" t="s">
        <v>893</v>
      </c>
      <c r="H225" s="1" t="s">
        <v>894</v>
      </c>
      <c r="I225" s="1" t="s">
        <v>895</v>
      </c>
      <c r="J225" s="1" t="s">
        <v>896</v>
      </c>
      <c r="K225" s="1" t="s">
        <v>432</v>
      </c>
      <c r="L225" s="1" t="s">
        <v>105</v>
      </c>
      <c r="M225" s="1" t="s">
        <v>433</v>
      </c>
      <c r="N225" s="1" t="s">
        <v>87</v>
      </c>
      <c r="O225" s="1" t="s">
        <v>1798</v>
      </c>
      <c r="P225" s="1">
        <v>1615</v>
      </c>
      <c r="Q225" s="1">
        <v>1868</v>
      </c>
      <c r="U225" s="1" t="s">
        <v>88</v>
      </c>
      <c r="W225" s="1" t="s">
        <v>89</v>
      </c>
      <c r="X225" s="1" t="s">
        <v>1801</v>
      </c>
      <c r="Z225" s="1" t="s">
        <v>89</v>
      </c>
      <c r="AA225" s="1" t="s">
        <v>90</v>
      </c>
      <c r="AB225" s="1">
        <v>1760</v>
      </c>
      <c r="AC225" s="1">
        <v>1849</v>
      </c>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t="s">
        <v>404</v>
      </c>
      <c r="BG225" s="1">
        <v>1822</v>
      </c>
      <c r="BH225" s="1">
        <v>1842</v>
      </c>
      <c r="BI225" s="1">
        <v>1</v>
      </c>
      <c r="BJ225" s="1"/>
      <c r="BK225" s="1" t="s">
        <v>1760</v>
      </c>
      <c r="BL225" s="1" t="s">
        <v>1746</v>
      </c>
      <c r="BM225" s="1"/>
      <c r="BN225" s="1" t="s">
        <v>1174</v>
      </c>
      <c r="BO225" s="12">
        <v>14.625</v>
      </c>
      <c r="BP225" s="12">
        <v>10.25</v>
      </c>
      <c r="BQ225" s="12"/>
      <c r="BR225" s="1">
        <v>37.1</v>
      </c>
      <c r="BS225" s="1">
        <v>26</v>
      </c>
      <c r="BT225" s="1"/>
      <c r="BU225" s="1"/>
      <c r="BV225" s="1" t="s">
        <v>345</v>
      </c>
      <c r="BW225" s="1" t="s">
        <v>346</v>
      </c>
      <c r="BX225" s="1"/>
      <c r="BY225" s="1">
        <v>1939</v>
      </c>
      <c r="BZ225" s="1" t="s">
        <v>347</v>
      </c>
      <c r="CA225" s="1" t="s">
        <v>348</v>
      </c>
      <c r="CB225" s="1"/>
      <c r="CN225" s="1" t="s">
        <v>96</v>
      </c>
      <c r="CP225" s="8" t="str">
        <f>HYPERLINK("http://www.metmuseum.org/art/collection/search/56141","http://www.metmuseum.org/art/collection/search/56141")</f>
        <v>http://www.metmuseum.org/art/collection/search/56141</v>
      </c>
      <c r="CQ225" s="4">
        <v>42842.333402777775</v>
      </c>
      <c r="CR225" s="1" t="s">
        <v>97</v>
      </c>
    </row>
    <row r="226" spans="1:96" ht="66" customHeight="1" x14ac:dyDescent="0.2">
      <c r="A226" s="1" t="s">
        <v>1175</v>
      </c>
      <c r="B226" s="1" t="b">
        <v>0</v>
      </c>
      <c r="C226" s="1" t="b">
        <v>1</v>
      </c>
      <c r="D226" s="1">
        <v>56142</v>
      </c>
      <c r="E226" s="1" t="s">
        <v>85</v>
      </c>
      <c r="F226" s="1" t="s">
        <v>99</v>
      </c>
      <c r="G226" s="1" t="s">
        <v>428</v>
      </c>
      <c r="H226" s="1" t="s">
        <v>429</v>
      </c>
      <c r="I226" s="1" t="s">
        <v>430</v>
      </c>
      <c r="J226" s="1" t="s">
        <v>431</v>
      </c>
      <c r="K226" s="1" t="s">
        <v>432</v>
      </c>
      <c r="L226" s="1" t="s">
        <v>105</v>
      </c>
      <c r="M226" s="1" t="s">
        <v>433</v>
      </c>
      <c r="N226" s="1" t="s">
        <v>87</v>
      </c>
      <c r="O226" s="1" t="s">
        <v>1798</v>
      </c>
      <c r="P226" s="1">
        <v>1615</v>
      </c>
      <c r="Q226" s="1">
        <v>1868</v>
      </c>
      <c r="U226" s="1" t="s">
        <v>88</v>
      </c>
      <c r="W226" s="1" t="s">
        <v>89</v>
      </c>
      <c r="X226" s="1" t="s">
        <v>1801</v>
      </c>
      <c r="Z226" s="1" t="s">
        <v>89</v>
      </c>
      <c r="AA226" s="1" t="s">
        <v>90</v>
      </c>
      <c r="AB226" s="1">
        <v>1760</v>
      </c>
      <c r="AC226" s="1">
        <v>1849</v>
      </c>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t="s">
        <v>404</v>
      </c>
      <c r="BG226" s="1">
        <v>1822</v>
      </c>
      <c r="BH226" s="1">
        <v>1842</v>
      </c>
      <c r="BI226" s="1">
        <v>1</v>
      </c>
      <c r="BJ226" s="1"/>
      <c r="BK226" s="1" t="s">
        <v>1760</v>
      </c>
      <c r="BL226" s="1" t="s">
        <v>1746</v>
      </c>
      <c r="BM226" s="1"/>
      <c r="BN226" s="1" t="s">
        <v>1174</v>
      </c>
      <c r="BO226" s="12">
        <v>14.625</v>
      </c>
      <c r="BP226" s="12">
        <v>10.25</v>
      </c>
      <c r="BQ226" s="12"/>
      <c r="BR226" s="1">
        <v>37.1</v>
      </c>
      <c r="BS226" s="1">
        <v>26</v>
      </c>
      <c r="BT226" s="1"/>
      <c r="BU226" s="1"/>
      <c r="BV226" s="1" t="s">
        <v>345</v>
      </c>
      <c r="BW226" s="1" t="s">
        <v>346</v>
      </c>
      <c r="BX226" s="1"/>
      <c r="BY226" s="1">
        <v>1939</v>
      </c>
      <c r="BZ226" s="1" t="s">
        <v>347</v>
      </c>
      <c r="CA226" s="1" t="s">
        <v>348</v>
      </c>
      <c r="CB226" s="1"/>
      <c r="CN226" s="1" t="s">
        <v>96</v>
      </c>
      <c r="CP226" s="8" t="str">
        <f>HYPERLINK("http://www.metmuseum.org/art/collection/search/56142","http://www.metmuseum.org/art/collection/search/56142")</f>
        <v>http://www.metmuseum.org/art/collection/search/56142</v>
      </c>
      <c r="CQ226" s="4">
        <v>42842.333402777775</v>
      </c>
      <c r="CR226" s="1" t="s">
        <v>97</v>
      </c>
    </row>
    <row r="227" spans="1:96" ht="52.5" customHeight="1" x14ac:dyDescent="0.2">
      <c r="A227" s="1" t="s">
        <v>1176</v>
      </c>
      <c r="B227" s="1" t="b">
        <v>0</v>
      </c>
      <c r="C227" s="1" t="b">
        <v>1</v>
      </c>
      <c r="D227" s="1">
        <v>56143</v>
      </c>
      <c r="E227" s="1" t="s">
        <v>85</v>
      </c>
      <c r="F227" s="1" t="s">
        <v>99</v>
      </c>
      <c r="G227" s="1" t="s">
        <v>899</v>
      </c>
      <c r="H227" s="1" t="s">
        <v>900</v>
      </c>
      <c r="I227" s="1" t="s">
        <v>901</v>
      </c>
      <c r="J227" s="1" t="s">
        <v>902</v>
      </c>
      <c r="K227" s="1" t="s">
        <v>432</v>
      </c>
      <c r="L227" s="1" t="s">
        <v>105</v>
      </c>
      <c r="M227" s="1" t="s">
        <v>433</v>
      </c>
      <c r="N227" s="1" t="s">
        <v>87</v>
      </c>
      <c r="O227" s="1" t="s">
        <v>1798</v>
      </c>
      <c r="P227" s="1">
        <v>1615</v>
      </c>
      <c r="Q227" s="1">
        <v>1868</v>
      </c>
      <c r="U227" s="1" t="s">
        <v>88</v>
      </c>
      <c r="W227" s="1" t="s">
        <v>89</v>
      </c>
      <c r="X227" s="1" t="s">
        <v>1801</v>
      </c>
      <c r="Z227" s="1" t="s">
        <v>89</v>
      </c>
      <c r="AA227" s="1" t="s">
        <v>90</v>
      </c>
      <c r="AB227" s="1">
        <v>1760</v>
      </c>
      <c r="AC227" s="1">
        <v>1849</v>
      </c>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t="s">
        <v>404</v>
      </c>
      <c r="BG227" s="1">
        <v>1830</v>
      </c>
      <c r="BH227" s="1">
        <v>1833</v>
      </c>
      <c r="BI227" s="1">
        <v>1</v>
      </c>
      <c r="BJ227" s="1"/>
      <c r="BK227" s="1" t="s">
        <v>1760</v>
      </c>
      <c r="BL227" s="1" t="s">
        <v>1746</v>
      </c>
      <c r="BM227" s="1"/>
      <c r="BN227" s="1" t="s">
        <v>109</v>
      </c>
      <c r="BO227" s="12">
        <v>14.75</v>
      </c>
      <c r="BP227" s="12">
        <v>10.25</v>
      </c>
      <c r="BQ227" s="12"/>
      <c r="BR227" s="1">
        <v>37.5</v>
      </c>
      <c r="BS227" s="1">
        <v>26</v>
      </c>
      <c r="BT227" s="1"/>
      <c r="BU227" s="1" t="s">
        <v>1177</v>
      </c>
      <c r="BV227" s="1" t="s">
        <v>345</v>
      </c>
      <c r="BW227" s="1" t="s">
        <v>346</v>
      </c>
      <c r="BX227" s="1"/>
      <c r="BY227" s="1">
        <v>1939</v>
      </c>
      <c r="BZ227" s="1" t="s">
        <v>347</v>
      </c>
      <c r="CA227" s="1" t="s">
        <v>348</v>
      </c>
      <c r="CB227" s="1"/>
      <c r="CN227" s="1" t="s">
        <v>96</v>
      </c>
      <c r="CP227" s="8" t="str">
        <f>HYPERLINK("http://www.metmuseum.org/art/collection/search/56143","http://www.metmuseum.org/art/collection/search/56143")</f>
        <v>http://www.metmuseum.org/art/collection/search/56143</v>
      </c>
      <c r="CQ227" s="4">
        <v>42842.333402777775</v>
      </c>
      <c r="CR227" s="1" t="s">
        <v>97</v>
      </c>
    </row>
    <row r="228" spans="1:96" ht="52.5" customHeight="1" x14ac:dyDescent="0.2">
      <c r="A228" s="1" t="s">
        <v>1178</v>
      </c>
      <c r="B228" s="1" t="b">
        <v>0</v>
      </c>
      <c r="C228" s="1" t="b">
        <v>1</v>
      </c>
      <c r="D228" s="1">
        <v>56144</v>
      </c>
      <c r="E228" s="1" t="s">
        <v>85</v>
      </c>
      <c r="F228" s="1" t="s">
        <v>99</v>
      </c>
      <c r="G228" s="1" t="s">
        <v>1179</v>
      </c>
      <c r="H228" s="1" t="s">
        <v>906</v>
      </c>
      <c r="I228" s="1" t="s">
        <v>1180</v>
      </c>
      <c r="J228" s="1" t="s">
        <v>1181</v>
      </c>
      <c r="K228" s="1" t="s">
        <v>432</v>
      </c>
      <c r="L228" s="1" t="s">
        <v>105</v>
      </c>
      <c r="M228" s="1" t="s">
        <v>433</v>
      </c>
      <c r="N228" s="1" t="s">
        <v>87</v>
      </c>
      <c r="U228" s="1" t="s">
        <v>88</v>
      </c>
      <c r="W228" s="1" t="s">
        <v>89</v>
      </c>
      <c r="X228" s="1" t="s">
        <v>1801</v>
      </c>
      <c r="Z228" s="1" t="s">
        <v>89</v>
      </c>
      <c r="AA228" s="1" t="s">
        <v>90</v>
      </c>
      <c r="AB228" s="1">
        <v>1760</v>
      </c>
      <c r="AC228" s="1">
        <v>1849</v>
      </c>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G228" s="1">
        <v>1760</v>
      </c>
      <c r="BH228" s="1">
        <v>1849</v>
      </c>
      <c r="BI228" s="1">
        <v>1</v>
      </c>
      <c r="BJ228" s="1"/>
      <c r="BK228" s="1" t="s">
        <v>1760</v>
      </c>
      <c r="BL228" s="1" t="s">
        <v>1746</v>
      </c>
      <c r="BM228" s="1"/>
      <c r="BN228" s="1" t="s">
        <v>1174</v>
      </c>
      <c r="BO228" s="12">
        <v>14.625</v>
      </c>
      <c r="BP228" s="12">
        <v>10.25</v>
      </c>
      <c r="BQ228" s="12"/>
      <c r="BR228" s="1">
        <v>37.1</v>
      </c>
      <c r="BS228" s="1">
        <v>26</v>
      </c>
      <c r="BT228" s="1"/>
      <c r="BU228" s="1"/>
      <c r="BV228" s="1" t="s">
        <v>345</v>
      </c>
      <c r="BW228" s="1" t="s">
        <v>346</v>
      </c>
      <c r="BX228" s="1"/>
      <c r="BY228" s="1">
        <v>1939</v>
      </c>
      <c r="BZ228" s="1" t="s">
        <v>347</v>
      </c>
      <c r="CA228" s="1" t="s">
        <v>348</v>
      </c>
      <c r="CB228" s="1"/>
      <c r="CN228" s="1" t="s">
        <v>96</v>
      </c>
      <c r="CP228" s="8" t="str">
        <f>HYPERLINK("http://www.metmuseum.org/art/collection/search/56144","http://www.metmuseum.org/art/collection/search/56144")</f>
        <v>http://www.metmuseum.org/art/collection/search/56144</v>
      </c>
      <c r="CQ228" s="4">
        <v>42842.333402777775</v>
      </c>
      <c r="CR228" s="1" t="s">
        <v>97</v>
      </c>
    </row>
    <row r="229" spans="1:96" ht="52.5" customHeight="1" x14ac:dyDescent="0.2">
      <c r="A229" s="1" t="s">
        <v>1182</v>
      </c>
      <c r="B229" s="1" t="b">
        <v>0</v>
      </c>
      <c r="C229" s="1" t="b">
        <v>1</v>
      </c>
      <c r="D229" s="1">
        <v>56145</v>
      </c>
      <c r="E229" s="1" t="s">
        <v>85</v>
      </c>
      <c r="F229" s="1" t="s">
        <v>99</v>
      </c>
      <c r="G229" s="1" t="s">
        <v>100</v>
      </c>
      <c r="H229" s="1" t="s">
        <v>101</v>
      </c>
      <c r="I229" s="1" t="s">
        <v>102</v>
      </c>
      <c r="J229" s="1" t="s">
        <v>103</v>
      </c>
      <c r="K229" s="1" t="s">
        <v>432</v>
      </c>
      <c r="L229" s="1" t="s">
        <v>105</v>
      </c>
      <c r="M229" s="1" t="s">
        <v>433</v>
      </c>
      <c r="N229" s="1" t="s">
        <v>87</v>
      </c>
      <c r="O229" s="1" t="s">
        <v>1798</v>
      </c>
      <c r="P229" s="1">
        <v>1615</v>
      </c>
      <c r="Q229" s="1">
        <v>1868</v>
      </c>
      <c r="U229" s="1" t="s">
        <v>88</v>
      </c>
      <c r="W229" s="1" t="s">
        <v>89</v>
      </c>
      <c r="X229" s="1" t="s">
        <v>1801</v>
      </c>
      <c r="Z229" s="1" t="s">
        <v>89</v>
      </c>
      <c r="AA229" s="1" t="s">
        <v>90</v>
      </c>
      <c r="AB229" s="1">
        <v>1760</v>
      </c>
      <c r="AC229" s="1">
        <v>1849</v>
      </c>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t="s">
        <v>656</v>
      </c>
      <c r="BG229" s="1">
        <v>1760</v>
      </c>
      <c r="BH229" s="1">
        <v>1849</v>
      </c>
      <c r="BI229" s="1">
        <v>1</v>
      </c>
      <c r="BJ229" s="1"/>
      <c r="BK229" s="1" t="s">
        <v>1760</v>
      </c>
      <c r="BL229" s="1" t="s">
        <v>1746</v>
      </c>
      <c r="BM229" s="1"/>
      <c r="BN229" s="1" t="s">
        <v>903</v>
      </c>
      <c r="BO229" s="12">
        <v>14.5</v>
      </c>
      <c r="BP229" s="1">
        <v>10</v>
      </c>
      <c r="BQ229" s="1"/>
      <c r="BR229" s="1">
        <v>36.799999999999997</v>
      </c>
      <c r="BS229" s="1">
        <v>25.4</v>
      </c>
      <c r="BT229" s="1"/>
      <c r="BU229" s="1"/>
      <c r="BV229" s="1" t="s">
        <v>345</v>
      </c>
      <c r="BW229" s="1" t="s">
        <v>346</v>
      </c>
      <c r="BX229" s="1"/>
      <c r="BY229" s="1">
        <v>1939</v>
      </c>
      <c r="BZ229" s="1" t="s">
        <v>347</v>
      </c>
      <c r="CA229" s="1" t="s">
        <v>348</v>
      </c>
      <c r="CB229" s="1"/>
      <c r="CN229" s="1" t="s">
        <v>96</v>
      </c>
      <c r="CP229" s="8" t="str">
        <f>HYPERLINK("http://www.metmuseum.org/art/collection/search/56145","http://www.metmuseum.org/art/collection/search/56145")</f>
        <v>http://www.metmuseum.org/art/collection/search/56145</v>
      </c>
      <c r="CQ229" s="4">
        <v>42842.333402777775</v>
      </c>
      <c r="CR229" s="1" t="s">
        <v>97</v>
      </c>
    </row>
    <row r="230" spans="1:96" ht="52.5" customHeight="1" x14ac:dyDescent="0.2">
      <c r="A230" s="1" t="s">
        <v>1183</v>
      </c>
      <c r="B230" s="1" t="b">
        <v>0</v>
      </c>
      <c r="C230" s="1" t="b">
        <v>1</v>
      </c>
      <c r="D230" s="1">
        <v>56146</v>
      </c>
      <c r="E230" s="1" t="s">
        <v>85</v>
      </c>
      <c r="F230" s="1" t="s">
        <v>99</v>
      </c>
      <c r="G230" s="1" t="s">
        <v>912</v>
      </c>
      <c r="H230" s="1" t="s">
        <v>913</v>
      </c>
      <c r="I230" s="1" t="s">
        <v>914</v>
      </c>
      <c r="J230" s="1" t="s">
        <v>915</v>
      </c>
      <c r="K230" s="1" t="s">
        <v>432</v>
      </c>
      <c r="L230" s="1" t="s">
        <v>105</v>
      </c>
      <c r="M230" s="1" t="s">
        <v>433</v>
      </c>
      <c r="N230" s="1" t="s">
        <v>87</v>
      </c>
      <c r="O230" s="1" t="s">
        <v>1798</v>
      </c>
      <c r="P230" s="1">
        <v>1615</v>
      </c>
      <c r="Q230" s="1">
        <v>1868</v>
      </c>
      <c r="U230" s="1" t="s">
        <v>88</v>
      </c>
      <c r="W230" s="1" t="s">
        <v>89</v>
      </c>
      <c r="X230" s="1" t="s">
        <v>1801</v>
      </c>
      <c r="Z230" s="1" t="s">
        <v>89</v>
      </c>
      <c r="AA230" s="1" t="s">
        <v>90</v>
      </c>
      <c r="AB230" s="1">
        <v>1760</v>
      </c>
      <c r="AC230" s="1">
        <v>1849</v>
      </c>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t="s">
        <v>404</v>
      </c>
      <c r="BG230" s="1">
        <v>1822</v>
      </c>
      <c r="BH230" s="1">
        <v>1842</v>
      </c>
      <c r="BI230" s="1">
        <v>1</v>
      </c>
      <c r="BJ230" s="1"/>
      <c r="BK230" s="1" t="s">
        <v>1760</v>
      </c>
      <c r="BL230" s="1" t="s">
        <v>1746</v>
      </c>
      <c r="BM230" s="1"/>
      <c r="BN230" s="1" t="s">
        <v>1174</v>
      </c>
      <c r="BO230" s="12">
        <v>14.625</v>
      </c>
      <c r="BP230" s="12">
        <v>10.25</v>
      </c>
      <c r="BQ230" s="12"/>
      <c r="BR230" s="1">
        <v>37.1</v>
      </c>
      <c r="BS230" s="1">
        <v>26</v>
      </c>
      <c r="BT230" s="1"/>
      <c r="BU230" s="1"/>
      <c r="BV230" s="1" t="s">
        <v>345</v>
      </c>
      <c r="BW230" s="1" t="s">
        <v>346</v>
      </c>
      <c r="BX230" s="1"/>
      <c r="BY230" s="1">
        <v>1939</v>
      </c>
      <c r="BZ230" s="1" t="s">
        <v>347</v>
      </c>
      <c r="CA230" s="1" t="s">
        <v>348</v>
      </c>
      <c r="CB230" s="1"/>
      <c r="CN230" s="1" t="s">
        <v>96</v>
      </c>
      <c r="CP230" s="8" t="str">
        <f>HYPERLINK("http://www.metmuseum.org/art/collection/search/56146","http://www.metmuseum.org/art/collection/search/56146")</f>
        <v>http://www.metmuseum.org/art/collection/search/56146</v>
      </c>
      <c r="CQ230" s="4">
        <v>42842.333402777775</v>
      </c>
      <c r="CR230" s="1" t="s">
        <v>97</v>
      </c>
    </row>
    <row r="231" spans="1:96" ht="52.5" customHeight="1" x14ac:dyDescent="0.2">
      <c r="A231" s="1" t="s">
        <v>1184</v>
      </c>
      <c r="B231" s="1" t="b">
        <v>0</v>
      </c>
      <c r="C231" s="1" t="b">
        <v>1</v>
      </c>
      <c r="D231" s="1">
        <v>56147</v>
      </c>
      <c r="E231" s="1" t="s">
        <v>85</v>
      </c>
      <c r="F231" s="1" t="s">
        <v>99</v>
      </c>
      <c r="G231" s="1" t="s">
        <v>1185</v>
      </c>
      <c r="H231" s="1" t="s">
        <v>1186</v>
      </c>
      <c r="I231" s="1" t="s">
        <v>1187</v>
      </c>
      <c r="J231" s="1" t="s">
        <v>1188</v>
      </c>
      <c r="K231" s="1" t="s">
        <v>333</v>
      </c>
      <c r="L231" s="1" t="s">
        <v>116</v>
      </c>
      <c r="M231" s="1" t="s">
        <v>117</v>
      </c>
      <c r="N231" s="1" t="s">
        <v>87</v>
      </c>
      <c r="O231" s="1" t="s">
        <v>1798</v>
      </c>
      <c r="P231" s="1">
        <v>1615</v>
      </c>
      <c r="Q231" s="1">
        <v>1868</v>
      </c>
      <c r="U231" s="1" t="s">
        <v>88</v>
      </c>
      <c r="W231" s="1" t="s">
        <v>89</v>
      </c>
      <c r="X231" s="1" t="s">
        <v>1801</v>
      </c>
      <c r="Z231" s="1" t="s">
        <v>89</v>
      </c>
      <c r="AA231" s="1" t="s">
        <v>90</v>
      </c>
      <c r="AB231" s="1">
        <v>1760</v>
      </c>
      <c r="AC231" s="1">
        <v>1849</v>
      </c>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t="s">
        <v>656</v>
      </c>
      <c r="BG231" s="1">
        <v>1760</v>
      </c>
      <c r="BH231" s="1">
        <v>1849</v>
      </c>
      <c r="BI231" s="1">
        <v>1</v>
      </c>
      <c r="BJ231" s="1"/>
      <c r="BK231" s="1" t="s">
        <v>1760</v>
      </c>
      <c r="BL231" s="1" t="s">
        <v>1746</v>
      </c>
      <c r="BM231" s="1"/>
      <c r="BN231" s="1" t="s">
        <v>1189</v>
      </c>
      <c r="BO231" s="12">
        <v>9.875</v>
      </c>
      <c r="BP231" s="12">
        <v>14.25</v>
      </c>
      <c r="BQ231" s="12"/>
      <c r="BR231" s="1">
        <v>25.1</v>
      </c>
      <c r="BS231" s="1">
        <v>36.200000000000003</v>
      </c>
      <c r="BT231" s="1"/>
      <c r="BU231" s="1"/>
      <c r="BV231" s="1" t="s">
        <v>345</v>
      </c>
      <c r="BW231" s="1" t="s">
        <v>346</v>
      </c>
      <c r="BX231" s="1"/>
      <c r="BY231" s="1">
        <v>1939</v>
      </c>
      <c r="BZ231" s="1" t="s">
        <v>347</v>
      </c>
      <c r="CA231" s="1" t="s">
        <v>348</v>
      </c>
      <c r="CB231" s="1"/>
      <c r="CN231" s="1" t="s">
        <v>96</v>
      </c>
      <c r="CP231" s="8" t="str">
        <f>HYPERLINK("http://www.metmuseum.org/art/collection/search/56147","http://www.metmuseum.org/art/collection/search/56147")</f>
        <v>http://www.metmuseum.org/art/collection/search/56147</v>
      </c>
      <c r="CQ231" s="4">
        <v>42842.333402777775</v>
      </c>
      <c r="CR231" s="1" t="s">
        <v>97</v>
      </c>
    </row>
    <row r="232" spans="1:96" ht="52.5" customHeight="1" x14ac:dyDescent="0.2">
      <c r="A232" s="1" t="s">
        <v>1190</v>
      </c>
      <c r="B232" s="1" t="b">
        <v>0</v>
      </c>
      <c r="C232" s="1" t="b">
        <v>1</v>
      </c>
      <c r="D232" s="1">
        <v>56148</v>
      </c>
      <c r="E232" s="1" t="s">
        <v>85</v>
      </c>
      <c r="F232" s="1" t="s">
        <v>99</v>
      </c>
      <c r="G232" s="1" t="s">
        <v>1191</v>
      </c>
      <c r="H232" s="1" t="s">
        <v>1192</v>
      </c>
      <c r="I232" s="1" t="s">
        <v>122</v>
      </c>
      <c r="J232" s="1" t="s">
        <v>123</v>
      </c>
      <c r="K232" s="1" t="s">
        <v>124</v>
      </c>
      <c r="L232" s="1" t="s">
        <v>116</v>
      </c>
      <c r="M232" s="1" t="s">
        <v>117</v>
      </c>
      <c r="N232" s="1" t="s">
        <v>87</v>
      </c>
      <c r="O232" s="1" t="s">
        <v>1798</v>
      </c>
      <c r="P232" s="1">
        <v>1615</v>
      </c>
      <c r="Q232" s="1">
        <v>1868</v>
      </c>
      <c r="U232" s="1" t="s">
        <v>88</v>
      </c>
      <c r="W232" s="1" t="s">
        <v>89</v>
      </c>
      <c r="X232" s="1" t="s">
        <v>1801</v>
      </c>
      <c r="Z232" s="1" t="s">
        <v>89</v>
      </c>
      <c r="AA232" s="1" t="s">
        <v>90</v>
      </c>
      <c r="AB232" s="1">
        <v>1760</v>
      </c>
      <c r="AC232" s="1">
        <v>1849</v>
      </c>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t="s">
        <v>656</v>
      </c>
      <c r="BG232" s="1">
        <v>1760</v>
      </c>
      <c r="BH232" s="1">
        <v>1849</v>
      </c>
      <c r="BI232" s="1">
        <v>1</v>
      </c>
      <c r="BJ232" s="1"/>
      <c r="BK232" s="1" t="s">
        <v>1760</v>
      </c>
      <c r="BL232" s="1" t="s">
        <v>1746</v>
      </c>
      <c r="BM232" s="1"/>
      <c r="BN232" s="1" t="s">
        <v>1193</v>
      </c>
      <c r="BO232" s="12">
        <v>10.125</v>
      </c>
      <c r="BP232" s="12">
        <v>14.625</v>
      </c>
      <c r="BQ232" s="12"/>
      <c r="BR232" s="1">
        <v>25.7</v>
      </c>
      <c r="BS232" s="1">
        <v>37.1</v>
      </c>
      <c r="BT232" s="1"/>
      <c r="BU232" s="1"/>
      <c r="BV232" s="1" t="s">
        <v>345</v>
      </c>
      <c r="BW232" s="1" t="s">
        <v>346</v>
      </c>
      <c r="BX232" s="1"/>
      <c r="BY232" s="1">
        <v>1939</v>
      </c>
      <c r="BZ232" s="1" t="s">
        <v>347</v>
      </c>
      <c r="CA232" s="1" t="s">
        <v>348</v>
      </c>
      <c r="CB232" s="1"/>
      <c r="CN232" s="1" t="s">
        <v>96</v>
      </c>
      <c r="CP232" s="8" t="str">
        <f>HYPERLINK("http://www.metmuseum.org/art/collection/search/56148","http://www.metmuseum.org/art/collection/search/56148")</f>
        <v>http://www.metmuseum.org/art/collection/search/56148</v>
      </c>
      <c r="CQ232" s="4">
        <v>42842.333402777775</v>
      </c>
      <c r="CR232" s="1" t="s">
        <v>97</v>
      </c>
    </row>
    <row r="233" spans="1:96" ht="52.5" customHeight="1" x14ac:dyDescent="0.2">
      <c r="A233" s="1" t="s">
        <v>1194</v>
      </c>
      <c r="B233" s="1" t="b">
        <v>0</v>
      </c>
      <c r="C233" s="1" t="b">
        <v>1</v>
      </c>
      <c r="D233" s="1">
        <v>56149</v>
      </c>
      <c r="E233" s="1" t="s">
        <v>85</v>
      </c>
      <c r="F233" s="1" t="s">
        <v>99</v>
      </c>
      <c r="G233" s="1" t="s">
        <v>1195</v>
      </c>
      <c r="H233" s="1" t="s">
        <v>1196</v>
      </c>
      <c r="I233" s="1" t="s">
        <v>1197</v>
      </c>
      <c r="J233" s="1" t="s">
        <v>1198</v>
      </c>
      <c r="K233" s="1" t="s">
        <v>1199</v>
      </c>
      <c r="L233" s="1" t="s">
        <v>116</v>
      </c>
      <c r="M233" s="1" t="s">
        <v>117</v>
      </c>
      <c r="N233" s="1" t="s">
        <v>87</v>
      </c>
      <c r="O233" s="1" t="s">
        <v>1798</v>
      </c>
      <c r="P233" s="1">
        <v>1615</v>
      </c>
      <c r="Q233" s="1">
        <v>1868</v>
      </c>
      <c r="U233" s="1" t="s">
        <v>88</v>
      </c>
      <c r="W233" s="1" t="s">
        <v>89</v>
      </c>
      <c r="X233" s="1" t="s">
        <v>1801</v>
      </c>
      <c r="Z233" s="1" t="s">
        <v>89</v>
      </c>
      <c r="AA233" s="1" t="s">
        <v>90</v>
      </c>
      <c r="AB233" s="1">
        <v>1760</v>
      </c>
      <c r="AC233" s="1">
        <v>1849</v>
      </c>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t="s">
        <v>656</v>
      </c>
      <c r="BG233" s="1">
        <v>1760</v>
      </c>
      <c r="BH233" s="1">
        <v>1849</v>
      </c>
      <c r="BI233" s="1">
        <v>1</v>
      </c>
      <c r="BJ233" s="1"/>
      <c r="BK233" s="1" t="s">
        <v>1760</v>
      </c>
      <c r="BL233" s="1" t="s">
        <v>1746</v>
      </c>
      <c r="BM233" s="1"/>
      <c r="BN233" s="1" t="s">
        <v>950</v>
      </c>
      <c r="BO233" s="12">
        <v>9.75</v>
      </c>
      <c r="BP233" s="12">
        <v>14.375</v>
      </c>
      <c r="BQ233" s="12"/>
      <c r="BR233" s="1">
        <v>24.8</v>
      </c>
      <c r="BS233" s="1">
        <v>36.5</v>
      </c>
      <c r="BT233" s="1"/>
      <c r="BU233" s="1"/>
      <c r="BV233" s="1" t="s">
        <v>345</v>
      </c>
      <c r="BW233" s="1" t="s">
        <v>346</v>
      </c>
      <c r="BX233" s="1"/>
      <c r="BY233" s="1">
        <v>1939</v>
      </c>
      <c r="BZ233" s="1" t="s">
        <v>347</v>
      </c>
      <c r="CA233" s="1" t="s">
        <v>348</v>
      </c>
      <c r="CB233" s="1"/>
      <c r="CN233" s="1" t="s">
        <v>96</v>
      </c>
      <c r="CP233" s="8" t="str">
        <f>HYPERLINK("http://www.metmuseum.org/art/collection/search/56149","http://www.metmuseum.org/art/collection/search/56149")</f>
        <v>http://www.metmuseum.org/art/collection/search/56149</v>
      </c>
      <c r="CQ233" s="4">
        <v>42842.333402777775</v>
      </c>
      <c r="CR233" s="1" t="s">
        <v>97</v>
      </c>
    </row>
    <row r="234" spans="1:96" ht="52.5" customHeight="1" x14ac:dyDescent="0.2">
      <c r="A234" s="1" t="s">
        <v>1200</v>
      </c>
      <c r="B234" s="1" t="b">
        <v>0</v>
      </c>
      <c r="C234" s="1" t="b">
        <v>1</v>
      </c>
      <c r="D234" s="1">
        <v>56150</v>
      </c>
      <c r="E234" s="1" t="s">
        <v>85</v>
      </c>
      <c r="F234" s="1" t="s">
        <v>99</v>
      </c>
      <c r="G234" s="1" t="s">
        <v>1201</v>
      </c>
      <c r="H234" s="1" t="s">
        <v>713</v>
      </c>
      <c r="I234" s="1" t="s">
        <v>1202</v>
      </c>
      <c r="J234" s="1" t="s">
        <v>714</v>
      </c>
      <c r="K234" s="1" t="s">
        <v>115</v>
      </c>
      <c r="L234" s="1" t="s">
        <v>116</v>
      </c>
      <c r="M234" s="1" t="s">
        <v>117</v>
      </c>
      <c r="N234" s="1" t="s">
        <v>87</v>
      </c>
      <c r="O234" s="1" t="s">
        <v>1798</v>
      </c>
      <c r="P234" s="1">
        <v>1615</v>
      </c>
      <c r="Q234" s="1">
        <v>1868</v>
      </c>
      <c r="U234" s="1" t="s">
        <v>88</v>
      </c>
      <c r="W234" s="1" t="s">
        <v>89</v>
      </c>
      <c r="X234" s="1" t="s">
        <v>1801</v>
      </c>
      <c r="Z234" s="1" t="s">
        <v>89</v>
      </c>
      <c r="AA234" s="1" t="s">
        <v>90</v>
      </c>
      <c r="AB234" s="1">
        <v>1760</v>
      </c>
      <c r="AC234" s="1">
        <v>1849</v>
      </c>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t="s">
        <v>301</v>
      </c>
      <c r="BG234" s="1">
        <v>1825</v>
      </c>
      <c r="BH234" s="1">
        <v>1845</v>
      </c>
      <c r="BI234" s="1">
        <v>1</v>
      </c>
      <c r="BJ234" s="1"/>
      <c r="BK234" s="1" t="s">
        <v>1760</v>
      </c>
      <c r="BL234" s="1" t="s">
        <v>1746</v>
      </c>
      <c r="BM234" s="1"/>
      <c r="BN234" s="1" t="s">
        <v>1092</v>
      </c>
      <c r="BO234" s="12">
        <v>9.625</v>
      </c>
      <c r="BP234" s="12">
        <v>14.375</v>
      </c>
      <c r="BQ234" s="12"/>
      <c r="BR234" s="1">
        <v>24.4</v>
      </c>
      <c r="BS234" s="1">
        <v>36.5</v>
      </c>
      <c r="BT234" s="1"/>
      <c r="BU234" s="1"/>
      <c r="BV234" s="1" t="s">
        <v>345</v>
      </c>
      <c r="BW234" s="1" t="s">
        <v>346</v>
      </c>
      <c r="BX234" s="1"/>
      <c r="BY234" s="1">
        <v>1939</v>
      </c>
      <c r="BZ234" s="1" t="s">
        <v>347</v>
      </c>
      <c r="CA234" s="1" t="s">
        <v>348</v>
      </c>
      <c r="CB234" s="1"/>
      <c r="CN234" s="1" t="s">
        <v>96</v>
      </c>
      <c r="CP234" s="8" t="str">
        <f>HYPERLINK("http://www.metmuseum.org/art/collection/search/56150","http://www.metmuseum.org/art/collection/search/56150")</f>
        <v>http://www.metmuseum.org/art/collection/search/56150</v>
      </c>
      <c r="CQ234" s="4">
        <v>42842.333402777775</v>
      </c>
      <c r="CR234" s="1" t="s">
        <v>97</v>
      </c>
    </row>
    <row r="235" spans="1:96" ht="52.5" customHeight="1" x14ac:dyDescent="0.2">
      <c r="A235" s="1" t="s">
        <v>1203</v>
      </c>
      <c r="B235" s="1" t="b">
        <v>0</v>
      </c>
      <c r="C235" s="1" t="b">
        <v>1</v>
      </c>
      <c r="D235" s="1">
        <v>56151</v>
      </c>
      <c r="E235" s="1" t="s">
        <v>85</v>
      </c>
      <c r="F235" s="1" t="s">
        <v>99</v>
      </c>
      <c r="G235" s="1" t="s">
        <v>329</v>
      </c>
      <c r="H235" s="1" t="s">
        <v>330</v>
      </c>
      <c r="I235" s="1" t="s">
        <v>331</v>
      </c>
      <c r="J235" s="1" t="s">
        <v>332</v>
      </c>
      <c r="K235" s="1" t="s">
        <v>333</v>
      </c>
      <c r="L235" s="1" t="s">
        <v>116</v>
      </c>
      <c r="M235" s="1" t="s">
        <v>117</v>
      </c>
      <c r="N235" s="1" t="s">
        <v>87</v>
      </c>
      <c r="O235" s="1" t="s">
        <v>1798</v>
      </c>
      <c r="P235" s="1">
        <v>1615</v>
      </c>
      <c r="Q235" s="1">
        <v>1868</v>
      </c>
      <c r="U235" s="1" t="s">
        <v>88</v>
      </c>
      <c r="W235" s="1" t="s">
        <v>89</v>
      </c>
      <c r="X235" s="1" t="s">
        <v>1801</v>
      </c>
      <c r="Z235" s="1" t="s">
        <v>89</v>
      </c>
      <c r="AA235" s="1" t="s">
        <v>90</v>
      </c>
      <c r="AB235" s="1">
        <v>1760</v>
      </c>
      <c r="AC235" s="1">
        <v>1849</v>
      </c>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t="s">
        <v>1204</v>
      </c>
      <c r="BG235" s="1">
        <v>1760</v>
      </c>
      <c r="BH235" s="1">
        <v>1845</v>
      </c>
      <c r="BI235" s="1">
        <v>1</v>
      </c>
      <c r="BJ235" s="1"/>
      <c r="BK235" s="1" t="s">
        <v>1760</v>
      </c>
      <c r="BL235" s="1" t="s">
        <v>1746</v>
      </c>
      <c r="BM235" s="1"/>
      <c r="BN235" s="1" t="s">
        <v>1205</v>
      </c>
      <c r="BO235" s="12">
        <v>10.375</v>
      </c>
      <c r="BP235" s="12">
        <v>14.875</v>
      </c>
      <c r="BQ235" s="12"/>
      <c r="BR235" s="1">
        <v>26.4</v>
      </c>
      <c r="BS235" s="1">
        <v>37.799999999999997</v>
      </c>
      <c r="BT235" s="1"/>
      <c r="BU235" s="1"/>
      <c r="BV235" s="1" t="s">
        <v>345</v>
      </c>
      <c r="BW235" s="1" t="s">
        <v>346</v>
      </c>
      <c r="BX235" s="1"/>
      <c r="BY235" s="1">
        <v>1939</v>
      </c>
      <c r="BZ235" s="1" t="s">
        <v>347</v>
      </c>
      <c r="CA235" s="1" t="s">
        <v>348</v>
      </c>
      <c r="CB235" s="1"/>
      <c r="CN235" s="1" t="s">
        <v>96</v>
      </c>
      <c r="CP235" s="8" t="str">
        <f>HYPERLINK("http://www.metmuseum.org/art/collection/search/56151","http://www.metmuseum.org/art/collection/search/56151")</f>
        <v>http://www.metmuseum.org/art/collection/search/56151</v>
      </c>
      <c r="CQ235" s="4">
        <v>42842.333402777775</v>
      </c>
      <c r="CR235" s="1" t="s">
        <v>97</v>
      </c>
    </row>
    <row r="236" spans="1:96" ht="52.5" customHeight="1" x14ac:dyDescent="0.2">
      <c r="A236" s="1" t="s">
        <v>1206</v>
      </c>
      <c r="B236" s="1" t="b">
        <v>0</v>
      </c>
      <c r="C236" s="1" t="b">
        <v>1</v>
      </c>
      <c r="D236" s="1">
        <v>56157</v>
      </c>
      <c r="E236" s="1" t="s">
        <v>85</v>
      </c>
      <c r="F236" s="1" t="s">
        <v>99</v>
      </c>
      <c r="G236" s="1" t="s">
        <v>1207</v>
      </c>
      <c r="H236" s="1" t="s">
        <v>1208</v>
      </c>
      <c r="I236" s="1" t="s">
        <v>1209</v>
      </c>
      <c r="J236" s="1" t="s">
        <v>1210</v>
      </c>
      <c r="K236" s="1" t="s">
        <v>333</v>
      </c>
      <c r="L236" s="1" t="s">
        <v>116</v>
      </c>
      <c r="M236" s="1" t="s">
        <v>117</v>
      </c>
      <c r="N236" s="1" t="s">
        <v>87</v>
      </c>
      <c r="O236" s="1" t="s">
        <v>1798</v>
      </c>
      <c r="P236" s="1">
        <v>1615</v>
      </c>
      <c r="Q236" s="1">
        <v>1868</v>
      </c>
      <c r="U236" s="1" t="s">
        <v>88</v>
      </c>
      <c r="W236" s="1" t="s">
        <v>89</v>
      </c>
      <c r="X236" s="1" t="s">
        <v>1801</v>
      </c>
      <c r="Z236" s="1" t="s">
        <v>89</v>
      </c>
      <c r="AA236" s="1" t="s">
        <v>90</v>
      </c>
      <c r="AB236" s="1">
        <v>1760</v>
      </c>
      <c r="AC236" s="1">
        <v>1849</v>
      </c>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t="s">
        <v>656</v>
      </c>
      <c r="BG236" s="1">
        <v>1760</v>
      </c>
      <c r="BH236" s="1">
        <v>1849</v>
      </c>
      <c r="BI236" s="1">
        <v>1</v>
      </c>
      <c r="BJ236" s="1"/>
      <c r="BK236" s="1" t="s">
        <v>1760</v>
      </c>
      <c r="BL236" s="1" t="s">
        <v>1746</v>
      </c>
      <c r="BM236" s="1"/>
      <c r="BN236" s="1" t="s">
        <v>1211</v>
      </c>
      <c r="BO236" s="12">
        <v>10.25</v>
      </c>
      <c r="BP236" s="1">
        <v>15</v>
      </c>
      <c r="BQ236" s="1"/>
      <c r="BR236" s="1">
        <v>26</v>
      </c>
      <c r="BS236" s="1">
        <v>38.1</v>
      </c>
      <c r="BT236" s="1"/>
      <c r="BU236" s="1"/>
      <c r="BV236" s="1" t="s">
        <v>345</v>
      </c>
      <c r="BW236" s="1" t="s">
        <v>346</v>
      </c>
      <c r="BX236" s="1"/>
      <c r="BY236" s="1">
        <v>1939</v>
      </c>
      <c r="BZ236" s="1" t="s">
        <v>347</v>
      </c>
      <c r="CA236" s="1" t="s">
        <v>348</v>
      </c>
      <c r="CB236" s="1"/>
      <c r="CN236" s="1" t="s">
        <v>96</v>
      </c>
      <c r="CP236" s="8" t="str">
        <f>HYPERLINK("http://www.metmuseum.org/art/collection/search/56157","http://www.metmuseum.org/art/collection/search/56157")</f>
        <v>http://www.metmuseum.org/art/collection/search/56157</v>
      </c>
      <c r="CQ236" s="4">
        <v>42842.333402777775</v>
      </c>
      <c r="CR236" s="1" t="s">
        <v>97</v>
      </c>
    </row>
    <row r="237" spans="1:96" ht="52.5" customHeight="1" x14ac:dyDescent="0.2">
      <c r="A237" s="1" t="s">
        <v>1212</v>
      </c>
      <c r="B237" s="1" t="b">
        <v>0</v>
      </c>
      <c r="C237" s="1" t="b">
        <v>1</v>
      </c>
      <c r="D237" s="1">
        <v>56171</v>
      </c>
      <c r="E237" s="1" t="s">
        <v>85</v>
      </c>
      <c r="F237" s="1" t="s">
        <v>99</v>
      </c>
      <c r="G237" s="1" t="s">
        <v>1213</v>
      </c>
      <c r="H237" s="1" t="s">
        <v>1214</v>
      </c>
      <c r="I237" s="1" t="s">
        <v>1215</v>
      </c>
      <c r="J237" s="1" t="s">
        <v>1216</v>
      </c>
      <c r="K237" s="1" t="s">
        <v>115</v>
      </c>
      <c r="L237" s="1" t="s">
        <v>116</v>
      </c>
      <c r="M237" s="1" t="s">
        <v>117</v>
      </c>
      <c r="N237" s="1" t="s">
        <v>87</v>
      </c>
      <c r="O237" s="1" t="s">
        <v>1798</v>
      </c>
      <c r="P237" s="1">
        <v>1615</v>
      </c>
      <c r="Q237" s="1">
        <v>1868</v>
      </c>
      <c r="U237" s="1" t="s">
        <v>88</v>
      </c>
      <c r="W237" s="1" t="s">
        <v>89</v>
      </c>
      <c r="X237" s="1" t="s">
        <v>1801</v>
      </c>
      <c r="Z237" s="1" t="s">
        <v>89</v>
      </c>
      <c r="AA237" s="1" t="s">
        <v>90</v>
      </c>
      <c r="AB237" s="1">
        <v>1760</v>
      </c>
      <c r="AC237" s="1">
        <v>1849</v>
      </c>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t="s">
        <v>656</v>
      </c>
      <c r="BG237" s="1">
        <v>1760</v>
      </c>
      <c r="BH237" s="1">
        <v>1849</v>
      </c>
      <c r="BI237" s="1">
        <v>1</v>
      </c>
      <c r="BJ237" s="1"/>
      <c r="BK237" s="1" t="s">
        <v>1760</v>
      </c>
      <c r="BL237" s="1" t="s">
        <v>1746</v>
      </c>
      <c r="BM237" s="1"/>
      <c r="BN237" s="1" t="s">
        <v>950</v>
      </c>
      <c r="BO237" s="12">
        <v>9.75</v>
      </c>
      <c r="BP237" s="12">
        <v>14.375</v>
      </c>
      <c r="BQ237" s="12"/>
      <c r="BR237" s="1">
        <v>24.8</v>
      </c>
      <c r="BS237" s="1">
        <v>36.5</v>
      </c>
      <c r="BT237" s="1"/>
      <c r="BU237" s="1"/>
      <c r="BV237" s="1" t="s">
        <v>345</v>
      </c>
      <c r="BW237" s="1" t="s">
        <v>346</v>
      </c>
      <c r="BX237" s="1"/>
      <c r="BY237" s="1">
        <v>1939</v>
      </c>
      <c r="BZ237" s="1" t="s">
        <v>347</v>
      </c>
      <c r="CA237" s="1" t="s">
        <v>348</v>
      </c>
      <c r="CB237" s="1"/>
      <c r="CN237" s="1" t="s">
        <v>96</v>
      </c>
      <c r="CP237" s="8" t="str">
        <f>HYPERLINK("http://www.metmuseum.org/art/collection/search/56171","http://www.metmuseum.org/art/collection/search/56171")</f>
        <v>http://www.metmuseum.org/art/collection/search/56171</v>
      </c>
      <c r="CQ237" s="4">
        <v>42842.333402777775</v>
      </c>
      <c r="CR237" s="1" t="s">
        <v>97</v>
      </c>
    </row>
    <row r="238" spans="1:96" ht="52.5" customHeight="1" x14ac:dyDescent="0.2">
      <c r="A238" s="1" t="s">
        <v>1217</v>
      </c>
      <c r="B238" s="1" t="b">
        <v>0</v>
      </c>
      <c r="C238" s="1" t="b">
        <v>1</v>
      </c>
      <c r="D238" s="1">
        <v>56172</v>
      </c>
      <c r="E238" s="1" t="s">
        <v>85</v>
      </c>
      <c r="F238" s="1" t="s">
        <v>86</v>
      </c>
      <c r="N238" s="1" t="s">
        <v>87</v>
      </c>
      <c r="O238" s="1" t="s">
        <v>1798</v>
      </c>
      <c r="P238" s="1">
        <v>1615</v>
      </c>
      <c r="Q238" s="1">
        <v>1868</v>
      </c>
      <c r="U238" s="1" t="s">
        <v>88</v>
      </c>
      <c r="W238" s="1" t="s">
        <v>89</v>
      </c>
      <c r="X238" s="1" t="s">
        <v>1801</v>
      </c>
      <c r="Z238" s="1" t="s">
        <v>89</v>
      </c>
      <c r="AA238" s="1" t="s">
        <v>90</v>
      </c>
      <c r="AB238" s="1">
        <v>1760</v>
      </c>
      <c r="AC238" s="1">
        <v>1849</v>
      </c>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t="s">
        <v>745</v>
      </c>
      <c r="BG238" s="1">
        <v>1790</v>
      </c>
      <c r="BH238" s="1">
        <v>1810</v>
      </c>
      <c r="BI238" s="1">
        <v>1</v>
      </c>
      <c r="BJ238" s="1"/>
      <c r="BK238" s="1" t="s">
        <v>1760</v>
      </c>
      <c r="BL238" s="1" t="s">
        <v>1746</v>
      </c>
      <c r="BM238" s="1"/>
      <c r="BN238" s="1" t="s">
        <v>1218</v>
      </c>
      <c r="BO238" s="11">
        <v>9.5625</v>
      </c>
      <c r="BP238" s="11">
        <v>14.4375</v>
      </c>
      <c r="BQ238" s="11"/>
      <c r="BR238" s="1">
        <v>24.3</v>
      </c>
      <c r="BS238" s="1">
        <v>36.700000000000003</v>
      </c>
      <c r="BT238" s="1"/>
      <c r="BU238" s="1"/>
      <c r="BV238" s="1" t="s">
        <v>447</v>
      </c>
      <c r="BW238" s="1" t="s">
        <v>346</v>
      </c>
      <c r="BX238" s="1"/>
      <c r="BY238" s="1">
        <v>1929</v>
      </c>
      <c r="BZ238" s="1" t="s">
        <v>448</v>
      </c>
      <c r="CA238" s="1" t="s">
        <v>449</v>
      </c>
      <c r="CB238" s="1"/>
      <c r="CN238" s="1" t="s">
        <v>96</v>
      </c>
      <c r="CP238" s="8" t="str">
        <f>HYPERLINK("http://www.metmuseum.org/art/collection/search/56172","http://www.metmuseum.org/art/collection/search/56172")</f>
        <v>http://www.metmuseum.org/art/collection/search/56172</v>
      </c>
      <c r="CQ238" s="4">
        <v>42842.333402777775</v>
      </c>
      <c r="CR238" s="1" t="s">
        <v>97</v>
      </c>
    </row>
    <row r="239" spans="1:96" ht="52.5" customHeight="1" x14ac:dyDescent="0.2">
      <c r="A239" s="1" t="s">
        <v>1219</v>
      </c>
      <c r="B239" s="1" t="b">
        <v>0</v>
      </c>
      <c r="C239" s="1" t="b">
        <v>1</v>
      </c>
      <c r="D239" s="1">
        <v>56175</v>
      </c>
      <c r="E239" s="1" t="s">
        <v>85</v>
      </c>
      <c r="F239" s="1" t="s">
        <v>99</v>
      </c>
      <c r="G239" s="1" t="s">
        <v>1220</v>
      </c>
      <c r="H239" s="1" t="s">
        <v>1221</v>
      </c>
      <c r="I239" s="1" t="s">
        <v>1222</v>
      </c>
      <c r="J239" s="1" t="s">
        <v>1223</v>
      </c>
      <c r="K239" s="1" t="s">
        <v>1224</v>
      </c>
      <c r="L239" s="1" t="s">
        <v>116</v>
      </c>
      <c r="M239" s="1" t="s">
        <v>117</v>
      </c>
      <c r="N239" s="1" t="s">
        <v>87</v>
      </c>
      <c r="O239" s="1" t="s">
        <v>1798</v>
      </c>
      <c r="P239" s="1">
        <v>1615</v>
      </c>
      <c r="Q239" s="1">
        <v>1868</v>
      </c>
      <c r="U239" s="1" t="s">
        <v>88</v>
      </c>
      <c r="W239" s="1" t="s">
        <v>89</v>
      </c>
      <c r="X239" s="1" t="s">
        <v>1801</v>
      </c>
      <c r="Z239" s="1" t="s">
        <v>89</v>
      </c>
      <c r="AA239" s="1" t="s">
        <v>90</v>
      </c>
      <c r="AB239" s="1">
        <v>1760</v>
      </c>
      <c r="AC239" s="1">
        <v>1849</v>
      </c>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t="s">
        <v>656</v>
      </c>
      <c r="BG239" s="1">
        <v>1760</v>
      </c>
      <c r="BH239" s="1">
        <v>1849</v>
      </c>
      <c r="BI239" s="1">
        <v>1</v>
      </c>
      <c r="BJ239" s="1"/>
      <c r="BK239" s="1" t="s">
        <v>1760</v>
      </c>
      <c r="BL239" s="1" t="s">
        <v>1746</v>
      </c>
      <c r="BM239" s="1"/>
      <c r="BN239" s="1" t="s">
        <v>1205</v>
      </c>
      <c r="BO239" s="12">
        <v>10.375</v>
      </c>
      <c r="BP239" s="12">
        <v>14.875</v>
      </c>
      <c r="BQ239" s="12"/>
      <c r="BR239" s="1">
        <v>26.4</v>
      </c>
      <c r="BS239" s="1">
        <v>37.799999999999997</v>
      </c>
      <c r="BT239" s="1"/>
      <c r="BU239" s="1"/>
      <c r="BV239" s="1" t="s">
        <v>345</v>
      </c>
      <c r="BW239" s="1" t="s">
        <v>346</v>
      </c>
      <c r="BX239" s="1"/>
      <c r="BY239" s="1">
        <v>1939</v>
      </c>
      <c r="BZ239" s="1" t="s">
        <v>347</v>
      </c>
      <c r="CA239" s="1" t="s">
        <v>348</v>
      </c>
      <c r="CB239" s="1"/>
      <c r="CN239" s="1" t="s">
        <v>96</v>
      </c>
      <c r="CP239" s="8" t="str">
        <f>HYPERLINK("http://www.metmuseum.org/art/collection/search/56175","http://www.metmuseum.org/art/collection/search/56175")</f>
        <v>http://www.metmuseum.org/art/collection/search/56175</v>
      </c>
      <c r="CQ239" s="4">
        <v>42842.333402777775</v>
      </c>
      <c r="CR239" s="1" t="s">
        <v>97</v>
      </c>
    </row>
    <row r="240" spans="1:96" ht="52.5" customHeight="1" x14ac:dyDescent="0.2">
      <c r="A240" s="1" t="s">
        <v>1225</v>
      </c>
      <c r="B240" s="1" t="b">
        <v>0</v>
      </c>
      <c r="C240" s="1" t="b">
        <v>1</v>
      </c>
      <c r="D240" s="1">
        <v>56177</v>
      </c>
      <c r="E240" s="1" t="s">
        <v>85</v>
      </c>
      <c r="F240" s="1" t="s">
        <v>86</v>
      </c>
      <c r="G240" s="1" t="s">
        <v>1226</v>
      </c>
      <c r="H240" s="1" t="s">
        <v>1227</v>
      </c>
      <c r="I240" s="1" t="s">
        <v>1228</v>
      </c>
      <c r="J240" s="1" t="s">
        <v>1229</v>
      </c>
      <c r="K240" s="1"/>
      <c r="L240" s="1"/>
      <c r="M240" s="1"/>
      <c r="N240" s="1" t="s">
        <v>87</v>
      </c>
      <c r="O240" s="1" t="s">
        <v>1798</v>
      </c>
      <c r="P240" s="1">
        <v>1615</v>
      </c>
      <c r="Q240" s="1">
        <v>1868</v>
      </c>
      <c r="U240" s="1" t="s">
        <v>88</v>
      </c>
      <c r="W240" s="1" t="s">
        <v>89</v>
      </c>
      <c r="X240" s="1" t="s">
        <v>1801</v>
      </c>
      <c r="Z240" s="1" t="s">
        <v>89</v>
      </c>
      <c r="AA240" s="1" t="s">
        <v>90</v>
      </c>
      <c r="AB240" s="1">
        <v>1760</v>
      </c>
      <c r="AC240" s="1">
        <v>1849</v>
      </c>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G240" s="1">
        <v>1760</v>
      </c>
      <c r="BH240" s="1">
        <v>1849</v>
      </c>
      <c r="BI240" s="1">
        <v>1</v>
      </c>
      <c r="BJ240" s="1"/>
      <c r="BK240" s="1" t="s">
        <v>1760</v>
      </c>
      <c r="BL240" s="1" t="s">
        <v>1746</v>
      </c>
      <c r="BM240" s="1"/>
      <c r="BN240" s="1" t="s">
        <v>1230</v>
      </c>
      <c r="BO240" s="1">
        <v>12</v>
      </c>
      <c r="BP240" s="12">
        <v>5.75</v>
      </c>
      <c r="BQ240" s="12"/>
      <c r="BR240" s="1">
        <v>30.5</v>
      </c>
      <c r="BS240" s="1">
        <v>14.6</v>
      </c>
      <c r="BT240" s="1"/>
      <c r="BU240" s="1"/>
      <c r="BV240" s="1" t="s">
        <v>447</v>
      </c>
      <c r="BW240" s="1" t="s">
        <v>346</v>
      </c>
      <c r="BX240" s="1"/>
      <c r="BY240" s="1">
        <v>1929</v>
      </c>
      <c r="BZ240" s="1" t="s">
        <v>448</v>
      </c>
      <c r="CA240" s="1" t="s">
        <v>449</v>
      </c>
      <c r="CB240" s="1"/>
      <c r="CN240" s="1" t="s">
        <v>96</v>
      </c>
      <c r="CP240" s="8" t="str">
        <f>HYPERLINK("http://www.metmuseum.org/art/collection/search/56177","http://www.metmuseum.org/art/collection/search/56177")</f>
        <v>http://www.metmuseum.org/art/collection/search/56177</v>
      </c>
      <c r="CQ240" s="4">
        <v>42842.333402777775</v>
      </c>
      <c r="CR240" s="1" t="s">
        <v>97</v>
      </c>
    </row>
    <row r="241" spans="1:96" ht="52.5" customHeight="1" x14ac:dyDescent="0.2">
      <c r="A241" s="1" t="s">
        <v>1231</v>
      </c>
      <c r="B241" s="1" t="b">
        <v>0</v>
      </c>
      <c r="C241" s="1" t="b">
        <v>1</v>
      </c>
      <c r="D241" s="1">
        <v>56178</v>
      </c>
      <c r="E241" s="1" t="s">
        <v>85</v>
      </c>
      <c r="F241" s="1" t="s">
        <v>86</v>
      </c>
      <c r="N241" s="1" t="s">
        <v>87</v>
      </c>
      <c r="O241" s="1" t="s">
        <v>1798</v>
      </c>
      <c r="P241" s="1">
        <v>1615</v>
      </c>
      <c r="Q241" s="1">
        <v>1868</v>
      </c>
      <c r="U241" s="1" t="s">
        <v>88</v>
      </c>
      <c r="W241" s="1" t="s">
        <v>89</v>
      </c>
      <c r="X241" s="1" t="s">
        <v>1801</v>
      </c>
      <c r="Z241" s="1" t="s">
        <v>89</v>
      </c>
      <c r="AA241" s="1" t="s">
        <v>90</v>
      </c>
      <c r="AB241" s="1">
        <v>1760</v>
      </c>
      <c r="AC241" s="1">
        <v>1849</v>
      </c>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t="s">
        <v>872</v>
      </c>
      <c r="BG241" s="1">
        <v>1815</v>
      </c>
      <c r="BH241" s="1">
        <v>1835</v>
      </c>
      <c r="BI241" s="1">
        <v>1</v>
      </c>
      <c r="BJ241" s="6" t="s">
        <v>1758</v>
      </c>
      <c r="BK241" s="6" t="s">
        <v>1773</v>
      </c>
      <c r="BL241" s="1" t="s">
        <v>1746</v>
      </c>
      <c r="BM241" s="1"/>
      <c r="BN241" s="1" t="s">
        <v>1232</v>
      </c>
      <c r="BO241" s="11">
        <v>7.0625</v>
      </c>
      <c r="BP241" s="12">
        <v>11.875</v>
      </c>
      <c r="BQ241" s="12"/>
      <c r="BR241" s="1">
        <v>17.899999999999999</v>
      </c>
      <c r="BS241" s="1">
        <v>30.2</v>
      </c>
      <c r="BT241" s="1"/>
      <c r="BU241" s="1" t="s">
        <v>884</v>
      </c>
      <c r="BV241" s="1" t="s">
        <v>447</v>
      </c>
      <c r="BW241" s="1" t="s">
        <v>346</v>
      </c>
      <c r="BX241" s="1"/>
      <c r="BY241" s="1">
        <v>1929</v>
      </c>
      <c r="BZ241" s="1" t="s">
        <v>448</v>
      </c>
      <c r="CA241" s="1" t="s">
        <v>449</v>
      </c>
      <c r="CB241" s="1"/>
      <c r="CN241" s="1" t="s">
        <v>96</v>
      </c>
      <c r="CP241" s="8" t="str">
        <f>HYPERLINK("http://www.metmuseum.org/art/collection/search/56178","http://www.metmuseum.org/art/collection/search/56178")</f>
        <v>http://www.metmuseum.org/art/collection/search/56178</v>
      </c>
      <c r="CQ241" s="4">
        <v>42842.333402777775</v>
      </c>
      <c r="CR241" s="1" t="s">
        <v>97</v>
      </c>
    </row>
    <row r="242" spans="1:96" ht="52.5" customHeight="1" x14ac:dyDescent="0.2">
      <c r="A242" s="1" t="s">
        <v>1233</v>
      </c>
      <c r="B242" s="1" t="b">
        <v>0</v>
      </c>
      <c r="C242" s="1" t="b">
        <v>1</v>
      </c>
      <c r="D242" s="1">
        <v>56183</v>
      </c>
      <c r="E242" s="1" t="s">
        <v>85</v>
      </c>
      <c r="F242" s="1" t="s">
        <v>86</v>
      </c>
      <c r="N242" s="1" t="s">
        <v>87</v>
      </c>
      <c r="O242" s="1" t="s">
        <v>1798</v>
      </c>
      <c r="P242" s="1">
        <v>1615</v>
      </c>
      <c r="Q242" s="1">
        <v>1868</v>
      </c>
      <c r="U242" s="1" t="s">
        <v>88</v>
      </c>
      <c r="W242" s="1" t="s">
        <v>89</v>
      </c>
      <c r="X242" s="1" t="s">
        <v>1801</v>
      </c>
      <c r="Z242" s="1" t="s">
        <v>89</v>
      </c>
      <c r="AA242" s="1" t="s">
        <v>90</v>
      </c>
      <c r="AB242" s="1">
        <v>1760</v>
      </c>
      <c r="AC242" s="1">
        <v>1849</v>
      </c>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t="s">
        <v>1234</v>
      </c>
      <c r="BG242" s="1">
        <v>1820</v>
      </c>
      <c r="BH242" s="1">
        <v>1834</v>
      </c>
      <c r="BI242" s="1">
        <v>1</v>
      </c>
      <c r="BJ242" s="1"/>
      <c r="BK242" s="6" t="s">
        <v>1760</v>
      </c>
      <c r="BL242" s="1" t="s">
        <v>1746</v>
      </c>
      <c r="BM242" s="1"/>
      <c r="BN242" s="1" t="s">
        <v>1235</v>
      </c>
      <c r="BO242" s="12">
        <v>9.75</v>
      </c>
      <c r="BP242" s="12">
        <v>14.25</v>
      </c>
      <c r="BQ242" s="12"/>
      <c r="BR242" s="1">
        <v>24.8</v>
      </c>
      <c r="BS242" s="1">
        <v>36.200000000000003</v>
      </c>
      <c r="BT242" s="1"/>
      <c r="BU242" s="1"/>
      <c r="BV242" s="1" t="s">
        <v>447</v>
      </c>
      <c r="BW242" s="1" t="s">
        <v>346</v>
      </c>
      <c r="BX242" s="1"/>
      <c r="BY242" s="1">
        <v>1929</v>
      </c>
      <c r="BZ242" s="1" t="s">
        <v>448</v>
      </c>
      <c r="CA242" s="1" t="s">
        <v>449</v>
      </c>
      <c r="CB242" s="1"/>
      <c r="CN242" s="1" t="s">
        <v>96</v>
      </c>
      <c r="CP242" s="8" t="str">
        <f>HYPERLINK("http://www.metmuseum.org/art/collection/search/56183","http://www.metmuseum.org/art/collection/search/56183")</f>
        <v>http://www.metmuseum.org/art/collection/search/56183</v>
      </c>
      <c r="CQ242" s="4">
        <v>42842.333402777775</v>
      </c>
      <c r="CR242" s="1" t="s">
        <v>97</v>
      </c>
    </row>
    <row r="243" spans="1:96" ht="52.5" customHeight="1" x14ac:dyDescent="0.2">
      <c r="A243" s="1" t="s">
        <v>1236</v>
      </c>
      <c r="B243" s="1" t="b">
        <v>0</v>
      </c>
      <c r="C243" s="1" t="b">
        <v>1</v>
      </c>
      <c r="D243" s="1">
        <v>56185</v>
      </c>
      <c r="E243" s="1" t="s">
        <v>85</v>
      </c>
      <c r="F243" s="1" t="s">
        <v>86</v>
      </c>
      <c r="N243" s="1" t="s">
        <v>87</v>
      </c>
      <c r="O243" s="1" t="s">
        <v>1798</v>
      </c>
      <c r="P243" s="1">
        <v>1615</v>
      </c>
      <c r="Q243" s="1">
        <v>1868</v>
      </c>
      <c r="U243" s="1" t="s">
        <v>88</v>
      </c>
      <c r="W243" s="1" t="s">
        <v>89</v>
      </c>
      <c r="X243" s="1" t="s">
        <v>1801</v>
      </c>
      <c r="Z243" s="1" t="s">
        <v>89</v>
      </c>
      <c r="AA243" s="1" t="s">
        <v>90</v>
      </c>
      <c r="AB243" s="1">
        <v>1760</v>
      </c>
      <c r="AC243" s="1">
        <v>1849</v>
      </c>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G243" s="1">
        <v>1760</v>
      </c>
      <c r="BH243" s="1">
        <v>1849</v>
      </c>
      <c r="BI243" s="1">
        <v>1</v>
      </c>
      <c r="BJ243" s="1"/>
      <c r="BK243" s="1" t="s">
        <v>1760</v>
      </c>
      <c r="BL243" s="1" t="s">
        <v>1746</v>
      </c>
      <c r="BM243" s="1"/>
      <c r="BN243" s="1" t="s">
        <v>1237</v>
      </c>
      <c r="BO243" s="11">
        <v>13.0625</v>
      </c>
      <c r="BP243" s="12">
        <v>9.375</v>
      </c>
      <c r="BQ243" s="12"/>
      <c r="BR243" s="1">
        <v>33.200000000000003</v>
      </c>
      <c r="BS243" s="1">
        <v>23.8</v>
      </c>
      <c r="BT243" s="1"/>
      <c r="BU243" s="1"/>
      <c r="BV243" s="1" t="s">
        <v>447</v>
      </c>
      <c r="BW243" s="1" t="s">
        <v>346</v>
      </c>
      <c r="BX243" s="1"/>
      <c r="BY243" s="1">
        <v>1929</v>
      </c>
      <c r="BZ243" s="1" t="s">
        <v>448</v>
      </c>
      <c r="CA243" s="1" t="s">
        <v>449</v>
      </c>
      <c r="CB243" s="1"/>
      <c r="CN243" s="1" t="s">
        <v>96</v>
      </c>
      <c r="CP243" s="8" t="str">
        <f>HYPERLINK("http://www.metmuseum.org/art/collection/search/56185","http://www.metmuseum.org/art/collection/search/56185")</f>
        <v>http://www.metmuseum.org/art/collection/search/56185</v>
      </c>
      <c r="CQ243" s="4">
        <v>42842.333402777775</v>
      </c>
      <c r="CR243" s="1" t="s">
        <v>97</v>
      </c>
    </row>
    <row r="244" spans="1:96" ht="52.5" customHeight="1" x14ac:dyDescent="0.2">
      <c r="A244" s="1" t="s">
        <v>1238</v>
      </c>
      <c r="B244" s="1" t="b">
        <v>0</v>
      </c>
      <c r="C244" s="1" t="b">
        <v>1</v>
      </c>
      <c r="D244" s="1">
        <v>56186</v>
      </c>
      <c r="E244" s="1" t="s">
        <v>85</v>
      </c>
      <c r="F244" s="1" t="s">
        <v>86</v>
      </c>
      <c r="G244" s="1" t="s">
        <v>1239</v>
      </c>
      <c r="H244" s="1" t="s">
        <v>1240</v>
      </c>
      <c r="I244" s="1"/>
      <c r="J244" s="1" t="s">
        <v>1241</v>
      </c>
      <c r="K244" s="1"/>
      <c r="L244" s="1"/>
      <c r="M244" s="1"/>
      <c r="N244" s="1" t="s">
        <v>87</v>
      </c>
      <c r="O244" s="1" t="s">
        <v>1798</v>
      </c>
      <c r="P244" s="1">
        <v>1615</v>
      </c>
      <c r="Q244" s="1">
        <v>1868</v>
      </c>
      <c r="U244" s="1" t="s">
        <v>88</v>
      </c>
      <c r="W244" s="1" t="s">
        <v>89</v>
      </c>
      <c r="X244" s="1" t="s">
        <v>1801</v>
      </c>
      <c r="Z244" s="1" t="s">
        <v>89</v>
      </c>
      <c r="AA244" s="1" t="s">
        <v>90</v>
      </c>
      <c r="AB244" s="1">
        <v>1760</v>
      </c>
      <c r="AC244" s="1">
        <v>1849</v>
      </c>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G244" s="1">
        <v>1760</v>
      </c>
      <c r="BH244" s="1">
        <v>1849</v>
      </c>
      <c r="BI244" s="1">
        <v>1</v>
      </c>
      <c r="BJ244" s="1"/>
      <c r="BK244" s="6" t="s">
        <v>1772</v>
      </c>
      <c r="BL244" s="1" t="s">
        <v>1746</v>
      </c>
      <c r="BM244" s="1"/>
      <c r="BN244" s="1" t="s">
        <v>1242</v>
      </c>
      <c r="BO244" s="11">
        <v>14.6875</v>
      </c>
      <c r="BP244" s="11">
        <v>10.6875</v>
      </c>
      <c r="BQ244" s="11"/>
      <c r="BR244" s="1">
        <v>37.299999999999997</v>
      </c>
      <c r="BS244" s="1">
        <v>27.1</v>
      </c>
      <c r="BT244" s="1"/>
      <c r="BU244" s="1"/>
      <c r="BV244" s="1" t="s">
        <v>447</v>
      </c>
      <c r="BW244" s="1" t="s">
        <v>346</v>
      </c>
      <c r="BX244" s="1"/>
      <c r="BY244" s="1">
        <v>1929</v>
      </c>
      <c r="BZ244" s="1" t="s">
        <v>448</v>
      </c>
      <c r="CA244" s="1" t="s">
        <v>449</v>
      </c>
      <c r="CB244" s="1"/>
      <c r="CN244" s="1" t="s">
        <v>96</v>
      </c>
      <c r="CP244" s="8" t="str">
        <f>HYPERLINK("http://www.metmuseum.org/art/collection/search/56186","http://www.metmuseum.org/art/collection/search/56186")</f>
        <v>http://www.metmuseum.org/art/collection/search/56186</v>
      </c>
      <c r="CQ244" s="4">
        <v>42842.333402777775</v>
      </c>
      <c r="CR244" s="1" t="s">
        <v>97</v>
      </c>
    </row>
    <row r="245" spans="1:96" ht="66" customHeight="1" x14ac:dyDescent="0.2">
      <c r="A245" s="1" t="s">
        <v>1243</v>
      </c>
      <c r="B245" s="1" t="b">
        <v>0</v>
      </c>
      <c r="C245" s="1" t="b">
        <v>1</v>
      </c>
      <c r="D245" s="1">
        <v>56202</v>
      </c>
      <c r="E245" s="1" t="s">
        <v>85</v>
      </c>
      <c r="F245" s="1" t="s">
        <v>99</v>
      </c>
      <c r="G245" s="1" t="s">
        <v>1069</v>
      </c>
      <c r="H245" s="1" t="s">
        <v>1070</v>
      </c>
      <c r="I245" s="1" t="s">
        <v>1071</v>
      </c>
      <c r="J245" s="1" t="s">
        <v>1072</v>
      </c>
      <c r="K245" s="1" t="s">
        <v>145</v>
      </c>
      <c r="L245" s="1" t="s">
        <v>146</v>
      </c>
      <c r="M245" s="1" t="s">
        <v>147</v>
      </c>
      <c r="N245" s="1" t="s">
        <v>87</v>
      </c>
      <c r="O245" s="1" t="s">
        <v>1798</v>
      </c>
      <c r="P245" s="1">
        <v>1615</v>
      </c>
      <c r="Q245" s="1">
        <v>1868</v>
      </c>
      <c r="U245" s="1" t="s">
        <v>88</v>
      </c>
      <c r="W245" s="1" t="s">
        <v>89</v>
      </c>
      <c r="X245" s="1" t="s">
        <v>1801</v>
      </c>
      <c r="Z245" s="1" t="s">
        <v>89</v>
      </c>
      <c r="AA245" s="1" t="s">
        <v>90</v>
      </c>
      <c r="AB245" s="1">
        <v>1760</v>
      </c>
      <c r="AC245" s="1">
        <v>1849</v>
      </c>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t="s">
        <v>656</v>
      </c>
      <c r="BG245" s="1">
        <v>1760</v>
      </c>
      <c r="BH245" s="1">
        <v>1849</v>
      </c>
      <c r="BI245" s="1">
        <v>1</v>
      </c>
      <c r="BJ245" s="1"/>
      <c r="BK245" s="6" t="s">
        <v>1760</v>
      </c>
      <c r="BL245" s="1" t="s">
        <v>1746</v>
      </c>
      <c r="BM245" s="1"/>
      <c r="BN245" s="1" t="s">
        <v>377</v>
      </c>
      <c r="BO245" s="12">
        <v>10.25</v>
      </c>
      <c r="BP245" s="12">
        <v>15.125</v>
      </c>
      <c r="BQ245" s="12"/>
      <c r="BR245" s="1">
        <v>26</v>
      </c>
      <c r="BS245" s="1">
        <v>38.4</v>
      </c>
      <c r="BT245" s="1"/>
      <c r="BU245" s="1"/>
      <c r="BV245" s="1" t="s">
        <v>345</v>
      </c>
      <c r="BW245" s="1" t="s">
        <v>346</v>
      </c>
      <c r="BX245" s="1"/>
      <c r="BY245" s="1">
        <v>1939</v>
      </c>
      <c r="BZ245" s="1" t="s">
        <v>347</v>
      </c>
      <c r="CA245" s="1" t="s">
        <v>348</v>
      </c>
      <c r="CB245" s="1"/>
      <c r="CN245" s="1" t="s">
        <v>96</v>
      </c>
      <c r="CP245" s="8" t="str">
        <f>HYPERLINK("http://www.metmuseum.org/art/collection/search/56202","http://www.metmuseum.org/art/collection/search/56202")</f>
        <v>http://www.metmuseum.org/art/collection/search/56202</v>
      </c>
      <c r="CQ245" s="4">
        <v>42842.333402777775</v>
      </c>
      <c r="CR245" s="1" t="s">
        <v>97</v>
      </c>
    </row>
    <row r="246" spans="1:96" ht="66" customHeight="1" x14ac:dyDescent="0.2">
      <c r="A246" s="1" t="s">
        <v>1244</v>
      </c>
      <c r="B246" s="1" t="b">
        <v>0</v>
      </c>
      <c r="C246" s="1" t="b">
        <v>1</v>
      </c>
      <c r="D246" s="1">
        <v>56210</v>
      </c>
      <c r="E246" s="1" t="s">
        <v>85</v>
      </c>
      <c r="F246" s="1" t="s">
        <v>99</v>
      </c>
      <c r="G246" s="1" t="s">
        <v>1245</v>
      </c>
      <c r="H246" s="1" t="s">
        <v>647</v>
      </c>
      <c r="I246" s="1" t="s">
        <v>648</v>
      </c>
      <c r="J246" s="1" t="s">
        <v>649</v>
      </c>
      <c r="K246" s="1" t="s">
        <v>145</v>
      </c>
      <c r="L246" s="1" t="s">
        <v>146</v>
      </c>
      <c r="M246" s="1" t="s">
        <v>147</v>
      </c>
      <c r="N246" s="1" t="s">
        <v>87</v>
      </c>
      <c r="O246" s="1" t="s">
        <v>1798</v>
      </c>
      <c r="P246" s="1">
        <v>1615</v>
      </c>
      <c r="Q246" s="1">
        <v>1868</v>
      </c>
      <c r="U246" s="1" t="s">
        <v>88</v>
      </c>
      <c r="W246" s="1" t="s">
        <v>89</v>
      </c>
      <c r="X246" s="1" t="s">
        <v>1801</v>
      </c>
      <c r="Z246" s="1" t="s">
        <v>89</v>
      </c>
      <c r="AA246" s="1" t="s">
        <v>90</v>
      </c>
      <c r="AB246" s="1">
        <v>1760</v>
      </c>
      <c r="AC246" s="1">
        <v>1849</v>
      </c>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t="s">
        <v>663</v>
      </c>
      <c r="BG246" s="1">
        <v>1820</v>
      </c>
      <c r="BH246" s="1">
        <v>1840</v>
      </c>
      <c r="BI246" s="1">
        <v>1</v>
      </c>
      <c r="BJ246" s="1"/>
      <c r="BK246" s="6" t="s">
        <v>1760</v>
      </c>
      <c r="BL246" s="1" t="s">
        <v>1746</v>
      </c>
      <c r="BM246" s="1"/>
      <c r="BN246" s="1" t="s">
        <v>173</v>
      </c>
      <c r="BO246" s="12">
        <v>10.125</v>
      </c>
      <c r="BP246" s="12">
        <v>15.125</v>
      </c>
      <c r="BQ246" s="12"/>
      <c r="BR246" s="1">
        <v>25.7</v>
      </c>
      <c r="BS246" s="1">
        <v>38.4</v>
      </c>
      <c r="BT246" s="1"/>
      <c r="BU246" s="1"/>
      <c r="BV246" s="1" t="s">
        <v>480</v>
      </c>
      <c r="BW246" s="1" t="s">
        <v>346</v>
      </c>
      <c r="BX246" s="1"/>
      <c r="BY246" s="1">
        <v>1939</v>
      </c>
      <c r="BZ246" s="1" t="s">
        <v>347</v>
      </c>
      <c r="CA246" s="1" t="s">
        <v>348</v>
      </c>
      <c r="CB246" s="1"/>
      <c r="CN246" s="1" t="s">
        <v>96</v>
      </c>
      <c r="CP246" s="8" t="str">
        <f>HYPERLINK("http://www.metmuseum.org/art/collection/search/56210","http://www.metmuseum.org/art/collection/search/56210")</f>
        <v>http://www.metmuseum.org/art/collection/search/56210</v>
      </c>
      <c r="CQ246" s="4">
        <v>42842.333402777775</v>
      </c>
      <c r="CR246" s="1" t="s">
        <v>97</v>
      </c>
    </row>
    <row r="247" spans="1:96" ht="52.5" customHeight="1" x14ac:dyDescent="0.2">
      <c r="A247" s="1" t="s">
        <v>1246</v>
      </c>
      <c r="B247" s="1" t="b">
        <v>0</v>
      </c>
      <c r="C247" s="1" t="b">
        <v>1</v>
      </c>
      <c r="D247" s="1">
        <v>56212</v>
      </c>
      <c r="E247" s="1" t="s">
        <v>85</v>
      </c>
      <c r="F247" s="1" t="s">
        <v>99</v>
      </c>
      <c r="G247" s="1" t="s">
        <v>1062</v>
      </c>
      <c r="H247" s="1" t="s">
        <v>1063</v>
      </c>
      <c r="I247" s="1" t="s">
        <v>1064</v>
      </c>
      <c r="J247" s="1" t="s">
        <v>1247</v>
      </c>
      <c r="K247" s="1" t="s">
        <v>165</v>
      </c>
      <c r="L247" s="1" t="s">
        <v>156</v>
      </c>
      <c r="M247" s="1" t="s">
        <v>157</v>
      </c>
      <c r="N247" s="1" t="s">
        <v>87</v>
      </c>
      <c r="O247" s="1" t="s">
        <v>1798</v>
      </c>
      <c r="P247" s="1">
        <v>1615</v>
      </c>
      <c r="Q247" s="1">
        <v>1868</v>
      </c>
      <c r="U247" s="1" t="s">
        <v>88</v>
      </c>
      <c r="W247" s="1" t="s">
        <v>89</v>
      </c>
      <c r="X247" s="1" t="s">
        <v>1801</v>
      </c>
      <c r="Z247" s="1" t="s">
        <v>89</v>
      </c>
      <c r="AA247" s="1" t="s">
        <v>90</v>
      </c>
      <c r="AB247" s="1">
        <v>1760</v>
      </c>
      <c r="AC247" s="1">
        <v>1849</v>
      </c>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t="s">
        <v>158</v>
      </c>
      <c r="BG247" s="1">
        <v>1820</v>
      </c>
      <c r="BH247" s="1">
        <v>1842</v>
      </c>
      <c r="BI247" s="1">
        <v>1</v>
      </c>
      <c r="BJ247" s="1"/>
      <c r="BK247" s="1" t="s">
        <v>108</v>
      </c>
      <c r="BL247" s="1" t="s">
        <v>1746</v>
      </c>
      <c r="BM247" s="1"/>
      <c r="BN247" s="1" t="s">
        <v>1119</v>
      </c>
      <c r="BO247" s="1">
        <v>10</v>
      </c>
      <c r="BP247" s="12">
        <v>14.75</v>
      </c>
      <c r="BQ247" s="12"/>
      <c r="BR247" s="1">
        <v>25.4</v>
      </c>
      <c r="BS247" s="1">
        <v>37.5</v>
      </c>
      <c r="BT247" s="1"/>
      <c r="BU247" s="1"/>
      <c r="BV247" s="1" t="s">
        <v>345</v>
      </c>
      <c r="BW247" s="1" t="s">
        <v>346</v>
      </c>
      <c r="BX247" s="1"/>
      <c r="BY247" s="1">
        <v>1939</v>
      </c>
      <c r="BZ247" s="1" t="s">
        <v>347</v>
      </c>
      <c r="CA247" s="1" t="s">
        <v>348</v>
      </c>
      <c r="CB247" s="1"/>
      <c r="CN247" s="1" t="s">
        <v>96</v>
      </c>
      <c r="CP247" s="8" t="str">
        <f>HYPERLINK("http://www.metmuseum.org/art/collection/search/56212","http://www.metmuseum.org/art/collection/search/56212")</f>
        <v>http://www.metmuseum.org/art/collection/search/56212</v>
      </c>
      <c r="CQ247" s="4">
        <v>42842.333402777775</v>
      </c>
      <c r="CR247" s="1" t="s">
        <v>97</v>
      </c>
    </row>
    <row r="248" spans="1:96" ht="52.5" customHeight="1" x14ac:dyDescent="0.2">
      <c r="A248" s="1" t="s">
        <v>1248</v>
      </c>
      <c r="B248" s="1" t="b">
        <v>0</v>
      </c>
      <c r="C248" s="1" t="b">
        <v>1</v>
      </c>
      <c r="D248" s="1">
        <v>56213</v>
      </c>
      <c r="E248" s="1" t="s">
        <v>85</v>
      </c>
      <c r="F248" s="1" t="s">
        <v>99</v>
      </c>
      <c r="G248" s="1" t="s">
        <v>311</v>
      </c>
      <c r="H248" s="1" t="s">
        <v>312</v>
      </c>
      <c r="I248" s="1" t="s">
        <v>313</v>
      </c>
      <c r="J248" s="1" t="s">
        <v>314</v>
      </c>
      <c r="K248" s="1" t="s">
        <v>165</v>
      </c>
      <c r="L248" s="1" t="s">
        <v>156</v>
      </c>
      <c r="M248" s="1" t="s">
        <v>157</v>
      </c>
      <c r="N248" s="1" t="s">
        <v>87</v>
      </c>
      <c r="O248" s="1" t="s">
        <v>1798</v>
      </c>
      <c r="P248" s="1">
        <v>1615</v>
      </c>
      <c r="Q248" s="1">
        <v>1868</v>
      </c>
      <c r="U248" s="1" t="s">
        <v>88</v>
      </c>
      <c r="W248" s="1" t="s">
        <v>89</v>
      </c>
      <c r="X248" s="1" t="s">
        <v>1801</v>
      </c>
      <c r="Z248" s="1" t="s">
        <v>89</v>
      </c>
      <c r="AA248" s="1" t="s">
        <v>90</v>
      </c>
      <c r="AB248" s="1">
        <v>1760</v>
      </c>
      <c r="AC248" s="1">
        <v>1849</v>
      </c>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t="s">
        <v>158</v>
      </c>
      <c r="BG248" s="1">
        <v>1820</v>
      </c>
      <c r="BH248" s="1">
        <v>1842</v>
      </c>
      <c r="BI248" s="1">
        <v>1</v>
      </c>
      <c r="BJ248" s="1"/>
      <c r="BK248" s="6" t="s">
        <v>1760</v>
      </c>
      <c r="BL248" s="1" t="s">
        <v>1746</v>
      </c>
      <c r="BM248" s="1"/>
      <c r="BN248" s="1" t="s">
        <v>344</v>
      </c>
      <c r="BO248" s="12">
        <v>9.625</v>
      </c>
      <c r="BP248" s="12">
        <v>14.75</v>
      </c>
      <c r="BQ248" s="12"/>
      <c r="BR248" s="1">
        <v>24.4</v>
      </c>
      <c r="BS248" s="1">
        <v>37.5</v>
      </c>
      <c r="BT248" s="1"/>
      <c r="BU248" s="1"/>
      <c r="BV248" s="1" t="s">
        <v>345</v>
      </c>
      <c r="BW248" s="1" t="s">
        <v>346</v>
      </c>
      <c r="BX248" s="1"/>
      <c r="BY248" s="1">
        <v>1939</v>
      </c>
      <c r="BZ248" s="1" t="s">
        <v>347</v>
      </c>
      <c r="CA248" s="1" t="s">
        <v>348</v>
      </c>
      <c r="CB248" s="1"/>
      <c r="CN248" s="1" t="s">
        <v>96</v>
      </c>
      <c r="CP248" s="8" t="str">
        <f>HYPERLINK("http://www.metmuseum.org/art/collection/search/56213","http://www.metmuseum.org/art/collection/search/56213")</f>
        <v>http://www.metmuseum.org/art/collection/search/56213</v>
      </c>
      <c r="CQ248" s="4">
        <v>42842.333402777775</v>
      </c>
      <c r="CR248" s="1" t="s">
        <v>97</v>
      </c>
    </row>
    <row r="249" spans="1:96" ht="52.5" customHeight="1" x14ac:dyDescent="0.2">
      <c r="A249" s="1" t="s">
        <v>1249</v>
      </c>
      <c r="B249" s="1" t="b">
        <v>0</v>
      </c>
      <c r="C249" s="1" t="b">
        <v>1</v>
      </c>
      <c r="D249" s="1">
        <v>56214</v>
      </c>
      <c r="E249" s="1" t="s">
        <v>85</v>
      </c>
      <c r="F249" s="1" t="s">
        <v>99</v>
      </c>
      <c r="G249" s="1" t="s">
        <v>214</v>
      </c>
      <c r="H249" s="1" t="s">
        <v>215</v>
      </c>
      <c r="I249" s="1" t="s">
        <v>216</v>
      </c>
      <c r="J249" s="1" t="s">
        <v>1250</v>
      </c>
      <c r="K249" s="1" t="s">
        <v>165</v>
      </c>
      <c r="L249" s="1" t="s">
        <v>156</v>
      </c>
      <c r="M249" s="1" t="s">
        <v>157</v>
      </c>
      <c r="N249" s="1" t="s">
        <v>87</v>
      </c>
      <c r="O249" s="1" t="s">
        <v>1798</v>
      </c>
      <c r="P249" s="1">
        <v>1615</v>
      </c>
      <c r="Q249" s="1">
        <v>1868</v>
      </c>
      <c r="U249" s="1" t="s">
        <v>88</v>
      </c>
      <c r="W249" s="1" t="s">
        <v>89</v>
      </c>
      <c r="X249" s="1" t="s">
        <v>1801</v>
      </c>
      <c r="Z249" s="1" t="s">
        <v>89</v>
      </c>
      <c r="AA249" s="1" t="s">
        <v>90</v>
      </c>
      <c r="AB249" s="1">
        <v>1760</v>
      </c>
      <c r="AC249" s="1">
        <v>1849</v>
      </c>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t="s">
        <v>158</v>
      </c>
      <c r="BG249" s="1">
        <v>1830</v>
      </c>
      <c r="BH249" s="1">
        <v>1832</v>
      </c>
      <c r="BI249" s="1">
        <v>1</v>
      </c>
      <c r="BJ249" s="1"/>
      <c r="BK249" s="6" t="s">
        <v>1760</v>
      </c>
      <c r="BL249" s="1" t="s">
        <v>1746</v>
      </c>
      <c r="BM249" s="1"/>
      <c r="BN249" s="1" t="s">
        <v>1251</v>
      </c>
      <c r="BO249" s="11">
        <v>10.0625</v>
      </c>
      <c r="BP249" s="12">
        <v>14.875</v>
      </c>
      <c r="BQ249" s="12"/>
      <c r="BR249" s="1">
        <v>25.6</v>
      </c>
      <c r="BS249" s="1">
        <v>37.799999999999997</v>
      </c>
      <c r="BT249" s="1"/>
      <c r="BU249" s="1"/>
      <c r="BV249" s="1" t="s">
        <v>345</v>
      </c>
      <c r="BW249" s="1" t="s">
        <v>346</v>
      </c>
      <c r="BX249" s="1"/>
      <c r="BY249" s="1">
        <v>1939</v>
      </c>
      <c r="BZ249" s="1" t="s">
        <v>347</v>
      </c>
      <c r="CA249" s="1" t="s">
        <v>348</v>
      </c>
      <c r="CB249" s="1"/>
      <c r="CN249" s="1" t="s">
        <v>96</v>
      </c>
      <c r="CP249" s="8" t="str">
        <f>HYPERLINK("http://www.metmuseum.org/art/collection/search/56214","http://www.metmuseum.org/art/collection/search/56214")</f>
        <v>http://www.metmuseum.org/art/collection/search/56214</v>
      </c>
      <c r="CQ249" s="4">
        <v>42842.333402777775</v>
      </c>
      <c r="CR249" s="1" t="s">
        <v>97</v>
      </c>
    </row>
    <row r="250" spans="1:96" ht="52.5" customHeight="1" x14ac:dyDescent="0.2">
      <c r="A250" s="1" t="s">
        <v>1252</v>
      </c>
      <c r="B250" s="1" t="b">
        <v>0</v>
      </c>
      <c r="C250" s="1" t="b">
        <v>1</v>
      </c>
      <c r="D250" s="1">
        <v>56215</v>
      </c>
      <c r="E250" s="1" t="s">
        <v>85</v>
      </c>
      <c r="F250" s="1" t="s">
        <v>99</v>
      </c>
      <c r="G250" s="1" t="s">
        <v>1253</v>
      </c>
      <c r="H250" s="1" t="s">
        <v>1004</v>
      </c>
      <c r="I250" s="1" t="s">
        <v>1005</v>
      </c>
      <c r="J250" s="1" t="s">
        <v>1006</v>
      </c>
      <c r="K250" s="1" t="s">
        <v>165</v>
      </c>
      <c r="L250" s="1" t="s">
        <v>156</v>
      </c>
      <c r="M250" s="1" t="s">
        <v>157</v>
      </c>
      <c r="N250" s="1" t="s">
        <v>87</v>
      </c>
      <c r="O250" s="1" t="s">
        <v>1798</v>
      </c>
      <c r="P250" s="1">
        <v>1615</v>
      </c>
      <c r="Q250" s="6">
        <v>1868</v>
      </c>
      <c r="U250" s="1" t="s">
        <v>88</v>
      </c>
      <c r="W250" s="1" t="s">
        <v>89</v>
      </c>
      <c r="X250" s="1" t="s">
        <v>1801</v>
      </c>
      <c r="Z250" s="1" t="s">
        <v>89</v>
      </c>
      <c r="AA250" s="1" t="s">
        <v>90</v>
      </c>
      <c r="AB250" s="1">
        <v>1760</v>
      </c>
      <c r="AC250" s="1">
        <v>1849</v>
      </c>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t="s">
        <v>158</v>
      </c>
      <c r="BG250" s="1">
        <v>1820</v>
      </c>
      <c r="BH250" s="1">
        <v>1842</v>
      </c>
      <c r="BI250" s="1">
        <v>1</v>
      </c>
      <c r="BJ250" s="1"/>
      <c r="BK250" s="6" t="s">
        <v>1760</v>
      </c>
      <c r="BL250" s="1" t="s">
        <v>1746</v>
      </c>
      <c r="BM250" s="1"/>
      <c r="BN250" s="1" t="s">
        <v>196</v>
      </c>
      <c r="BO250" s="12">
        <v>10.125</v>
      </c>
      <c r="BP250" s="1">
        <v>15</v>
      </c>
      <c r="BQ250" s="1"/>
      <c r="BR250" s="1">
        <v>25.7</v>
      </c>
      <c r="BS250" s="1">
        <v>38.1</v>
      </c>
      <c r="BT250" s="1"/>
      <c r="BU250" s="1"/>
      <c r="BV250" s="1" t="s">
        <v>345</v>
      </c>
      <c r="BW250" s="1" t="s">
        <v>346</v>
      </c>
      <c r="BX250" s="1"/>
      <c r="BY250" s="1">
        <v>1939</v>
      </c>
      <c r="BZ250" s="1" t="s">
        <v>347</v>
      </c>
      <c r="CA250" s="1" t="s">
        <v>348</v>
      </c>
      <c r="CB250" s="1"/>
      <c r="CN250" s="1" t="s">
        <v>96</v>
      </c>
      <c r="CP250" s="8" t="str">
        <f>HYPERLINK("http://www.metmuseum.org/art/collection/search/56215","http://www.metmuseum.org/art/collection/search/56215")</f>
        <v>http://www.metmuseum.org/art/collection/search/56215</v>
      </c>
      <c r="CQ250" s="4">
        <v>42842.333402777775</v>
      </c>
      <c r="CR250" s="1" t="s">
        <v>97</v>
      </c>
    </row>
    <row r="251" spans="1:96" ht="52.5" customHeight="1" x14ac:dyDescent="0.2">
      <c r="A251" s="1" t="s">
        <v>1254</v>
      </c>
      <c r="B251" s="1" t="b">
        <v>0</v>
      </c>
      <c r="C251" s="1" t="b">
        <v>1</v>
      </c>
      <c r="D251" s="1">
        <v>56216</v>
      </c>
      <c r="E251" s="1" t="s">
        <v>85</v>
      </c>
      <c r="F251" s="1" t="s">
        <v>99</v>
      </c>
      <c r="G251" s="1" t="s">
        <v>356</v>
      </c>
      <c r="H251" s="1" t="s">
        <v>357</v>
      </c>
      <c r="I251" s="1" t="s">
        <v>358</v>
      </c>
      <c r="J251" s="1" t="s">
        <v>1255</v>
      </c>
      <c r="K251" s="1" t="s">
        <v>165</v>
      </c>
      <c r="L251" s="1" t="s">
        <v>156</v>
      </c>
      <c r="M251" s="1" t="s">
        <v>157</v>
      </c>
      <c r="N251" s="1" t="s">
        <v>87</v>
      </c>
      <c r="O251" s="1" t="s">
        <v>1798</v>
      </c>
      <c r="P251" s="1">
        <v>1615</v>
      </c>
      <c r="Q251" s="1">
        <v>1868</v>
      </c>
      <c r="U251" s="1" t="s">
        <v>88</v>
      </c>
      <c r="W251" s="1" t="s">
        <v>89</v>
      </c>
      <c r="X251" s="1" t="s">
        <v>1801</v>
      </c>
      <c r="Z251" s="1" t="s">
        <v>89</v>
      </c>
      <c r="AA251" s="1" t="s">
        <v>90</v>
      </c>
      <c r="AB251" s="1">
        <v>1760</v>
      </c>
      <c r="AC251" s="1">
        <v>1849</v>
      </c>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t="s">
        <v>158</v>
      </c>
      <c r="BG251" s="1">
        <v>1820</v>
      </c>
      <c r="BH251" s="1">
        <v>1842</v>
      </c>
      <c r="BI251" s="1">
        <v>1</v>
      </c>
      <c r="BJ251" s="1"/>
      <c r="BK251" s="1" t="s">
        <v>1760</v>
      </c>
      <c r="BL251" s="1" t="s">
        <v>1746</v>
      </c>
      <c r="BM251" s="1"/>
      <c r="BN251" s="1" t="s">
        <v>950</v>
      </c>
      <c r="BO251" s="12">
        <v>9.75</v>
      </c>
      <c r="BP251" s="12">
        <v>14.375</v>
      </c>
      <c r="BQ251" s="12"/>
      <c r="BR251" s="1">
        <v>24.8</v>
      </c>
      <c r="BS251" s="1">
        <v>36.5</v>
      </c>
      <c r="BT251" s="1"/>
      <c r="BU251" s="1"/>
      <c r="BV251" s="1" t="s">
        <v>345</v>
      </c>
      <c r="BW251" s="1" t="s">
        <v>346</v>
      </c>
      <c r="BX251" s="1"/>
      <c r="BY251" s="1">
        <v>1939</v>
      </c>
      <c r="BZ251" s="1" t="s">
        <v>347</v>
      </c>
      <c r="CA251" s="1" t="s">
        <v>348</v>
      </c>
      <c r="CB251" s="1"/>
      <c r="CN251" s="1" t="s">
        <v>96</v>
      </c>
      <c r="CP251" s="8" t="str">
        <f>HYPERLINK("http://www.metmuseum.org/art/collection/search/56216","http://www.metmuseum.org/art/collection/search/56216")</f>
        <v>http://www.metmuseum.org/art/collection/search/56216</v>
      </c>
      <c r="CQ251" s="4">
        <v>42842.333402777775</v>
      </c>
      <c r="CR251" s="1" t="s">
        <v>97</v>
      </c>
    </row>
    <row r="252" spans="1:96" ht="52.5" customHeight="1" x14ac:dyDescent="0.2">
      <c r="A252" s="1" t="s">
        <v>1256</v>
      </c>
      <c r="B252" s="1" t="b">
        <v>0</v>
      </c>
      <c r="C252" s="1" t="b">
        <v>1</v>
      </c>
      <c r="D252" s="1">
        <v>56217</v>
      </c>
      <c r="E252" s="1" t="s">
        <v>85</v>
      </c>
      <c r="F252" s="1" t="s">
        <v>99</v>
      </c>
      <c r="G252" s="1" t="s">
        <v>180</v>
      </c>
      <c r="H252" s="1" t="s">
        <v>181</v>
      </c>
      <c r="I252" s="1" t="s">
        <v>182</v>
      </c>
      <c r="J252" s="1" t="s">
        <v>183</v>
      </c>
      <c r="K252" s="1" t="s">
        <v>165</v>
      </c>
      <c r="L252" s="1" t="s">
        <v>156</v>
      </c>
      <c r="M252" s="1" t="s">
        <v>157</v>
      </c>
      <c r="N252" s="1" t="s">
        <v>87</v>
      </c>
      <c r="O252" s="1" t="s">
        <v>1798</v>
      </c>
      <c r="P252" s="1">
        <v>1615</v>
      </c>
      <c r="Q252" s="1">
        <v>1868</v>
      </c>
      <c r="U252" s="1" t="s">
        <v>88</v>
      </c>
      <c r="W252" s="1" t="s">
        <v>89</v>
      </c>
      <c r="X252" s="1" t="s">
        <v>1801</v>
      </c>
      <c r="Z252" s="1" t="s">
        <v>89</v>
      </c>
      <c r="AA252" s="1" t="s">
        <v>90</v>
      </c>
      <c r="AB252" s="1">
        <v>1760</v>
      </c>
      <c r="AC252" s="1">
        <v>1849</v>
      </c>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t="s">
        <v>158</v>
      </c>
      <c r="BG252" s="1">
        <v>1820</v>
      </c>
      <c r="BH252" s="1">
        <v>1842</v>
      </c>
      <c r="BI252" s="1">
        <v>1</v>
      </c>
      <c r="BJ252" s="1"/>
      <c r="BK252" s="1" t="s">
        <v>1760</v>
      </c>
      <c r="BL252" s="1" t="s">
        <v>1746</v>
      </c>
      <c r="BM252" s="1"/>
      <c r="BN252" s="1" t="s">
        <v>1257</v>
      </c>
      <c r="BO252" s="1">
        <v>10</v>
      </c>
      <c r="BP252" s="12">
        <v>14.625</v>
      </c>
      <c r="BQ252" s="12"/>
      <c r="BR252" s="1">
        <v>25.4</v>
      </c>
      <c r="BS252" s="1">
        <v>37.5</v>
      </c>
      <c r="BT252" s="1"/>
      <c r="BU252" s="1"/>
      <c r="BV252" s="1" t="s">
        <v>345</v>
      </c>
      <c r="BW252" s="1" t="s">
        <v>346</v>
      </c>
      <c r="BX252" s="1"/>
      <c r="BY252" s="1">
        <v>1939</v>
      </c>
      <c r="BZ252" s="1" t="s">
        <v>347</v>
      </c>
      <c r="CA252" s="1" t="s">
        <v>348</v>
      </c>
      <c r="CB252" s="1"/>
      <c r="CN252" s="1" t="s">
        <v>96</v>
      </c>
      <c r="CP252" s="8" t="str">
        <f>HYPERLINK("http://www.metmuseum.org/art/collection/search/56217","http://www.metmuseum.org/art/collection/search/56217")</f>
        <v>http://www.metmuseum.org/art/collection/search/56217</v>
      </c>
      <c r="CQ252" s="4">
        <v>42842.333402777775</v>
      </c>
      <c r="CR252" s="1" t="s">
        <v>97</v>
      </c>
    </row>
    <row r="253" spans="1:96" ht="52.5" customHeight="1" x14ac:dyDescent="0.2">
      <c r="A253" s="1" t="s">
        <v>1258</v>
      </c>
      <c r="B253" s="1" t="b">
        <v>0</v>
      </c>
      <c r="C253" s="1" t="b">
        <v>1</v>
      </c>
      <c r="D253" s="1">
        <v>56229</v>
      </c>
      <c r="E253" s="1" t="s">
        <v>85</v>
      </c>
      <c r="F253" s="1" t="s">
        <v>86</v>
      </c>
      <c r="G253" s="1" t="s">
        <v>168</v>
      </c>
      <c r="H253" s="1" t="s">
        <v>169</v>
      </c>
      <c r="I253" s="1" t="s">
        <v>170</v>
      </c>
      <c r="J253" s="1" t="s">
        <v>1259</v>
      </c>
      <c r="K253" s="1" t="s">
        <v>165</v>
      </c>
      <c r="L253" s="1" t="s">
        <v>156</v>
      </c>
      <c r="M253" s="1" t="s">
        <v>157</v>
      </c>
      <c r="N253" s="1" t="s">
        <v>87</v>
      </c>
      <c r="O253" s="1" t="s">
        <v>1798</v>
      </c>
      <c r="P253" s="1">
        <v>1615</v>
      </c>
      <c r="Q253" s="1">
        <v>1868</v>
      </c>
      <c r="U253" s="1" t="s">
        <v>88</v>
      </c>
      <c r="W253" s="1" t="s">
        <v>89</v>
      </c>
      <c r="X253" s="1" t="s">
        <v>1801</v>
      </c>
      <c r="Z253" s="1" t="s">
        <v>89</v>
      </c>
      <c r="AA253" s="1" t="s">
        <v>90</v>
      </c>
      <c r="AB253" s="1">
        <v>1760</v>
      </c>
      <c r="AC253" s="1">
        <v>1849</v>
      </c>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t="s">
        <v>158</v>
      </c>
      <c r="BG253" s="1">
        <v>1830</v>
      </c>
      <c r="BH253" s="1">
        <v>1832</v>
      </c>
      <c r="BI253" s="1">
        <v>1</v>
      </c>
      <c r="BJ253" s="1"/>
      <c r="BK253" s="1" t="s">
        <v>1760</v>
      </c>
      <c r="BL253" s="1" t="s">
        <v>1746</v>
      </c>
      <c r="BM253" s="1"/>
      <c r="BN253" s="1" t="s">
        <v>1119</v>
      </c>
      <c r="BO253" s="1">
        <v>10</v>
      </c>
      <c r="BP253" s="12">
        <v>14.75</v>
      </c>
      <c r="BQ253" s="12"/>
      <c r="BR253" s="1">
        <v>25.4</v>
      </c>
      <c r="BS253" s="1">
        <v>37.5</v>
      </c>
      <c r="BT253" s="1"/>
      <c r="BU253" s="1"/>
      <c r="BV253" s="1" t="s">
        <v>345</v>
      </c>
      <c r="BW253" s="1" t="s">
        <v>346</v>
      </c>
      <c r="BX253" s="1"/>
      <c r="BY253" s="1">
        <v>1939</v>
      </c>
      <c r="BZ253" s="1" t="s">
        <v>347</v>
      </c>
      <c r="CA253" s="1" t="s">
        <v>348</v>
      </c>
      <c r="CB253" s="1"/>
      <c r="CN253" s="1" t="s">
        <v>96</v>
      </c>
      <c r="CP253" s="8" t="str">
        <f>HYPERLINK("http://www.metmuseum.org/art/collection/search/56229","http://www.metmuseum.org/art/collection/search/56229")</f>
        <v>http://www.metmuseum.org/art/collection/search/56229</v>
      </c>
      <c r="CQ253" s="4">
        <v>42842.333402777775</v>
      </c>
      <c r="CR253" s="1" t="s">
        <v>97</v>
      </c>
    </row>
    <row r="254" spans="1:96" ht="52.5" customHeight="1" x14ac:dyDescent="0.2">
      <c r="A254" s="1" t="s">
        <v>1260</v>
      </c>
      <c r="B254" s="1" t="b">
        <v>0</v>
      </c>
      <c r="C254" s="1" t="b">
        <v>1</v>
      </c>
      <c r="D254" s="1">
        <v>56235</v>
      </c>
      <c r="E254" s="1" t="s">
        <v>85</v>
      </c>
      <c r="F254" s="1" t="s">
        <v>99</v>
      </c>
      <c r="G254" s="1" t="s">
        <v>969</v>
      </c>
      <c r="H254" s="1" t="s">
        <v>970</v>
      </c>
      <c r="I254" s="1" t="s">
        <v>971</v>
      </c>
      <c r="J254" s="1" t="s">
        <v>972</v>
      </c>
      <c r="K254" s="1" t="s">
        <v>165</v>
      </c>
      <c r="L254" s="1" t="s">
        <v>156</v>
      </c>
      <c r="M254" s="1" t="s">
        <v>157</v>
      </c>
      <c r="N254" s="1" t="s">
        <v>87</v>
      </c>
      <c r="O254" s="1" t="s">
        <v>1798</v>
      </c>
      <c r="P254" s="1">
        <v>1615</v>
      </c>
      <c r="Q254" s="1">
        <v>1868</v>
      </c>
      <c r="U254" s="1" t="s">
        <v>88</v>
      </c>
      <c r="W254" s="1" t="s">
        <v>89</v>
      </c>
      <c r="X254" s="1" t="s">
        <v>1801</v>
      </c>
      <c r="Z254" s="1" t="s">
        <v>89</v>
      </c>
      <c r="AA254" s="1" t="s">
        <v>90</v>
      </c>
      <c r="AB254" s="1">
        <v>1760</v>
      </c>
      <c r="AC254" s="1">
        <v>1849</v>
      </c>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t="s">
        <v>158</v>
      </c>
      <c r="BG254" s="1">
        <v>1830</v>
      </c>
      <c r="BH254" s="1">
        <v>1832</v>
      </c>
      <c r="BI254" s="1">
        <v>1</v>
      </c>
      <c r="BJ254" s="1"/>
      <c r="BK254" s="1" t="s">
        <v>1760</v>
      </c>
      <c r="BL254" s="1" t="s">
        <v>1746</v>
      </c>
      <c r="BM254" s="1"/>
      <c r="BN254" s="1" t="s">
        <v>1261</v>
      </c>
      <c r="BO254" s="12">
        <v>9.5</v>
      </c>
      <c r="BP254" s="12">
        <v>14.625</v>
      </c>
      <c r="BQ254" s="12"/>
      <c r="BR254" s="1">
        <v>24.1</v>
      </c>
      <c r="BS254" s="1">
        <v>37.1</v>
      </c>
      <c r="BT254" s="1"/>
      <c r="BU254" s="1"/>
      <c r="BV254" s="1" t="s">
        <v>345</v>
      </c>
      <c r="BW254" s="1" t="s">
        <v>346</v>
      </c>
      <c r="BX254" s="1"/>
      <c r="BY254" s="1">
        <v>1939</v>
      </c>
      <c r="BZ254" s="1" t="s">
        <v>347</v>
      </c>
      <c r="CA254" s="1" t="s">
        <v>348</v>
      </c>
      <c r="CB254" s="1"/>
      <c r="CN254" s="1" t="s">
        <v>96</v>
      </c>
      <c r="CP254" s="8" t="str">
        <f>HYPERLINK("http://www.metmuseum.org/art/collection/search/56235","http://www.metmuseum.org/art/collection/search/56235")</f>
        <v>http://www.metmuseum.org/art/collection/search/56235</v>
      </c>
      <c r="CQ254" s="4">
        <v>42842.333402777775</v>
      </c>
      <c r="CR254" s="1" t="s">
        <v>97</v>
      </c>
    </row>
    <row r="255" spans="1:96" ht="52.5" customHeight="1" x14ac:dyDescent="0.2">
      <c r="A255" s="1" t="s">
        <v>1262</v>
      </c>
      <c r="B255" s="1" t="b">
        <v>0</v>
      </c>
      <c r="C255" s="1" t="b">
        <v>1</v>
      </c>
      <c r="D255" s="1">
        <v>56238</v>
      </c>
      <c r="E255" s="1" t="s">
        <v>85</v>
      </c>
      <c r="F255" s="1" t="s">
        <v>99</v>
      </c>
      <c r="G255" s="1" t="s">
        <v>225</v>
      </c>
      <c r="H255" s="1" t="s">
        <v>226</v>
      </c>
      <c r="I255" s="1" t="s">
        <v>227</v>
      </c>
      <c r="J255" s="1" t="s">
        <v>228</v>
      </c>
      <c r="K255" s="1" t="s">
        <v>165</v>
      </c>
      <c r="L255" s="1" t="s">
        <v>156</v>
      </c>
      <c r="M255" s="1" t="s">
        <v>157</v>
      </c>
      <c r="N255" s="1" t="s">
        <v>87</v>
      </c>
      <c r="O255" s="1" t="s">
        <v>1798</v>
      </c>
      <c r="P255" s="1">
        <v>1615</v>
      </c>
      <c r="Q255" s="1">
        <v>1868</v>
      </c>
      <c r="U255" s="1" t="s">
        <v>88</v>
      </c>
      <c r="W255" s="1" t="s">
        <v>89</v>
      </c>
      <c r="X255" s="1" t="s">
        <v>1801</v>
      </c>
      <c r="Z255" s="1" t="s">
        <v>89</v>
      </c>
      <c r="AA255" s="1" t="s">
        <v>90</v>
      </c>
      <c r="AB255" s="1">
        <v>1760</v>
      </c>
      <c r="AC255" s="1">
        <v>1849</v>
      </c>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t="s">
        <v>158</v>
      </c>
      <c r="BG255" s="1">
        <v>1820</v>
      </c>
      <c r="BH255" s="1">
        <v>1842</v>
      </c>
      <c r="BI255" s="1">
        <v>1</v>
      </c>
      <c r="BJ255" s="1"/>
      <c r="BK255" s="1" t="s">
        <v>1760</v>
      </c>
      <c r="BL255" s="1" t="s">
        <v>1746</v>
      </c>
      <c r="BM255" s="1"/>
      <c r="BN255" s="1" t="s">
        <v>1263</v>
      </c>
      <c r="BO255" s="12">
        <v>9.5</v>
      </c>
      <c r="BP255" s="12">
        <v>14.875</v>
      </c>
      <c r="BQ255" s="12"/>
      <c r="BR255" s="1">
        <v>24.1</v>
      </c>
      <c r="BS255" s="1">
        <v>37.799999999999997</v>
      </c>
      <c r="BT255" s="1"/>
      <c r="BU255" s="1"/>
      <c r="BV255" s="1" t="s">
        <v>345</v>
      </c>
      <c r="BW255" s="1" t="s">
        <v>346</v>
      </c>
      <c r="BX255" s="1"/>
      <c r="BY255" s="1">
        <v>1939</v>
      </c>
      <c r="BZ255" s="1" t="s">
        <v>347</v>
      </c>
      <c r="CA255" s="1" t="s">
        <v>348</v>
      </c>
      <c r="CB255" s="1"/>
      <c r="CN255" s="1" t="s">
        <v>96</v>
      </c>
      <c r="CP255" s="8" t="str">
        <f>HYPERLINK("http://www.metmuseum.org/art/collection/search/56238","http://www.metmuseum.org/art/collection/search/56238")</f>
        <v>http://www.metmuseum.org/art/collection/search/56238</v>
      </c>
      <c r="CQ255" s="4">
        <v>42842.333402777775</v>
      </c>
      <c r="CR255" s="1" t="s">
        <v>97</v>
      </c>
    </row>
    <row r="256" spans="1:96" ht="52.5" customHeight="1" x14ac:dyDescent="0.2">
      <c r="A256" s="1" t="s">
        <v>1264</v>
      </c>
      <c r="B256" s="1" t="b">
        <v>0</v>
      </c>
      <c r="C256" s="1" t="b">
        <v>1</v>
      </c>
      <c r="D256" s="1">
        <v>56239</v>
      </c>
      <c r="E256" s="1" t="s">
        <v>85</v>
      </c>
      <c r="F256" s="1" t="s">
        <v>99</v>
      </c>
      <c r="G256" s="1" t="s">
        <v>253</v>
      </c>
      <c r="H256" s="1" t="s">
        <v>254</v>
      </c>
      <c r="I256" s="1" t="s">
        <v>255</v>
      </c>
      <c r="J256" s="1" t="s">
        <v>256</v>
      </c>
      <c r="K256" s="1" t="s">
        <v>165</v>
      </c>
      <c r="L256" s="1" t="s">
        <v>156</v>
      </c>
      <c r="M256" s="1" t="s">
        <v>157</v>
      </c>
      <c r="N256" s="1" t="s">
        <v>87</v>
      </c>
      <c r="O256" s="1" t="s">
        <v>1798</v>
      </c>
      <c r="P256" s="1">
        <v>1615</v>
      </c>
      <c r="Q256" s="1">
        <v>1868</v>
      </c>
      <c r="U256" s="1" t="s">
        <v>88</v>
      </c>
      <c r="W256" s="1" t="s">
        <v>89</v>
      </c>
      <c r="X256" s="1" t="s">
        <v>1801</v>
      </c>
      <c r="Z256" s="1" t="s">
        <v>89</v>
      </c>
      <c r="AA256" s="1" t="s">
        <v>90</v>
      </c>
      <c r="AB256" s="1">
        <v>1760</v>
      </c>
      <c r="AC256" s="1">
        <v>1849</v>
      </c>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t="s">
        <v>158</v>
      </c>
      <c r="BG256" s="1">
        <v>1820</v>
      </c>
      <c r="BH256" s="1">
        <v>1842</v>
      </c>
      <c r="BI256" s="1">
        <v>1</v>
      </c>
      <c r="BJ256" s="1"/>
      <c r="BK256" s="1" t="s">
        <v>1760</v>
      </c>
      <c r="BL256" s="1" t="s">
        <v>1746</v>
      </c>
      <c r="BM256" s="1"/>
      <c r="BN256" s="1" t="s">
        <v>1265</v>
      </c>
      <c r="BO256" s="12">
        <v>10.25</v>
      </c>
      <c r="BP256" s="12">
        <v>14.875</v>
      </c>
      <c r="BQ256" s="12"/>
      <c r="BR256" s="1">
        <v>26</v>
      </c>
      <c r="BS256" s="1">
        <v>37.799999999999997</v>
      </c>
      <c r="BT256" s="1"/>
      <c r="BU256" s="1"/>
      <c r="BV256" s="1" t="s">
        <v>345</v>
      </c>
      <c r="BW256" s="1" t="s">
        <v>346</v>
      </c>
      <c r="BX256" s="1"/>
      <c r="BY256" s="1">
        <v>1939</v>
      </c>
      <c r="BZ256" s="1" t="s">
        <v>347</v>
      </c>
      <c r="CA256" s="1" t="s">
        <v>348</v>
      </c>
      <c r="CB256" s="1"/>
      <c r="CN256" s="1" t="s">
        <v>96</v>
      </c>
      <c r="CP256" s="8" t="str">
        <f>HYPERLINK("http://www.metmuseum.org/art/collection/search/56239","http://www.metmuseum.org/art/collection/search/56239")</f>
        <v>http://www.metmuseum.org/art/collection/search/56239</v>
      </c>
      <c r="CQ256" s="4">
        <v>42842.333402777775</v>
      </c>
      <c r="CR256" s="1" t="s">
        <v>97</v>
      </c>
    </row>
    <row r="257" spans="1:96" ht="52.5" customHeight="1" x14ac:dyDescent="0.2">
      <c r="A257" s="1" t="s">
        <v>1266</v>
      </c>
      <c r="B257" s="1" t="b">
        <v>0</v>
      </c>
      <c r="C257" s="1" t="b">
        <v>1</v>
      </c>
      <c r="D257" s="1">
        <v>56240</v>
      </c>
      <c r="E257" s="1" t="s">
        <v>85</v>
      </c>
      <c r="F257" s="1" t="s">
        <v>99</v>
      </c>
      <c r="G257" s="1" t="s">
        <v>367</v>
      </c>
      <c r="H257" s="1" t="s">
        <v>368</v>
      </c>
      <c r="I257" s="1" t="s">
        <v>369</v>
      </c>
      <c r="J257" s="1" t="s">
        <v>370</v>
      </c>
      <c r="K257" s="1" t="s">
        <v>165</v>
      </c>
      <c r="L257" s="1" t="s">
        <v>156</v>
      </c>
      <c r="M257" s="1" t="s">
        <v>157</v>
      </c>
      <c r="N257" s="1" t="s">
        <v>87</v>
      </c>
      <c r="O257" s="1" t="s">
        <v>1798</v>
      </c>
      <c r="P257" s="1">
        <v>1615</v>
      </c>
      <c r="Q257" s="1">
        <v>1868</v>
      </c>
      <c r="U257" s="1" t="s">
        <v>88</v>
      </c>
      <c r="W257" s="1" t="s">
        <v>89</v>
      </c>
      <c r="X257" s="1" t="s">
        <v>1801</v>
      </c>
      <c r="Z257" s="1" t="s">
        <v>89</v>
      </c>
      <c r="AA257" s="1" t="s">
        <v>90</v>
      </c>
      <c r="AB257" s="1">
        <v>1760</v>
      </c>
      <c r="AC257" s="1">
        <v>1849</v>
      </c>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t="s">
        <v>158</v>
      </c>
      <c r="BG257" s="1">
        <v>1820</v>
      </c>
      <c r="BH257" s="1">
        <v>1842</v>
      </c>
      <c r="BI257" s="1">
        <v>1</v>
      </c>
      <c r="BJ257" s="1"/>
      <c r="BK257" s="1" t="s">
        <v>1760</v>
      </c>
      <c r="BL257" s="1" t="s">
        <v>1746</v>
      </c>
      <c r="BM257" s="1"/>
      <c r="BN257" s="1" t="s">
        <v>377</v>
      </c>
      <c r="BO257" s="12">
        <v>10.25</v>
      </c>
      <c r="BP257" s="12">
        <v>15.125</v>
      </c>
      <c r="BQ257" s="12"/>
      <c r="BR257" s="1">
        <v>26</v>
      </c>
      <c r="BS257" s="1">
        <v>38.4</v>
      </c>
      <c r="BT257" s="1"/>
      <c r="BU257" s="1"/>
      <c r="BV257" s="1" t="s">
        <v>345</v>
      </c>
      <c r="BW257" s="1" t="s">
        <v>346</v>
      </c>
      <c r="BX257" s="1"/>
      <c r="BY257" s="1">
        <v>1939</v>
      </c>
      <c r="BZ257" s="1" t="s">
        <v>347</v>
      </c>
      <c r="CA257" s="1" t="s">
        <v>348</v>
      </c>
      <c r="CB257" s="1"/>
      <c r="CN257" s="1" t="s">
        <v>96</v>
      </c>
      <c r="CP257" s="8" t="str">
        <f>HYPERLINK("http://www.metmuseum.org/art/collection/search/56240","http://www.metmuseum.org/art/collection/search/56240")</f>
        <v>http://www.metmuseum.org/art/collection/search/56240</v>
      </c>
      <c r="CQ257" s="4">
        <v>42842.333402777775</v>
      </c>
      <c r="CR257" s="1" t="s">
        <v>97</v>
      </c>
    </row>
    <row r="258" spans="1:96" ht="52.5" customHeight="1" x14ac:dyDescent="0.2">
      <c r="A258" s="1" t="s">
        <v>1267</v>
      </c>
      <c r="B258" s="1" t="b">
        <v>0</v>
      </c>
      <c r="C258" s="1" t="b">
        <v>1</v>
      </c>
      <c r="D258" s="1">
        <v>56241</v>
      </c>
      <c r="E258" s="1" t="s">
        <v>85</v>
      </c>
      <c r="F258" s="1" t="s">
        <v>99</v>
      </c>
      <c r="G258" s="1" t="s">
        <v>243</v>
      </c>
      <c r="H258" s="1" t="s">
        <v>244</v>
      </c>
      <c r="I258" s="1" t="s">
        <v>245</v>
      </c>
      <c r="J258" s="1" t="s">
        <v>246</v>
      </c>
      <c r="K258" s="1" t="s">
        <v>165</v>
      </c>
      <c r="L258" s="1" t="s">
        <v>156</v>
      </c>
      <c r="M258" s="1" t="s">
        <v>157</v>
      </c>
      <c r="N258" s="1" t="s">
        <v>87</v>
      </c>
      <c r="O258" s="1" t="s">
        <v>1798</v>
      </c>
      <c r="P258" s="1">
        <v>1615</v>
      </c>
      <c r="Q258" s="1">
        <v>1868</v>
      </c>
      <c r="U258" s="1" t="s">
        <v>88</v>
      </c>
      <c r="W258" s="1" t="s">
        <v>89</v>
      </c>
      <c r="X258" s="1" t="s">
        <v>1801</v>
      </c>
      <c r="Z258" s="1" t="s">
        <v>89</v>
      </c>
      <c r="AA258" s="1" t="s">
        <v>90</v>
      </c>
      <c r="AB258" s="1">
        <v>1760</v>
      </c>
      <c r="AC258" s="1">
        <v>1849</v>
      </c>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t="s">
        <v>158</v>
      </c>
      <c r="BG258" s="1">
        <v>1820</v>
      </c>
      <c r="BH258" s="1">
        <v>1842</v>
      </c>
      <c r="BI258" s="1">
        <v>1</v>
      </c>
      <c r="BJ258" s="1"/>
      <c r="BK258" s="1" t="s">
        <v>1760</v>
      </c>
      <c r="BL258" s="1" t="s">
        <v>1746</v>
      </c>
      <c r="BM258" s="1"/>
      <c r="BN258" s="1" t="s">
        <v>691</v>
      </c>
      <c r="BO258" s="12">
        <v>10.375</v>
      </c>
      <c r="BP258" s="12">
        <v>15.25</v>
      </c>
      <c r="BQ258" s="12"/>
      <c r="BR258" s="1">
        <v>26.4</v>
      </c>
      <c r="BS258" s="1">
        <v>38.700000000000003</v>
      </c>
      <c r="BT258" s="1"/>
      <c r="BU258" s="1"/>
      <c r="BV258" s="1" t="s">
        <v>345</v>
      </c>
      <c r="BW258" s="1" t="s">
        <v>346</v>
      </c>
      <c r="BX258" s="1"/>
      <c r="BY258" s="1">
        <v>1939</v>
      </c>
      <c r="BZ258" s="1" t="s">
        <v>347</v>
      </c>
      <c r="CA258" s="1" t="s">
        <v>348</v>
      </c>
      <c r="CB258" s="1"/>
      <c r="CN258" s="1" t="s">
        <v>96</v>
      </c>
      <c r="CP258" s="8" t="str">
        <f>HYPERLINK("http://www.metmuseum.org/art/collection/search/56241","http://www.metmuseum.org/art/collection/search/56241")</f>
        <v>http://www.metmuseum.org/art/collection/search/56241</v>
      </c>
      <c r="CQ258" s="4">
        <v>42842.333402777775</v>
      </c>
      <c r="CR258" s="1" t="s">
        <v>97</v>
      </c>
    </row>
    <row r="259" spans="1:96" ht="52.5" customHeight="1" x14ac:dyDescent="0.2">
      <c r="A259" s="1" t="s">
        <v>1268</v>
      </c>
      <c r="B259" s="1" t="b">
        <v>0</v>
      </c>
      <c r="C259" s="1" t="b">
        <v>1</v>
      </c>
      <c r="D259" s="1">
        <v>56242</v>
      </c>
      <c r="E259" s="1" t="s">
        <v>85</v>
      </c>
      <c r="F259" s="1" t="s">
        <v>99</v>
      </c>
      <c r="G259" s="1" t="s">
        <v>323</v>
      </c>
      <c r="H259" s="1" t="s">
        <v>324</v>
      </c>
      <c r="I259" s="1" t="s">
        <v>325</v>
      </c>
      <c r="J259" s="1" t="s">
        <v>1151</v>
      </c>
      <c r="K259" s="1" t="s">
        <v>165</v>
      </c>
      <c r="L259" s="1" t="s">
        <v>156</v>
      </c>
      <c r="M259" s="1" t="s">
        <v>157</v>
      </c>
      <c r="N259" s="1" t="s">
        <v>87</v>
      </c>
      <c r="O259" s="1" t="s">
        <v>1798</v>
      </c>
      <c r="P259" s="1">
        <v>1615</v>
      </c>
      <c r="Q259" s="1">
        <v>1868</v>
      </c>
      <c r="U259" s="1" t="s">
        <v>88</v>
      </c>
      <c r="W259" s="1" t="s">
        <v>89</v>
      </c>
      <c r="X259" s="1" t="s">
        <v>1801</v>
      </c>
      <c r="Z259" s="1" t="s">
        <v>89</v>
      </c>
      <c r="AA259" s="1" t="s">
        <v>90</v>
      </c>
      <c r="AB259" s="1">
        <v>1760</v>
      </c>
      <c r="AC259" s="1">
        <v>1849</v>
      </c>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t="s">
        <v>158</v>
      </c>
      <c r="BG259" s="1">
        <v>1820</v>
      </c>
      <c r="BH259" s="1">
        <v>1842</v>
      </c>
      <c r="BI259" s="1">
        <v>1</v>
      </c>
      <c r="BJ259" s="1"/>
      <c r="BK259" s="1" t="s">
        <v>1760</v>
      </c>
      <c r="BL259" s="1" t="s">
        <v>1746</v>
      </c>
      <c r="BM259" s="1"/>
      <c r="BN259" s="1" t="s">
        <v>1130</v>
      </c>
      <c r="BO259" s="12">
        <v>10.25</v>
      </c>
      <c r="BP259" s="12">
        <v>15.25</v>
      </c>
      <c r="BQ259" s="12"/>
      <c r="BR259" s="1">
        <v>26</v>
      </c>
      <c r="BS259" s="1">
        <v>38.700000000000003</v>
      </c>
      <c r="BT259" s="1"/>
      <c r="BU259" s="1"/>
      <c r="BV259" s="1" t="s">
        <v>345</v>
      </c>
      <c r="BW259" s="1" t="s">
        <v>346</v>
      </c>
      <c r="BX259" s="1"/>
      <c r="BY259" s="1">
        <v>1939</v>
      </c>
      <c r="BZ259" s="1" t="s">
        <v>347</v>
      </c>
      <c r="CA259" s="1" t="s">
        <v>348</v>
      </c>
      <c r="CB259" s="1"/>
      <c r="CN259" s="1" t="s">
        <v>96</v>
      </c>
      <c r="CP259" s="8" t="str">
        <f>HYPERLINK("http://www.metmuseum.org/art/collection/search/56242","http://www.metmuseum.org/art/collection/search/56242")</f>
        <v>http://www.metmuseum.org/art/collection/search/56242</v>
      </c>
      <c r="CQ259" s="4">
        <v>42842.333402777775</v>
      </c>
      <c r="CR259" s="1" t="s">
        <v>97</v>
      </c>
    </row>
    <row r="260" spans="1:96" ht="52.5" customHeight="1" x14ac:dyDescent="0.2">
      <c r="A260" s="1" t="s">
        <v>1269</v>
      </c>
      <c r="B260" s="1" t="b">
        <v>0</v>
      </c>
      <c r="C260" s="1" t="b">
        <v>1</v>
      </c>
      <c r="D260" s="1">
        <v>56346</v>
      </c>
      <c r="E260" s="1" t="s">
        <v>85</v>
      </c>
      <c r="F260" s="1" t="s">
        <v>99</v>
      </c>
      <c r="G260" s="1" t="s">
        <v>1270</v>
      </c>
      <c r="H260" s="1" t="s">
        <v>209</v>
      </c>
      <c r="I260" s="1" t="s">
        <v>210</v>
      </c>
      <c r="J260" s="1" t="s">
        <v>211</v>
      </c>
      <c r="K260" s="1" t="s">
        <v>165</v>
      </c>
      <c r="L260" s="1" t="s">
        <v>156</v>
      </c>
      <c r="M260" s="1" t="s">
        <v>157</v>
      </c>
      <c r="N260" s="1" t="s">
        <v>87</v>
      </c>
      <c r="O260" s="1" t="s">
        <v>1798</v>
      </c>
      <c r="P260" s="1">
        <v>1615</v>
      </c>
      <c r="Q260" s="1">
        <v>1868</v>
      </c>
      <c r="U260" s="1" t="s">
        <v>88</v>
      </c>
      <c r="W260" s="1" t="s">
        <v>89</v>
      </c>
      <c r="X260" s="1" t="s">
        <v>1801</v>
      </c>
      <c r="Z260" s="1" t="s">
        <v>89</v>
      </c>
      <c r="AA260" s="1" t="s">
        <v>90</v>
      </c>
      <c r="AB260" s="1">
        <v>1760</v>
      </c>
      <c r="AC260" s="1">
        <v>1849</v>
      </c>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t="s">
        <v>158</v>
      </c>
      <c r="BG260" s="1">
        <v>1830</v>
      </c>
      <c r="BH260" s="1">
        <v>1830</v>
      </c>
      <c r="BI260" s="1">
        <v>1</v>
      </c>
      <c r="BJ260" s="1"/>
      <c r="BK260" s="1" t="s">
        <v>1760</v>
      </c>
      <c r="BL260" s="1" t="s">
        <v>1746</v>
      </c>
      <c r="BM260" s="1"/>
      <c r="BN260" s="1" t="s">
        <v>1271</v>
      </c>
      <c r="BO260" s="12">
        <v>9.625</v>
      </c>
      <c r="BP260" s="12">
        <v>14.875</v>
      </c>
      <c r="BQ260" s="12"/>
      <c r="BR260" s="1">
        <v>24.4</v>
      </c>
      <c r="BS260" s="1">
        <v>37.799999999999997</v>
      </c>
      <c r="BT260" s="1"/>
      <c r="BU260" s="1"/>
      <c r="BV260" s="1" t="s">
        <v>345</v>
      </c>
      <c r="BW260" s="1" t="s">
        <v>346</v>
      </c>
      <c r="BX260" s="1"/>
      <c r="BY260" s="1">
        <v>1939</v>
      </c>
      <c r="BZ260" s="1" t="s">
        <v>347</v>
      </c>
      <c r="CA260" s="1" t="s">
        <v>348</v>
      </c>
      <c r="CB260" s="1"/>
      <c r="CN260" s="1" t="s">
        <v>96</v>
      </c>
      <c r="CP260" s="8" t="str">
        <f>HYPERLINK("http://www.metmuseum.org/art/collection/search/56346","http://www.metmuseum.org/art/collection/search/56346")</f>
        <v>http://www.metmuseum.org/art/collection/search/56346</v>
      </c>
      <c r="CQ260" s="4">
        <v>42842.333402777775</v>
      </c>
      <c r="CR260" s="1" t="s">
        <v>97</v>
      </c>
    </row>
    <row r="261" spans="1:96" ht="52.5" customHeight="1" x14ac:dyDescent="0.2">
      <c r="A261" s="1" t="s">
        <v>1272</v>
      </c>
      <c r="B261" s="1" t="b">
        <v>0</v>
      </c>
      <c r="C261" s="1" t="b">
        <v>1</v>
      </c>
      <c r="D261" s="1">
        <v>56349</v>
      </c>
      <c r="E261" s="1" t="s">
        <v>85</v>
      </c>
      <c r="F261" s="1" t="s">
        <v>99</v>
      </c>
      <c r="G261" s="1" t="s">
        <v>996</v>
      </c>
      <c r="H261" s="1" t="s">
        <v>997</v>
      </c>
      <c r="I261" s="1" t="s">
        <v>998</v>
      </c>
      <c r="J261" s="1" t="s">
        <v>999</v>
      </c>
      <c r="K261" s="1" t="s">
        <v>165</v>
      </c>
      <c r="L261" s="1" t="s">
        <v>156</v>
      </c>
      <c r="M261" s="1" t="s">
        <v>157</v>
      </c>
      <c r="N261" s="1" t="s">
        <v>87</v>
      </c>
      <c r="O261" s="1" t="s">
        <v>1798</v>
      </c>
      <c r="P261" s="1">
        <v>1615</v>
      </c>
      <c r="Q261" s="1">
        <v>1868</v>
      </c>
      <c r="U261" s="1" t="s">
        <v>88</v>
      </c>
      <c r="W261" s="1" t="s">
        <v>89</v>
      </c>
      <c r="X261" s="1" t="s">
        <v>1801</v>
      </c>
      <c r="Z261" s="1" t="s">
        <v>89</v>
      </c>
      <c r="AA261" s="1" t="s">
        <v>90</v>
      </c>
      <c r="AB261" s="1">
        <v>1760</v>
      </c>
      <c r="AC261" s="1">
        <v>1849</v>
      </c>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t="s">
        <v>158</v>
      </c>
      <c r="BG261" s="1">
        <v>1820</v>
      </c>
      <c r="BH261" s="1">
        <v>1842</v>
      </c>
      <c r="BI261" s="1">
        <v>1</v>
      </c>
      <c r="BJ261" s="1"/>
      <c r="BK261" s="1" t="s">
        <v>1760</v>
      </c>
      <c r="BL261" s="1" t="s">
        <v>1746</v>
      </c>
      <c r="BM261" s="1"/>
      <c r="BN261" s="1" t="s">
        <v>594</v>
      </c>
      <c r="BO261" s="12">
        <v>9.875</v>
      </c>
      <c r="BP261" s="12">
        <v>14.625</v>
      </c>
      <c r="BQ261" s="12"/>
      <c r="BR261" s="1">
        <v>25.1</v>
      </c>
      <c r="BS261" s="1">
        <v>37.1</v>
      </c>
      <c r="BT261" s="1"/>
      <c r="BU261" s="1"/>
      <c r="BV261" s="1" t="s">
        <v>345</v>
      </c>
      <c r="BW261" s="1" t="s">
        <v>346</v>
      </c>
      <c r="BX261" s="1"/>
      <c r="BY261" s="1">
        <v>1939</v>
      </c>
      <c r="BZ261" s="1" t="s">
        <v>347</v>
      </c>
      <c r="CA261" s="1" t="s">
        <v>348</v>
      </c>
      <c r="CB261" s="1"/>
      <c r="CN261" s="1" t="s">
        <v>96</v>
      </c>
      <c r="CP261" s="8" t="str">
        <f>HYPERLINK("http://www.metmuseum.org/art/collection/search/56349","http://www.metmuseum.org/art/collection/search/56349")</f>
        <v>http://www.metmuseum.org/art/collection/search/56349</v>
      </c>
      <c r="CQ261" s="4">
        <v>42842.333402777775</v>
      </c>
      <c r="CR261" s="1" t="s">
        <v>97</v>
      </c>
    </row>
    <row r="262" spans="1:96" ht="52.5" customHeight="1" x14ac:dyDescent="0.2">
      <c r="A262" s="1" t="s">
        <v>1273</v>
      </c>
      <c r="B262" s="1" t="b">
        <v>0</v>
      </c>
      <c r="C262" s="1" t="b">
        <v>1</v>
      </c>
      <c r="D262" s="1">
        <v>56353</v>
      </c>
      <c r="E262" s="1" t="s">
        <v>85</v>
      </c>
      <c r="F262" s="1" t="s">
        <v>99</v>
      </c>
      <c r="G262" s="1" t="s">
        <v>161</v>
      </c>
      <c r="H262" s="1" t="s">
        <v>162</v>
      </c>
      <c r="I262" s="1" t="s">
        <v>163</v>
      </c>
      <c r="J262" s="1" t="s">
        <v>164</v>
      </c>
      <c r="K262" s="1" t="s">
        <v>165</v>
      </c>
      <c r="L262" s="1" t="s">
        <v>156</v>
      </c>
      <c r="M262" s="1" t="s">
        <v>157</v>
      </c>
      <c r="N262" s="1" t="s">
        <v>87</v>
      </c>
      <c r="O262" s="1" t="s">
        <v>1798</v>
      </c>
      <c r="P262" s="1">
        <v>1615</v>
      </c>
      <c r="Q262" s="1">
        <v>1868</v>
      </c>
      <c r="U262" s="1" t="s">
        <v>88</v>
      </c>
      <c r="W262" s="1" t="s">
        <v>89</v>
      </c>
      <c r="X262" s="1" t="s">
        <v>1801</v>
      </c>
      <c r="Z262" s="1" t="s">
        <v>89</v>
      </c>
      <c r="AA262" s="1" t="s">
        <v>90</v>
      </c>
      <c r="AB262" s="1">
        <v>1760</v>
      </c>
      <c r="AC262" s="1">
        <v>1849</v>
      </c>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t="s">
        <v>158</v>
      </c>
      <c r="BG262" s="1">
        <v>1820</v>
      </c>
      <c r="BH262" s="1">
        <v>1842</v>
      </c>
      <c r="BI262" s="1">
        <v>1</v>
      </c>
      <c r="BJ262" s="1"/>
      <c r="BK262" s="1" t="s">
        <v>1760</v>
      </c>
      <c r="BL262" s="1" t="s">
        <v>1746</v>
      </c>
      <c r="BM262" s="1"/>
      <c r="BN262" s="1" t="s">
        <v>460</v>
      </c>
      <c r="BO262" s="12">
        <v>9.875</v>
      </c>
      <c r="BP262" s="12">
        <v>14.875</v>
      </c>
      <c r="BQ262" s="12"/>
      <c r="BR262" s="1">
        <v>25.1</v>
      </c>
      <c r="BS262" s="1">
        <v>37.799999999999997</v>
      </c>
      <c r="BT262" s="1"/>
      <c r="BU262" s="1"/>
      <c r="BV262" s="1" t="s">
        <v>345</v>
      </c>
      <c r="BW262" s="1" t="s">
        <v>346</v>
      </c>
      <c r="BX262" s="1"/>
      <c r="BY262" s="1">
        <v>1939</v>
      </c>
      <c r="BZ262" s="1" t="s">
        <v>347</v>
      </c>
      <c r="CA262" s="1" t="s">
        <v>348</v>
      </c>
      <c r="CB262" s="1"/>
      <c r="CN262" s="1" t="s">
        <v>96</v>
      </c>
      <c r="CP262" s="8" t="str">
        <f>HYPERLINK("http://www.metmuseum.org/art/collection/search/56353","http://www.metmuseum.org/art/collection/search/56353")</f>
        <v>http://www.metmuseum.org/art/collection/search/56353</v>
      </c>
      <c r="CQ262" s="4">
        <v>42842.333402777775</v>
      </c>
      <c r="CR262" s="1" t="s">
        <v>97</v>
      </c>
    </row>
    <row r="263" spans="1:96" ht="52.5" customHeight="1" x14ac:dyDescent="0.2">
      <c r="A263" s="1" t="s">
        <v>1274</v>
      </c>
      <c r="B263" s="1" t="b">
        <v>0</v>
      </c>
      <c r="C263" s="1" t="b">
        <v>1</v>
      </c>
      <c r="D263" s="1">
        <v>56357</v>
      </c>
      <c r="E263" s="1" t="s">
        <v>85</v>
      </c>
      <c r="F263" s="1" t="s">
        <v>99</v>
      </c>
      <c r="G263" s="1" t="s">
        <v>1029</v>
      </c>
      <c r="H263" s="1" t="s">
        <v>1030</v>
      </c>
      <c r="I263" s="1" t="s">
        <v>1031</v>
      </c>
      <c r="J263" s="1" t="s">
        <v>1032</v>
      </c>
      <c r="K263" s="1" t="s">
        <v>165</v>
      </c>
      <c r="L263" s="1" t="s">
        <v>156</v>
      </c>
      <c r="M263" s="1" t="s">
        <v>157</v>
      </c>
      <c r="N263" s="1" t="s">
        <v>87</v>
      </c>
      <c r="O263" s="1" t="s">
        <v>1798</v>
      </c>
      <c r="P263" s="1">
        <v>1615</v>
      </c>
      <c r="Q263" s="1">
        <v>1868</v>
      </c>
      <c r="U263" s="1" t="s">
        <v>88</v>
      </c>
      <c r="W263" s="1" t="s">
        <v>89</v>
      </c>
      <c r="X263" s="1" t="s">
        <v>1801</v>
      </c>
      <c r="Z263" s="1" t="s">
        <v>89</v>
      </c>
      <c r="AA263" s="1" t="s">
        <v>90</v>
      </c>
      <c r="AB263" s="1">
        <v>1760</v>
      </c>
      <c r="AC263" s="1">
        <v>1849</v>
      </c>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t="s">
        <v>158</v>
      </c>
      <c r="BG263" s="1">
        <v>1820</v>
      </c>
      <c r="BH263" s="1">
        <v>1842</v>
      </c>
      <c r="BI263" s="1">
        <v>1</v>
      </c>
      <c r="BJ263" s="1"/>
      <c r="BK263" s="1" t="s">
        <v>1760</v>
      </c>
      <c r="BL263" s="1" t="s">
        <v>1746</v>
      </c>
      <c r="BM263" s="1"/>
      <c r="BN263" s="1" t="s">
        <v>1271</v>
      </c>
      <c r="BO263" s="12">
        <v>9.625</v>
      </c>
      <c r="BP263" s="12">
        <v>14.875</v>
      </c>
      <c r="BQ263" s="12"/>
      <c r="BR263" s="1">
        <v>24.4</v>
      </c>
      <c r="BS263" s="1">
        <v>37.799999999999997</v>
      </c>
      <c r="BT263" s="1"/>
      <c r="BU263" s="1"/>
      <c r="BV263" s="1" t="s">
        <v>345</v>
      </c>
      <c r="BW263" s="1" t="s">
        <v>346</v>
      </c>
      <c r="BX263" s="1"/>
      <c r="BY263" s="1">
        <v>1939</v>
      </c>
      <c r="BZ263" s="1" t="s">
        <v>347</v>
      </c>
      <c r="CA263" s="1" t="s">
        <v>348</v>
      </c>
      <c r="CB263" s="1"/>
      <c r="CN263" s="1" t="s">
        <v>96</v>
      </c>
      <c r="CP263" s="8" t="str">
        <f>HYPERLINK("http://www.metmuseum.org/art/collection/search/56357","http://www.metmuseum.org/art/collection/search/56357")</f>
        <v>http://www.metmuseum.org/art/collection/search/56357</v>
      </c>
      <c r="CQ263" s="4">
        <v>42842.333402777775</v>
      </c>
      <c r="CR263" s="1" t="s">
        <v>97</v>
      </c>
    </row>
    <row r="264" spans="1:96" ht="52.5" customHeight="1" x14ac:dyDescent="0.2">
      <c r="A264" s="1" t="s">
        <v>1275</v>
      </c>
      <c r="B264" s="1" t="b">
        <v>0</v>
      </c>
      <c r="C264" s="1" t="b">
        <v>1</v>
      </c>
      <c r="D264" s="1">
        <v>56360</v>
      </c>
      <c r="E264" s="1" t="s">
        <v>85</v>
      </c>
      <c r="F264" s="1" t="s">
        <v>99</v>
      </c>
      <c r="G264" s="1" t="s">
        <v>980</v>
      </c>
      <c r="H264" s="1" t="s">
        <v>981</v>
      </c>
      <c r="I264" s="1" t="s">
        <v>982</v>
      </c>
      <c r="J264" s="1" t="s">
        <v>983</v>
      </c>
      <c r="K264" s="1" t="s">
        <v>165</v>
      </c>
      <c r="L264" s="1" t="s">
        <v>156</v>
      </c>
      <c r="M264" s="1" t="s">
        <v>157</v>
      </c>
      <c r="N264" s="1" t="s">
        <v>87</v>
      </c>
      <c r="O264" s="1" t="s">
        <v>1798</v>
      </c>
      <c r="P264" s="1">
        <v>1615</v>
      </c>
      <c r="Q264" s="1">
        <v>1868</v>
      </c>
      <c r="U264" s="1" t="s">
        <v>88</v>
      </c>
      <c r="W264" s="1" t="s">
        <v>89</v>
      </c>
      <c r="X264" s="1" t="s">
        <v>1801</v>
      </c>
      <c r="Z264" s="1" t="s">
        <v>89</v>
      </c>
      <c r="AA264" s="1" t="s">
        <v>90</v>
      </c>
      <c r="AB264" s="1">
        <v>1760</v>
      </c>
      <c r="AC264" s="1">
        <v>1849</v>
      </c>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t="s">
        <v>158</v>
      </c>
      <c r="BG264" s="1">
        <v>1820</v>
      </c>
      <c r="BH264" s="1">
        <v>1842</v>
      </c>
      <c r="BI264" s="1">
        <v>1</v>
      </c>
      <c r="BJ264" s="1"/>
      <c r="BK264" s="1" t="s">
        <v>1760</v>
      </c>
      <c r="BL264" s="1" t="s">
        <v>1746</v>
      </c>
      <c r="BM264" s="1"/>
      <c r="BN264" s="1" t="s">
        <v>1276</v>
      </c>
      <c r="BO264" s="12">
        <v>10.375</v>
      </c>
      <c r="BP264" s="12">
        <v>15.125</v>
      </c>
      <c r="BQ264" s="12"/>
      <c r="BR264" s="1">
        <v>26.4</v>
      </c>
      <c r="BS264" s="1">
        <v>38.4</v>
      </c>
      <c r="BT264" s="1"/>
      <c r="BU264" s="1"/>
      <c r="BV264" s="1" t="s">
        <v>345</v>
      </c>
      <c r="BW264" s="1" t="s">
        <v>346</v>
      </c>
      <c r="BX264" s="1"/>
      <c r="BY264" s="1">
        <v>1939</v>
      </c>
      <c r="BZ264" s="1" t="s">
        <v>347</v>
      </c>
      <c r="CA264" s="1" t="s">
        <v>348</v>
      </c>
      <c r="CB264" s="1"/>
      <c r="CN264" s="1" t="s">
        <v>96</v>
      </c>
      <c r="CP264" s="8" t="str">
        <f>HYPERLINK("http://www.metmuseum.org/art/collection/search/56360","http://www.metmuseum.org/art/collection/search/56360")</f>
        <v>http://www.metmuseum.org/art/collection/search/56360</v>
      </c>
      <c r="CQ264" s="4">
        <v>42842.333402777775</v>
      </c>
      <c r="CR264" s="1" t="s">
        <v>97</v>
      </c>
    </row>
    <row r="265" spans="1:96" ht="52.5" customHeight="1" x14ac:dyDescent="0.2">
      <c r="A265" s="1" t="s">
        <v>1277</v>
      </c>
      <c r="B265" s="1" t="b">
        <v>0</v>
      </c>
      <c r="C265" s="1" t="b">
        <v>1</v>
      </c>
      <c r="D265" s="1">
        <v>56365</v>
      </c>
      <c r="E265" s="1" t="s">
        <v>85</v>
      </c>
      <c r="F265" s="1" t="s">
        <v>99</v>
      </c>
      <c r="G265" s="1" t="s">
        <v>1278</v>
      </c>
      <c r="H265" s="1" t="s">
        <v>958</v>
      </c>
      <c r="I265" s="1" t="s">
        <v>959</v>
      </c>
      <c r="J265" s="1" t="s">
        <v>960</v>
      </c>
      <c r="K265" s="1" t="s">
        <v>165</v>
      </c>
      <c r="L265" s="1" t="s">
        <v>156</v>
      </c>
      <c r="M265" s="1" t="s">
        <v>157</v>
      </c>
      <c r="N265" s="1" t="s">
        <v>87</v>
      </c>
      <c r="O265" s="1" t="s">
        <v>1798</v>
      </c>
      <c r="P265" s="1">
        <v>1615</v>
      </c>
      <c r="Q265" s="1">
        <v>1868</v>
      </c>
      <c r="U265" s="1" t="s">
        <v>88</v>
      </c>
      <c r="W265" s="1" t="s">
        <v>89</v>
      </c>
      <c r="X265" s="1" t="s">
        <v>1801</v>
      </c>
      <c r="Z265" s="1" t="s">
        <v>89</v>
      </c>
      <c r="AA265" s="1" t="s">
        <v>90</v>
      </c>
      <c r="AB265" s="1">
        <v>1760</v>
      </c>
      <c r="AC265" s="1">
        <v>1849</v>
      </c>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t="s">
        <v>158</v>
      </c>
      <c r="BG265" s="1">
        <v>1830</v>
      </c>
      <c r="BH265" s="1">
        <v>1832</v>
      </c>
      <c r="BI265" s="1">
        <v>1</v>
      </c>
      <c r="BJ265" s="1"/>
      <c r="BK265" s="1" t="s">
        <v>1760</v>
      </c>
      <c r="BL265" s="1" t="s">
        <v>1746</v>
      </c>
      <c r="BM265" s="1"/>
      <c r="BN265" s="1" t="s">
        <v>1130</v>
      </c>
      <c r="BO265" s="12">
        <v>10.25</v>
      </c>
      <c r="BP265" s="12">
        <v>15.25</v>
      </c>
      <c r="BQ265" s="12"/>
      <c r="BR265" s="1">
        <v>26</v>
      </c>
      <c r="BS265" s="1">
        <v>38.700000000000003</v>
      </c>
      <c r="BT265" s="1"/>
      <c r="BU265" s="1"/>
      <c r="BV265" s="1" t="s">
        <v>345</v>
      </c>
      <c r="BW265" s="1" t="s">
        <v>346</v>
      </c>
      <c r="BX265" s="1"/>
      <c r="BY265" s="1">
        <v>1939</v>
      </c>
      <c r="BZ265" s="1" t="s">
        <v>347</v>
      </c>
      <c r="CA265" s="1" t="s">
        <v>348</v>
      </c>
      <c r="CB265" s="1"/>
      <c r="CN265" s="1" t="s">
        <v>96</v>
      </c>
      <c r="CP265" s="8" t="str">
        <f>HYPERLINK("http://www.metmuseum.org/art/collection/search/56365","http://www.metmuseum.org/art/collection/search/56365")</f>
        <v>http://www.metmuseum.org/art/collection/search/56365</v>
      </c>
      <c r="CQ265" s="4">
        <v>42842.333402777775</v>
      </c>
      <c r="CR265" s="1" t="s">
        <v>97</v>
      </c>
    </row>
    <row r="266" spans="1:96" ht="52.5" customHeight="1" x14ac:dyDescent="0.2">
      <c r="A266" s="1" t="s">
        <v>1279</v>
      </c>
      <c r="B266" s="1" t="b">
        <v>0</v>
      </c>
      <c r="C266" s="1" t="b">
        <v>1</v>
      </c>
      <c r="D266" s="1">
        <v>56373</v>
      </c>
      <c r="E266" s="1" t="s">
        <v>85</v>
      </c>
      <c r="F266" s="1" t="s">
        <v>99</v>
      </c>
      <c r="G266" s="1" t="s">
        <v>946</v>
      </c>
      <c r="H266" s="1" t="s">
        <v>947</v>
      </c>
      <c r="I266" s="1" t="s">
        <v>948</v>
      </c>
      <c r="J266" s="1" t="s">
        <v>1280</v>
      </c>
      <c r="K266" s="1" t="s">
        <v>165</v>
      </c>
      <c r="L266" s="1" t="s">
        <v>156</v>
      </c>
      <c r="M266" s="1" t="s">
        <v>157</v>
      </c>
      <c r="N266" s="1" t="s">
        <v>87</v>
      </c>
      <c r="O266" s="1" t="s">
        <v>1798</v>
      </c>
      <c r="P266" s="1">
        <v>1615</v>
      </c>
      <c r="Q266" s="1">
        <v>1868</v>
      </c>
      <c r="U266" s="1" t="s">
        <v>88</v>
      </c>
      <c r="W266" s="1" t="s">
        <v>89</v>
      </c>
      <c r="X266" s="1" t="s">
        <v>1801</v>
      </c>
      <c r="Z266" s="1" t="s">
        <v>89</v>
      </c>
      <c r="AA266" s="1" t="s">
        <v>90</v>
      </c>
      <c r="AB266" s="1">
        <v>1760</v>
      </c>
      <c r="AC266" s="1">
        <v>1849</v>
      </c>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t="s">
        <v>158</v>
      </c>
      <c r="BG266" s="1">
        <v>1830</v>
      </c>
      <c r="BH266" s="1">
        <v>1832</v>
      </c>
      <c r="BI266" s="1">
        <v>1</v>
      </c>
      <c r="BJ266" s="1"/>
      <c r="BK266" s="1" t="s">
        <v>1760</v>
      </c>
      <c r="BL266" s="1" t="s">
        <v>1746</v>
      </c>
      <c r="BM266" s="1"/>
      <c r="BN266" s="1" t="s">
        <v>1106</v>
      </c>
      <c r="BO266" s="12">
        <v>9.75</v>
      </c>
      <c r="BP266" s="12">
        <v>14.75</v>
      </c>
      <c r="BQ266" s="12"/>
      <c r="BR266" s="1">
        <v>24.8</v>
      </c>
      <c r="BS266" s="1">
        <v>37.5</v>
      </c>
      <c r="BT266" s="1"/>
      <c r="BU266" s="1"/>
      <c r="BV266" s="1" t="s">
        <v>345</v>
      </c>
      <c r="BW266" s="1" t="s">
        <v>346</v>
      </c>
      <c r="BX266" s="1"/>
      <c r="BY266" s="1">
        <v>1939</v>
      </c>
      <c r="BZ266" s="1" t="s">
        <v>347</v>
      </c>
      <c r="CA266" s="1" t="s">
        <v>348</v>
      </c>
      <c r="CB266" s="1"/>
      <c r="CN266" s="1" t="s">
        <v>96</v>
      </c>
      <c r="CP266" s="8" t="str">
        <f>HYPERLINK("http://www.metmuseum.org/art/collection/search/56373","http://www.metmuseum.org/art/collection/search/56373")</f>
        <v>http://www.metmuseum.org/art/collection/search/56373</v>
      </c>
      <c r="CQ266" s="4">
        <v>42842.333402777775</v>
      </c>
      <c r="CR266" s="1" t="s">
        <v>97</v>
      </c>
    </row>
    <row r="267" spans="1:96" ht="52.5" customHeight="1" x14ac:dyDescent="0.2">
      <c r="A267" s="1" t="s">
        <v>1281</v>
      </c>
      <c r="B267" s="1" t="b">
        <v>0</v>
      </c>
      <c r="C267" s="1" t="b">
        <v>1</v>
      </c>
      <c r="D267" s="1">
        <v>56376</v>
      </c>
      <c r="E267" s="1" t="s">
        <v>85</v>
      </c>
      <c r="F267" s="1" t="s">
        <v>99</v>
      </c>
      <c r="G267" s="1" t="s">
        <v>231</v>
      </c>
      <c r="H267" s="1" t="s">
        <v>232</v>
      </c>
      <c r="I267" s="1" t="s">
        <v>233</v>
      </c>
      <c r="J267" s="1" t="s">
        <v>234</v>
      </c>
      <c r="K267" s="1" t="s">
        <v>165</v>
      </c>
      <c r="L267" s="1" t="s">
        <v>156</v>
      </c>
      <c r="M267" s="1" t="s">
        <v>157</v>
      </c>
      <c r="N267" s="1" t="s">
        <v>87</v>
      </c>
      <c r="O267" s="1" t="s">
        <v>1798</v>
      </c>
      <c r="P267" s="1">
        <v>1615</v>
      </c>
      <c r="Q267" s="1">
        <v>1868</v>
      </c>
      <c r="U267" s="1" t="s">
        <v>88</v>
      </c>
      <c r="W267" s="1" t="s">
        <v>89</v>
      </c>
      <c r="X267" s="1" t="s">
        <v>1801</v>
      </c>
      <c r="Z267" s="1" t="s">
        <v>89</v>
      </c>
      <c r="AA267" s="1" t="s">
        <v>90</v>
      </c>
      <c r="AB267" s="1">
        <v>1760</v>
      </c>
      <c r="AC267" s="1">
        <v>1849</v>
      </c>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t="s">
        <v>158</v>
      </c>
      <c r="BG267" s="1">
        <v>1820</v>
      </c>
      <c r="BH267" s="1">
        <v>1842</v>
      </c>
      <c r="BI267" s="1">
        <v>1</v>
      </c>
      <c r="BJ267" s="1"/>
      <c r="BK267" s="1" t="s">
        <v>1760</v>
      </c>
      <c r="BL267" s="1" t="s">
        <v>1746</v>
      </c>
      <c r="BM267" s="1"/>
      <c r="BN267" s="1" t="s">
        <v>184</v>
      </c>
      <c r="BO267" s="12">
        <v>9.875</v>
      </c>
      <c r="BP267" s="12">
        <v>14.75</v>
      </c>
      <c r="BQ267" s="12"/>
      <c r="BR267" s="1">
        <v>25.1</v>
      </c>
      <c r="BS267" s="1">
        <v>37.5</v>
      </c>
      <c r="BT267" s="1"/>
      <c r="BU267" s="1"/>
      <c r="BV267" s="1" t="s">
        <v>345</v>
      </c>
      <c r="BW267" s="1" t="s">
        <v>346</v>
      </c>
      <c r="BX267" s="1"/>
      <c r="BY267" s="1">
        <v>1939</v>
      </c>
      <c r="BZ267" s="1" t="s">
        <v>347</v>
      </c>
      <c r="CA267" s="1" t="s">
        <v>348</v>
      </c>
      <c r="CB267" s="1"/>
      <c r="CN267" s="1" t="s">
        <v>96</v>
      </c>
      <c r="CP267" s="8" t="str">
        <f>HYPERLINK("http://www.metmuseum.org/art/collection/search/56376","http://www.metmuseum.org/art/collection/search/56376")</f>
        <v>http://www.metmuseum.org/art/collection/search/56376</v>
      </c>
      <c r="CQ267" s="4">
        <v>42842.333402777775</v>
      </c>
      <c r="CR267" s="1" t="s">
        <v>97</v>
      </c>
    </row>
    <row r="268" spans="1:96" ht="52.5" customHeight="1" x14ac:dyDescent="0.2">
      <c r="A268" s="1" t="s">
        <v>1282</v>
      </c>
      <c r="B268" s="1" t="b">
        <v>0</v>
      </c>
      <c r="C268" s="1" t="b">
        <v>1</v>
      </c>
      <c r="D268" s="1">
        <v>56384</v>
      </c>
      <c r="E268" s="1" t="s">
        <v>85</v>
      </c>
      <c r="F268" s="1" t="s">
        <v>99</v>
      </c>
      <c r="G268" s="1" t="s">
        <v>985</v>
      </c>
      <c r="H268" s="1" t="s">
        <v>986</v>
      </c>
      <c r="I268" s="1" t="s">
        <v>205</v>
      </c>
      <c r="J268" s="1" t="s">
        <v>988</v>
      </c>
      <c r="K268" s="1" t="s">
        <v>165</v>
      </c>
      <c r="L268" s="1" t="s">
        <v>156</v>
      </c>
      <c r="M268" s="1" t="s">
        <v>157</v>
      </c>
      <c r="N268" s="1" t="s">
        <v>87</v>
      </c>
      <c r="O268" s="1" t="s">
        <v>1798</v>
      </c>
      <c r="P268" s="1">
        <v>1615</v>
      </c>
      <c r="Q268" s="1">
        <v>1868</v>
      </c>
      <c r="U268" s="1" t="s">
        <v>88</v>
      </c>
      <c r="W268" s="1" t="s">
        <v>89</v>
      </c>
      <c r="X268" s="1" t="s">
        <v>1801</v>
      </c>
      <c r="Z268" s="1" t="s">
        <v>89</v>
      </c>
      <c r="AA268" s="1" t="s">
        <v>90</v>
      </c>
      <c r="AB268" s="1">
        <v>1760</v>
      </c>
      <c r="AC268" s="1">
        <v>1849</v>
      </c>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t="s">
        <v>158</v>
      </c>
      <c r="BG268" s="1">
        <v>1830</v>
      </c>
      <c r="BH268" s="1">
        <v>1832</v>
      </c>
      <c r="BI268" s="1">
        <v>1</v>
      </c>
      <c r="BJ268" s="1"/>
      <c r="BK268" s="1" t="s">
        <v>1760</v>
      </c>
      <c r="BL268" s="1" t="s">
        <v>1746</v>
      </c>
      <c r="BM268" s="1"/>
      <c r="BN268" s="1" t="s">
        <v>263</v>
      </c>
      <c r="BO268" s="1">
        <v>10</v>
      </c>
      <c r="BP268" s="1">
        <v>15</v>
      </c>
      <c r="BQ268" s="1"/>
      <c r="BR268" s="1">
        <v>25.4</v>
      </c>
      <c r="BS268" s="1">
        <v>38.1</v>
      </c>
      <c r="BT268" s="1"/>
      <c r="BU268" s="1"/>
      <c r="BV268" s="1" t="s">
        <v>345</v>
      </c>
      <c r="BW268" s="1" t="s">
        <v>346</v>
      </c>
      <c r="BX268" s="1"/>
      <c r="BY268" s="1">
        <v>1939</v>
      </c>
      <c r="BZ268" s="1" t="s">
        <v>347</v>
      </c>
      <c r="CA268" s="1" t="s">
        <v>348</v>
      </c>
      <c r="CB268" s="1"/>
      <c r="CN268" s="1" t="s">
        <v>96</v>
      </c>
      <c r="CP268" s="8" t="str">
        <f>HYPERLINK("http://www.metmuseum.org/art/collection/search/56384","http://www.metmuseum.org/art/collection/search/56384")</f>
        <v>http://www.metmuseum.org/art/collection/search/56384</v>
      </c>
      <c r="CQ268" s="4">
        <v>42842.333402777775</v>
      </c>
      <c r="CR268" s="1" t="s">
        <v>97</v>
      </c>
    </row>
    <row r="269" spans="1:96" ht="52.5" customHeight="1" x14ac:dyDescent="0.2">
      <c r="A269" s="1" t="s">
        <v>1283</v>
      </c>
      <c r="B269" s="1" t="b">
        <v>0</v>
      </c>
      <c r="C269" s="1" t="b">
        <v>1</v>
      </c>
      <c r="D269" s="1">
        <v>56385</v>
      </c>
      <c r="E269" s="1" t="s">
        <v>85</v>
      </c>
      <c r="F269" s="1" t="s">
        <v>99</v>
      </c>
      <c r="G269" s="1" t="s">
        <v>203</v>
      </c>
      <c r="H269" s="1" t="s">
        <v>204</v>
      </c>
      <c r="I269" s="1" t="s">
        <v>205</v>
      </c>
      <c r="J269" s="1" t="s">
        <v>183</v>
      </c>
      <c r="K269" s="1" t="s">
        <v>165</v>
      </c>
      <c r="L269" s="1" t="s">
        <v>156</v>
      </c>
      <c r="M269" s="5" t="s">
        <v>157</v>
      </c>
      <c r="N269" s="1" t="s">
        <v>87</v>
      </c>
      <c r="O269" s="1" t="s">
        <v>1798</v>
      </c>
      <c r="P269" s="1">
        <v>1615</v>
      </c>
      <c r="Q269" s="1">
        <v>1868</v>
      </c>
      <c r="U269" s="1" t="s">
        <v>88</v>
      </c>
      <c r="W269" s="1" t="s">
        <v>89</v>
      </c>
      <c r="X269" s="1" t="s">
        <v>1801</v>
      </c>
      <c r="Z269" s="1" t="s">
        <v>89</v>
      </c>
      <c r="AA269" s="1" t="s">
        <v>90</v>
      </c>
      <c r="AB269" s="1">
        <v>1760</v>
      </c>
      <c r="AC269" s="1">
        <v>1849</v>
      </c>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t="s">
        <v>158</v>
      </c>
      <c r="BG269" s="1">
        <v>1820</v>
      </c>
      <c r="BH269" s="1">
        <v>1842</v>
      </c>
      <c r="BI269" s="1">
        <v>1</v>
      </c>
      <c r="BJ269" s="1"/>
      <c r="BK269" s="1" t="s">
        <v>1760</v>
      </c>
      <c r="BL269" s="1" t="s">
        <v>1746</v>
      </c>
      <c r="BM269" s="1"/>
      <c r="BN269" s="1" t="s">
        <v>371</v>
      </c>
      <c r="BO269" s="12">
        <v>9.75</v>
      </c>
      <c r="BP269" s="12">
        <v>14.875</v>
      </c>
      <c r="BQ269" s="12"/>
      <c r="BR269" s="1">
        <v>24.8</v>
      </c>
      <c r="BS269" s="1">
        <v>37.799999999999997</v>
      </c>
      <c r="BT269" s="1"/>
      <c r="BU269" s="1"/>
      <c r="BV269" s="1" t="s">
        <v>345</v>
      </c>
      <c r="BW269" s="1" t="s">
        <v>346</v>
      </c>
      <c r="BX269" s="1"/>
      <c r="BY269" s="1">
        <v>1939</v>
      </c>
      <c r="BZ269" s="1" t="s">
        <v>347</v>
      </c>
      <c r="CA269" s="1" t="s">
        <v>348</v>
      </c>
      <c r="CB269" s="1"/>
      <c r="CN269" s="1" t="s">
        <v>96</v>
      </c>
      <c r="CP269" s="8" t="str">
        <f>HYPERLINK("http://www.metmuseum.org/art/collection/search/56385","http://www.metmuseum.org/art/collection/search/56385")</f>
        <v>http://www.metmuseum.org/art/collection/search/56385</v>
      </c>
      <c r="CQ269" s="4">
        <v>42842.333402777775</v>
      </c>
      <c r="CR269" s="1" t="s">
        <v>97</v>
      </c>
    </row>
    <row r="270" spans="1:96" ht="52.5" customHeight="1" x14ac:dyDescent="0.2">
      <c r="A270" s="1" t="s">
        <v>1284</v>
      </c>
      <c r="B270" s="1" t="b">
        <v>0</v>
      </c>
      <c r="C270" s="1" t="b">
        <v>1</v>
      </c>
      <c r="D270" s="1">
        <v>56386</v>
      </c>
      <c r="E270" s="1" t="s">
        <v>85</v>
      </c>
      <c r="F270" s="1" t="s">
        <v>99</v>
      </c>
      <c r="G270" s="1" t="s">
        <v>928</v>
      </c>
      <c r="H270" s="1" t="s">
        <v>929</v>
      </c>
      <c r="I270" s="1" t="s">
        <v>930</v>
      </c>
      <c r="J270" s="1" t="s">
        <v>931</v>
      </c>
      <c r="K270" s="1" t="s">
        <v>165</v>
      </c>
      <c r="L270" s="1" t="s">
        <v>156</v>
      </c>
      <c r="M270" s="1" t="s">
        <v>157</v>
      </c>
      <c r="N270" s="1" t="s">
        <v>87</v>
      </c>
      <c r="O270" s="1" t="s">
        <v>1798</v>
      </c>
      <c r="P270" s="1">
        <v>1615</v>
      </c>
      <c r="Q270" s="1">
        <v>1868</v>
      </c>
      <c r="U270" s="1" t="s">
        <v>88</v>
      </c>
      <c r="W270" s="1" t="s">
        <v>89</v>
      </c>
      <c r="X270" s="1" t="s">
        <v>1801</v>
      </c>
      <c r="Z270" s="1" t="s">
        <v>89</v>
      </c>
      <c r="AA270" s="1" t="s">
        <v>90</v>
      </c>
      <c r="AB270" s="1">
        <v>1760</v>
      </c>
      <c r="AC270" s="1">
        <v>1849</v>
      </c>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t="s">
        <v>158</v>
      </c>
      <c r="BG270" s="1">
        <v>1830</v>
      </c>
      <c r="BH270" s="1">
        <v>1832</v>
      </c>
      <c r="BI270" s="1">
        <v>1</v>
      </c>
      <c r="BJ270" s="1"/>
      <c r="BK270" s="1" t="s">
        <v>1760</v>
      </c>
      <c r="BL270" s="1" t="s">
        <v>1746</v>
      </c>
      <c r="BM270" s="1"/>
      <c r="BN270" s="1" t="s">
        <v>1285</v>
      </c>
      <c r="BO270" s="11">
        <v>10.0625</v>
      </c>
      <c r="BP270" s="1">
        <v>15</v>
      </c>
      <c r="BQ270" s="1"/>
      <c r="BR270" s="1">
        <v>25.6</v>
      </c>
      <c r="BS270" s="1">
        <v>38.1</v>
      </c>
      <c r="BT270" s="1"/>
      <c r="BU270" s="1"/>
      <c r="BV270" s="1" t="s">
        <v>345</v>
      </c>
      <c r="BW270" s="1" t="s">
        <v>346</v>
      </c>
      <c r="BX270" s="1"/>
      <c r="BY270" s="1">
        <v>1939</v>
      </c>
      <c r="BZ270" s="1" t="s">
        <v>347</v>
      </c>
      <c r="CA270" s="1" t="s">
        <v>348</v>
      </c>
      <c r="CB270" s="1"/>
      <c r="CN270" s="1" t="s">
        <v>96</v>
      </c>
      <c r="CP270" s="8" t="str">
        <f>HYPERLINK("http://www.metmuseum.org/art/collection/search/56386","http://www.metmuseum.org/art/collection/search/56386")</f>
        <v>http://www.metmuseum.org/art/collection/search/56386</v>
      </c>
      <c r="CQ270" s="4">
        <v>42842.333402777775</v>
      </c>
      <c r="CR270" s="1" t="s">
        <v>97</v>
      </c>
    </row>
    <row r="271" spans="1:96" ht="52.5" customHeight="1" x14ac:dyDescent="0.2">
      <c r="A271" s="1" t="s">
        <v>1286</v>
      </c>
      <c r="B271" s="1" t="b">
        <v>0</v>
      </c>
      <c r="C271" s="1" t="b">
        <v>1</v>
      </c>
      <c r="D271" s="1">
        <v>56387</v>
      </c>
      <c r="E271" s="1" t="s">
        <v>85</v>
      </c>
      <c r="F271" s="1" t="s">
        <v>99</v>
      </c>
      <c r="G271" s="1" t="s">
        <v>1009</v>
      </c>
      <c r="H271" s="1" t="s">
        <v>1010</v>
      </c>
      <c r="I271" s="1" t="s">
        <v>1011</v>
      </c>
      <c r="J271" s="1" t="s">
        <v>1287</v>
      </c>
      <c r="K271" s="1" t="s">
        <v>165</v>
      </c>
      <c r="L271" s="1" t="s">
        <v>156</v>
      </c>
      <c r="M271" s="1" t="s">
        <v>157</v>
      </c>
      <c r="N271" s="1" t="s">
        <v>87</v>
      </c>
      <c r="O271" s="1" t="s">
        <v>1798</v>
      </c>
      <c r="P271" s="1">
        <v>1615</v>
      </c>
      <c r="Q271" s="1">
        <v>1868</v>
      </c>
      <c r="U271" s="1" t="s">
        <v>88</v>
      </c>
      <c r="W271" s="1" t="s">
        <v>89</v>
      </c>
      <c r="X271" s="1" t="s">
        <v>1801</v>
      </c>
      <c r="Z271" s="1" t="s">
        <v>89</v>
      </c>
      <c r="AA271" s="1" t="s">
        <v>90</v>
      </c>
      <c r="AB271" s="1">
        <v>1760</v>
      </c>
      <c r="AC271" s="1">
        <v>1849</v>
      </c>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t="s">
        <v>158</v>
      </c>
      <c r="BG271" s="1">
        <v>1830</v>
      </c>
      <c r="BH271" s="1">
        <v>1832</v>
      </c>
      <c r="BI271" s="1">
        <v>1</v>
      </c>
      <c r="BJ271" s="1"/>
      <c r="BK271" s="1" t="s">
        <v>1760</v>
      </c>
      <c r="BL271" s="1" t="s">
        <v>1746</v>
      </c>
      <c r="BM271" s="1"/>
      <c r="BN271" s="1" t="s">
        <v>1288</v>
      </c>
      <c r="BO271" s="1">
        <v>10</v>
      </c>
      <c r="BP271" s="12">
        <v>14.375</v>
      </c>
      <c r="BQ271" s="12"/>
      <c r="BR271" s="1">
        <v>25.4</v>
      </c>
      <c r="BS271" s="1">
        <v>36.5</v>
      </c>
      <c r="BT271" s="1"/>
      <c r="BU271" s="1"/>
      <c r="BV271" s="1" t="s">
        <v>345</v>
      </c>
      <c r="BW271" s="1" t="s">
        <v>346</v>
      </c>
      <c r="BX271" s="1"/>
      <c r="BY271" s="1">
        <v>1939</v>
      </c>
      <c r="BZ271" s="1" t="s">
        <v>347</v>
      </c>
      <c r="CA271" s="1" t="s">
        <v>348</v>
      </c>
      <c r="CB271" s="1"/>
      <c r="CN271" s="1" t="s">
        <v>96</v>
      </c>
      <c r="CP271" s="8" t="str">
        <f>HYPERLINK("http://www.metmuseum.org/art/collection/search/56387","http://www.metmuseum.org/art/collection/search/56387")</f>
        <v>http://www.metmuseum.org/art/collection/search/56387</v>
      </c>
      <c r="CQ271" s="4">
        <v>42842.333402777775</v>
      </c>
      <c r="CR271" s="1" t="s">
        <v>97</v>
      </c>
    </row>
    <row r="272" spans="1:96" ht="52.5" customHeight="1" x14ac:dyDescent="0.2">
      <c r="A272" s="1" t="s">
        <v>1289</v>
      </c>
      <c r="B272" s="1" t="b">
        <v>0</v>
      </c>
      <c r="C272" s="1" t="b">
        <v>1</v>
      </c>
      <c r="D272" s="1">
        <v>56388</v>
      </c>
      <c r="E272" s="1" t="s">
        <v>85</v>
      </c>
      <c r="F272" s="1" t="s">
        <v>99</v>
      </c>
      <c r="G272" s="1" t="s">
        <v>259</v>
      </c>
      <c r="H272" s="1" t="s">
        <v>260</v>
      </c>
      <c r="I272" s="1" t="s">
        <v>261</v>
      </c>
      <c r="J272" s="1" t="s">
        <v>262</v>
      </c>
      <c r="K272" s="1" t="s">
        <v>165</v>
      </c>
      <c r="L272" s="1" t="s">
        <v>156</v>
      </c>
      <c r="M272" s="1" t="s">
        <v>157</v>
      </c>
      <c r="N272" s="1" t="s">
        <v>87</v>
      </c>
      <c r="O272" s="1" t="s">
        <v>1798</v>
      </c>
      <c r="P272" s="1">
        <v>1615</v>
      </c>
      <c r="Q272" s="1">
        <v>1868</v>
      </c>
      <c r="U272" s="1" t="s">
        <v>88</v>
      </c>
      <c r="W272" s="1" t="s">
        <v>89</v>
      </c>
      <c r="X272" s="1" t="s">
        <v>1801</v>
      </c>
      <c r="Z272" s="1" t="s">
        <v>89</v>
      </c>
      <c r="AA272" s="1" t="s">
        <v>90</v>
      </c>
      <c r="AB272" s="1">
        <v>1760</v>
      </c>
      <c r="AC272" s="1">
        <v>1849</v>
      </c>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t="s">
        <v>158</v>
      </c>
      <c r="BG272" s="1">
        <v>1820</v>
      </c>
      <c r="BH272" s="1">
        <v>1842</v>
      </c>
      <c r="BI272" s="1">
        <v>1</v>
      </c>
      <c r="BJ272" s="1"/>
      <c r="BK272" s="1" t="s">
        <v>1760</v>
      </c>
      <c r="BL272" s="1" t="s">
        <v>1746</v>
      </c>
      <c r="BM272" s="1"/>
      <c r="BN272" s="1" t="s">
        <v>344</v>
      </c>
      <c r="BO272" s="12">
        <v>9.625</v>
      </c>
      <c r="BP272" s="12">
        <v>14.75</v>
      </c>
      <c r="BQ272" s="12"/>
      <c r="BR272" s="1">
        <v>24.4</v>
      </c>
      <c r="BS272" s="1">
        <v>37.5</v>
      </c>
      <c r="BT272" s="1"/>
      <c r="BU272" s="1"/>
      <c r="BV272" s="1" t="s">
        <v>345</v>
      </c>
      <c r="BW272" s="1" t="s">
        <v>346</v>
      </c>
      <c r="BX272" s="1"/>
      <c r="BY272" s="1">
        <v>1939</v>
      </c>
      <c r="BZ272" s="1" t="s">
        <v>347</v>
      </c>
      <c r="CA272" s="1" t="s">
        <v>348</v>
      </c>
      <c r="CB272" s="1"/>
      <c r="CN272" s="1" t="s">
        <v>96</v>
      </c>
      <c r="CP272" s="8" t="str">
        <f>HYPERLINK("http://www.metmuseum.org/art/collection/search/56388","http://www.metmuseum.org/art/collection/search/56388")</f>
        <v>http://www.metmuseum.org/art/collection/search/56388</v>
      </c>
      <c r="CQ272" s="4">
        <v>42842.333402777775</v>
      </c>
      <c r="CR272" s="1" t="s">
        <v>97</v>
      </c>
    </row>
    <row r="273" spans="1:96" ht="52.5" customHeight="1" x14ac:dyDescent="0.2">
      <c r="A273" s="1" t="s">
        <v>1290</v>
      </c>
      <c r="B273" s="1" t="b">
        <v>0</v>
      </c>
      <c r="C273" s="1" t="b">
        <v>1</v>
      </c>
      <c r="D273" s="1">
        <v>56389</v>
      </c>
      <c r="E273" s="1" t="s">
        <v>85</v>
      </c>
      <c r="F273" s="1" t="s">
        <v>99</v>
      </c>
      <c r="G273" s="1" t="s">
        <v>934</v>
      </c>
      <c r="H273" s="1" t="s">
        <v>935</v>
      </c>
      <c r="I273" s="1" t="s">
        <v>936</v>
      </c>
      <c r="J273" s="1" t="s">
        <v>937</v>
      </c>
      <c r="K273" s="1" t="s">
        <v>165</v>
      </c>
      <c r="L273" s="1" t="s">
        <v>156</v>
      </c>
      <c r="M273" s="1" t="s">
        <v>157</v>
      </c>
      <c r="N273" s="1" t="s">
        <v>87</v>
      </c>
      <c r="O273" s="1" t="s">
        <v>1798</v>
      </c>
      <c r="P273" s="1">
        <v>1615</v>
      </c>
      <c r="Q273" s="1">
        <v>1868</v>
      </c>
      <c r="U273" s="1" t="s">
        <v>88</v>
      </c>
      <c r="W273" s="1" t="s">
        <v>89</v>
      </c>
      <c r="X273" s="1" t="s">
        <v>1801</v>
      </c>
      <c r="Z273" s="1" t="s">
        <v>89</v>
      </c>
      <c r="AA273" s="1" t="s">
        <v>90</v>
      </c>
      <c r="AB273" s="1">
        <v>1760</v>
      </c>
      <c r="AC273" s="1">
        <v>1849</v>
      </c>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t="s">
        <v>158</v>
      </c>
      <c r="BG273" s="1">
        <v>1820</v>
      </c>
      <c r="BH273" s="1">
        <v>1842</v>
      </c>
      <c r="BI273" s="1">
        <v>1</v>
      </c>
      <c r="BJ273" s="1"/>
      <c r="BK273" s="1" t="s">
        <v>1760</v>
      </c>
      <c r="BL273" s="1" t="s">
        <v>1746</v>
      </c>
      <c r="BM273" s="1"/>
      <c r="BN273" s="1" t="s">
        <v>1130</v>
      </c>
      <c r="BO273" s="12">
        <v>10.25</v>
      </c>
      <c r="BP273" s="12">
        <v>15.25</v>
      </c>
      <c r="BQ273" s="12"/>
      <c r="BR273" s="1">
        <v>26</v>
      </c>
      <c r="BS273" s="1">
        <v>38.700000000000003</v>
      </c>
      <c r="BT273" s="1"/>
      <c r="BU273" s="1"/>
      <c r="BV273" s="1" t="s">
        <v>345</v>
      </c>
      <c r="BW273" s="1" t="s">
        <v>346</v>
      </c>
      <c r="BX273" s="1"/>
      <c r="BY273" s="1">
        <v>1939</v>
      </c>
      <c r="BZ273" s="1" t="s">
        <v>347</v>
      </c>
      <c r="CA273" s="1" t="s">
        <v>348</v>
      </c>
      <c r="CB273" s="1"/>
      <c r="CN273" s="1" t="s">
        <v>96</v>
      </c>
      <c r="CP273" s="8" t="str">
        <f>HYPERLINK("http://www.metmuseum.org/art/collection/search/56389","http://www.metmuseum.org/art/collection/search/56389")</f>
        <v>http://www.metmuseum.org/art/collection/search/56389</v>
      </c>
      <c r="CQ273" s="4">
        <v>42842.333402777775</v>
      </c>
      <c r="CR273" s="1" t="s">
        <v>97</v>
      </c>
    </row>
    <row r="274" spans="1:96" ht="52.5" customHeight="1" x14ac:dyDescent="0.2">
      <c r="A274" s="1" t="s">
        <v>1291</v>
      </c>
      <c r="B274" s="1" t="b">
        <v>0</v>
      </c>
      <c r="C274" s="1" t="b">
        <v>1</v>
      </c>
      <c r="D274" s="1">
        <v>56390</v>
      </c>
      <c r="E274" s="1" t="s">
        <v>85</v>
      </c>
      <c r="F274" s="1" t="s">
        <v>99</v>
      </c>
      <c r="G274" s="1" t="s">
        <v>952</v>
      </c>
      <c r="H274" s="1" t="s">
        <v>953</v>
      </c>
      <c r="I274" s="1" t="s">
        <v>954</v>
      </c>
      <c r="J274" s="1" t="s">
        <v>1292</v>
      </c>
      <c r="K274" s="1" t="s">
        <v>165</v>
      </c>
      <c r="L274" s="1" t="s">
        <v>156</v>
      </c>
      <c r="M274" s="1" t="s">
        <v>157</v>
      </c>
      <c r="N274" s="1" t="s">
        <v>87</v>
      </c>
      <c r="O274" s="1" t="s">
        <v>1798</v>
      </c>
      <c r="P274" s="1">
        <v>1615</v>
      </c>
      <c r="Q274" s="1">
        <v>1868</v>
      </c>
      <c r="U274" s="1" t="s">
        <v>88</v>
      </c>
      <c r="W274" s="1" t="s">
        <v>89</v>
      </c>
      <c r="X274" s="1" t="s">
        <v>1801</v>
      </c>
      <c r="Z274" s="1" t="s">
        <v>89</v>
      </c>
      <c r="AA274" s="1" t="s">
        <v>90</v>
      </c>
      <c r="AB274" s="1">
        <v>1760</v>
      </c>
      <c r="AC274" s="1">
        <v>1849</v>
      </c>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t="s">
        <v>158</v>
      </c>
      <c r="BG274" s="1">
        <v>1820</v>
      </c>
      <c r="BH274" s="1">
        <v>1842</v>
      </c>
      <c r="BI274" s="1">
        <v>1</v>
      </c>
      <c r="BJ274" s="1"/>
      <c r="BK274" s="1" t="s">
        <v>1760</v>
      </c>
      <c r="BL274" s="1" t="s">
        <v>1746</v>
      </c>
      <c r="BM274" s="1"/>
      <c r="BN274" s="1" t="s">
        <v>1293</v>
      </c>
      <c r="BO274" s="12">
        <v>9.625</v>
      </c>
      <c r="BP274" s="1">
        <v>15</v>
      </c>
      <c r="BQ274" s="1"/>
      <c r="BR274" s="1">
        <v>24.4</v>
      </c>
      <c r="BS274" s="1">
        <v>38.1</v>
      </c>
      <c r="BT274" s="1"/>
      <c r="BU274" s="1"/>
      <c r="BV274" s="1" t="s">
        <v>345</v>
      </c>
      <c r="BW274" s="1" t="s">
        <v>346</v>
      </c>
      <c r="BX274" s="1"/>
      <c r="BY274" s="1">
        <v>1939</v>
      </c>
      <c r="BZ274" s="1" t="s">
        <v>347</v>
      </c>
      <c r="CA274" s="1" t="s">
        <v>348</v>
      </c>
      <c r="CB274" s="1"/>
      <c r="CN274" s="1" t="s">
        <v>96</v>
      </c>
      <c r="CP274" s="8" t="str">
        <f>HYPERLINK("http://www.metmuseum.org/art/collection/search/56390","http://www.metmuseum.org/art/collection/search/56390")</f>
        <v>http://www.metmuseum.org/art/collection/search/56390</v>
      </c>
      <c r="CQ274" s="4">
        <v>42842.333402777775</v>
      </c>
      <c r="CR274" s="1" t="s">
        <v>97</v>
      </c>
    </row>
    <row r="275" spans="1:96" ht="52.5" customHeight="1" x14ac:dyDescent="0.2">
      <c r="A275" s="1" t="s">
        <v>1294</v>
      </c>
      <c r="B275" s="1" t="b">
        <v>0</v>
      </c>
      <c r="C275" s="1" t="b">
        <v>1</v>
      </c>
      <c r="D275" s="1">
        <v>56391</v>
      </c>
      <c r="E275" s="1" t="s">
        <v>85</v>
      </c>
      <c r="F275" s="1" t="s">
        <v>99</v>
      </c>
      <c r="G275" s="1" t="s">
        <v>990</v>
      </c>
      <c r="H275" s="1" t="s">
        <v>991</v>
      </c>
      <c r="I275" s="1" t="s">
        <v>992</v>
      </c>
      <c r="J275" s="1" t="s">
        <v>1295</v>
      </c>
      <c r="K275" s="1" t="s">
        <v>165</v>
      </c>
      <c r="L275" s="1" t="s">
        <v>156</v>
      </c>
      <c r="M275" s="1" t="s">
        <v>157</v>
      </c>
      <c r="N275" s="1" t="s">
        <v>87</v>
      </c>
      <c r="O275" s="1" t="s">
        <v>1798</v>
      </c>
      <c r="P275" s="1">
        <v>1615</v>
      </c>
      <c r="Q275" s="1">
        <v>1868</v>
      </c>
      <c r="U275" s="1" t="s">
        <v>88</v>
      </c>
      <c r="W275" s="1" t="s">
        <v>89</v>
      </c>
      <c r="X275" s="1" t="s">
        <v>1801</v>
      </c>
      <c r="Z275" s="1" t="s">
        <v>89</v>
      </c>
      <c r="AA275" s="1" t="s">
        <v>90</v>
      </c>
      <c r="AB275" s="1">
        <v>1760</v>
      </c>
      <c r="AC275" s="1">
        <v>1849</v>
      </c>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t="s">
        <v>158</v>
      </c>
      <c r="BG275" s="1">
        <v>1820</v>
      </c>
      <c r="BH275" s="1">
        <v>1842</v>
      </c>
      <c r="BI275" s="1">
        <v>1</v>
      </c>
      <c r="BJ275" s="1"/>
      <c r="BK275" s="1" t="s">
        <v>1760</v>
      </c>
      <c r="BL275" s="1" t="s">
        <v>1746</v>
      </c>
      <c r="BM275" s="1"/>
      <c r="BN275" s="1" t="s">
        <v>1130</v>
      </c>
      <c r="BO275" s="12">
        <v>10.25</v>
      </c>
      <c r="BP275" s="12">
        <v>15.25</v>
      </c>
      <c r="BQ275" s="12"/>
      <c r="BR275" s="1">
        <v>26</v>
      </c>
      <c r="BS275" s="1">
        <v>38.700000000000003</v>
      </c>
      <c r="BT275" s="1"/>
      <c r="BU275" s="1"/>
      <c r="BV275" s="1" t="s">
        <v>345</v>
      </c>
      <c r="BW275" s="1" t="s">
        <v>346</v>
      </c>
      <c r="BX275" s="1"/>
      <c r="BY275" s="1">
        <v>1939</v>
      </c>
      <c r="BZ275" s="1" t="s">
        <v>347</v>
      </c>
      <c r="CA275" s="1" t="s">
        <v>348</v>
      </c>
      <c r="CB275" s="1"/>
      <c r="CN275" s="1" t="s">
        <v>96</v>
      </c>
      <c r="CP275" s="8" t="str">
        <f>HYPERLINK("http://www.metmuseum.org/art/collection/search/56391","http://www.metmuseum.org/art/collection/search/56391")</f>
        <v>http://www.metmuseum.org/art/collection/search/56391</v>
      </c>
      <c r="CQ275" s="4">
        <v>42842.333402777775</v>
      </c>
      <c r="CR275" s="1" t="s">
        <v>97</v>
      </c>
    </row>
    <row r="276" spans="1:96" ht="52.5" customHeight="1" x14ac:dyDescent="0.2">
      <c r="A276" s="1" t="s">
        <v>1296</v>
      </c>
      <c r="B276" s="1" t="b">
        <v>0</v>
      </c>
      <c r="C276" s="1" t="b">
        <v>1</v>
      </c>
      <c r="D276" s="1">
        <v>56392</v>
      </c>
      <c r="E276" s="1" t="s">
        <v>85</v>
      </c>
      <c r="F276" s="1" t="s">
        <v>99</v>
      </c>
      <c r="G276" s="1" t="s">
        <v>198</v>
      </c>
      <c r="H276" s="1" t="s">
        <v>199</v>
      </c>
      <c r="I276" s="1" t="s">
        <v>200</v>
      </c>
      <c r="J276" s="1" t="s">
        <v>201</v>
      </c>
      <c r="K276" s="1" t="s">
        <v>165</v>
      </c>
      <c r="L276" s="1" t="s">
        <v>156</v>
      </c>
      <c r="M276" s="1" t="s">
        <v>157</v>
      </c>
      <c r="N276" s="1" t="s">
        <v>87</v>
      </c>
      <c r="O276" s="1" t="s">
        <v>1798</v>
      </c>
      <c r="P276" s="1">
        <v>1615</v>
      </c>
      <c r="Q276" s="1">
        <v>1868</v>
      </c>
      <c r="U276" s="1" t="s">
        <v>88</v>
      </c>
      <c r="W276" s="1" t="s">
        <v>89</v>
      </c>
      <c r="X276" s="1" t="s">
        <v>1801</v>
      </c>
      <c r="Z276" s="1" t="s">
        <v>89</v>
      </c>
      <c r="AA276" s="1" t="s">
        <v>90</v>
      </c>
      <c r="AB276" s="1">
        <v>1760</v>
      </c>
      <c r="AC276" s="1">
        <v>1849</v>
      </c>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t="s">
        <v>158</v>
      </c>
      <c r="BG276" s="1">
        <v>1820</v>
      </c>
      <c r="BH276" s="1">
        <v>1842</v>
      </c>
      <c r="BI276" s="1">
        <v>1</v>
      </c>
      <c r="BJ276" s="1"/>
      <c r="BK276" s="1" t="s">
        <v>1760</v>
      </c>
      <c r="BL276" s="1" t="s">
        <v>1746</v>
      </c>
      <c r="BM276" s="1"/>
      <c r="BN276" s="1" t="s">
        <v>460</v>
      </c>
      <c r="BO276" s="12">
        <v>9.875</v>
      </c>
      <c r="BP276" s="12">
        <v>14.875</v>
      </c>
      <c r="BQ276" s="12"/>
      <c r="BR276" s="1">
        <v>25.1</v>
      </c>
      <c r="BS276" s="1">
        <v>37.799999999999997</v>
      </c>
      <c r="BT276" s="1"/>
      <c r="BU276" s="1"/>
      <c r="BV276" s="1" t="s">
        <v>345</v>
      </c>
      <c r="BW276" s="1" t="s">
        <v>346</v>
      </c>
      <c r="BX276" s="1"/>
      <c r="BY276" s="1">
        <v>1939</v>
      </c>
      <c r="BZ276" s="1" t="s">
        <v>347</v>
      </c>
      <c r="CA276" s="1" t="s">
        <v>348</v>
      </c>
      <c r="CB276" s="1"/>
      <c r="CN276" s="1" t="s">
        <v>96</v>
      </c>
      <c r="CP276" s="8" t="str">
        <f>HYPERLINK("http://www.metmuseum.org/art/collection/search/56392","http://www.metmuseum.org/art/collection/search/56392")</f>
        <v>http://www.metmuseum.org/art/collection/search/56392</v>
      </c>
      <c r="CQ276" s="4">
        <v>42842.333402777775</v>
      </c>
      <c r="CR276" s="1" t="s">
        <v>97</v>
      </c>
    </row>
    <row r="277" spans="1:96" ht="52.5" customHeight="1" x14ac:dyDescent="0.2">
      <c r="A277" s="1" t="s">
        <v>1297</v>
      </c>
      <c r="B277" s="1" t="b">
        <v>0</v>
      </c>
      <c r="C277" s="1" t="b">
        <v>1</v>
      </c>
      <c r="D277" s="1">
        <v>56393</v>
      </c>
      <c r="E277" s="1" t="s">
        <v>85</v>
      </c>
      <c r="F277" s="1" t="s">
        <v>99</v>
      </c>
      <c r="G277" s="1" t="s">
        <v>1158</v>
      </c>
      <c r="H277" s="1" t="s">
        <v>923</v>
      </c>
      <c r="I277" s="1" t="s">
        <v>924</v>
      </c>
      <c r="J277" s="1" t="s">
        <v>1159</v>
      </c>
      <c r="K277" s="1" t="s">
        <v>165</v>
      </c>
      <c r="L277" s="1" t="s">
        <v>156</v>
      </c>
      <c r="M277" s="1" t="s">
        <v>157</v>
      </c>
      <c r="N277" s="1" t="s">
        <v>87</v>
      </c>
      <c r="O277" s="1" t="s">
        <v>1798</v>
      </c>
      <c r="P277" s="1">
        <v>1615</v>
      </c>
      <c r="Q277" s="1">
        <v>1868</v>
      </c>
      <c r="U277" s="1" t="s">
        <v>88</v>
      </c>
      <c r="W277" s="1" t="s">
        <v>89</v>
      </c>
      <c r="X277" s="1" t="s">
        <v>1801</v>
      </c>
      <c r="Z277" s="1" t="s">
        <v>89</v>
      </c>
      <c r="AA277" s="1" t="s">
        <v>90</v>
      </c>
      <c r="AB277" s="1">
        <v>1760</v>
      </c>
      <c r="AC277" s="1">
        <v>1849</v>
      </c>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t="s">
        <v>158</v>
      </c>
      <c r="BG277" s="1">
        <v>1820</v>
      </c>
      <c r="BH277" s="1">
        <v>1842</v>
      </c>
      <c r="BI277" s="1">
        <v>1</v>
      </c>
      <c r="BJ277" s="1"/>
      <c r="BK277" s="1" t="s">
        <v>1760</v>
      </c>
      <c r="BL277" s="1" t="s">
        <v>1746</v>
      </c>
      <c r="BM277" s="1"/>
      <c r="BN277" s="1" t="s">
        <v>460</v>
      </c>
      <c r="BO277" s="12">
        <v>9.875</v>
      </c>
      <c r="BP277" s="12">
        <v>14.875</v>
      </c>
      <c r="BQ277" s="12"/>
      <c r="BR277" s="1">
        <v>25.1</v>
      </c>
      <c r="BS277" s="1">
        <v>37.799999999999997</v>
      </c>
      <c r="BT277" s="1"/>
      <c r="BU277" s="1"/>
      <c r="BV277" s="1" t="s">
        <v>345</v>
      </c>
      <c r="BW277" s="1" t="s">
        <v>346</v>
      </c>
      <c r="BX277" s="1"/>
      <c r="BY277" s="1">
        <v>1939</v>
      </c>
      <c r="BZ277" s="1" t="s">
        <v>347</v>
      </c>
      <c r="CA277" s="1" t="s">
        <v>348</v>
      </c>
      <c r="CB277" s="1"/>
      <c r="CN277" s="1" t="s">
        <v>96</v>
      </c>
      <c r="CP277" s="8" t="str">
        <f>HYPERLINK("http://www.metmuseum.org/art/collection/search/56393","http://www.metmuseum.org/art/collection/search/56393")</f>
        <v>http://www.metmuseum.org/art/collection/search/56393</v>
      </c>
      <c r="CQ277" s="4">
        <v>42842.333402777775</v>
      </c>
      <c r="CR277" s="1" t="s">
        <v>97</v>
      </c>
    </row>
    <row r="278" spans="1:96" ht="52.5" customHeight="1" x14ac:dyDescent="0.2">
      <c r="A278" s="1" t="s">
        <v>1298</v>
      </c>
      <c r="B278" s="1" t="b">
        <v>0</v>
      </c>
      <c r="C278" s="1" t="b">
        <v>1</v>
      </c>
      <c r="D278" s="1">
        <v>56394</v>
      </c>
      <c r="E278" s="1" t="s">
        <v>85</v>
      </c>
      <c r="F278" s="1" t="s">
        <v>99</v>
      </c>
      <c r="G278" s="1" t="s">
        <v>963</v>
      </c>
      <c r="H278" s="1" t="s">
        <v>964</v>
      </c>
      <c r="I278" s="1" t="s">
        <v>965</v>
      </c>
      <c r="J278" s="1" t="s">
        <v>966</v>
      </c>
      <c r="K278" s="1" t="s">
        <v>165</v>
      </c>
      <c r="L278" s="1" t="s">
        <v>156</v>
      </c>
      <c r="M278" s="1" t="s">
        <v>157</v>
      </c>
      <c r="N278" s="1" t="s">
        <v>87</v>
      </c>
      <c r="O278" s="1" t="s">
        <v>1798</v>
      </c>
      <c r="P278" s="1">
        <v>1615</v>
      </c>
      <c r="Q278" s="1">
        <v>1868</v>
      </c>
      <c r="U278" s="1" t="s">
        <v>88</v>
      </c>
      <c r="W278" s="1" t="s">
        <v>89</v>
      </c>
      <c r="X278" s="1" t="s">
        <v>1801</v>
      </c>
      <c r="Z278" s="1" t="s">
        <v>89</v>
      </c>
      <c r="AA278" s="1" t="s">
        <v>90</v>
      </c>
      <c r="AB278" s="1">
        <v>1760</v>
      </c>
      <c r="AC278" s="1">
        <v>1849</v>
      </c>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t="s">
        <v>158</v>
      </c>
      <c r="BG278" s="1">
        <v>1820</v>
      </c>
      <c r="BH278" s="1">
        <v>1842</v>
      </c>
      <c r="BI278" s="1">
        <v>1</v>
      </c>
      <c r="BJ278" s="1"/>
      <c r="BK278" s="1" t="s">
        <v>1760</v>
      </c>
      <c r="BL278" s="1" t="s">
        <v>1746</v>
      </c>
      <c r="BM278" s="1"/>
      <c r="BN278" s="1" t="s">
        <v>184</v>
      </c>
      <c r="BO278" s="12">
        <v>9.875</v>
      </c>
      <c r="BP278" s="12">
        <v>14.875</v>
      </c>
      <c r="BQ278" s="12"/>
      <c r="BR278" s="1">
        <v>25.1</v>
      </c>
      <c r="BS278" s="1">
        <v>37.5</v>
      </c>
      <c r="BT278" s="1"/>
      <c r="BU278" s="1"/>
      <c r="BV278" s="1" t="s">
        <v>345</v>
      </c>
      <c r="BW278" s="1" t="s">
        <v>346</v>
      </c>
      <c r="BX278" s="1"/>
      <c r="BY278" s="1">
        <v>1939</v>
      </c>
      <c r="BZ278" s="1" t="s">
        <v>347</v>
      </c>
      <c r="CA278" s="1" t="s">
        <v>348</v>
      </c>
      <c r="CB278" s="1"/>
      <c r="CN278" s="1" t="s">
        <v>96</v>
      </c>
      <c r="CP278" s="8" t="str">
        <f>HYPERLINK("http://www.metmuseum.org/art/collection/search/56394","http://www.metmuseum.org/art/collection/search/56394")</f>
        <v>http://www.metmuseum.org/art/collection/search/56394</v>
      </c>
      <c r="CQ278" s="4">
        <v>42842.333402777775</v>
      </c>
      <c r="CR278" s="1" t="s">
        <v>97</v>
      </c>
    </row>
    <row r="279" spans="1:96" ht="52.5" customHeight="1" x14ac:dyDescent="0.2">
      <c r="A279" s="1" t="s">
        <v>1299</v>
      </c>
      <c r="B279" s="1" t="b">
        <v>0</v>
      </c>
      <c r="C279" s="1" t="b">
        <v>1</v>
      </c>
      <c r="D279" s="1">
        <v>56395</v>
      </c>
      <c r="E279" s="1" t="s">
        <v>85</v>
      </c>
      <c r="F279" s="1" t="s">
        <v>99</v>
      </c>
      <c r="G279" s="1" t="s">
        <v>940</v>
      </c>
      <c r="H279" s="1" t="s">
        <v>941</v>
      </c>
      <c r="I279" s="1" t="s">
        <v>942</v>
      </c>
      <c r="J279" s="1" t="s">
        <v>943</v>
      </c>
      <c r="K279" s="1" t="s">
        <v>165</v>
      </c>
      <c r="L279" s="1" t="s">
        <v>156</v>
      </c>
      <c r="M279" s="1" t="s">
        <v>157</v>
      </c>
      <c r="N279" s="1" t="s">
        <v>87</v>
      </c>
      <c r="O279" s="1" t="s">
        <v>1798</v>
      </c>
      <c r="P279" s="1">
        <v>1615</v>
      </c>
      <c r="Q279" s="1">
        <v>1868</v>
      </c>
      <c r="U279" s="1" t="s">
        <v>88</v>
      </c>
      <c r="W279" s="1" t="s">
        <v>89</v>
      </c>
      <c r="X279" s="1" t="s">
        <v>1801</v>
      </c>
      <c r="Z279" s="1" t="s">
        <v>89</v>
      </c>
      <c r="AA279" s="1" t="s">
        <v>90</v>
      </c>
      <c r="AB279" s="1">
        <v>1760</v>
      </c>
      <c r="AC279" s="1">
        <v>1849</v>
      </c>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t="s">
        <v>158</v>
      </c>
      <c r="BG279" s="1">
        <v>1820</v>
      </c>
      <c r="BH279" s="1">
        <v>1842</v>
      </c>
      <c r="BI279" s="1">
        <v>1</v>
      </c>
      <c r="BJ279" s="1"/>
      <c r="BK279" s="1" t="s">
        <v>1760</v>
      </c>
      <c r="BL279" s="1" t="s">
        <v>1746</v>
      </c>
      <c r="BM279" s="1"/>
      <c r="BN279" s="1" t="s">
        <v>1106</v>
      </c>
      <c r="BO279" s="12">
        <v>9.75</v>
      </c>
      <c r="BP279" s="12">
        <v>14.75</v>
      </c>
      <c r="BQ279" s="12"/>
      <c r="BR279" s="1">
        <v>24.8</v>
      </c>
      <c r="BS279" s="1">
        <v>37.5</v>
      </c>
      <c r="BT279" s="1"/>
      <c r="BU279" s="1"/>
      <c r="BV279" s="1" t="s">
        <v>345</v>
      </c>
      <c r="BW279" s="1" t="s">
        <v>346</v>
      </c>
      <c r="BX279" s="1"/>
      <c r="BY279" s="1">
        <v>1939</v>
      </c>
      <c r="BZ279" s="1" t="s">
        <v>347</v>
      </c>
      <c r="CA279" s="1" t="s">
        <v>348</v>
      </c>
      <c r="CB279" s="1"/>
      <c r="CN279" s="1" t="s">
        <v>96</v>
      </c>
      <c r="CP279" s="8" t="str">
        <f>HYPERLINK("http://www.metmuseum.org/art/collection/search/56395","http://www.metmuseum.org/art/collection/search/56395")</f>
        <v>http://www.metmuseum.org/art/collection/search/56395</v>
      </c>
      <c r="CQ279" s="4">
        <v>42842.333402777775</v>
      </c>
      <c r="CR279" s="1" t="s">
        <v>97</v>
      </c>
    </row>
    <row r="280" spans="1:96" ht="52.5" customHeight="1" x14ac:dyDescent="0.2">
      <c r="A280" s="1" t="s">
        <v>1300</v>
      </c>
      <c r="B280" s="1" t="b">
        <v>0</v>
      </c>
      <c r="C280" s="1" t="b">
        <v>1</v>
      </c>
      <c r="D280" s="1">
        <v>56396</v>
      </c>
      <c r="E280" s="1" t="s">
        <v>85</v>
      </c>
      <c r="F280" s="1" t="s">
        <v>99</v>
      </c>
      <c r="G280" s="1" t="s">
        <v>975</v>
      </c>
      <c r="H280" s="1" t="s">
        <v>976</v>
      </c>
      <c r="I280" s="1" t="s">
        <v>977</v>
      </c>
      <c r="J280" s="1" t="s">
        <v>978</v>
      </c>
      <c r="K280" s="1" t="s">
        <v>165</v>
      </c>
      <c r="L280" s="1" t="s">
        <v>156</v>
      </c>
      <c r="M280" s="1" t="s">
        <v>157</v>
      </c>
      <c r="N280" s="1" t="s">
        <v>87</v>
      </c>
      <c r="O280" s="1" t="s">
        <v>1798</v>
      </c>
      <c r="P280" s="1">
        <v>1615</v>
      </c>
      <c r="Q280" s="1">
        <v>1868</v>
      </c>
      <c r="U280" s="1" t="s">
        <v>88</v>
      </c>
      <c r="W280" s="1" t="s">
        <v>89</v>
      </c>
      <c r="X280" s="1" t="s">
        <v>1801</v>
      </c>
      <c r="Z280" s="1" t="s">
        <v>89</v>
      </c>
      <c r="AA280" s="1" t="s">
        <v>90</v>
      </c>
      <c r="AB280" s="1">
        <v>1760</v>
      </c>
      <c r="AC280" s="1">
        <v>1849</v>
      </c>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t="s">
        <v>158</v>
      </c>
      <c r="BG280" s="1">
        <v>1820</v>
      </c>
      <c r="BH280" s="1">
        <v>1842</v>
      </c>
      <c r="BI280" s="1">
        <v>1</v>
      </c>
      <c r="BJ280" s="1"/>
      <c r="BK280" s="1" t="s">
        <v>1760</v>
      </c>
      <c r="BL280" s="1" t="s">
        <v>1746</v>
      </c>
      <c r="BM280" s="1"/>
      <c r="BN280" s="1" t="s">
        <v>263</v>
      </c>
      <c r="BO280" s="1">
        <v>10</v>
      </c>
      <c r="BP280" s="1">
        <v>15</v>
      </c>
      <c r="BQ280" s="1"/>
      <c r="BR280" s="1">
        <v>25.4</v>
      </c>
      <c r="BS280" s="1">
        <v>38.1</v>
      </c>
      <c r="BT280" s="1"/>
      <c r="BU280" s="1"/>
      <c r="BV280" s="1" t="s">
        <v>345</v>
      </c>
      <c r="BW280" s="1" t="s">
        <v>346</v>
      </c>
      <c r="BX280" s="1"/>
      <c r="BY280" s="1">
        <v>1939</v>
      </c>
      <c r="BZ280" s="1" t="s">
        <v>347</v>
      </c>
      <c r="CA280" s="1" t="s">
        <v>348</v>
      </c>
      <c r="CB280" s="1"/>
      <c r="CN280" s="1" t="s">
        <v>96</v>
      </c>
      <c r="CP280" s="8" t="str">
        <f>HYPERLINK("http://www.metmuseum.org/art/collection/search/56396","http://www.metmuseum.org/art/collection/search/56396")</f>
        <v>http://www.metmuseum.org/art/collection/search/56396</v>
      </c>
      <c r="CQ280" s="4">
        <v>42842.333402777775</v>
      </c>
      <c r="CR280" s="1" t="s">
        <v>97</v>
      </c>
    </row>
    <row r="281" spans="1:96" ht="52.5" customHeight="1" x14ac:dyDescent="0.2">
      <c r="A281" s="1" t="s">
        <v>1301</v>
      </c>
      <c r="B281" s="1" t="b">
        <v>0</v>
      </c>
      <c r="C281" s="1" t="b">
        <v>1</v>
      </c>
      <c r="D281" s="1">
        <v>56686</v>
      </c>
      <c r="E281" s="1" t="s">
        <v>85</v>
      </c>
      <c r="F281" s="1" t="s">
        <v>86</v>
      </c>
      <c r="G281" s="1" t="s">
        <v>1302</v>
      </c>
      <c r="H281" s="1" t="s">
        <v>199</v>
      </c>
      <c r="I281" s="1"/>
      <c r="J281" s="1" t="s">
        <v>1303</v>
      </c>
      <c r="K281" s="1" t="s">
        <v>165</v>
      </c>
      <c r="L281" s="1" t="s">
        <v>156</v>
      </c>
      <c r="M281" s="1" t="s">
        <v>157</v>
      </c>
      <c r="N281" s="1" t="s">
        <v>87</v>
      </c>
      <c r="O281" s="1" t="s">
        <v>1798</v>
      </c>
      <c r="P281" s="1">
        <v>1615</v>
      </c>
      <c r="Q281" s="1">
        <v>1868</v>
      </c>
      <c r="U281" s="1" t="s">
        <v>88</v>
      </c>
      <c r="W281" s="1" t="s">
        <v>89</v>
      </c>
      <c r="X281" s="1" t="s">
        <v>1801</v>
      </c>
      <c r="Z281" s="1" t="s">
        <v>89</v>
      </c>
      <c r="AA281" s="1" t="s">
        <v>90</v>
      </c>
      <c r="AB281" s="1">
        <v>1760</v>
      </c>
      <c r="AC281" s="1">
        <v>1849</v>
      </c>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t="s">
        <v>158</v>
      </c>
      <c r="BG281" s="1">
        <v>1820</v>
      </c>
      <c r="BH281" s="1">
        <v>1842</v>
      </c>
      <c r="BI281" s="1">
        <v>1</v>
      </c>
      <c r="BJ281" s="1"/>
      <c r="BK281" s="1" t="s">
        <v>1760</v>
      </c>
      <c r="BL281" s="1" t="s">
        <v>1746</v>
      </c>
      <c r="BM281" s="1"/>
      <c r="BN281" s="1" t="s">
        <v>118</v>
      </c>
      <c r="BO281" s="12">
        <v>10.125</v>
      </c>
      <c r="BP281" s="12">
        <v>14.75</v>
      </c>
      <c r="BQ281" s="12"/>
      <c r="BR281" s="1">
        <v>25.7</v>
      </c>
      <c r="BS281" s="1">
        <v>37.5</v>
      </c>
      <c r="BT281" s="1"/>
      <c r="BU281" s="1"/>
      <c r="BV281" s="1" t="s">
        <v>1304</v>
      </c>
      <c r="BW281" s="1" t="s">
        <v>386</v>
      </c>
      <c r="BX281" s="1"/>
      <c r="BY281" s="1">
        <v>1948</v>
      </c>
      <c r="BZ281" s="1"/>
      <c r="CA281" s="1" t="s">
        <v>1305</v>
      </c>
      <c r="CB281" s="1"/>
      <c r="CN281" s="1" t="s">
        <v>96</v>
      </c>
      <c r="CP281" s="8" t="str">
        <f>HYPERLINK("http://www.metmuseum.org/art/collection/search/56686","http://www.metmuseum.org/art/collection/search/56686")</f>
        <v>http://www.metmuseum.org/art/collection/search/56686</v>
      </c>
      <c r="CQ281" s="4">
        <v>42842.333402777775</v>
      </c>
      <c r="CR281" s="1" t="s">
        <v>97</v>
      </c>
    </row>
    <row r="282" spans="1:96" ht="52.5" customHeight="1" x14ac:dyDescent="0.2">
      <c r="A282" s="1" t="s">
        <v>1306</v>
      </c>
      <c r="B282" s="1" t="b">
        <v>0</v>
      </c>
      <c r="C282" s="1" t="b">
        <v>1</v>
      </c>
      <c r="D282" s="1">
        <v>56697</v>
      </c>
      <c r="E282" s="1" t="s">
        <v>85</v>
      </c>
      <c r="F282" s="1" t="s">
        <v>86</v>
      </c>
      <c r="G282" s="1" t="s">
        <v>1307</v>
      </c>
      <c r="H282" s="1" t="s">
        <v>456</v>
      </c>
      <c r="I282" s="1"/>
      <c r="J282" s="1" t="s">
        <v>1308</v>
      </c>
      <c r="K282" s="1" t="s">
        <v>165</v>
      </c>
      <c r="L282" s="1" t="s">
        <v>156</v>
      </c>
      <c r="M282" s="1" t="s">
        <v>157</v>
      </c>
      <c r="N282" s="1" t="s">
        <v>87</v>
      </c>
      <c r="U282" s="1" t="s">
        <v>88</v>
      </c>
      <c r="W282" s="1" t="s">
        <v>89</v>
      </c>
      <c r="X282" s="1" t="s">
        <v>1801</v>
      </c>
      <c r="Z282" s="1" t="s">
        <v>89</v>
      </c>
      <c r="AA282" s="1" t="s">
        <v>90</v>
      </c>
      <c r="AB282" s="1">
        <v>1760</v>
      </c>
      <c r="AC282" s="1">
        <v>1849</v>
      </c>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G282" s="1">
        <v>1760</v>
      </c>
      <c r="BH282" s="1">
        <v>1849</v>
      </c>
      <c r="BI282" s="1">
        <v>1</v>
      </c>
      <c r="BJ282" s="1"/>
      <c r="BK282" s="1" t="s">
        <v>1760</v>
      </c>
      <c r="BL282" s="1" t="s">
        <v>1746</v>
      </c>
      <c r="BM282" s="1"/>
      <c r="BN282" s="1" t="s">
        <v>1309</v>
      </c>
      <c r="BO282" s="12">
        <v>14.25</v>
      </c>
      <c r="BP282" s="12">
        <v>9.25</v>
      </c>
      <c r="BQ282" s="12"/>
      <c r="BR282" s="1">
        <v>36.200000000000003</v>
      </c>
      <c r="BS282" s="1">
        <v>23.5</v>
      </c>
      <c r="BT282" s="1"/>
      <c r="BU282" s="1"/>
      <c r="BV282" s="1" t="s">
        <v>1310</v>
      </c>
      <c r="BW282" s="1" t="s">
        <v>346</v>
      </c>
      <c r="BX282" s="1"/>
      <c r="BY282" s="1">
        <v>1949</v>
      </c>
      <c r="BZ282" s="1"/>
      <c r="CA282" s="1" t="s">
        <v>1311</v>
      </c>
      <c r="CB282" s="1"/>
      <c r="CN282" s="1" t="s">
        <v>96</v>
      </c>
      <c r="CP282" s="8" t="str">
        <f>HYPERLINK("http://www.metmuseum.org/art/collection/search/56697","http://www.metmuseum.org/art/collection/search/56697")</f>
        <v>http://www.metmuseum.org/art/collection/search/56697</v>
      </c>
      <c r="CQ282" s="4">
        <v>42842.333402777775</v>
      </c>
      <c r="CR282" s="1" t="s">
        <v>97</v>
      </c>
    </row>
    <row r="283" spans="1:96" ht="52.5" customHeight="1" x14ac:dyDescent="0.2">
      <c r="A283" s="1" t="s">
        <v>1312</v>
      </c>
      <c r="B283" s="1" t="b">
        <v>0</v>
      </c>
      <c r="C283" s="1" t="b">
        <v>1</v>
      </c>
      <c r="D283" s="1">
        <v>56727</v>
      </c>
      <c r="E283" s="1" t="s">
        <v>85</v>
      </c>
      <c r="F283" s="1" t="s">
        <v>86</v>
      </c>
      <c r="G283" s="1" t="s">
        <v>362</v>
      </c>
      <c r="H283" s="1" t="s">
        <v>363</v>
      </c>
      <c r="I283" s="1" t="s">
        <v>364</v>
      </c>
      <c r="J283" s="1" t="s">
        <v>1313</v>
      </c>
      <c r="K283" s="1" t="s">
        <v>165</v>
      </c>
      <c r="L283" s="1" t="s">
        <v>156</v>
      </c>
      <c r="M283" s="1" t="s">
        <v>157</v>
      </c>
      <c r="N283" s="1" t="s">
        <v>87</v>
      </c>
      <c r="O283" s="1" t="s">
        <v>1798</v>
      </c>
      <c r="P283" s="1">
        <v>1615</v>
      </c>
      <c r="Q283" s="1">
        <v>1868</v>
      </c>
      <c r="U283" s="1" t="s">
        <v>88</v>
      </c>
      <c r="W283" s="1" t="s">
        <v>89</v>
      </c>
      <c r="X283" s="1" t="s">
        <v>1801</v>
      </c>
      <c r="Z283" s="1" t="s">
        <v>89</v>
      </c>
      <c r="AA283" s="1" t="s">
        <v>90</v>
      </c>
      <c r="AB283" s="1">
        <v>1760</v>
      </c>
      <c r="AC283" s="1">
        <v>1849</v>
      </c>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t="s">
        <v>158</v>
      </c>
      <c r="BG283" s="1">
        <v>1830</v>
      </c>
      <c r="BH283" s="1">
        <v>1832</v>
      </c>
      <c r="BI283" s="1">
        <v>1</v>
      </c>
      <c r="BJ283" s="1"/>
      <c r="BK283" s="1" t="s">
        <v>1760</v>
      </c>
      <c r="BL283" s="1" t="s">
        <v>1746</v>
      </c>
      <c r="BM283" s="1"/>
      <c r="BN283" s="1" t="s">
        <v>1314</v>
      </c>
      <c r="BO283" s="1">
        <v>10</v>
      </c>
      <c r="BP283" s="12">
        <v>15.125</v>
      </c>
      <c r="BQ283" s="12"/>
      <c r="BR283" s="1">
        <v>25.4</v>
      </c>
      <c r="BS283" s="1">
        <v>38.4</v>
      </c>
      <c r="BT283" s="1"/>
      <c r="BU283" s="1"/>
      <c r="BV283" s="1" t="s">
        <v>372</v>
      </c>
      <c r="BW283" s="1" t="s">
        <v>94</v>
      </c>
      <c r="BX283" s="1" t="s">
        <v>95</v>
      </c>
      <c r="BY283" s="1">
        <v>1936</v>
      </c>
      <c r="BZ283" s="1" t="s">
        <v>373</v>
      </c>
      <c r="CA283" s="1"/>
      <c r="CB283" s="1"/>
      <c r="CN283" s="1" t="s">
        <v>96</v>
      </c>
      <c r="CP283" s="8" t="str">
        <f>HYPERLINK("http://www.metmuseum.org/art/collection/search/56727","http://www.metmuseum.org/art/collection/search/56727")</f>
        <v>http://www.metmuseum.org/art/collection/search/56727</v>
      </c>
      <c r="CQ283" s="4">
        <v>42842.333402777775</v>
      </c>
      <c r="CR283" s="1" t="s">
        <v>97</v>
      </c>
    </row>
    <row r="284" spans="1:96" ht="52.5" customHeight="1" x14ac:dyDescent="0.2">
      <c r="A284" s="1" t="s">
        <v>1315</v>
      </c>
      <c r="B284" s="1" t="b">
        <v>0</v>
      </c>
      <c r="C284" s="1" t="b">
        <v>1</v>
      </c>
      <c r="D284" s="1">
        <v>56785</v>
      </c>
      <c r="E284" s="1" t="s">
        <v>85</v>
      </c>
      <c r="F284" s="1" t="s">
        <v>99</v>
      </c>
      <c r="G284" s="1" t="s">
        <v>253</v>
      </c>
      <c r="H284" s="1" t="s">
        <v>254</v>
      </c>
      <c r="I284" s="1" t="s">
        <v>255</v>
      </c>
      <c r="J284" s="1" t="s">
        <v>256</v>
      </c>
      <c r="K284" s="1" t="s">
        <v>165</v>
      </c>
      <c r="L284" s="1" t="s">
        <v>156</v>
      </c>
      <c r="M284" s="1" t="s">
        <v>157</v>
      </c>
      <c r="N284" s="1" t="s">
        <v>87</v>
      </c>
      <c r="O284" s="1" t="s">
        <v>1798</v>
      </c>
      <c r="P284" s="1">
        <v>1615</v>
      </c>
      <c r="Q284" s="1">
        <v>1868</v>
      </c>
      <c r="U284" s="1" t="s">
        <v>88</v>
      </c>
      <c r="W284" s="1" t="s">
        <v>89</v>
      </c>
      <c r="X284" s="1" t="s">
        <v>1801</v>
      </c>
      <c r="Z284" s="1" t="s">
        <v>89</v>
      </c>
      <c r="AA284" s="1" t="s">
        <v>90</v>
      </c>
      <c r="AB284" s="1">
        <v>1760</v>
      </c>
      <c r="AC284" s="1">
        <v>1849</v>
      </c>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t="s">
        <v>158</v>
      </c>
      <c r="BG284" s="1">
        <v>1820</v>
      </c>
      <c r="BH284" s="1">
        <v>1842</v>
      </c>
      <c r="BI284" s="1">
        <v>1</v>
      </c>
      <c r="BJ284" s="1"/>
      <c r="BK284" s="1" t="s">
        <v>1760</v>
      </c>
      <c r="BL284" s="1" t="s">
        <v>1746</v>
      </c>
      <c r="BM284" s="1"/>
      <c r="BN284" s="1" t="s">
        <v>1316</v>
      </c>
      <c r="BO284" s="1">
        <v>10</v>
      </c>
      <c r="BP284" s="1">
        <v>15</v>
      </c>
      <c r="BQ284" s="1"/>
      <c r="BR284" s="1">
        <v>25.4</v>
      </c>
      <c r="BS284" s="1">
        <v>38.1</v>
      </c>
      <c r="BT284" s="1"/>
      <c r="BU284" s="1"/>
      <c r="BV284" s="1" t="s">
        <v>372</v>
      </c>
      <c r="BW284" s="1" t="s">
        <v>94</v>
      </c>
      <c r="BX284" s="1" t="s">
        <v>95</v>
      </c>
      <c r="BY284" s="1">
        <v>1936</v>
      </c>
      <c r="BZ284" s="1" t="s">
        <v>373</v>
      </c>
      <c r="CA284" s="1"/>
      <c r="CB284" s="1"/>
      <c r="CN284" s="1" t="s">
        <v>96</v>
      </c>
      <c r="CP284" s="8" t="str">
        <f>HYPERLINK("http://www.metmuseum.org/art/collection/search/56785","http://www.metmuseum.org/art/collection/search/56785")</f>
        <v>http://www.metmuseum.org/art/collection/search/56785</v>
      </c>
      <c r="CQ284" s="4">
        <v>42842.333402777775</v>
      </c>
      <c r="CR284" s="1" t="s">
        <v>97</v>
      </c>
    </row>
    <row r="285" spans="1:96" ht="52.5" customHeight="1" x14ac:dyDescent="0.2">
      <c r="A285" s="1" t="s">
        <v>1317</v>
      </c>
      <c r="B285" s="1" t="b">
        <v>0</v>
      </c>
      <c r="C285" s="1" t="b">
        <v>1</v>
      </c>
      <c r="D285" s="1">
        <v>56786</v>
      </c>
      <c r="E285" s="1" t="s">
        <v>85</v>
      </c>
      <c r="F285" s="1" t="s">
        <v>99</v>
      </c>
      <c r="G285" s="1" t="s">
        <v>208</v>
      </c>
      <c r="H285" s="1" t="s">
        <v>209</v>
      </c>
      <c r="I285" s="1" t="s">
        <v>210</v>
      </c>
      <c r="J285" s="1" t="s">
        <v>211</v>
      </c>
      <c r="K285" s="1" t="s">
        <v>165</v>
      </c>
      <c r="L285" s="1" t="s">
        <v>156</v>
      </c>
      <c r="M285" s="1" t="s">
        <v>157</v>
      </c>
      <c r="N285" s="1" t="s">
        <v>87</v>
      </c>
      <c r="O285" s="1" t="s">
        <v>1798</v>
      </c>
      <c r="P285" s="1">
        <v>1615</v>
      </c>
      <c r="Q285" s="1">
        <v>1868</v>
      </c>
      <c r="U285" s="1" t="s">
        <v>88</v>
      </c>
      <c r="W285" s="1" t="s">
        <v>89</v>
      </c>
      <c r="X285" s="1" t="s">
        <v>1801</v>
      </c>
      <c r="Z285" s="1" t="s">
        <v>89</v>
      </c>
      <c r="AA285" s="1" t="s">
        <v>90</v>
      </c>
      <c r="AB285" s="1">
        <v>1760</v>
      </c>
      <c r="AC285" s="1">
        <v>1849</v>
      </c>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t="s">
        <v>158</v>
      </c>
      <c r="BG285" s="1">
        <v>1820</v>
      </c>
      <c r="BH285" s="1">
        <v>1842</v>
      </c>
      <c r="BI285" s="1">
        <v>1</v>
      </c>
      <c r="BJ285" s="1"/>
      <c r="BK285" s="1" t="s">
        <v>1760</v>
      </c>
      <c r="BL285" s="1" t="s">
        <v>1746</v>
      </c>
      <c r="BM285" s="1"/>
      <c r="BN285" s="1" t="s">
        <v>1318</v>
      </c>
      <c r="BO285" s="12">
        <v>9.75</v>
      </c>
      <c r="BP285" s="12">
        <v>14.75</v>
      </c>
      <c r="BQ285" s="12"/>
      <c r="BR285" s="1">
        <v>24.8</v>
      </c>
      <c r="BS285" s="1">
        <v>37.5</v>
      </c>
      <c r="BT285" s="1"/>
      <c r="BU285" s="1"/>
      <c r="BV285" s="1" t="s">
        <v>372</v>
      </c>
      <c r="BW285" s="1" t="s">
        <v>94</v>
      </c>
      <c r="BX285" s="1" t="s">
        <v>95</v>
      </c>
      <c r="BY285" s="1">
        <v>1936</v>
      </c>
      <c r="BZ285" s="1" t="s">
        <v>373</v>
      </c>
      <c r="CA285" s="1"/>
      <c r="CB285" s="1"/>
      <c r="CN285" s="1" t="s">
        <v>96</v>
      </c>
      <c r="CP285" s="8" t="str">
        <f>HYPERLINK("http://www.metmuseum.org/art/collection/search/56786","http://www.metmuseum.org/art/collection/search/56786")</f>
        <v>http://www.metmuseum.org/art/collection/search/56786</v>
      </c>
      <c r="CQ285" s="4">
        <v>42842.333402777775</v>
      </c>
      <c r="CR285" s="1" t="s">
        <v>97</v>
      </c>
    </row>
    <row r="286" spans="1:96" ht="52.5" customHeight="1" x14ac:dyDescent="0.2">
      <c r="A286" s="1" t="s">
        <v>1319</v>
      </c>
      <c r="B286" s="1" t="b">
        <v>0</v>
      </c>
      <c r="C286" s="1" t="b">
        <v>1</v>
      </c>
      <c r="D286" s="1">
        <v>56787</v>
      </c>
      <c r="E286" s="1" t="s">
        <v>85</v>
      </c>
      <c r="F286" s="1" t="s">
        <v>99</v>
      </c>
      <c r="G286" s="1" t="s">
        <v>214</v>
      </c>
      <c r="H286" s="1" t="s">
        <v>215</v>
      </c>
      <c r="I286" s="1" t="s">
        <v>216</v>
      </c>
      <c r="J286" s="1" t="s">
        <v>1250</v>
      </c>
      <c r="K286" s="1" t="s">
        <v>165</v>
      </c>
      <c r="L286" s="1" t="s">
        <v>156</v>
      </c>
      <c r="M286" s="1" t="s">
        <v>157</v>
      </c>
      <c r="N286" s="1" t="s">
        <v>87</v>
      </c>
      <c r="O286" s="1" t="s">
        <v>1798</v>
      </c>
      <c r="P286" s="1">
        <v>1615</v>
      </c>
      <c r="Q286" s="1">
        <v>1868</v>
      </c>
      <c r="U286" s="1" t="s">
        <v>88</v>
      </c>
      <c r="W286" s="1" t="s">
        <v>89</v>
      </c>
      <c r="X286" s="1" t="s">
        <v>1801</v>
      </c>
      <c r="Z286" s="1" t="s">
        <v>89</v>
      </c>
      <c r="AA286" s="1" t="s">
        <v>90</v>
      </c>
      <c r="AB286" s="1">
        <v>1760</v>
      </c>
      <c r="AC286" s="1">
        <v>1849</v>
      </c>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t="s">
        <v>158</v>
      </c>
      <c r="BG286" s="1">
        <v>1820</v>
      </c>
      <c r="BH286" s="1">
        <v>1842</v>
      </c>
      <c r="BI286" s="1">
        <v>1</v>
      </c>
      <c r="BJ286" s="1"/>
      <c r="BK286" s="1" t="s">
        <v>1760</v>
      </c>
      <c r="BL286" s="1" t="s">
        <v>1746</v>
      </c>
      <c r="BM286" s="1"/>
      <c r="BN286" s="1" t="s">
        <v>1316</v>
      </c>
      <c r="BO286" s="1">
        <v>10</v>
      </c>
      <c r="BP286" s="1">
        <v>15</v>
      </c>
      <c r="BQ286" s="1"/>
      <c r="BR286" s="1">
        <v>25.4</v>
      </c>
      <c r="BS286" s="1">
        <v>38.1</v>
      </c>
      <c r="BT286" s="1"/>
      <c r="BU286" s="1"/>
      <c r="BV286" s="1" t="s">
        <v>372</v>
      </c>
      <c r="BW286" s="1" t="s">
        <v>94</v>
      </c>
      <c r="BX286" s="1" t="s">
        <v>95</v>
      </c>
      <c r="BY286" s="1">
        <v>1936</v>
      </c>
      <c r="BZ286" s="1" t="s">
        <v>373</v>
      </c>
      <c r="CA286" s="1"/>
      <c r="CB286" s="1"/>
      <c r="CN286" s="1" t="s">
        <v>96</v>
      </c>
      <c r="CP286" s="8" t="str">
        <f>HYPERLINK("http://www.metmuseum.org/art/collection/search/56787","http://www.metmuseum.org/art/collection/search/56787")</f>
        <v>http://www.metmuseum.org/art/collection/search/56787</v>
      </c>
      <c r="CQ286" s="4">
        <v>42842.333402777775</v>
      </c>
      <c r="CR286" s="1" t="s">
        <v>97</v>
      </c>
    </row>
    <row r="287" spans="1:96" ht="92.25" customHeight="1" x14ac:dyDescent="0.2">
      <c r="A287" s="1" t="s">
        <v>1320</v>
      </c>
      <c r="B287" s="1" t="b">
        <v>0</v>
      </c>
      <c r="C287" s="1" t="b">
        <v>1</v>
      </c>
      <c r="D287" s="1">
        <v>56797</v>
      </c>
      <c r="E287" s="1" t="s">
        <v>85</v>
      </c>
      <c r="F287" s="1" t="s">
        <v>86</v>
      </c>
      <c r="N287" s="1" t="s">
        <v>87</v>
      </c>
      <c r="O287" s="1" t="s">
        <v>1798</v>
      </c>
      <c r="P287" s="1">
        <v>1615</v>
      </c>
      <c r="Q287" s="1">
        <v>1868</v>
      </c>
      <c r="U287" s="1" t="s">
        <v>88</v>
      </c>
      <c r="W287" s="1" t="s">
        <v>89</v>
      </c>
      <c r="X287" s="1" t="s">
        <v>1801</v>
      </c>
      <c r="Z287" s="1" t="s">
        <v>89</v>
      </c>
      <c r="AA287" s="1" t="s">
        <v>90</v>
      </c>
      <c r="AB287" s="1">
        <v>1760</v>
      </c>
      <c r="AC287" s="1">
        <v>1849</v>
      </c>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G287" s="1">
        <v>1760</v>
      </c>
      <c r="BH287" s="1">
        <v>1849</v>
      </c>
      <c r="BI287" s="1">
        <v>1</v>
      </c>
      <c r="BJ287" s="1"/>
      <c r="BK287" s="1" t="s">
        <v>1760</v>
      </c>
      <c r="BL287" s="1" t="s">
        <v>1746</v>
      </c>
      <c r="BM287" s="1"/>
      <c r="BN287" s="1" t="s">
        <v>1321</v>
      </c>
      <c r="BO287" s="11">
        <v>9.8125</v>
      </c>
      <c r="BP287" s="11">
        <v>13.0625</v>
      </c>
      <c r="BQ287" s="11"/>
      <c r="BR287" s="1">
        <v>24.9</v>
      </c>
      <c r="BS287" s="1">
        <v>33.200000000000003</v>
      </c>
      <c r="BT287" s="1"/>
      <c r="BU287" s="1"/>
      <c r="BV287" s="1" t="s">
        <v>1322</v>
      </c>
      <c r="BW287" s="1" t="s">
        <v>386</v>
      </c>
      <c r="BX287" s="1"/>
      <c r="BY287" s="1">
        <v>1930</v>
      </c>
      <c r="BZ287" s="1" t="s">
        <v>448</v>
      </c>
      <c r="CA287" s="1" t="s">
        <v>1323</v>
      </c>
      <c r="CB287" s="1"/>
      <c r="CN287" s="1" t="s">
        <v>96</v>
      </c>
      <c r="CP287" s="8" t="str">
        <f>HYPERLINK("http://www.metmuseum.org/art/collection/search/56797","http://www.metmuseum.org/art/collection/search/56797")</f>
        <v>http://www.metmuseum.org/art/collection/search/56797</v>
      </c>
      <c r="CQ287" s="4">
        <v>42842.333402777775</v>
      </c>
      <c r="CR287" s="1" t="s">
        <v>97</v>
      </c>
    </row>
    <row r="288" spans="1:96" ht="52.5" customHeight="1" x14ac:dyDescent="0.2">
      <c r="A288" s="1" t="s">
        <v>1324</v>
      </c>
      <c r="B288" s="1" t="b">
        <v>0</v>
      </c>
      <c r="C288" s="1" t="b">
        <v>1</v>
      </c>
      <c r="D288" s="1">
        <v>56806</v>
      </c>
      <c r="E288" s="1" t="s">
        <v>85</v>
      </c>
      <c r="F288" s="1" t="s">
        <v>99</v>
      </c>
      <c r="G288" s="1" t="s">
        <v>1162</v>
      </c>
      <c r="H288" s="1" t="s">
        <v>1163</v>
      </c>
      <c r="I288" s="1" t="s">
        <v>1164</v>
      </c>
      <c r="J288" s="1" t="s">
        <v>1165</v>
      </c>
      <c r="K288" s="1" t="s">
        <v>124</v>
      </c>
      <c r="L288" s="1"/>
      <c r="M288" s="1"/>
      <c r="N288" s="1" t="s">
        <v>87</v>
      </c>
      <c r="O288" s="1" t="s">
        <v>1798</v>
      </c>
      <c r="P288" s="1">
        <v>1615</v>
      </c>
      <c r="Q288" s="1">
        <v>1868</v>
      </c>
      <c r="U288" s="1" t="s">
        <v>88</v>
      </c>
      <c r="W288" s="1" t="s">
        <v>89</v>
      </c>
      <c r="X288" s="1" t="s">
        <v>1801</v>
      </c>
      <c r="Z288" s="1" t="s">
        <v>89</v>
      </c>
      <c r="AA288" s="1" t="s">
        <v>90</v>
      </c>
      <c r="AB288" s="1">
        <v>1760</v>
      </c>
      <c r="AC288" s="1">
        <v>1849</v>
      </c>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v>1839</v>
      </c>
      <c r="BG288" s="1">
        <v>1839</v>
      </c>
      <c r="BH288" s="1">
        <v>1839</v>
      </c>
      <c r="BI288" s="1">
        <v>1</v>
      </c>
      <c r="BJ288" s="1"/>
      <c r="BK288" s="6" t="s">
        <v>1760</v>
      </c>
      <c r="BL288" s="1" t="s">
        <v>1746</v>
      </c>
      <c r="BM288" s="1"/>
      <c r="BN288" s="1" t="s">
        <v>1288</v>
      </c>
      <c r="BO288" s="1">
        <v>10</v>
      </c>
      <c r="BP288" s="12">
        <v>14.375</v>
      </c>
      <c r="BQ288" s="12"/>
      <c r="BR288" s="1">
        <v>25.4</v>
      </c>
      <c r="BS288" s="1">
        <v>36.5</v>
      </c>
      <c r="BT288" s="1"/>
      <c r="BU288" s="1"/>
      <c r="BV288" s="1" t="s">
        <v>1325</v>
      </c>
      <c r="BW288" s="1" t="s">
        <v>386</v>
      </c>
      <c r="BX288" s="1"/>
      <c r="BY288" s="1">
        <v>1931</v>
      </c>
      <c r="BZ288" s="1"/>
      <c r="CA288" s="1" t="s">
        <v>1326</v>
      </c>
      <c r="CB288" s="1"/>
      <c r="CN288" s="1" t="s">
        <v>96</v>
      </c>
      <c r="CP288" s="8" t="str">
        <f>HYPERLINK("http://www.metmuseum.org/art/collection/search/56806","http://www.metmuseum.org/art/collection/search/56806")</f>
        <v>http://www.metmuseum.org/art/collection/search/56806</v>
      </c>
      <c r="CQ288" s="4">
        <v>42842.333402777775</v>
      </c>
      <c r="CR288" s="1" t="s">
        <v>97</v>
      </c>
    </row>
    <row r="289" spans="1:96" ht="52.5" customHeight="1" x14ac:dyDescent="0.2">
      <c r="A289" s="1" t="s">
        <v>1327</v>
      </c>
      <c r="B289" s="1" t="b">
        <v>0</v>
      </c>
      <c r="C289" s="1" t="b">
        <v>1</v>
      </c>
      <c r="D289" s="1">
        <v>56961</v>
      </c>
      <c r="E289" s="1" t="s">
        <v>85</v>
      </c>
      <c r="F289" s="1" t="s">
        <v>86</v>
      </c>
      <c r="N289" s="1" t="s">
        <v>87</v>
      </c>
      <c r="O289" s="1" t="s">
        <v>1798</v>
      </c>
      <c r="P289" s="1">
        <v>1615</v>
      </c>
      <c r="Q289" s="1">
        <v>1868</v>
      </c>
      <c r="U289" s="1" t="s">
        <v>88</v>
      </c>
      <c r="W289" s="1" t="s">
        <v>89</v>
      </c>
      <c r="X289" s="1" t="s">
        <v>1801</v>
      </c>
      <c r="Z289" s="1" t="s">
        <v>89</v>
      </c>
      <c r="AA289" s="1" t="s">
        <v>90</v>
      </c>
      <c r="AB289" s="1">
        <v>1760</v>
      </c>
      <c r="AC289" s="1">
        <v>1849</v>
      </c>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t="s">
        <v>1328</v>
      </c>
      <c r="BG289" s="1">
        <v>1785</v>
      </c>
      <c r="BH289" s="1">
        <v>1805</v>
      </c>
      <c r="BI289" s="1">
        <v>1</v>
      </c>
      <c r="BJ289" s="1"/>
      <c r="BK289" s="1" t="s">
        <v>1760</v>
      </c>
      <c r="BL289" s="1" t="s">
        <v>1746</v>
      </c>
      <c r="BM289" s="1"/>
      <c r="BN289" s="1" t="s">
        <v>638</v>
      </c>
      <c r="BO289" s="1">
        <v>10</v>
      </c>
      <c r="BP289" s="12">
        <v>15.5</v>
      </c>
      <c r="BQ289" s="12"/>
      <c r="BR289" s="1">
        <v>25.4</v>
      </c>
      <c r="BS289" s="1">
        <v>39.4</v>
      </c>
      <c r="BT289" s="1"/>
      <c r="BU289" s="1"/>
      <c r="BV289" s="1" t="s">
        <v>372</v>
      </c>
      <c r="BW289" s="1" t="s">
        <v>94</v>
      </c>
      <c r="BX289" s="1" t="s">
        <v>95</v>
      </c>
      <c r="BY289" s="1">
        <v>1936</v>
      </c>
      <c r="BZ289" s="1" t="s">
        <v>373</v>
      </c>
      <c r="CA289" s="1"/>
      <c r="CB289" s="1"/>
      <c r="CN289" s="1" t="s">
        <v>96</v>
      </c>
      <c r="CP289" s="8" t="str">
        <f>HYPERLINK("http://www.metmuseum.org/art/collection/search/56961","http://www.metmuseum.org/art/collection/search/56961")</f>
        <v>http://www.metmuseum.org/art/collection/search/56961</v>
      </c>
      <c r="CQ289" s="4">
        <v>42842.333402777775</v>
      </c>
      <c r="CR289" s="1" t="s">
        <v>97</v>
      </c>
    </row>
    <row r="290" spans="1:96" ht="52.5" customHeight="1" x14ac:dyDescent="0.2">
      <c r="A290" s="1" t="s">
        <v>1329</v>
      </c>
      <c r="B290" s="1" t="b">
        <v>0</v>
      </c>
      <c r="C290" s="1" t="b">
        <v>1</v>
      </c>
      <c r="D290" s="1">
        <v>56965</v>
      </c>
      <c r="E290" s="1" t="s">
        <v>85</v>
      </c>
      <c r="F290" s="1" t="s">
        <v>99</v>
      </c>
      <c r="G290" s="1" t="s">
        <v>336</v>
      </c>
      <c r="H290" s="1" t="s">
        <v>337</v>
      </c>
      <c r="I290" s="1" t="s">
        <v>338</v>
      </c>
      <c r="J290" s="1" t="s">
        <v>339</v>
      </c>
      <c r="K290" s="1" t="s">
        <v>340</v>
      </c>
      <c r="L290" s="1"/>
      <c r="M290" s="1"/>
      <c r="N290" s="1" t="s">
        <v>87</v>
      </c>
      <c r="O290" s="1" t="s">
        <v>1798</v>
      </c>
      <c r="P290" s="1">
        <v>1615</v>
      </c>
      <c r="Q290" s="1">
        <v>1868</v>
      </c>
      <c r="U290" s="1" t="s">
        <v>88</v>
      </c>
      <c r="W290" s="1" t="s">
        <v>89</v>
      </c>
      <c r="X290" s="1" t="s">
        <v>1801</v>
      </c>
      <c r="Z290" s="1" t="s">
        <v>89</v>
      </c>
      <c r="AA290" s="1" t="s">
        <v>90</v>
      </c>
      <c r="AB290" s="1">
        <v>1760</v>
      </c>
      <c r="AC290" s="1">
        <v>1849</v>
      </c>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t="s">
        <v>301</v>
      </c>
      <c r="BG290" s="1">
        <v>1825</v>
      </c>
      <c r="BH290" s="1">
        <v>1845</v>
      </c>
      <c r="BI290" s="1">
        <v>1</v>
      </c>
      <c r="BJ290" s="1"/>
      <c r="BK290" s="6" t="s">
        <v>1760</v>
      </c>
      <c r="BL290" s="1" t="s">
        <v>1746</v>
      </c>
      <c r="BM290" s="1"/>
      <c r="BN290" s="1" t="s">
        <v>1330</v>
      </c>
      <c r="BO290" s="12">
        <v>10.5</v>
      </c>
      <c r="BP290" s="12">
        <v>14.75</v>
      </c>
      <c r="BQ290" s="12"/>
      <c r="BR290" s="1">
        <v>26.7</v>
      </c>
      <c r="BS290" s="1">
        <v>37.5</v>
      </c>
      <c r="BT290" s="1"/>
      <c r="BU290" s="1"/>
      <c r="BV290" s="1" t="s">
        <v>372</v>
      </c>
      <c r="BW290" s="1" t="s">
        <v>94</v>
      </c>
      <c r="BX290" s="1" t="s">
        <v>95</v>
      </c>
      <c r="BY290" s="1">
        <v>1936</v>
      </c>
      <c r="BZ290" s="1" t="s">
        <v>373</v>
      </c>
      <c r="CA290" s="1"/>
      <c r="CB290" s="1"/>
      <c r="CN290" s="1" t="s">
        <v>96</v>
      </c>
      <c r="CP290" s="8" t="str">
        <f>HYPERLINK("http://www.metmuseum.org/art/collection/search/56965","http://www.metmuseum.org/art/collection/search/56965")</f>
        <v>http://www.metmuseum.org/art/collection/search/56965</v>
      </c>
      <c r="CQ290" s="4">
        <v>42842.333402777775</v>
      </c>
      <c r="CR290" s="1" t="s">
        <v>97</v>
      </c>
    </row>
    <row r="291" spans="1:96" ht="52.5" customHeight="1" x14ac:dyDescent="0.2">
      <c r="A291" s="1" t="s">
        <v>1331</v>
      </c>
      <c r="B291" s="1" t="b">
        <v>0</v>
      </c>
      <c r="C291" s="1" t="b">
        <v>1</v>
      </c>
      <c r="D291" s="1">
        <v>56967</v>
      </c>
      <c r="E291" s="1" t="s">
        <v>85</v>
      </c>
      <c r="F291" s="1" t="s">
        <v>99</v>
      </c>
      <c r="G291" s="1" t="s">
        <v>111</v>
      </c>
      <c r="H291" s="1" t="s">
        <v>112</v>
      </c>
      <c r="I291" s="1" t="s">
        <v>113</v>
      </c>
      <c r="J291" s="1" t="s">
        <v>114</v>
      </c>
      <c r="K291" s="1" t="s">
        <v>115</v>
      </c>
      <c r="L291" s="1"/>
      <c r="M291" s="1"/>
      <c r="N291" s="1" t="s">
        <v>87</v>
      </c>
      <c r="O291" s="1" t="s">
        <v>1798</v>
      </c>
      <c r="P291" s="1">
        <v>1615</v>
      </c>
      <c r="Q291" s="1">
        <v>1868</v>
      </c>
      <c r="U291" s="1" t="s">
        <v>88</v>
      </c>
      <c r="W291" s="1" t="s">
        <v>89</v>
      </c>
      <c r="X291" s="1" t="s">
        <v>1801</v>
      </c>
      <c r="Z291" s="1" t="s">
        <v>89</v>
      </c>
      <c r="AA291" s="1" t="s">
        <v>90</v>
      </c>
      <c r="AB291" s="1">
        <v>1760</v>
      </c>
      <c r="AC291" s="1">
        <v>1849</v>
      </c>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t="s">
        <v>131</v>
      </c>
      <c r="BG291" s="1">
        <v>1829</v>
      </c>
      <c r="BH291" s="1">
        <v>1849</v>
      </c>
      <c r="BI291" s="1">
        <v>1</v>
      </c>
      <c r="BJ291" s="1"/>
      <c r="BK291" s="1" t="s">
        <v>1760</v>
      </c>
      <c r="BL291" s="1" t="s">
        <v>1746</v>
      </c>
      <c r="BM291" s="1"/>
      <c r="BN291" s="1" t="s">
        <v>1257</v>
      </c>
      <c r="BO291" s="1">
        <v>10</v>
      </c>
      <c r="BP291" s="12">
        <v>14.625</v>
      </c>
      <c r="BQ291" s="12"/>
      <c r="BR291" s="1">
        <v>25.4</v>
      </c>
      <c r="BS291" s="1">
        <v>37.1</v>
      </c>
      <c r="BT291" s="1"/>
      <c r="BU291" s="1"/>
      <c r="BV291" s="1" t="s">
        <v>372</v>
      </c>
      <c r="BW291" s="1" t="s">
        <v>94</v>
      </c>
      <c r="BX291" s="1" t="s">
        <v>95</v>
      </c>
      <c r="BY291" s="1">
        <v>1936</v>
      </c>
      <c r="BZ291" s="1" t="s">
        <v>373</v>
      </c>
      <c r="CA291" s="1"/>
      <c r="CB291" s="1"/>
      <c r="CN291" s="1" t="s">
        <v>96</v>
      </c>
      <c r="CP291" s="8" t="str">
        <f>HYPERLINK("http://www.metmuseum.org/art/collection/search/56967","http://www.metmuseum.org/art/collection/search/56967")</f>
        <v>http://www.metmuseum.org/art/collection/search/56967</v>
      </c>
      <c r="CQ291" s="4">
        <v>42842.333402777775</v>
      </c>
      <c r="CR291" s="1" t="s">
        <v>97</v>
      </c>
    </row>
    <row r="292" spans="1:96" ht="52.5" customHeight="1" x14ac:dyDescent="0.2">
      <c r="A292" s="1" t="s">
        <v>1332</v>
      </c>
      <c r="B292" s="1" t="b">
        <v>0</v>
      </c>
      <c r="C292" s="1" t="b">
        <v>1</v>
      </c>
      <c r="D292" s="1">
        <v>56973</v>
      </c>
      <c r="E292" s="1" t="s">
        <v>85</v>
      </c>
      <c r="F292" s="1" t="s">
        <v>99</v>
      </c>
      <c r="G292" s="1" t="s">
        <v>1333</v>
      </c>
      <c r="H292" s="1" t="s">
        <v>1334</v>
      </c>
      <c r="I292" s="1" t="s">
        <v>1335</v>
      </c>
      <c r="J292" s="1" t="s">
        <v>1336</v>
      </c>
      <c r="K292" s="1" t="s">
        <v>1337</v>
      </c>
      <c r="L292" s="1"/>
      <c r="M292" s="1"/>
      <c r="N292" s="1" t="s">
        <v>87</v>
      </c>
      <c r="O292" s="1" t="s">
        <v>1798</v>
      </c>
      <c r="P292" s="1">
        <v>1615</v>
      </c>
      <c r="Q292" s="1">
        <v>1868</v>
      </c>
      <c r="U292" s="1" t="s">
        <v>88</v>
      </c>
      <c r="W292" s="1" t="s">
        <v>89</v>
      </c>
      <c r="X292" s="1" t="s">
        <v>1801</v>
      </c>
      <c r="Z292" s="1" t="s">
        <v>89</v>
      </c>
      <c r="AA292" s="1" t="s">
        <v>90</v>
      </c>
      <c r="AB292" s="1">
        <v>1760</v>
      </c>
      <c r="AC292" s="1">
        <v>1849</v>
      </c>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v>1839</v>
      </c>
      <c r="BG292" s="1">
        <v>1839</v>
      </c>
      <c r="BH292" s="1">
        <v>1839</v>
      </c>
      <c r="BI292" s="1">
        <v>1</v>
      </c>
      <c r="BJ292" s="1"/>
      <c r="BK292" s="1" t="s">
        <v>1760</v>
      </c>
      <c r="BL292" s="1" t="s">
        <v>1746</v>
      </c>
      <c r="BM292" s="1"/>
      <c r="BN292" s="1" t="s">
        <v>1338</v>
      </c>
      <c r="BO292" s="11">
        <v>9.9375</v>
      </c>
      <c r="BP292" s="12">
        <v>14.375</v>
      </c>
      <c r="BQ292" s="12"/>
      <c r="BR292" s="1">
        <v>25.2</v>
      </c>
      <c r="BS292" s="1">
        <v>36.5</v>
      </c>
      <c r="BT292" s="1"/>
      <c r="BU292" s="1" t="s">
        <v>1339</v>
      </c>
      <c r="BV292" s="1" t="s">
        <v>372</v>
      </c>
      <c r="BW292" s="1" t="s">
        <v>94</v>
      </c>
      <c r="BX292" s="1" t="s">
        <v>95</v>
      </c>
      <c r="BY292" s="1">
        <v>1936</v>
      </c>
      <c r="BZ292" s="1" t="s">
        <v>373</v>
      </c>
      <c r="CA292" s="1"/>
      <c r="CB292" s="1"/>
      <c r="CN292" s="1" t="s">
        <v>96</v>
      </c>
      <c r="CP292" s="8" t="str">
        <f>HYPERLINK("http://www.metmuseum.org/art/collection/search/56973","http://www.metmuseum.org/art/collection/search/56973")</f>
        <v>http://www.metmuseum.org/art/collection/search/56973</v>
      </c>
      <c r="CQ292" s="4">
        <v>42842.333402777775</v>
      </c>
      <c r="CR292" s="1" t="s">
        <v>97</v>
      </c>
    </row>
    <row r="293" spans="1:96" ht="52.5" customHeight="1" x14ac:dyDescent="0.2">
      <c r="A293" s="1" t="s">
        <v>1340</v>
      </c>
      <c r="B293" s="1" t="b">
        <v>0</v>
      </c>
      <c r="C293" s="1" t="b">
        <v>1</v>
      </c>
      <c r="D293" s="1">
        <v>56977</v>
      </c>
      <c r="E293" s="1" t="s">
        <v>85</v>
      </c>
      <c r="F293" s="1" t="s">
        <v>99</v>
      </c>
      <c r="G293" s="1" t="s">
        <v>1341</v>
      </c>
      <c r="H293" s="1" t="s">
        <v>1342</v>
      </c>
      <c r="I293" s="1" t="s">
        <v>1343</v>
      </c>
      <c r="J293" s="1" t="s">
        <v>1344</v>
      </c>
      <c r="K293" s="1" t="s">
        <v>340</v>
      </c>
      <c r="L293" s="1"/>
      <c r="M293" s="1"/>
      <c r="N293" s="1" t="s">
        <v>87</v>
      </c>
      <c r="O293" s="1" t="s">
        <v>1798</v>
      </c>
      <c r="P293" s="1">
        <v>1615</v>
      </c>
      <c r="Q293" s="1">
        <v>1868</v>
      </c>
      <c r="U293" s="1" t="s">
        <v>88</v>
      </c>
      <c r="W293" s="1" t="s">
        <v>89</v>
      </c>
      <c r="X293" s="1" t="s">
        <v>1801</v>
      </c>
      <c r="Z293" s="1" t="s">
        <v>89</v>
      </c>
      <c r="AA293" s="1" t="s">
        <v>90</v>
      </c>
      <c r="AB293" s="1">
        <v>1760</v>
      </c>
      <c r="AC293" s="1">
        <v>1849</v>
      </c>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G293" s="1">
        <v>1760</v>
      </c>
      <c r="BH293" s="1">
        <v>1849</v>
      </c>
      <c r="BI293" s="1">
        <v>1</v>
      </c>
      <c r="BJ293" s="1"/>
      <c r="BK293" s="1" t="s">
        <v>1760</v>
      </c>
      <c r="BL293" s="1" t="s">
        <v>1746</v>
      </c>
      <c r="BM293" s="1"/>
      <c r="BN293" s="1" t="s">
        <v>1113</v>
      </c>
      <c r="BO293" s="12">
        <v>10.25</v>
      </c>
      <c r="BP293" s="12">
        <v>14.75</v>
      </c>
      <c r="BQ293" s="12"/>
      <c r="BR293" s="1">
        <v>26</v>
      </c>
      <c r="BS293" s="1">
        <v>37.5</v>
      </c>
      <c r="BT293" s="1"/>
      <c r="BU293" s="1" t="s">
        <v>1345</v>
      </c>
      <c r="BV293" s="1" t="s">
        <v>372</v>
      </c>
      <c r="BW293" s="1" t="s">
        <v>94</v>
      </c>
      <c r="BX293" s="1" t="s">
        <v>95</v>
      </c>
      <c r="BY293" s="1">
        <v>1936</v>
      </c>
      <c r="BZ293" s="1" t="s">
        <v>373</v>
      </c>
      <c r="CA293" s="1"/>
      <c r="CB293" s="1"/>
      <c r="CN293" s="1" t="s">
        <v>96</v>
      </c>
      <c r="CP293" s="8" t="str">
        <f>HYPERLINK("http://www.metmuseum.org/art/collection/search/56977","http://www.metmuseum.org/art/collection/search/56977")</f>
        <v>http://www.metmuseum.org/art/collection/search/56977</v>
      </c>
      <c r="CQ293" s="4">
        <v>42842.333402777775</v>
      </c>
      <c r="CR293" s="1" t="s">
        <v>97</v>
      </c>
    </row>
    <row r="294" spans="1:96" ht="52.5" customHeight="1" x14ac:dyDescent="0.2">
      <c r="A294" s="1" t="s">
        <v>1346</v>
      </c>
      <c r="B294" s="1" t="b">
        <v>0</v>
      </c>
      <c r="C294" s="1" t="b">
        <v>1</v>
      </c>
      <c r="D294" s="1">
        <v>56979</v>
      </c>
      <c r="E294" s="1" t="s">
        <v>85</v>
      </c>
      <c r="F294" s="1" t="s">
        <v>99</v>
      </c>
      <c r="G294" s="1" t="s">
        <v>712</v>
      </c>
      <c r="H294" s="1" t="s">
        <v>713</v>
      </c>
      <c r="I294" s="1" t="s">
        <v>1202</v>
      </c>
      <c r="J294" s="1" t="s">
        <v>714</v>
      </c>
      <c r="K294" s="1" t="s">
        <v>115</v>
      </c>
      <c r="L294" s="1"/>
      <c r="M294" s="1"/>
      <c r="N294" s="1" t="s">
        <v>87</v>
      </c>
      <c r="O294" s="1" t="s">
        <v>1798</v>
      </c>
      <c r="P294" s="1">
        <v>1615</v>
      </c>
      <c r="Q294" s="1">
        <v>1868</v>
      </c>
      <c r="U294" s="1" t="s">
        <v>88</v>
      </c>
      <c r="W294" s="1" t="s">
        <v>89</v>
      </c>
      <c r="X294" s="1" t="s">
        <v>1801</v>
      </c>
      <c r="Z294" s="1" t="s">
        <v>89</v>
      </c>
      <c r="AA294" s="1" t="s">
        <v>90</v>
      </c>
      <c r="AB294" s="1">
        <v>1760</v>
      </c>
      <c r="AC294" s="1">
        <v>1849</v>
      </c>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t="s">
        <v>301</v>
      </c>
      <c r="BG294" s="1">
        <v>1825</v>
      </c>
      <c r="BH294" s="1">
        <v>1845</v>
      </c>
      <c r="BI294" s="1">
        <v>1</v>
      </c>
      <c r="BJ294" s="1"/>
      <c r="BK294" s="1" t="s">
        <v>1760</v>
      </c>
      <c r="BL294" s="1" t="s">
        <v>1746</v>
      </c>
      <c r="BM294" s="1"/>
      <c r="BN294" s="1" t="s">
        <v>621</v>
      </c>
      <c r="BO294" s="12">
        <v>9.875</v>
      </c>
      <c r="BP294" s="12">
        <v>14.5</v>
      </c>
      <c r="BQ294" s="12"/>
      <c r="BR294" s="1">
        <v>25.1</v>
      </c>
      <c r="BS294" s="1">
        <v>36.799999999999997</v>
      </c>
      <c r="BT294" s="1"/>
      <c r="BU294" s="1" t="s">
        <v>1345</v>
      </c>
      <c r="BV294" s="1" t="s">
        <v>372</v>
      </c>
      <c r="BW294" s="1" t="s">
        <v>94</v>
      </c>
      <c r="BX294" s="1" t="s">
        <v>95</v>
      </c>
      <c r="BY294" s="1">
        <v>1936</v>
      </c>
      <c r="BZ294" s="1" t="s">
        <v>373</v>
      </c>
      <c r="CA294" s="1"/>
      <c r="CB294" s="1"/>
      <c r="CN294" s="1" t="s">
        <v>96</v>
      </c>
      <c r="CP294" s="8" t="str">
        <f>HYPERLINK("http://www.metmuseum.org/art/collection/search/56979","http://www.metmuseum.org/art/collection/search/56979")</f>
        <v>http://www.metmuseum.org/art/collection/search/56979</v>
      </c>
      <c r="CQ294" s="4">
        <v>42842.333402777775</v>
      </c>
      <c r="CR294" s="1" t="s">
        <v>97</v>
      </c>
    </row>
    <row r="295" spans="1:96" ht="52.5" customHeight="1" x14ac:dyDescent="0.2">
      <c r="A295" s="1" t="s">
        <v>1347</v>
      </c>
      <c r="B295" s="1" t="b">
        <v>0</v>
      </c>
      <c r="C295" s="1" t="b">
        <v>1</v>
      </c>
      <c r="D295" s="1">
        <v>56988</v>
      </c>
      <c r="E295" s="1" t="s">
        <v>85</v>
      </c>
      <c r="F295" s="1" t="s">
        <v>99</v>
      </c>
      <c r="G295" s="1" t="s">
        <v>175</v>
      </c>
      <c r="H295" s="1" t="s">
        <v>176</v>
      </c>
      <c r="I295" s="1" t="s">
        <v>177</v>
      </c>
      <c r="J295" s="1" t="s">
        <v>178</v>
      </c>
      <c r="K295" s="1" t="s">
        <v>165</v>
      </c>
      <c r="L295" s="1" t="s">
        <v>156</v>
      </c>
      <c r="M295" s="1" t="s">
        <v>157</v>
      </c>
      <c r="N295" s="1" t="s">
        <v>87</v>
      </c>
      <c r="O295" s="1" t="s">
        <v>1798</v>
      </c>
      <c r="P295" s="1">
        <v>1615</v>
      </c>
      <c r="Q295" s="1">
        <v>1868</v>
      </c>
      <c r="U295" s="1" t="s">
        <v>88</v>
      </c>
      <c r="W295" s="1" t="s">
        <v>89</v>
      </c>
      <c r="X295" s="1" t="s">
        <v>1801</v>
      </c>
      <c r="Z295" s="1" t="s">
        <v>89</v>
      </c>
      <c r="AA295" s="1" t="s">
        <v>90</v>
      </c>
      <c r="AB295" s="1">
        <v>1760</v>
      </c>
      <c r="AC295" s="1">
        <v>1849</v>
      </c>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t="s">
        <v>158</v>
      </c>
      <c r="BG295" s="1">
        <v>1820</v>
      </c>
      <c r="BH295" s="1">
        <v>1842</v>
      </c>
      <c r="BI295" s="1">
        <v>1</v>
      </c>
      <c r="BJ295" s="1"/>
      <c r="BK295" s="1" t="s">
        <v>1760</v>
      </c>
      <c r="BL295" s="1" t="s">
        <v>1746</v>
      </c>
      <c r="BM295" s="1"/>
      <c r="BN295" s="1" t="s">
        <v>344</v>
      </c>
      <c r="BO295" s="12">
        <v>9.625</v>
      </c>
      <c r="BP295" s="12">
        <v>14.75</v>
      </c>
      <c r="BQ295" s="12"/>
      <c r="BR295" s="1">
        <v>24.4</v>
      </c>
      <c r="BS295" s="1">
        <v>37.5</v>
      </c>
      <c r="BT295" s="1"/>
      <c r="BU295" s="1"/>
      <c r="BV295" s="1" t="s">
        <v>372</v>
      </c>
      <c r="BW295" s="1" t="s">
        <v>94</v>
      </c>
      <c r="BX295" s="1" t="s">
        <v>95</v>
      </c>
      <c r="BY295" s="1">
        <v>1936</v>
      </c>
      <c r="BZ295" s="1" t="s">
        <v>373</v>
      </c>
      <c r="CA295" s="1"/>
      <c r="CB295" s="1"/>
      <c r="CN295" s="1" t="s">
        <v>96</v>
      </c>
      <c r="CP295" s="8" t="str">
        <f>HYPERLINK("http://www.metmuseum.org/art/collection/search/56988","http://www.metmuseum.org/art/collection/search/56988")</f>
        <v>http://www.metmuseum.org/art/collection/search/56988</v>
      </c>
      <c r="CQ295" s="4">
        <v>42842.333402777775</v>
      </c>
      <c r="CR295" s="1" t="s">
        <v>97</v>
      </c>
    </row>
    <row r="296" spans="1:96" ht="52.5" customHeight="1" x14ac:dyDescent="0.2">
      <c r="A296" s="1" t="s">
        <v>1348</v>
      </c>
      <c r="B296" s="1" t="b">
        <v>0</v>
      </c>
      <c r="C296" s="1" t="b">
        <v>1</v>
      </c>
      <c r="D296" s="1">
        <v>56990</v>
      </c>
      <c r="E296" s="1" t="s">
        <v>85</v>
      </c>
      <c r="F296" s="1" t="s">
        <v>99</v>
      </c>
      <c r="G296" s="1" t="s">
        <v>1253</v>
      </c>
      <c r="H296" s="1" t="s">
        <v>1004</v>
      </c>
      <c r="I296" s="1" t="s">
        <v>1005</v>
      </c>
      <c r="J296" s="1" t="s">
        <v>1006</v>
      </c>
      <c r="K296" s="1" t="s">
        <v>165</v>
      </c>
      <c r="L296" s="1" t="s">
        <v>156</v>
      </c>
      <c r="M296" s="1" t="s">
        <v>157</v>
      </c>
      <c r="N296" s="1" t="s">
        <v>87</v>
      </c>
      <c r="O296" s="1" t="s">
        <v>1798</v>
      </c>
      <c r="P296" s="1">
        <v>1615</v>
      </c>
      <c r="Q296" s="1">
        <v>1868</v>
      </c>
      <c r="U296" s="1" t="s">
        <v>88</v>
      </c>
      <c r="W296" s="1" t="s">
        <v>89</v>
      </c>
      <c r="X296" s="1" t="s">
        <v>1801</v>
      </c>
      <c r="Z296" s="1" t="s">
        <v>89</v>
      </c>
      <c r="AA296" s="1" t="s">
        <v>90</v>
      </c>
      <c r="AB296" s="1">
        <v>1760</v>
      </c>
      <c r="AC296" s="1">
        <v>1849</v>
      </c>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t="s">
        <v>158</v>
      </c>
      <c r="BG296" s="1">
        <v>1820</v>
      </c>
      <c r="BH296" s="1">
        <v>1842</v>
      </c>
      <c r="BI296" s="1">
        <v>1</v>
      </c>
      <c r="BJ296" s="1"/>
      <c r="BK296" s="1" t="s">
        <v>1760</v>
      </c>
      <c r="BL296" s="1" t="s">
        <v>1746</v>
      </c>
      <c r="BM296" s="1"/>
      <c r="BN296" s="1" t="s">
        <v>263</v>
      </c>
      <c r="BO296" s="1">
        <v>10</v>
      </c>
      <c r="BP296" s="1">
        <v>15</v>
      </c>
      <c r="BQ296" s="1"/>
      <c r="BR296" s="1">
        <v>25.4</v>
      </c>
      <c r="BS296" s="1">
        <v>38.1</v>
      </c>
      <c r="BT296" s="1"/>
      <c r="BU296" s="1"/>
      <c r="BV296" s="1" t="s">
        <v>372</v>
      </c>
      <c r="BW296" s="1" t="s">
        <v>94</v>
      </c>
      <c r="BX296" s="1" t="s">
        <v>95</v>
      </c>
      <c r="BY296" s="1">
        <v>1936</v>
      </c>
      <c r="BZ296" s="1" t="s">
        <v>373</v>
      </c>
      <c r="CA296" s="1"/>
      <c r="CB296" s="1"/>
      <c r="CN296" s="1" t="s">
        <v>96</v>
      </c>
      <c r="CP296" s="8" t="str">
        <f>HYPERLINK("http://www.metmuseum.org/art/collection/search/56990","http://www.metmuseum.org/art/collection/search/56990")</f>
        <v>http://www.metmuseum.org/art/collection/search/56990</v>
      </c>
      <c r="CQ296" s="4">
        <v>42842.333402777775</v>
      </c>
      <c r="CR296" s="1" t="s">
        <v>97</v>
      </c>
    </row>
    <row r="297" spans="1:96" ht="52.5" customHeight="1" x14ac:dyDescent="0.2">
      <c r="A297" s="1" t="s">
        <v>1349</v>
      </c>
      <c r="B297" s="1" t="b">
        <v>0</v>
      </c>
      <c r="C297" s="1" t="b">
        <v>1</v>
      </c>
      <c r="D297" s="1">
        <v>56994</v>
      </c>
      <c r="E297" s="1" t="s">
        <v>85</v>
      </c>
      <c r="F297" s="1" t="s">
        <v>99</v>
      </c>
      <c r="G297" s="1" t="s">
        <v>455</v>
      </c>
      <c r="H297" s="1" t="s">
        <v>456</v>
      </c>
      <c r="I297" s="1" t="s">
        <v>457</v>
      </c>
      <c r="J297" s="1" t="s">
        <v>458</v>
      </c>
      <c r="K297" s="1" t="s">
        <v>165</v>
      </c>
      <c r="L297" s="1" t="s">
        <v>156</v>
      </c>
      <c r="M297" s="1" t="s">
        <v>157</v>
      </c>
      <c r="N297" s="1" t="s">
        <v>87</v>
      </c>
      <c r="O297" s="1" t="s">
        <v>1798</v>
      </c>
      <c r="P297" s="1">
        <v>1615</v>
      </c>
      <c r="Q297" s="1">
        <v>1868</v>
      </c>
      <c r="U297" s="1" t="s">
        <v>88</v>
      </c>
      <c r="W297" s="1" t="s">
        <v>89</v>
      </c>
      <c r="X297" s="1" t="s">
        <v>1801</v>
      </c>
      <c r="Z297" s="1" t="s">
        <v>89</v>
      </c>
      <c r="AA297" s="1" t="s">
        <v>90</v>
      </c>
      <c r="AB297" s="1">
        <v>1760</v>
      </c>
      <c r="AC297" s="1">
        <v>1849</v>
      </c>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t="s">
        <v>158</v>
      </c>
      <c r="BG297" s="1">
        <v>1820</v>
      </c>
      <c r="BH297" s="1">
        <v>1842</v>
      </c>
      <c r="BI297" s="1">
        <v>1</v>
      </c>
      <c r="BJ297" s="1"/>
      <c r="BK297" s="1" t="s">
        <v>1760</v>
      </c>
      <c r="BL297" s="1" t="s">
        <v>1746</v>
      </c>
      <c r="BM297" s="1"/>
      <c r="BN297" s="1" t="s">
        <v>263</v>
      </c>
      <c r="BO297" s="1">
        <v>10</v>
      </c>
      <c r="BP297" s="1">
        <v>15</v>
      </c>
      <c r="BQ297" s="1"/>
      <c r="BR297" s="1">
        <v>25.4</v>
      </c>
      <c r="BS297" s="1">
        <v>38.1</v>
      </c>
      <c r="BT297" s="1"/>
      <c r="BU297" s="1"/>
      <c r="BV297" s="1" t="s">
        <v>372</v>
      </c>
      <c r="BW297" s="1" t="s">
        <v>94</v>
      </c>
      <c r="BX297" s="1" t="s">
        <v>95</v>
      </c>
      <c r="BY297" s="1">
        <v>1936</v>
      </c>
      <c r="BZ297" s="1" t="s">
        <v>373</v>
      </c>
      <c r="CA297" s="1"/>
      <c r="CB297" s="1"/>
      <c r="CN297" s="1" t="s">
        <v>96</v>
      </c>
      <c r="CP297" s="8" t="str">
        <f>HYPERLINK("http://www.metmuseum.org/art/collection/search/56994","http://www.metmuseum.org/art/collection/search/56994")</f>
        <v>http://www.metmuseum.org/art/collection/search/56994</v>
      </c>
      <c r="CQ297" s="4">
        <v>42842.333402777775</v>
      </c>
      <c r="CR297" s="1" t="s">
        <v>97</v>
      </c>
    </row>
    <row r="298" spans="1:96" ht="52.5" customHeight="1" x14ac:dyDescent="0.2">
      <c r="A298" s="1" t="s">
        <v>1350</v>
      </c>
      <c r="B298" s="1" t="b">
        <v>0</v>
      </c>
      <c r="C298" s="1" t="b">
        <v>1</v>
      </c>
      <c r="D298" s="1">
        <v>56996</v>
      </c>
      <c r="E298" s="1" t="s">
        <v>85</v>
      </c>
      <c r="F298" s="1" t="s">
        <v>99</v>
      </c>
      <c r="G298" s="1" t="s">
        <v>231</v>
      </c>
      <c r="H298" s="1" t="s">
        <v>232</v>
      </c>
      <c r="I298" s="1" t="s">
        <v>233</v>
      </c>
      <c r="J298" s="1" t="s">
        <v>234</v>
      </c>
      <c r="K298" s="1" t="s">
        <v>165</v>
      </c>
      <c r="L298" s="1" t="s">
        <v>156</v>
      </c>
      <c r="M298" s="1" t="s">
        <v>157</v>
      </c>
      <c r="N298" s="1" t="s">
        <v>87</v>
      </c>
      <c r="O298" s="1" t="s">
        <v>1798</v>
      </c>
      <c r="P298" s="1">
        <v>1615</v>
      </c>
      <c r="Q298" s="1">
        <v>1868</v>
      </c>
      <c r="U298" s="1" t="s">
        <v>88</v>
      </c>
      <c r="W298" s="1" t="s">
        <v>89</v>
      </c>
      <c r="X298" s="1" t="s">
        <v>1801</v>
      </c>
      <c r="Z298" s="1" t="s">
        <v>89</v>
      </c>
      <c r="AA298" s="1" t="s">
        <v>90</v>
      </c>
      <c r="AB298" s="1">
        <v>1760</v>
      </c>
      <c r="AC298" s="1">
        <v>1849</v>
      </c>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t="s">
        <v>158</v>
      </c>
      <c r="BG298" s="1">
        <v>1820</v>
      </c>
      <c r="BH298" s="1">
        <v>1842</v>
      </c>
      <c r="BI298" s="1">
        <v>1</v>
      </c>
      <c r="BJ298" s="1"/>
      <c r="BK298" s="1" t="s">
        <v>1760</v>
      </c>
      <c r="BL298" s="1" t="s">
        <v>1746</v>
      </c>
      <c r="BM298" s="1"/>
      <c r="BN298" s="1" t="s">
        <v>118</v>
      </c>
      <c r="BO298" s="12">
        <v>10.125</v>
      </c>
      <c r="BP298" s="12">
        <v>14.75</v>
      </c>
      <c r="BQ298" s="12"/>
      <c r="BR298" s="1">
        <v>25.7</v>
      </c>
      <c r="BS298" s="1">
        <v>37.5</v>
      </c>
      <c r="BT298" s="1"/>
      <c r="BU298" s="1"/>
      <c r="BV298" s="1" t="s">
        <v>372</v>
      </c>
      <c r="BW298" s="1" t="s">
        <v>94</v>
      </c>
      <c r="BX298" s="1" t="s">
        <v>95</v>
      </c>
      <c r="BY298" s="1">
        <v>1936</v>
      </c>
      <c r="BZ298" s="1" t="s">
        <v>373</v>
      </c>
      <c r="CA298" s="1"/>
      <c r="CB298" s="1"/>
      <c r="CN298" s="1" t="s">
        <v>96</v>
      </c>
      <c r="CP298" s="8" t="str">
        <f>HYPERLINK("http://www.metmuseum.org/art/collection/search/56996","http://www.metmuseum.org/art/collection/search/56996")</f>
        <v>http://www.metmuseum.org/art/collection/search/56996</v>
      </c>
      <c r="CQ298" s="4">
        <v>42842.333402777775</v>
      </c>
      <c r="CR298" s="1" t="s">
        <v>97</v>
      </c>
    </row>
    <row r="299" spans="1:96" ht="52.5" customHeight="1" x14ac:dyDescent="0.2">
      <c r="A299" s="1" t="s">
        <v>1351</v>
      </c>
      <c r="B299" s="1" t="b">
        <v>0</v>
      </c>
      <c r="C299" s="1" t="b">
        <v>1</v>
      </c>
      <c r="D299" s="1">
        <v>56998</v>
      </c>
      <c r="E299" s="1" t="s">
        <v>85</v>
      </c>
      <c r="F299" s="1" t="s">
        <v>99</v>
      </c>
      <c r="G299" s="1" t="s">
        <v>198</v>
      </c>
      <c r="H299" s="1" t="s">
        <v>199</v>
      </c>
      <c r="I299" s="1" t="s">
        <v>200</v>
      </c>
      <c r="J299" s="1" t="s">
        <v>201</v>
      </c>
      <c r="K299" s="1" t="s">
        <v>165</v>
      </c>
      <c r="L299" s="1" t="s">
        <v>156</v>
      </c>
      <c r="M299" s="1" t="s">
        <v>157</v>
      </c>
      <c r="N299" s="1" t="s">
        <v>87</v>
      </c>
      <c r="O299" s="1" t="s">
        <v>1798</v>
      </c>
      <c r="P299" s="1">
        <v>1615</v>
      </c>
      <c r="Q299" s="1">
        <v>1868</v>
      </c>
      <c r="U299" s="1" t="s">
        <v>88</v>
      </c>
      <c r="W299" s="1" t="s">
        <v>89</v>
      </c>
      <c r="X299" s="1" t="s">
        <v>1801</v>
      </c>
      <c r="Z299" s="1" t="s">
        <v>89</v>
      </c>
      <c r="AA299" s="1" t="s">
        <v>90</v>
      </c>
      <c r="AB299" s="1">
        <v>1760</v>
      </c>
      <c r="AC299" s="1">
        <v>1849</v>
      </c>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t="s">
        <v>158</v>
      </c>
      <c r="BG299" s="1">
        <v>1820</v>
      </c>
      <c r="BH299" s="1">
        <v>1842</v>
      </c>
      <c r="BI299" s="1">
        <v>1</v>
      </c>
      <c r="BJ299" s="1"/>
      <c r="BK299" s="1" t="s">
        <v>1760</v>
      </c>
      <c r="BL299" s="1" t="s">
        <v>1746</v>
      </c>
      <c r="BM299" s="1"/>
      <c r="BN299" s="1" t="s">
        <v>263</v>
      </c>
      <c r="BO299" s="1">
        <v>10</v>
      </c>
      <c r="BP299" s="1">
        <v>15</v>
      </c>
      <c r="BQ299" s="1"/>
      <c r="BR299" s="1">
        <v>25.4</v>
      </c>
      <c r="BS299" s="1">
        <v>38.1</v>
      </c>
      <c r="BT299" s="1"/>
      <c r="BU299" s="1"/>
      <c r="BV299" s="1" t="s">
        <v>372</v>
      </c>
      <c r="BW299" s="1" t="s">
        <v>94</v>
      </c>
      <c r="BX299" s="1" t="s">
        <v>95</v>
      </c>
      <c r="BY299" s="1">
        <v>1936</v>
      </c>
      <c r="BZ299" s="1" t="s">
        <v>373</v>
      </c>
      <c r="CA299" s="1"/>
      <c r="CB299" s="1"/>
      <c r="CN299" s="1" t="s">
        <v>96</v>
      </c>
      <c r="CP299" s="8" t="str">
        <f>HYPERLINK("http://www.metmuseum.org/art/collection/search/56998","http://www.metmuseum.org/art/collection/search/56998")</f>
        <v>http://www.metmuseum.org/art/collection/search/56998</v>
      </c>
      <c r="CQ299" s="4">
        <v>42842.333402777775</v>
      </c>
      <c r="CR299" s="1" t="s">
        <v>97</v>
      </c>
    </row>
    <row r="300" spans="1:96" ht="52.5" customHeight="1" x14ac:dyDescent="0.2">
      <c r="A300" s="1" t="s">
        <v>1352</v>
      </c>
      <c r="B300" s="1" t="b">
        <v>0</v>
      </c>
      <c r="C300" s="1" t="b">
        <v>1</v>
      </c>
      <c r="D300" s="1">
        <v>57000</v>
      </c>
      <c r="E300" s="1" t="s">
        <v>85</v>
      </c>
      <c r="F300" s="1" t="s">
        <v>99</v>
      </c>
      <c r="G300" s="1" t="s">
        <v>946</v>
      </c>
      <c r="H300" s="1" t="s">
        <v>947</v>
      </c>
      <c r="I300" s="1" t="s">
        <v>948</v>
      </c>
      <c r="J300" s="1" t="s">
        <v>949</v>
      </c>
      <c r="K300" s="1" t="s">
        <v>165</v>
      </c>
      <c r="L300" s="1" t="s">
        <v>156</v>
      </c>
      <c r="M300" s="1" t="s">
        <v>157</v>
      </c>
      <c r="N300" s="1" t="s">
        <v>87</v>
      </c>
      <c r="O300" s="1" t="s">
        <v>1798</v>
      </c>
      <c r="P300" s="1">
        <v>1615</v>
      </c>
      <c r="Q300" s="1">
        <v>1868</v>
      </c>
      <c r="U300" s="1" t="s">
        <v>88</v>
      </c>
      <c r="W300" s="1" t="s">
        <v>89</v>
      </c>
      <c r="X300" s="1" t="s">
        <v>1801</v>
      </c>
      <c r="Z300" s="1" t="s">
        <v>89</v>
      </c>
      <c r="AA300" s="1" t="s">
        <v>90</v>
      </c>
      <c r="AB300" s="1">
        <v>1760</v>
      </c>
      <c r="AC300" s="1">
        <v>1849</v>
      </c>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t="s">
        <v>158</v>
      </c>
      <c r="BG300" s="1">
        <v>1820</v>
      </c>
      <c r="BH300" s="1">
        <v>1842</v>
      </c>
      <c r="BI300" s="1">
        <v>1</v>
      </c>
      <c r="BJ300" s="1"/>
      <c r="BK300" s="1" t="s">
        <v>1760</v>
      </c>
      <c r="BL300" s="1" t="s">
        <v>1746</v>
      </c>
      <c r="BM300" s="1"/>
      <c r="BN300" s="1" t="s">
        <v>594</v>
      </c>
      <c r="BO300" s="12">
        <v>9.875</v>
      </c>
      <c r="BP300" s="12">
        <v>14.625</v>
      </c>
      <c r="BQ300" s="12"/>
      <c r="BR300" s="1">
        <v>25.1</v>
      </c>
      <c r="BS300" s="1">
        <v>37.1</v>
      </c>
      <c r="BT300" s="1"/>
      <c r="BU300" s="1"/>
      <c r="BV300" s="1" t="s">
        <v>372</v>
      </c>
      <c r="BW300" s="1" t="s">
        <v>94</v>
      </c>
      <c r="BX300" s="1" t="s">
        <v>95</v>
      </c>
      <c r="BY300" s="1">
        <v>1936</v>
      </c>
      <c r="BZ300" s="1" t="s">
        <v>373</v>
      </c>
      <c r="CA300" s="1"/>
      <c r="CB300" s="1"/>
      <c r="CN300" s="1" t="s">
        <v>96</v>
      </c>
      <c r="CP300" s="8" t="str">
        <f>HYPERLINK("http://www.metmuseum.org/art/collection/search/57000","http://www.metmuseum.org/art/collection/search/57000")</f>
        <v>http://www.metmuseum.org/art/collection/search/57000</v>
      </c>
      <c r="CQ300" s="4">
        <v>42842.333402777775</v>
      </c>
      <c r="CR300" s="1" t="s">
        <v>97</v>
      </c>
    </row>
    <row r="301" spans="1:96" ht="52.5" customHeight="1" x14ac:dyDescent="0.2">
      <c r="A301" s="1" t="s">
        <v>1353</v>
      </c>
      <c r="B301" s="1" t="b">
        <v>0</v>
      </c>
      <c r="C301" s="1" t="b">
        <v>1</v>
      </c>
      <c r="D301" s="1">
        <v>57003</v>
      </c>
      <c r="E301" s="1" t="s">
        <v>85</v>
      </c>
      <c r="F301" s="1" t="s">
        <v>99</v>
      </c>
      <c r="G301" s="1" t="s">
        <v>1029</v>
      </c>
      <c r="H301" s="1" t="s">
        <v>1030</v>
      </c>
      <c r="I301" s="1" t="s">
        <v>1031</v>
      </c>
      <c r="J301" s="1" t="s">
        <v>1032</v>
      </c>
      <c r="K301" s="1" t="s">
        <v>165</v>
      </c>
      <c r="L301" s="1" t="s">
        <v>156</v>
      </c>
      <c r="M301" s="1" t="s">
        <v>157</v>
      </c>
      <c r="N301" s="1" t="s">
        <v>87</v>
      </c>
      <c r="O301" s="1" t="s">
        <v>1798</v>
      </c>
      <c r="P301" s="1">
        <v>1615</v>
      </c>
      <c r="Q301" s="1">
        <v>1868</v>
      </c>
      <c r="U301" s="1" t="s">
        <v>88</v>
      </c>
      <c r="W301" s="1" t="s">
        <v>89</v>
      </c>
      <c r="X301" s="1" t="s">
        <v>1801</v>
      </c>
      <c r="Z301" s="1" t="s">
        <v>89</v>
      </c>
      <c r="AA301" s="1" t="s">
        <v>90</v>
      </c>
      <c r="AB301" s="1">
        <v>1760</v>
      </c>
      <c r="AC301" s="1">
        <v>1849</v>
      </c>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t="s">
        <v>158</v>
      </c>
      <c r="BG301" s="1">
        <v>1820</v>
      </c>
      <c r="BH301" s="1">
        <v>1842</v>
      </c>
      <c r="BI301" s="1">
        <v>1</v>
      </c>
      <c r="BJ301" s="1"/>
      <c r="BK301" s="1" t="s">
        <v>1760</v>
      </c>
      <c r="BL301" s="1" t="s">
        <v>1746</v>
      </c>
      <c r="BM301" s="1"/>
      <c r="BN301" s="1" t="s">
        <v>196</v>
      </c>
      <c r="BO301" s="13">
        <v>10.125</v>
      </c>
      <c r="BP301" s="1">
        <v>15</v>
      </c>
      <c r="BQ301" s="1"/>
      <c r="BR301" s="1">
        <v>25.7</v>
      </c>
      <c r="BS301" s="1">
        <v>38.1</v>
      </c>
      <c r="BT301" s="1"/>
      <c r="BU301" s="1"/>
      <c r="BV301" s="1" t="s">
        <v>372</v>
      </c>
      <c r="BW301" s="1" t="s">
        <v>94</v>
      </c>
      <c r="BX301" s="1" t="s">
        <v>95</v>
      </c>
      <c r="BY301" s="1">
        <v>1936</v>
      </c>
      <c r="BZ301" s="1" t="s">
        <v>373</v>
      </c>
      <c r="CA301" s="1"/>
      <c r="CB301" s="1"/>
      <c r="CN301" s="1" t="s">
        <v>96</v>
      </c>
      <c r="CP301" s="8" t="str">
        <f>HYPERLINK("http://www.metmuseum.org/art/collection/search/57003","http://www.metmuseum.org/art/collection/search/57003")</f>
        <v>http://www.metmuseum.org/art/collection/search/57003</v>
      </c>
      <c r="CQ301" s="4">
        <v>42842.333402777775</v>
      </c>
      <c r="CR301" s="1" t="s">
        <v>97</v>
      </c>
    </row>
    <row r="302" spans="1:96" ht="52.5" customHeight="1" x14ac:dyDescent="0.2">
      <c r="A302" s="1" t="s">
        <v>1354</v>
      </c>
      <c r="B302" s="1" t="b">
        <v>0</v>
      </c>
      <c r="C302" s="1" t="b">
        <v>1</v>
      </c>
      <c r="D302" s="1">
        <v>57004</v>
      </c>
      <c r="E302" s="1" t="s">
        <v>85</v>
      </c>
      <c r="F302" s="1" t="s">
        <v>99</v>
      </c>
      <c r="G302" s="1" t="s">
        <v>237</v>
      </c>
      <c r="H302" s="1" t="s">
        <v>238</v>
      </c>
      <c r="I302" s="1" t="s">
        <v>239</v>
      </c>
      <c r="J302" s="1" t="s">
        <v>1132</v>
      </c>
      <c r="K302" s="1" t="s">
        <v>165</v>
      </c>
      <c r="L302" s="1" t="s">
        <v>156</v>
      </c>
      <c r="M302" s="1" t="s">
        <v>157</v>
      </c>
      <c r="N302" s="1" t="s">
        <v>87</v>
      </c>
      <c r="O302" s="1" t="s">
        <v>1798</v>
      </c>
      <c r="P302" s="1">
        <v>1615</v>
      </c>
      <c r="Q302" s="1">
        <v>1868</v>
      </c>
      <c r="U302" s="1" t="s">
        <v>88</v>
      </c>
      <c r="W302" s="1" t="s">
        <v>89</v>
      </c>
      <c r="X302" s="1" t="s">
        <v>1801</v>
      </c>
      <c r="Z302" s="1" t="s">
        <v>89</v>
      </c>
      <c r="AA302" s="1" t="s">
        <v>90</v>
      </c>
      <c r="AB302" s="1">
        <v>1760</v>
      </c>
      <c r="AC302" s="1">
        <v>1849</v>
      </c>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t="s">
        <v>158</v>
      </c>
      <c r="BG302" s="1">
        <v>1820</v>
      </c>
      <c r="BH302" s="1">
        <v>1842</v>
      </c>
      <c r="BI302" s="1">
        <v>1</v>
      </c>
      <c r="BJ302" s="1"/>
      <c r="BK302" s="1" t="s">
        <v>1760</v>
      </c>
      <c r="BL302" s="1" t="s">
        <v>1746</v>
      </c>
      <c r="BM302" s="1"/>
      <c r="BN302" s="1" t="s">
        <v>1355</v>
      </c>
      <c r="BO302" s="1">
        <v>10</v>
      </c>
      <c r="BP302" s="12">
        <v>15.25</v>
      </c>
      <c r="BQ302" s="12"/>
      <c r="BR302" s="1">
        <v>25.4</v>
      </c>
      <c r="BS302" s="1">
        <v>38.700000000000003</v>
      </c>
      <c r="BT302" s="1"/>
      <c r="BU302" s="1"/>
      <c r="BV302" s="1" t="s">
        <v>372</v>
      </c>
      <c r="BW302" s="1" t="s">
        <v>94</v>
      </c>
      <c r="BX302" s="1" t="s">
        <v>95</v>
      </c>
      <c r="BY302" s="1">
        <v>1936</v>
      </c>
      <c r="BZ302" s="1" t="s">
        <v>373</v>
      </c>
      <c r="CA302" s="1"/>
      <c r="CB302" s="1"/>
      <c r="CN302" s="1" t="s">
        <v>96</v>
      </c>
      <c r="CP302" s="8" t="str">
        <f>HYPERLINK("http://www.metmuseum.org/art/collection/search/57004","http://www.metmuseum.org/art/collection/search/57004")</f>
        <v>http://www.metmuseum.org/art/collection/search/57004</v>
      </c>
      <c r="CQ302" s="4">
        <v>42842.333402777775</v>
      </c>
      <c r="CR302" s="1" t="s">
        <v>97</v>
      </c>
    </row>
    <row r="303" spans="1:96" ht="52.5" customHeight="1" x14ac:dyDescent="0.2">
      <c r="A303" s="1" t="s">
        <v>1356</v>
      </c>
      <c r="B303" s="1" t="b">
        <v>0</v>
      </c>
      <c r="C303" s="1" t="b">
        <v>1</v>
      </c>
      <c r="D303" s="1">
        <v>57005</v>
      </c>
      <c r="E303" s="1" t="s">
        <v>85</v>
      </c>
      <c r="F303" s="1" t="s">
        <v>99</v>
      </c>
      <c r="G303" s="1" t="s">
        <v>928</v>
      </c>
      <c r="H303" s="1" t="s">
        <v>929</v>
      </c>
      <c r="I303" s="1" t="s">
        <v>930</v>
      </c>
      <c r="J303" s="1" t="s">
        <v>1357</v>
      </c>
      <c r="K303" s="1" t="s">
        <v>165</v>
      </c>
      <c r="L303" s="1" t="s">
        <v>156</v>
      </c>
      <c r="M303" s="1" t="s">
        <v>157</v>
      </c>
      <c r="N303" s="1" t="s">
        <v>87</v>
      </c>
      <c r="O303" s="1" t="s">
        <v>1798</v>
      </c>
      <c r="P303" s="1">
        <v>1615</v>
      </c>
      <c r="Q303" s="1">
        <v>1868</v>
      </c>
      <c r="U303" s="1" t="s">
        <v>88</v>
      </c>
      <c r="W303" s="1" t="s">
        <v>89</v>
      </c>
      <c r="X303" s="1" t="s">
        <v>1801</v>
      </c>
      <c r="Z303" s="1" t="s">
        <v>89</v>
      </c>
      <c r="AA303" s="1" t="s">
        <v>90</v>
      </c>
      <c r="AB303" s="1">
        <v>1760</v>
      </c>
      <c r="AC303" s="1">
        <v>1849</v>
      </c>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t="s">
        <v>158</v>
      </c>
      <c r="BG303" s="1">
        <v>1820</v>
      </c>
      <c r="BH303" s="1">
        <v>1842</v>
      </c>
      <c r="BI303" s="1">
        <v>1</v>
      </c>
      <c r="BJ303" s="1"/>
      <c r="BK303" s="1" t="s">
        <v>1760</v>
      </c>
      <c r="BL303" s="1" t="s">
        <v>1746</v>
      </c>
      <c r="BM303" s="1"/>
      <c r="BN303" s="1" t="s">
        <v>263</v>
      </c>
      <c r="BO303" s="1">
        <v>10</v>
      </c>
      <c r="BP303" s="1">
        <v>15</v>
      </c>
      <c r="BQ303" s="1"/>
      <c r="BR303" s="1">
        <v>25.4</v>
      </c>
      <c r="BS303" s="1">
        <v>38.1</v>
      </c>
      <c r="BT303" s="1"/>
      <c r="BU303" s="1"/>
      <c r="BV303" s="1" t="s">
        <v>372</v>
      </c>
      <c r="BW303" s="1" t="s">
        <v>94</v>
      </c>
      <c r="BX303" s="1" t="s">
        <v>95</v>
      </c>
      <c r="BY303" s="1">
        <v>1936</v>
      </c>
      <c r="BZ303" s="1" t="s">
        <v>373</v>
      </c>
      <c r="CA303" s="1"/>
      <c r="CB303" s="1"/>
      <c r="CN303" s="1" t="s">
        <v>96</v>
      </c>
      <c r="CP303" s="8" t="str">
        <f>HYPERLINK("http://www.metmuseum.org/art/collection/search/57005","http://www.metmuseum.org/art/collection/search/57005")</f>
        <v>http://www.metmuseum.org/art/collection/search/57005</v>
      </c>
      <c r="CQ303" s="4">
        <v>42842.333402777775</v>
      </c>
      <c r="CR303" s="1" t="s">
        <v>97</v>
      </c>
    </row>
    <row r="304" spans="1:96" ht="52.5" customHeight="1" x14ac:dyDescent="0.2">
      <c r="A304" s="1" t="s">
        <v>1358</v>
      </c>
      <c r="B304" s="1" t="b">
        <v>0</v>
      </c>
      <c r="C304" s="1" t="b">
        <v>1</v>
      </c>
      <c r="D304" s="1">
        <v>57006</v>
      </c>
      <c r="E304" s="1" t="s">
        <v>85</v>
      </c>
      <c r="F304" s="1" t="s">
        <v>99</v>
      </c>
      <c r="G304" s="1" t="s">
        <v>168</v>
      </c>
      <c r="H304" s="1" t="s">
        <v>169</v>
      </c>
      <c r="I304" s="1" t="s">
        <v>170</v>
      </c>
      <c r="J304" s="1" t="s">
        <v>1259</v>
      </c>
      <c r="K304" s="1" t="s">
        <v>165</v>
      </c>
      <c r="L304" s="1" t="s">
        <v>156</v>
      </c>
      <c r="M304" s="1" t="s">
        <v>157</v>
      </c>
      <c r="N304" s="1" t="s">
        <v>87</v>
      </c>
      <c r="O304" s="1" t="s">
        <v>1798</v>
      </c>
      <c r="P304" s="1">
        <v>1615</v>
      </c>
      <c r="Q304" s="1">
        <v>1868</v>
      </c>
      <c r="U304" s="1" t="s">
        <v>88</v>
      </c>
      <c r="W304" s="1" t="s">
        <v>89</v>
      </c>
      <c r="X304" s="1" t="s">
        <v>1801</v>
      </c>
      <c r="Z304" s="1" t="s">
        <v>89</v>
      </c>
      <c r="AA304" s="1" t="s">
        <v>90</v>
      </c>
      <c r="AB304" s="1">
        <v>1760</v>
      </c>
      <c r="AC304" s="1">
        <v>1849</v>
      </c>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t="s">
        <v>158</v>
      </c>
      <c r="BG304" s="1">
        <v>1820</v>
      </c>
      <c r="BH304" s="1">
        <v>1842</v>
      </c>
      <c r="BI304" s="1">
        <v>1</v>
      </c>
      <c r="BJ304" s="1"/>
      <c r="BK304" s="1" t="s">
        <v>1760</v>
      </c>
      <c r="BL304" s="1" t="s">
        <v>1746</v>
      </c>
      <c r="BM304" s="1"/>
      <c r="BN304" s="1" t="s">
        <v>1106</v>
      </c>
      <c r="BO304" s="12">
        <v>9.75</v>
      </c>
      <c r="BP304" s="12">
        <v>14.75</v>
      </c>
      <c r="BQ304" s="12"/>
      <c r="BR304" s="1">
        <v>24.8</v>
      </c>
      <c r="BS304" s="1">
        <v>37.5</v>
      </c>
      <c r="BT304" s="1"/>
      <c r="BU304" s="1"/>
      <c r="BV304" s="1" t="s">
        <v>372</v>
      </c>
      <c r="BW304" s="1" t="s">
        <v>94</v>
      </c>
      <c r="BX304" s="1" t="s">
        <v>95</v>
      </c>
      <c r="BY304" s="1">
        <v>1936</v>
      </c>
      <c r="BZ304" s="1" t="s">
        <v>373</v>
      </c>
      <c r="CA304" s="1"/>
      <c r="CB304" s="1"/>
      <c r="CN304" s="1" t="s">
        <v>96</v>
      </c>
      <c r="CP304" s="8" t="str">
        <f>HYPERLINK("http://www.metmuseum.org/art/collection/search/57006","http://www.metmuseum.org/art/collection/search/57006")</f>
        <v>http://www.metmuseum.org/art/collection/search/57006</v>
      </c>
      <c r="CQ304" s="4">
        <v>42842.333402777775</v>
      </c>
      <c r="CR304" s="1" t="s">
        <v>97</v>
      </c>
    </row>
    <row r="305" spans="1:96" ht="52.5" customHeight="1" x14ac:dyDescent="0.2">
      <c r="A305" s="1" t="s">
        <v>1359</v>
      </c>
      <c r="B305" s="1" t="b">
        <v>0</v>
      </c>
      <c r="C305" s="1" t="b">
        <v>1</v>
      </c>
      <c r="D305" s="1">
        <v>57007</v>
      </c>
      <c r="E305" s="1" t="s">
        <v>85</v>
      </c>
      <c r="F305" s="1" t="s">
        <v>99</v>
      </c>
      <c r="G305" s="1" t="s">
        <v>1116</v>
      </c>
      <c r="H305" s="1" t="s">
        <v>152</v>
      </c>
      <c r="I305" s="1" t="s">
        <v>153</v>
      </c>
      <c r="J305" s="1" t="s">
        <v>183</v>
      </c>
      <c r="K305" s="1" t="s">
        <v>165</v>
      </c>
      <c r="L305" s="1" t="s">
        <v>156</v>
      </c>
      <c r="M305" s="1" t="s">
        <v>157</v>
      </c>
      <c r="N305" s="1" t="s">
        <v>87</v>
      </c>
      <c r="O305" s="1" t="s">
        <v>1798</v>
      </c>
      <c r="P305" s="1">
        <v>1615</v>
      </c>
      <c r="Q305" s="1">
        <v>1868</v>
      </c>
      <c r="U305" s="1" t="s">
        <v>88</v>
      </c>
      <c r="W305" s="1" t="s">
        <v>89</v>
      </c>
      <c r="X305" s="1" t="s">
        <v>1801</v>
      </c>
      <c r="Z305" s="1" t="s">
        <v>89</v>
      </c>
      <c r="AA305" s="1" t="s">
        <v>90</v>
      </c>
      <c r="AB305" s="1">
        <v>1760</v>
      </c>
      <c r="AC305" s="1">
        <v>1849</v>
      </c>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t="s">
        <v>158</v>
      </c>
      <c r="BG305" s="1">
        <v>1820</v>
      </c>
      <c r="BH305" s="1">
        <v>1842</v>
      </c>
      <c r="BI305" s="1">
        <v>1</v>
      </c>
      <c r="BJ305" s="1"/>
      <c r="BK305" s="1" t="s">
        <v>1760</v>
      </c>
      <c r="BL305" s="1" t="s">
        <v>1746</v>
      </c>
      <c r="BM305" s="1" t="s">
        <v>1360</v>
      </c>
      <c r="BN305" s="1" t="s">
        <v>263</v>
      </c>
      <c r="BO305" s="1">
        <v>10</v>
      </c>
      <c r="BP305" s="1">
        <v>15</v>
      </c>
      <c r="BQ305" s="1"/>
      <c r="BR305" s="1">
        <v>25.4</v>
      </c>
      <c r="BS305" s="1">
        <v>38.1</v>
      </c>
      <c r="BT305" s="1"/>
      <c r="BU305" s="1"/>
      <c r="BV305" s="1" t="s">
        <v>372</v>
      </c>
      <c r="BW305" s="1" t="s">
        <v>94</v>
      </c>
      <c r="BX305" s="1" t="s">
        <v>95</v>
      </c>
      <c r="BY305" s="1">
        <v>1936</v>
      </c>
      <c r="BZ305" s="1" t="s">
        <v>373</v>
      </c>
      <c r="CA305" s="1"/>
      <c r="CB305" s="1"/>
      <c r="CN305" s="1" t="s">
        <v>96</v>
      </c>
      <c r="CP305" s="8" t="str">
        <f>HYPERLINK("http://www.metmuseum.org/art/collection/search/57007","http://www.metmuseum.org/art/collection/search/57007")</f>
        <v>http://www.metmuseum.org/art/collection/search/57007</v>
      </c>
      <c r="CQ305" s="4">
        <v>42842.333402777775</v>
      </c>
      <c r="CR305" s="1" t="s">
        <v>97</v>
      </c>
    </row>
    <row r="306" spans="1:96" ht="52.5" customHeight="1" x14ac:dyDescent="0.2">
      <c r="A306" s="1" t="s">
        <v>1361</v>
      </c>
      <c r="B306" s="1" t="b">
        <v>0</v>
      </c>
      <c r="C306" s="1" t="b">
        <v>1</v>
      </c>
      <c r="D306" s="1">
        <v>57008</v>
      </c>
      <c r="E306" s="1" t="s">
        <v>85</v>
      </c>
      <c r="F306" s="1" t="s">
        <v>99</v>
      </c>
      <c r="G306" s="1" t="s">
        <v>1362</v>
      </c>
      <c r="H306" s="1" t="s">
        <v>1363</v>
      </c>
      <c r="I306" s="1" t="s">
        <v>1364</v>
      </c>
      <c r="J306" s="1" t="s">
        <v>1365</v>
      </c>
      <c r="K306" s="1"/>
      <c r="L306" s="1"/>
      <c r="M306" s="1"/>
      <c r="N306" s="1" t="s">
        <v>87</v>
      </c>
      <c r="O306" s="1" t="s">
        <v>1798</v>
      </c>
      <c r="P306" s="1">
        <v>1615</v>
      </c>
      <c r="Q306" s="1">
        <v>1868</v>
      </c>
      <c r="U306" s="1" t="s">
        <v>88</v>
      </c>
      <c r="W306" s="1" t="s">
        <v>89</v>
      </c>
      <c r="X306" s="1" t="s">
        <v>1801</v>
      </c>
      <c r="Z306" s="1" t="s">
        <v>89</v>
      </c>
      <c r="AA306" s="1" t="s">
        <v>90</v>
      </c>
      <c r="AB306" s="1">
        <v>1760</v>
      </c>
      <c r="AC306" s="1">
        <v>1849</v>
      </c>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t="s">
        <v>510</v>
      </c>
      <c r="BG306" s="1">
        <v>1786</v>
      </c>
      <c r="BH306" s="1">
        <v>1806</v>
      </c>
      <c r="BI306" s="1">
        <v>1</v>
      </c>
      <c r="BJ306" s="1"/>
      <c r="BK306" s="1" t="s">
        <v>1760</v>
      </c>
      <c r="BL306" s="1" t="s">
        <v>1746</v>
      </c>
      <c r="BM306" s="1"/>
      <c r="BN306" s="1" t="s">
        <v>1366</v>
      </c>
      <c r="BO306" s="12">
        <v>10.75</v>
      </c>
      <c r="BP306" s="12">
        <v>5.75</v>
      </c>
      <c r="BQ306" s="12"/>
      <c r="BR306" s="1">
        <v>27.3</v>
      </c>
      <c r="BS306" s="1">
        <v>14.6</v>
      </c>
      <c r="BT306" s="1"/>
      <c r="BU306" s="1"/>
      <c r="BV306" s="1" t="s">
        <v>372</v>
      </c>
      <c r="BW306" s="1" t="s">
        <v>94</v>
      </c>
      <c r="BX306" s="1" t="s">
        <v>95</v>
      </c>
      <c r="BY306" s="1">
        <v>1936</v>
      </c>
      <c r="BZ306" s="1" t="s">
        <v>373</v>
      </c>
      <c r="CA306" s="1"/>
      <c r="CB306" s="1"/>
      <c r="CN306" s="1" t="s">
        <v>96</v>
      </c>
      <c r="CP306" s="8" t="str">
        <f>HYPERLINK("http://www.metmuseum.org/art/collection/search/57008","http://www.metmuseum.org/art/collection/search/57008")</f>
        <v>http://www.metmuseum.org/art/collection/search/57008</v>
      </c>
      <c r="CQ306" s="4">
        <v>42842.333402777775</v>
      </c>
      <c r="CR306" s="1" t="s">
        <v>97</v>
      </c>
    </row>
    <row r="307" spans="1:96" ht="52.5" customHeight="1" x14ac:dyDescent="0.2">
      <c r="A307" s="1" t="s">
        <v>1367</v>
      </c>
      <c r="B307" s="1" t="b">
        <v>0</v>
      </c>
      <c r="C307" s="1" t="b">
        <v>1</v>
      </c>
      <c r="D307" s="1">
        <v>57009</v>
      </c>
      <c r="E307" s="1" t="s">
        <v>85</v>
      </c>
      <c r="F307" s="1" t="s">
        <v>86</v>
      </c>
      <c r="N307" s="1" t="s">
        <v>87</v>
      </c>
      <c r="O307" s="1" t="s">
        <v>1798</v>
      </c>
      <c r="P307" s="1">
        <v>1615</v>
      </c>
      <c r="Q307" s="1">
        <v>1868</v>
      </c>
      <c r="U307" s="1" t="s">
        <v>88</v>
      </c>
      <c r="W307" s="1" t="s">
        <v>89</v>
      </c>
      <c r="X307" s="1" t="s">
        <v>1801</v>
      </c>
      <c r="Z307" s="1" t="s">
        <v>89</v>
      </c>
      <c r="AA307" s="1" t="s">
        <v>90</v>
      </c>
      <c r="AB307" s="1">
        <v>1760</v>
      </c>
      <c r="AC307" s="1">
        <v>1849</v>
      </c>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t="s">
        <v>745</v>
      </c>
      <c r="BG307" s="1">
        <v>1790</v>
      </c>
      <c r="BH307" s="1">
        <v>1810</v>
      </c>
      <c r="BI307" s="1">
        <v>1</v>
      </c>
      <c r="BJ307" s="1"/>
      <c r="BK307" s="1" t="s">
        <v>1760</v>
      </c>
      <c r="BL307" s="1" t="s">
        <v>1746</v>
      </c>
      <c r="BM307" s="1"/>
      <c r="BN307" s="1" t="s">
        <v>1368</v>
      </c>
      <c r="BO307" s="12">
        <v>7.875</v>
      </c>
      <c r="BP307" s="12">
        <v>12.875</v>
      </c>
      <c r="BQ307" s="12"/>
      <c r="BR307" s="1">
        <v>20</v>
      </c>
      <c r="BS307" s="1">
        <v>32.700000000000003</v>
      </c>
      <c r="BT307" s="1"/>
      <c r="BU307" s="1"/>
      <c r="BV307" s="1" t="s">
        <v>372</v>
      </c>
      <c r="BW307" s="1" t="s">
        <v>94</v>
      </c>
      <c r="BX307" s="1" t="s">
        <v>95</v>
      </c>
      <c r="BY307" s="1">
        <v>1936</v>
      </c>
      <c r="BZ307" s="1" t="s">
        <v>373</v>
      </c>
      <c r="CA307" s="1"/>
      <c r="CB307" s="1"/>
      <c r="CN307" s="1" t="s">
        <v>96</v>
      </c>
      <c r="CP307" s="8" t="str">
        <f>HYPERLINK("http://www.metmuseum.org/art/collection/search/57009","http://www.metmuseum.org/art/collection/search/57009")</f>
        <v>http://www.metmuseum.org/art/collection/search/57009</v>
      </c>
      <c r="CQ307" s="4">
        <v>42842.333402777775</v>
      </c>
      <c r="CR307" s="1" t="s">
        <v>97</v>
      </c>
    </row>
    <row r="308" spans="1:96" ht="52.5" customHeight="1" x14ac:dyDescent="0.2">
      <c r="A308" s="1" t="s">
        <v>1369</v>
      </c>
      <c r="B308" s="1" t="b">
        <v>0</v>
      </c>
      <c r="C308" s="1" t="b">
        <v>1</v>
      </c>
      <c r="D308" s="1">
        <v>57010</v>
      </c>
      <c r="E308" s="1" t="s">
        <v>85</v>
      </c>
      <c r="F308" s="1" t="s">
        <v>86</v>
      </c>
      <c r="G308" s="1" t="s">
        <v>1370</v>
      </c>
      <c r="H308" s="1" t="s">
        <v>1371</v>
      </c>
      <c r="I308" s="1"/>
      <c r="J308" s="1" t="s">
        <v>1372</v>
      </c>
      <c r="K308" s="1"/>
      <c r="L308" s="1"/>
      <c r="M308" s="1"/>
      <c r="N308" s="1" t="s">
        <v>87</v>
      </c>
      <c r="O308" s="1" t="s">
        <v>1798</v>
      </c>
      <c r="P308" s="1">
        <v>1615</v>
      </c>
      <c r="Q308" s="1">
        <v>1868</v>
      </c>
      <c r="U308" s="1" t="s">
        <v>88</v>
      </c>
      <c r="W308" s="1" t="s">
        <v>89</v>
      </c>
      <c r="X308" s="1" t="s">
        <v>1801</v>
      </c>
      <c r="Z308" s="1" t="s">
        <v>89</v>
      </c>
      <c r="AA308" s="1" t="s">
        <v>90</v>
      </c>
      <c r="AB308" s="1">
        <v>1760</v>
      </c>
      <c r="AC308" s="1">
        <v>1849</v>
      </c>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v>1806</v>
      </c>
      <c r="BG308" s="1">
        <v>1806</v>
      </c>
      <c r="BH308" s="1">
        <v>1806</v>
      </c>
      <c r="BI308" s="1">
        <v>1</v>
      </c>
      <c r="BJ308" s="1"/>
      <c r="BK308" s="6" t="s">
        <v>99</v>
      </c>
      <c r="BL308" s="1" t="s">
        <v>1746</v>
      </c>
      <c r="BM308" s="1"/>
      <c r="BN308" s="1" t="s">
        <v>1373</v>
      </c>
      <c r="BO308" s="12">
        <v>7.875</v>
      </c>
      <c r="BP308" s="12">
        <v>11.75</v>
      </c>
      <c r="BQ308" s="12"/>
      <c r="BR308" s="1">
        <v>20</v>
      </c>
      <c r="BS308" s="1">
        <v>29.8</v>
      </c>
      <c r="BT308" s="1"/>
      <c r="BU308" s="1"/>
      <c r="BV308" s="1" t="s">
        <v>372</v>
      </c>
      <c r="BW308" s="1" t="s">
        <v>94</v>
      </c>
      <c r="BX308" s="1" t="s">
        <v>95</v>
      </c>
      <c r="BY308" s="1">
        <v>1936</v>
      </c>
      <c r="BZ308" s="1" t="s">
        <v>373</v>
      </c>
      <c r="CA308" s="1"/>
      <c r="CB308" s="1"/>
      <c r="CN308" s="1" t="s">
        <v>96</v>
      </c>
      <c r="CP308" s="8" t="str">
        <f>HYPERLINK("http://www.metmuseum.org/art/collection/search/57010","http://www.metmuseum.org/art/collection/search/57010")</f>
        <v>http://www.metmuseum.org/art/collection/search/57010</v>
      </c>
      <c r="CQ308" s="4">
        <v>42842.333402777775</v>
      </c>
      <c r="CR308" s="1" t="s">
        <v>97</v>
      </c>
    </row>
    <row r="309" spans="1:96" ht="52.5" customHeight="1" x14ac:dyDescent="0.2">
      <c r="A309" s="1" t="s">
        <v>1374</v>
      </c>
      <c r="B309" s="1" t="b">
        <v>0</v>
      </c>
      <c r="C309" s="1" t="b">
        <v>1</v>
      </c>
      <c r="D309" s="1">
        <v>57069</v>
      </c>
      <c r="E309" s="1" t="s">
        <v>85</v>
      </c>
      <c r="F309" s="1" t="s">
        <v>99</v>
      </c>
      <c r="N309" s="1" t="s">
        <v>87</v>
      </c>
      <c r="O309" s="1" t="s">
        <v>1798</v>
      </c>
      <c r="P309" s="1">
        <v>1615</v>
      </c>
      <c r="Q309" s="1">
        <v>1868</v>
      </c>
      <c r="U309" s="1" t="s">
        <v>88</v>
      </c>
      <c r="W309" s="1" t="s">
        <v>89</v>
      </c>
      <c r="X309" s="1" t="s">
        <v>1801</v>
      </c>
      <c r="Z309" s="1" t="s">
        <v>89</v>
      </c>
      <c r="AA309" s="1" t="s">
        <v>90</v>
      </c>
      <c r="AB309" s="1">
        <v>1760</v>
      </c>
      <c r="AC309" s="1">
        <v>1849</v>
      </c>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t="s">
        <v>656</v>
      </c>
      <c r="BG309" s="1">
        <v>1760</v>
      </c>
      <c r="BH309" s="1">
        <v>1849</v>
      </c>
      <c r="BI309" s="1">
        <v>1</v>
      </c>
      <c r="BJ309" s="1"/>
      <c r="BK309" s="1" t="s">
        <v>1760</v>
      </c>
      <c r="BL309" s="1" t="s">
        <v>1746</v>
      </c>
      <c r="BM309" s="1"/>
      <c r="BN309" s="1" t="s">
        <v>1375</v>
      </c>
      <c r="BO309" s="1">
        <v>14</v>
      </c>
      <c r="BP309" s="12">
        <v>6.375</v>
      </c>
      <c r="BQ309" s="12"/>
      <c r="BR309" s="1">
        <v>35.6</v>
      </c>
      <c r="BS309" s="1">
        <v>16.2</v>
      </c>
      <c r="BT309" s="1"/>
      <c r="BU309" s="1"/>
      <c r="BV309" s="1" t="s">
        <v>345</v>
      </c>
      <c r="BW309" s="1" t="s">
        <v>346</v>
      </c>
      <c r="BX309" s="1"/>
      <c r="BY309" s="1">
        <v>1939</v>
      </c>
      <c r="BZ309" s="1" t="s">
        <v>347</v>
      </c>
      <c r="CA309" s="1" t="s">
        <v>348</v>
      </c>
      <c r="CB309" s="1"/>
      <c r="CN309" s="1" t="s">
        <v>96</v>
      </c>
      <c r="CP309" s="8" t="str">
        <f>HYPERLINK("http://www.metmuseum.org/art/collection/search/57069","http://www.metmuseum.org/art/collection/search/57069")</f>
        <v>http://www.metmuseum.org/art/collection/search/57069</v>
      </c>
      <c r="CQ309" s="4">
        <v>42842.333402777775</v>
      </c>
      <c r="CR309" s="1" t="s">
        <v>97</v>
      </c>
    </row>
    <row r="310" spans="1:96" ht="52.5" customHeight="1" x14ac:dyDescent="0.2">
      <c r="A310" s="1" t="s">
        <v>1376</v>
      </c>
      <c r="B310" s="1" t="b">
        <v>0</v>
      </c>
      <c r="C310" s="1" t="b">
        <v>0</v>
      </c>
      <c r="D310" s="1">
        <v>57230</v>
      </c>
      <c r="E310" s="1" t="s">
        <v>85</v>
      </c>
      <c r="F310" s="1" t="s">
        <v>554</v>
      </c>
      <c r="N310" s="1" t="s">
        <v>87</v>
      </c>
      <c r="U310" s="1" t="s">
        <v>88</v>
      </c>
      <c r="W310" s="1" t="s">
        <v>89</v>
      </c>
      <c r="X310" s="1" t="s">
        <v>1801</v>
      </c>
      <c r="Z310" s="1" t="s">
        <v>89</v>
      </c>
      <c r="AA310" s="1" t="s">
        <v>90</v>
      </c>
      <c r="AB310" s="1">
        <v>1760</v>
      </c>
      <c r="AC310" s="1">
        <v>1849</v>
      </c>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t="s">
        <v>573</v>
      </c>
      <c r="BG310" s="1">
        <v>1760</v>
      </c>
      <c r="BH310" s="1">
        <v>1849</v>
      </c>
      <c r="BI310" s="1">
        <v>1</v>
      </c>
      <c r="BJ310" s="1"/>
      <c r="BK310" s="1" t="s">
        <v>1377</v>
      </c>
      <c r="BL310" s="1"/>
      <c r="BM310" s="1"/>
      <c r="BN310" s="1" t="s">
        <v>1378</v>
      </c>
      <c r="BO310" s="12">
        <v>7.75</v>
      </c>
      <c r="BP310" s="12">
        <v>10.875</v>
      </c>
      <c r="BQ310" s="12"/>
      <c r="BR310" s="1">
        <v>19.7</v>
      </c>
      <c r="BS310" s="1">
        <v>27.6</v>
      </c>
      <c r="BT310" s="1"/>
      <c r="BU310" s="1"/>
      <c r="BV310" s="1" t="s">
        <v>570</v>
      </c>
      <c r="BW310" s="1" t="s">
        <v>94</v>
      </c>
      <c r="BX310" s="1" t="s">
        <v>571</v>
      </c>
      <c r="BY310" s="1">
        <v>1937</v>
      </c>
      <c r="BZ310" s="1"/>
      <c r="CA310" s="1"/>
      <c r="CB310" s="1"/>
      <c r="CN310" s="1" t="s">
        <v>390</v>
      </c>
      <c r="CP310" s="8" t="str">
        <f>HYPERLINK("http://www.metmuseum.org/art/collection/search/57230","http://www.metmuseum.org/art/collection/search/57230")</f>
        <v>http://www.metmuseum.org/art/collection/search/57230</v>
      </c>
      <c r="CQ310" s="4">
        <v>42842.333402777775</v>
      </c>
      <c r="CR310" s="1" t="s">
        <v>97</v>
      </c>
    </row>
    <row r="311" spans="1:96" ht="26.25" customHeight="1" x14ac:dyDescent="0.2">
      <c r="A311" s="1" t="s">
        <v>1379</v>
      </c>
      <c r="B311" s="1" t="b">
        <v>0</v>
      </c>
      <c r="C311" s="1" t="b">
        <v>1</v>
      </c>
      <c r="D311" s="1">
        <v>57234</v>
      </c>
      <c r="E311" s="1" t="s">
        <v>85</v>
      </c>
      <c r="F311" s="1" t="s">
        <v>554</v>
      </c>
      <c r="N311" s="1" t="s">
        <v>87</v>
      </c>
      <c r="O311" s="1" t="s">
        <v>1798</v>
      </c>
      <c r="P311" s="1">
        <v>1615</v>
      </c>
      <c r="Q311" s="1">
        <v>1868</v>
      </c>
      <c r="U311" s="1" t="s">
        <v>88</v>
      </c>
      <c r="W311" s="1" t="s">
        <v>1380</v>
      </c>
      <c r="Z311" s="1" t="s">
        <v>1380</v>
      </c>
      <c r="BF311" s="1" t="s">
        <v>383</v>
      </c>
      <c r="BG311" s="1">
        <v>1800</v>
      </c>
      <c r="BH311" s="1">
        <v>1868</v>
      </c>
      <c r="BI311" s="1">
        <v>1</v>
      </c>
      <c r="BJ311" s="1"/>
      <c r="BK311" s="6" t="s">
        <v>1769</v>
      </c>
      <c r="BL311" s="1" t="s">
        <v>1749</v>
      </c>
      <c r="BM311" s="1"/>
      <c r="BN311" s="1" t="s">
        <v>1381</v>
      </c>
      <c r="BO311" s="12">
        <v>10.875</v>
      </c>
      <c r="BP311" s="12">
        <v>14.5</v>
      </c>
      <c r="BQ311" s="12"/>
      <c r="BR311" s="1">
        <v>27.6</v>
      </c>
      <c r="BS311" s="1">
        <v>36.799999999999997</v>
      </c>
      <c r="BT311" s="1"/>
      <c r="BU311" s="1"/>
      <c r="BV311" s="1" t="s">
        <v>1382</v>
      </c>
      <c r="BW311" s="1" t="s">
        <v>94</v>
      </c>
      <c r="BX311" s="1" t="s">
        <v>571</v>
      </c>
      <c r="BY311" s="1">
        <v>1938</v>
      </c>
      <c r="BZ311" s="1"/>
      <c r="CA311" s="1"/>
      <c r="CB311" s="1"/>
      <c r="CN311" s="1" t="s">
        <v>390</v>
      </c>
      <c r="CP311" s="8" t="str">
        <f>HYPERLINK("http://www.metmuseum.org/art/collection/search/57234","http://www.metmuseum.org/art/collection/search/57234")</f>
        <v>http://www.metmuseum.org/art/collection/search/57234</v>
      </c>
      <c r="CQ311" s="4">
        <v>42842.333402777775</v>
      </c>
      <c r="CR311" s="1" t="s">
        <v>97</v>
      </c>
    </row>
    <row r="312" spans="1:96" ht="26.25" customHeight="1" x14ac:dyDescent="0.2">
      <c r="A312" s="1" t="s">
        <v>1383</v>
      </c>
      <c r="B312" s="1" t="b">
        <v>0</v>
      </c>
      <c r="C312" s="1" t="b">
        <v>1</v>
      </c>
      <c r="D312" s="1">
        <v>57236</v>
      </c>
      <c r="E312" s="1" t="s">
        <v>85</v>
      </c>
      <c r="F312" s="1" t="s">
        <v>554</v>
      </c>
      <c r="N312" s="1" t="s">
        <v>87</v>
      </c>
      <c r="O312" s="1" t="s">
        <v>1798</v>
      </c>
      <c r="P312" s="1">
        <v>1615</v>
      </c>
      <c r="Q312" s="1">
        <v>1868</v>
      </c>
      <c r="U312" s="1" t="s">
        <v>88</v>
      </c>
      <c r="W312" s="1" t="s">
        <v>1380</v>
      </c>
      <c r="Z312" s="1" t="s">
        <v>1380</v>
      </c>
      <c r="BF312" s="1" t="s">
        <v>383</v>
      </c>
      <c r="BG312" s="1">
        <v>1800</v>
      </c>
      <c r="BH312" s="1">
        <v>1868</v>
      </c>
      <c r="BI312" s="1">
        <v>1</v>
      </c>
      <c r="BJ312" s="1"/>
      <c r="BK312" s="6" t="s">
        <v>1769</v>
      </c>
      <c r="BL312" s="1" t="s">
        <v>1748</v>
      </c>
      <c r="BM312" s="1"/>
      <c r="BN312" s="1" t="s">
        <v>1384</v>
      </c>
      <c r="BO312" s="12">
        <v>9.875</v>
      </c>
      <c r="BP312" s="1">
        <v>13</v>
      </c>
      <c r="BQ312" s="1"/>
      <c r="BR312" s="1">
        <v>25.1</v>
      </c>
      <c r="BS312" s="1">
        <v>33</v>
      </c>
      <c r="BT312" s="1"/>
      <c r="BU312" s="1"/>
      <c r="BV312" s="1" t="s">
        <v>1382</v>
      </c>
      <c r="BW312" s="1" t="s">
        <v>94</v>
      </c>
      <c r="BX312" s="1" t="s">
        <v>571</v>
      </c>
      <c r="BY312" s="1">
        <v>1938</v>
      </c>
      <c r="BZ312" s="1"/>
      <c r="CA312" s="1"/>
      <c r="CB312" s="1"/>
      <c r="CN312" s="1" t="s">
        <v>390</v>
      </c>
      <c r="CP312" s="8" t="str">
        <f>HYPERLINK("http://www.metmuseum.org/art/collection/search/57236","http://www.metmuseum.org/art/collection/search/57236")</f>
        <v>http://www.metmuseum.org/art/collection/search/57236</v>
      </c>
      <c r="CQ312" s="4">
        <v>42842.333402777775</v>
      </c>
      <c r="CR312" s="1" t="s">
        <v>97</v>
      </c>
    </row>
    <row r="313" spans="1:96" ht="26.25" customHeight="1" x14ac:dyDescent="0.2">
      <c r="A313" s="1" t="s">
        <v>1385</v>
      </c>
      <c r="B313" s="1" t="b">
        <v>0</v>
      </c>
      <c r="C313" s="1" t="b">
        <v>1</v>
      </c>
      <c r="D313" s="1">
        <v>57237</v>
      </c>
      <c r="E313" s="1" t="s">
        <v>85</v>
      </c>
      <c r="F313" s="1" t="s">
        <v>554</v>
      </c>
      <c r="N313" s="1" t="s">
        <v>87</v>
      </c>
      <c r="O313" s="1" t="s">
        <v>1798</v>
      </c>
      <c r="P313" s="1">
        <v>1615</v>
      </c>
      <c r="Q313" s="1">
        <v>1868</v>
      </c>
      <c r="U313" s="1" t="s">
        <v>88</v>
      </c>
      <c r="W313" s="1" t="s">
        <v>1380</v>
      </c>
      <c r="Z313" s="1" t="s">
        <v>1380</v>
      </c>
      <c r="BF313" s="1" t="s">
        <v>383</v>
      </c>
      <c r="BG313" s="1">
        <v>1800</v>
      </c>
      <c r="BH313" s="1">
        <v>1868</v>
      </c>
      <c r="BI313" s="1">
        <v>1</v>
      </c>
      <c r="BJ313" s="1"/>
      <c r="BK313" s="6" t="s">
        <v>1769</v>
      </c>
      <c r="BL313" s="1" t="s">
        <v>1748</v>
      </c>
      <c r="BM313" s="1"/>
      <c r="BN313" s="1" t="s">
        <v>1386</v>
      </c>
      <c r="BO313" s="1">
        <v>11</v>
      </c>
      <c r="BP313" s="1">
        <v>15</v>
      </c>
      <c r="BQ313" s="1"/>
      <c r="BR313" s="1">
        <v>27.9</v>
      </c>
      <c r="BS313" s="1">
        <v>38.1</v>
      </c>
      <c r="BT313" s="1"/>
      <c r="BU313" s="1"/>
      <c r="BV313" s="1" t="s">
        <v>1382</v>
      </c>
      <c r="BW313" s="1" t="s">
        <v>94</v>
      </c>
      <c r="BX313" s="1" t="s">
        <v>571</v>
      </c>
      <c r="BY313" s="1">
        <v>1938</v>
      </c>
      <c r="BZ313" s="1"/>
      <c r="CA313" s="1"/>
      <c r="CB313" s="1"/>
      <c r="CN313" s="1" t="s">
        <v>390</v>
      </c>
      <c r="CP313" s="8" t="str">
        <f>HYPERLINK("http://www.metmuseum.org/art/collection/search/57237","http://www.metmuseum.org/art/collection/search/57237")</f>
        <v>http://www.metmuseum.org/art/collection/search/57237</v>
      </c>
      <c r="CQ313" s="4">
        <v>42842.333402777775</v>
      </c>
      <c r="CR313" s="1" t="s">
        <v>97</v>
      </c>
    </row>
    <row r="314" spans="1:96" ht="26.25" customHeight="1" x14ac:dyDescent="0.2">
      <c r="A314" s="1" t="s">
        <v>1387</v>
      </c>
      <c r="B314" s="1" t="b">
        <v>0</v>
      </c>
      <c r="C314" s="1" t="b">
        <v>1</v>
      </c>
      <c r="D314" s="1">
        <v>57240</v>
      </c>
      <c r="E314" s="1" t="s">
        <v>85</v>
      </c>
      <c r="F314" s="1" t="s">
        <v>554</v>
      </c>
      <c r="N314" s="1" t="s">
        <v>87</v>
      </c>
      <c r="O314" s="1" t="s">
        <v>1798</v>
      </c>
      <c r="P314" s="1">
        <v>1615</v>
      </c>
      <c r="Q314" s="1">
        <v>1868</v>
      </c>
      <c r="U314" s="1" t="s">
        <v>88</v>
      </c>
      <c r="W314" s="1" t="s">
        <v>1380</v>
      </c>
      <c r="Z314" s="1" t="s">
        <v>1380</v>
      </c>
      <c r="BF314" s="1" t="s">
        <v>383</v>
      </c>
      <c r="BG314" s="1">
        <v>1800</v>
      </c>
      <c r="BH314" s="1">
        <v>1868</v>
      </c>
      <c r="BI314" s="1">
        <v>1</v>
      </c>
      <c r="BJ314" s="1"/>
      <c r="BK314" s="6" t="s">
        <v>1769</v>
      </c>
      <c r="BL314" s="1" t="s">
        <v>1749</v>
      </c>
      <c r="BM314" s="1"/>
      <c r="BN314" s="1" t="s">
        <v>1388</v>
      </c>
      <c r="BO314" s="1">
        <v>11</v>
      </c>
      <c r="BP314" s="1">
        <v>16</v>
      </c>
      <c r="BQ314" s="1"/>
      <c r="BR314" s="1">
        <v>27.9</v>
      </c>
      <c r="BS314" s="1">
        <v>40.6</v>
      </c>
      <c r="BT314" s="1"/>
      <c r="BU314" s="1"/>
      <c r="BV314" s="1" t="s">
        <v>1382</v>
      </c>
      <c r="BW314" s="1" t="s">
        <v>94</v>
      </c>
      <c r="BX314" s="1" t="s">
        <v>571</v>
      </c>
      <c r="BY314" s="1">
        <v>1938</v>
      </c>
      <c r="BZ314" s="1"/>
      <c r="CA314" s="1"/>
      <c r="CB314" s="1"/>
      <c r="CN314" s="1" t="s">
        <v>390</v>
      </c>
      <c r="CP314" s="8" t="str">
        <f>HYPERLINK("http://www.metmuseum.org/art/collection/search/57240","http://www.metmuseum.org/art/collection/search/57240")</f>
        <v>http://www.metmuseum.org/art/collection/search/57240</v>
      </c>
      <c r="CQ314" s="4">
        <v>42842.333402777775</v>
      </c>
      <c r="CR314" s="1" t="s">
        <v>97</v>
      </c>
    </row>
    <row r="315" spans="1:96" ht="26.25" customHeight="1" x14ac:dyDescent="0.2">
      <c r="A315" s="1" t="s">
        <v>1389</v>
      </c>
      <c r="B315" s="1" t="b">
        <v>0</v>
      </c>
      <c r="C315" s="1" t="b">
        <v>1</v>
      </c>
      <c r="D315" s="1">
        <v>57241</v>
      </c>
      <c r="E315" s="1" t="s">
        <v>85</v>
      </c>
      <c r="F315" s="1" t="s">
        <v>554</v>
      </c>
      <c r="N315" s="1" t="s">
        <v>87</v>
      </c>
      <c r="O315" s="1" t="s">
        <v>1798</v>
      </c>
      <c r="P315" s="1">
        <v>1615</v>
      </c>
      <c r="Q315" s="6">
        <v>1868</v>
      </c>
      <c r="U315" s="1" t="s">
        <v>88</v>
      </c>
      <c r="W315" s="1" t="s">
        <v>1380</v>
      </c>
      <c r="Z315" s="1" t="s">
        <v>1380</v>
      </c>
      <c r="BF315" s="1" t="s">
        <v>383</v>
      </c>
      <c r="BG315" s="1">
        <v>1800</v>
      </c>
      <c r="BH315" s="1">
        <v>1868</v>
      </c>
      <c r="BI315" s="1">
        <v>1</v>
      </c>
      <c r="BJ315" s="1"/>
      <c r="BK315" s="6" t="s">
        <v>1769</v>
      </c>
      <c r="BL315" s="1" t="s">
        <v>1748</v>
      </c>
      <c r="BM315" s="1"/>
      <c r="BN315" s="1" t="s">
        <v>1390</v>
      </c>
      <c r="BO315" s="12">
        <v>10.5</v>
      </c>
      <c r="BP315" s="12">
        <v>14.5</v>
      </c>
      <c r="BQ315" s="12"/>
      <c r="BR315" s="1">
        <v>26.7</v>
      </c>
      <c r="BS315" s="1">
        <v>36.799999999999997</v>
      </c>
      <c r="BT315" s="1"/>
      <c r="BU315" s="1"/>
      <c r="BV315" s="1" t="s">
        <v>1382</v>
      </c>
      <c r="BW315" s="1" t="s">
        <v>94</v>
      </c>
      <c r="BX315" s="1" t="s">
        <v>571</v>
      </c>
      <c r="BY315" s="1">
        <v>1938</v>
      </c>
      <c r="BZ315" s="1"/>
      <c r="CA315" s="1"/>
      <c r="CB315" s="1"/>
      <c r="CN315" s="1" t="s">
        <v>390</v>
      </c>
      <c r="CP315" s="8" t="str">
        <f>HYPERLINK("http://www.metmuseum.org/art/collection/search/57241","http://www.metmuseum.org/art/collection/search/57241")</f>
        <v>http://www.metmuseum.org/art/collection/search/57241</v>
      </c>
      <c r="CQ315" s="4">
        <v>42842.333402777775</v>
      </c>
      <c r="CR315" s="1" t="s">
        <v>97</v>
      </c>
    </row>
    <row r="316" spans="1:96" ht="52.5" customHeight="1" x14ac:dyDescent="0.2">
      <c r="A316" s="1" t="s">
        <v>1391</v>
      </c>
      <c r="B316" s="1" t="b">
        <v>0</v>
      </c>
      <c r="C316" s="1" t="b">
        <v>1</v>
      </c>
      <c r="D316" s="1">
        <v>57252</v>
      </c>
      <c r="E316" s="1" t="s">
        <v>85</v>
      </c>
      <c r="F316" s="1" t="s">
        <v>1392</v>
      </c>
      <c r="N316" s="1" t="s">
        <v>87</v>
      </c>
      <c r="O316" s="1" t="s">
        <v>1798</v>
      </c>
      <c r="P316" s="1">
        <v>1615</v>
      </c>
      <c r="Q316" s="1">
        <v>1868</v>
      </c>
      <c r="U316" s="1" t="s">
        <v>88</v>
      </c>
      <c r="V316" s="1" t="s">
        <v>530</v>
      </c>
      <c r="W316" s="1" t="s">
        <v>89</v>
      </c>
      <c r="X316" s="1" t="s">
        <v>1801</v>
      </c>
      <c r="Z316" s="1" t="s">
        <v>89</v>
      </c>
      <c r="AA316" s="1" t="s">
        <v>90</v>
      </c>
      <c r="AB316" s="1">
        <v>1760</v>
      </c>
      <c r="AC316" s="1">
        <v>1849</v>
      </c>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t="s">
        <v>573</v>
      </c>
      <c r="BG316" s="1">
        <v>1760</v>
      </c>
      <c r="BH316" s="1">
        <v>1849</v>
      </c>
      <c r="BI316" s="1">
        <v>1</v>
      </c>
      <c r="BJ316" s="1"/>
      <c r="BK316" s="1"/>
      <c r="BL316" s="1" t="s">
        <v>1748</v>
      </c>
      <c r="BM316" s="1"/>
      <c r="BN316" s="1" t="s">
        <v>1394</v>
      </c>
      <c r="BO316" s="11">
        <v>9.4375</v>
      </c>
      <c r="BP316" s="12">
        <v>12.375</v>
      </c>
      <c r="BQ316" s="12"/>
      <c r="BR316" s="1">
        <v>24</v>
      </c>
      <c r="BS316" s="1">
        <v>31.4</v>
      </c>
      <c r="BT316" s="1"/>
      <c r="BU316" s="1"/>
      <c r="BV316" s="1" t="s">
        <v>575</v>
      </c>
      <c r="BW316" s="1" t="s">
        <v>386</v>
      </c>
      <c r="BX316" s="1"/>
      <c r="BY316" s="1">
        <v>1956</v>
      </c>
      <c r="BZ316" s="1"/>
      <c r="CA316" s="1" t="s">
        <v>576</v>
      </c>
      <c r="CB316" s="1" t="s">
        <v>577</v>
      </c>
      <c r="CN316" s="1" t="s">
        <v>390</v>
      </c>
      <c r="CP316" s="8" t="str">
        <f>HYPERLINK("http://www.metmuseum.org/art/collection/search/57252","http://www.metmuseum.org/art/collection/search/57252")</f>
        <v>http://www.metmuseum.org/art/collection/search/57252</v>
      </c>
      <c r="CQ316" s="4">
        <v>42842.333402777775</v>
      </c>
      <c r="CR316" s="1" t="s">
        <v>97</v>
      </c>
    </row>
    <row r="317" spans="1:96" ht="52.5" customHeight="1" x14ac:dyDescent="0.2">
      <c r="A317" s="1" t="s">
        <v>1395</v>
      </c>
      <c r="B317" s="1" t="b">
        <v>0</v>
      </c>
      <c r="C317" s="1" t="b">
        <v>1</v>
      </c>
      <c r="D317" s="1">
        <v>57253</v>
      </c>
      <c r="E317" s="1" t="s">
        <v>85</v>
      </c>
      <c r="F317" s="1" t="s">
        <v>1392</v>
      </c>
      <c r="N317" s="1" t="s">
        <v>87</v>
      </c>
      <c r="O317" s="1" t="s">
        <v>1798</v>
      </c>
      <c r="P317" s="1">
        <v>1615</v>
      </c>
      <c r="Q317" s="1">
        <v>1868</v>
      </c>
      <c r="U317" s="1" t="s">
        <v>88</v>
      </c>
      <c r="V317" s="1" t="s">
        <v>530</v>
      </c>
      <c r="W317" s="1" t="s">
        <v>89</v>
      </c>
      <c r="X317" s="1" t="s">
        <v>1801</v>
      </c>
      <c r="Z317" s="1" t="s">
        <v>89</v>
      </c>
      <c r="AA317" s="1" t="s">
        <v>90</v>
      </c>
      <c r="AB317" s="1">
        <v>1760</v>
      </c>
      <c r="AC317" s="1">
        <v>1849</v>
      </c>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t="s">
        <v>573</v>
      </c>
      <c r="BG317" s="1">
        <v>1760</v>
      </c>
      <c r="BH317" s="1">
        <v>1849</v>
      </c>
      <c r="BI317" s="1">
        <v>1</v>
      </c>
      <c r="BJ317" s="1"/>
      <c r="BK317" s="1"/>
      <c r="BL317" s="1" t="s">
        <v>1748</v>
      </c>
      <c r="BM317" s="1"/>
      <c r="BN317" s="1" t="s">
        <v>1396</v>
      </c>
      <c r="BO317" s="12">
        <v>6.875</v>
      </c>
      <c r="BP317" s="12">
        <v>9.375</v>
      </c>
      <c r="BQ317" s="12"/>
      <c r="BR317" s="1">
        <v>17.5</v>
      </c>
      <c r="BS317" s="1">
        <v>23.8</v>
      </c>
      <c r="BT317" s="1"/>
      <c r="BU317" s="1"/>
      <c r="BV317" s="1" t="s">
        <v>575</v>
      </c>
      <c r="BW317" s="1" t="s">
        <v>386</v>
      </c>
      <c r="BX317" s="1"/>
      <c r="BY317" s="1">
        <v>1956</v>
      </c>
      <c r="BZ317" s="1"/>
      <c r="CA317" s="1" t="s">
        <v>576</v>
      </c>
      <c r="CB317" s="1" t="s">
        <v>577</v>
      </c>
      <c r="CN317" s="1" t="s">
        <v>390</v>
      </c>
      <c r="CP317" s="8" t="str">
        <f>HYPERLINK("http://www.metmuseum.org/art/collection/search/57253","http://www.metmuseum.org/art/collection/search/57253")</f>
        <v>http://www.metmuseum.org/art/collection/search/57253</v>
      </c>
      <c r="CQ317" s="4">
        <v>42842.333402777775</v>
      </c>
      <c r="CR317" s="1" t="s">
        <v>97</v>
      </c>
    </row>
    <row r="318" spans="1:96" ht="52.5" customHeight="1" x14ac:dyDescent="0.2">
      <c r="A318" s="1" t="s">
        <v>1397</v>
      </c>
      <c r="B318" s="1" t="b">
        <v>0</v>
      </c>
      <c r="C318" s="1" t="b">
        <v>1</v>
      </c>
      <c r="D318" s="1">
        <v>57254</v>
      </c>
      <c r="E318" s="1" t="s">
        <v>85</v>
      </c>
      <c r="F318" s="1" t="s">
        <v>1392</v>
      </c>
      <c r="N318" s="1" t="s">
        <v>87</v>
      </c>
      <c r="O318" s="1" t="s">
        <v>1798</v>
      </c>
      <c r="P318" s="1">
        <v>1615</v>
      </c>
      <c r="Q318" s="1">
        <v>1868</v>
      </c>
      <c r="U318" s="1" t="s">
        <v>88</v>
      </c>
      <c r="V318" s="1" t="s">
        <v>530</v>
      </c>
      <c r="W318" s="1" t="s">
        <v>89</v>
      </c>
      <c r="X318" s="1" t="s">
        <v>1801</v>
      </c>
      <c r="Z318" s="1" t="s">
        <v>89</v>
      </c>
      <c r="AA318" s="1" t="s">
        <v>90</v>
      </c>
      <c r="AB318" s="1">
        <v>1760</v>
      </c>
      <c r="AC318" s="1">
        <v>1849</v>
      </c>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t="s">
        <v>573</v>
      </c>
      <c r="BG318" s="1">
        <v>1760</v>
      </c>
      <c r="BH318" s="1">
        <v>1849</v>
      </c>
      <c r="BI318" s="1">
        <v>1</v>
      </c>
      <c r="BJ318" s="1"/>
      <c r="BK318" s="1"/>
      <c r="BL318" s="1" t="s">
        <v>1748</v>
      </c>
      <c r="BM318" s="1"/>
      <c r="BN318" s="1" t="s">
        <v>1398</v>
      </c>
      <c r="BO318" s="12">
        <v>9.5</v>
      </c>
      <c r="BP318" s="12">
        <v>12.875</v>
      </c>
      <c r="BQ318" s="12"/>
      <c r="BR318" s="1">
        <v>24.1</v>
      </c>
      <c r="BS318" s="1">
        <v>32.700000000000003</v>
      </c>
      <c r="BT318" s="1"/>
      <c r="BU318" s="1"/>
      <c r="BV318" s="1" t="s">
        <v>575</v>
      </c>
      <c r="BW318" s="1" t="s">
        <v>386</v>
      </c>
      <c r="BX318" s="1"/>
      <c r="BY318" s="1">
        <v>1956</v>
      </c>
      <c r="BZ318" s="1"/>
      <c r="CA318" s="1" t="s">
        <v>576</v>
      </c>
      <c r="CB318" s="1" t="s">
        <v>577</v>
      </c>
      <c r="CN318" s="1" t="s">
        <v>390</v>
      </c>
      <c r="CP318" s="8" t="str">
        <f>HYPERLINK("http://www.metmuseum.org/art/collection/search/57254","http://www.metmuseum.org/art/collection/search/57254")</f>
        <v>http://www.metmuseum.org/art/collection/search/57254</v>
      </c>
      <c r="CQ318" s="4">
        <v>42842.333402777775</v>
      </c>
      <c r="CR318" s="1" t="s">
        <v>97</v>
      </c>
    </row>
    <row r="319" spans="1:96" ht="52.5" customHeight="1" x14ac:dyDescent="0.2">
      <c r="A319" s="1" t="s">
        <v>1399</v>
      </c>
      <c r="B319" s="1" t="b">
        <v>0</v>
      </c>
      <c r="C319" s="1" t="b">
        <v>1</v>
      </c>
      <c r="D319" s="1">
        <v>57255</v>
      </c>
      <c r="E319" s="1" t="s">
        <v>85</v>
      </c>
      <c r="F319" s="1" t="s">
        <v>1392</v>
      </c>
      <c r="N319" s="1" t="s">
        <v>87</v>
      </c>
      <c r="O319" s="1" t="s">
        <v>1798</v>
      </c>
      <c r="P319" s="1">
        <v>1615</v>
      </c>
      <c r="Q319" s="1">
        <v>1868</v>
      </c>
      <c r="U319" s="1" t="s">
        <v>88</v>
      </c>
      <c r="V319" s="1" t="s">
        <v>530</v>
      </c>
      <c r="W319" s="1" t="s">
        <v>89</v>
      </c>
      <c r="X319" s="1" t="s">
        <v>1801</v>
      </c>
      <c r="Z319" s="1" t="s">
        <v>89</v>
      </c>
      <c r="AA319" s="1" t="s">
        <v>90</v>
      </c>
      <c r="AB319" s="1">
        <v>1760</v>
      </c>
      <c r="AC319" s="1">
        <v>1849</v>
      </c>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t="s">
        <v>573</v>
      </c>
      <c r="BG319" s="1">
        <v>1760</v>
      </c>
      <c r="BH319" s="1">
        <v>1849</v>
      </c>
      <c r="BI319" s="1">
        <v>1</v>
      </c>
      <c r="BJ319" s="1"/>
      <c r="BK319" s="1"/>
      <c r="BL319" s="1" t="s">
        <v>1746</v>
      </c>
      <c r="BM319" s="1"/>
      <c r="BN319" s="1" t="s">
        <v>1400</v>
      </c>
      <c r="BO319" s="12">
        <v>9.375</v>
      </c>
      <c r="BP319" s="11">
        <v>13.9375</v>
      </c>
      <c r="BQ319" s="11"/>
      <c r="BR319" s="1">
        <v>23.8</v>
      </c>
      <c r="BS319" s="1">
        <v>35.4</v>
      </c>
      <c r="BT319" s="1"/>
      <c r="BU319" s="1"/>
      <c r="BV319" s="1" t="s">
        <v>575</v>
      </c>
      <c r="BW319" s="1" t="s">
        <v>386</v>
      </c>
      <c r="BX319" s="1"/>
      <c r="BY319" s="1">
        <v>1956</v>
      </c>
      <c r="BZ319" s="1"/>
      <c r="CA319" s="1" t="s">
        <v>576</v>
      </c>
      <c r="CB319" s="1" t="s">
        <v>577</v>
      </c>
      <c r="CN319" s="1" t="s">
        <v>390</v>
      </c>
      <c r="CP319" s="8" t="str">
        <f>HYPERLINK("http://www.metmuseum.org/art/collection/search/57255","http://www.metmuseum.org/art/collection/search/57255")</f>
        <v>http://www.metmuseum.org/art/collection/search/57255</v>
      </c>
      <c r="CQ319" s="4">
        <v>42842.333402777775</v>
      </c>
      <c r="CR319" s="1" t="s">
        <v>97</v>
      </c>
    </row>
    <row r="320" spans="1:96" ht="52.5" customHeight="1" x14ac:dyDescent="0.2">
      <c r="A320" s="1" t="s">
        <v>1401</v>
      </c>
      <c r="B320" s="1" t="b">
        <v>0</v>
      </c>
      <c r="C320" s="1" t="b">
        <v>1</v>
      </c>
      <c r="D320" s="1">
        <v>57256</v>
      </c>
      <c r="E320" s="1" t="s">
        <v>85</v>
      </c>
      <c r="F320" s="1" t="s">
        <v>1392</v>
      </c>
      <c r="N320" s="1" t="s">
        <v>87</v>
      </c>
      <c r="O320" s="1" t="s">
        <v>1798</v>
      </c>
      <c r="P320" s="1">
        <v>1615</v>
      </c>
      <c r="Q320" s="1">
        <v>1868</v>
      </c>
      <c r="U320" s="1" t="s">
        <v>88</v>
      </c>
      <c r="V320" s="1" t="s">
        <v>530</v>
      </c>
      <c r="W320" s="1" t="s">
        <v>89</v>
      </c>
      <c r="X320" s="1" t="s">
        <v>1801</v>
      </c>
      <c r="Z320" s="1" t="s">
        <v>89</v>
      </c>
      <c r="AA320" s="1" t="s">
        <v>90</v>
      </c>
      <c r="AB320" s="1">
        <v>1760</v>
      </c>
      <c r="AC320" s="1">
        <v>1849</v>
      </c>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t="s">
        <v>573</v>
      </c>
      <c r="BG320" s="1">
        <v>1760</v>
      </c>
      <c r="BH320" s="1">
        <v>1849</v>
      </c>
      <c r="BI320" s="1">
        <v>1</v>
      </c>
      <c r="BJ320" s="1"/>
      <c r="BK320" s="1"/>
      <c r="BL320" s="1" t="s">
        <v>1748</v>
      </c>
      <c r="BM320" s="1"/>
      <c r="BN320" s="1" t="s">
        <v>1402</v>
      </c>
      <c r="BO320" s="12">
        <v>10.875</v>
      </c>
      <c r="BP320" s="11">
        <v>7.5625</v>
      </c>
      <c r="BQ320" s="11"/>
      <c r="BR320" s="1">
        <v>27.6</v>
      </c>
      <c r="BS320" s="1">
        <v>19.2</v>
      </c>
      <c r="BT320" s="1"/>
      <c r="BU320" s="1"/>
      <c r="BV320" s="1" t="s">
        <v>575</v>
      </c>
      <c r="BW320" s="1" t="s">
        <v>386</v>
      </c>
      <c r="BX320" s="1"/>
      <c r="BY320" s="1">
        <v>1956</v>
      </c>
      <c r="BZ320" s="1"/>
      <c r="CA320" s="1" t="s">
        <v>576</v>
      </c>
      <c r="CB320" s="1" t="s">
        <v>577</v>
      </c>
      <c r="CN320" s="1" t="s">
        <v>390</v>
      </c>
      <c r="CP320" s="8" t="str">
        <f>HYPERLINK("http://www.metmuseum.org/art/collection/search/57256","http://www.metmuseum.org/art/collection/search/57256")</f>
        <v>http://www.metmuseum.org/art/collection/search/57256</v>
      </c>
      <c r="CQ320" s="4">
        <v>42842.333402777775</v>
      </c>
      <c r="CR320" s="1" t="s">
        <v>97</v>
      </c>
    </row>
    <row r="321" spans="1:96" ht="52.5" customHeight="1" x14ac:dyDescent="0.2">
      <c r="A321" s="1" t="s">
        <v>1403</v>
      </c>
      <c r="B321" s="1" t="b">
        <v>0</v>
      </c>
      <c r="C321" s="1" t="b">
        <v>1</v>
      </c>
      <c r="D321" s="1">
        <v>57257</v>
      </c>
      <c r="E321" s="1" t="s">
        <v>85</v>
      </c>
      <c r="F321" s="1" t="s">
        <v>1392</v>
      </c>
      <c r="N321" s="1" t="s">
        <v>87</v>
      </c>
      <c r="O321" s="1" t="s">
        <v>1798</v>
      </c>
      <c r="P321" s="1">
        <v>1615</v>
      </c>
      <c r="Q321" s="1">
        <v>1868</v>
      </c>
      <c r="U321" s="1" t="s">
        <v>88</v>
      </c>
      <c r="V321" s="1" t="s">
        <v>530</v>
      </c>
      <c r="W321" s="1" t="s">
        <v>89</v>
      </c>
      <c r="X321" s="1" t="s">
        <v>1801</v>
      </c>
      <c r="Z321" s="1" t="s">
        <v>89</v>
      </c>
      <c r="AA321" s="1" t="s">
        <v>90</v>
      </c>
      <c r="AB321" s="1">
        <v>1760</v>
      </c>
      <c r="AC321" s="1">
        <v>1849</v>
      </c>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t="s">
        <v>573</v>
      </c>
      <c r="BG321" s="1">
        <v>1760</v>
      </c>
      <c r="BH321" s="1">
        <v>1849</v>
      </c>
      <c r="BI321" s="1">
        <v>1</v>
      </c>
      <c r="BJ321" s="1"/>
      <c r="BK321" s="1"/>
      <c r="BL321" s="1" t="s">
        <v>1748</v>
      </c>
      <c r="BM321" s="1"/>
      <c r="BN321" s="1" t="s">
        <v>1404</v>
      </c>
      <c r="BO321" s="11">
        <v>13.0625</v>
      </c>
      <c r="BP321" s="12">
        <v>9.75</v>
      </c>
      <c r="BQ321" s="12"/>
      <c r="BR321" s="1">
        <v>33.200000000000003</v>
      </c>
      <c r="BS321" s="1">
        <v>24.8</v>
      </c>
      <c r="BT321" s="1"/>
      <c r="BU321" s="1"/>
      <c r="BV321" s="1" t="s">
        <v>575</v>
      </c>
      <c r="BW321" s="1" t="s">
        <v>386</v>
      </c>
      <c r="BX321" s="1"/>
      <c r="BY321" s="1">
        <v>1956</v>
      </c>
      <c r="BZ321" s="1"/>
      <c r="CA321" s="1" t="s">
        <v>576</v>
      </c>
      <c r="CB321" s="1" t="s">
        <v>577</v>
      </c>
      <c r="CN321" s="1" t="s">
        <v>390</v>
      </c>
      <c r="CP321" s="8" t="str">
        <f>HYPERLINK("http://www.metmuseum.org/art/collection/search/57257","http://www.metmuseum.org/art/collection/search/57257")</f>
        <v>http://www.metmuseum.org/art/collection/search/57257</v>
      </c>
      <c r="CQ321" s="4">
        <v>42842.333402777775</v>
      </c>
      <c r="CR321" s="1" t="s">
        <v>97</v>
      </c>
    </row>
    <row r="322" spans="1:96" ht="52.5" customHeight="1" x14ac:dyDescent="0.2">
      <c r="A322" s="1" t="s">
        <v>1405</v>
      </c>
      <c r="B322" s="1" t="b">
        <v>0</v>
      </c>
      <c r="C322" s="1" t="b">
        <v>1</v>
      </c>
      <c r="D322" s="1">
        <v>57258</v>
      </c>
      <c r="E322" s="1" t="s">
        <v>85</v>
      </c>
      <c r="F322" s="1" t="s">
        <v>1392</v>
      </c>
      <c r="N322" s="1" t="s">
        <v>87</v>
      </c>
      <c r="O322" s="1" t="s">
        <v>1798</v>
      </c>
      <c r="P322" s="1">
        <v>1615</v>
      </c>
      <c r="Q322" s="1">
        <v>1868</v>
      </c>
      <c r="U322" s="1" t="s">
        <v>88</v>
      </c>
      <c r="V322" s="1" t="s">
        <v>530</v>
      </c>
      <c r="W322" s="1" t="s">
        <v>89</v>
      </c>
      <c r="X322" s="1" t="s">
        <v>1801</v>
      </c>
      <c r="Z322" s="1" t="s">
        <v>89</v>
      </c>
      <c r="AA322" s="1" t="s">
        <v>90</v>
      </c>
      <c r="AB322" s="1">
        <v>1760</v>
      </c>
      <c r="AC322" s="1">
        <v>1849</v>
      </c>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t="s">
        <v>573</v>
      </c>
      <c r="BG322" s="1">
        <v>1760</v>
      </c>
      <c r="BH322" s="1">
        <v>1849</v>
      </c>
      <c r="BI322" s="1">
        <v>1</v>
      </c>
      <c r="BJ322" s="1"/>
      <c r="BK322" s="1"/>
      <c r="BL322" s="1" t="s">
        <v>1746</v>
      </c>
      <c r="BM322" s="1"/>
      <c r="BN322" s="1" t="s">
        <v>1406</v>
      </c>
      <c r="BO322" s="12">
        <v>9.625</v>
      </c>
      <c r="BP322" s="12">
        <v>12.375</v>
      </c>
      <c r="BQ322" s="12"/>
      <c r="BR322" s="1">
        <v>24.4</v>
      </c>
      <c r="BS322" s="1">
        <v>31.4</v>
      </c>
      <c r="BT322" s="1"/>
      <c r="BU322" s="1"/>
      <c r="BV322" s="1" t="s">
        <v>575</v>
      </c>
      <c r="BW322" s="1" t="s">
        <v>386</v>
      </c>
      <c r="BX322" s="1"/>
      <c r="BY322" s="1">
        <v>1956</v>
      </c>
      <c r="BZ322" s="1"/>
      <c r="CA322" s="1" t="s">
        <v>576</v>
      </c>
      <c r="CB322" s="1" t="s">
        <v>577</v>
      </c>
      <c r="CN322" s="1" t="s">
        <v>390</v>
      </c>
      <c r="CP322" s="8" t="str">
        <f>HYPERLINK("http://www.metmuseum.org/art/collection/search/57258","http://www.metmuseum.org/art/collection/search/57258")</f>
        <v>http://www.metmuseum.org/art/collection/search/57258</v>
      </c>
      <c r="CQ322" s="4">
        <v>42842.333402777775</v>
      </c>
      <c r="CR322" s="1" t="s">
        <v>97</v>
      </c>
    </row>
    <row r="323" spans="1:96" ht="52.5" customHeight="1" x14ac:dyDescent="0.2">
      <c r="A323" s="1" t="s">
        <v>1407</v>
      </c>
      <c r="B323" s="1" t="b">
        <v>0</v>
      </c>
      <c r="C323" s="1" t="b">
        <v>1</v>
      </c>
      <c r="D323" s="1">
        <v>57259</v>
      </c>
      <c r="E323" s="1" t="s">
        <v>85</v>
      </c>
      <c r="F323" s="1" t="s">
        <v>1392</v>
      </c>
      <c r="N323" s="1" t="s">
        <v>87</v>
      </c>
      <c r="O323" s="1" t="s">
        <v>1798</v>
      </c>
      <c r="P323" s="1">
        <v>1615</v>
      </c>
      <c r="Q323" s="1">
        <v>1868</v>
      </c>
      <c r="U323" s="1" t="s">
        <v>88</v>
      </c>
      <c r="V323" s="1" t="s">
        <v>530</v>
      </c>
      <c r="W323" s="1" t="s">
        <v>89</v>
      </c>
      <c r="X323" s="1" t="s">
        <v>1801</v>
      </c>
      <c r="Z323" s="1" t="s">
        <v>89</v>
      </c>
      <c r="AA323" s="1" t="s">
        <v>90</v>
      </c>
      <c r="AB323" s="1">
        <v>1760</v>
      </c>
      <c r="AC323" s="1">
        <v>1849</v>
      </c>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t="s">
        <v>573</v>
      </c>
      <c r="BG323" s="1">
        <v>1760</v>
      </c>
      <c r="BH323" s="1">
        <v>1849</v>
      </c>
      <c r="BI323" s="1">
        <v>1</v>
      </c>
      <c r="BJ323" s="1"/>
      <c r="BK323" s="1"/>
      <c r="BL323" s="1" t="s">
        <v>1746</v>
      </c>
      <c r="BM323" s="1"/>
      <c r="BN323" s="1" t="s">
        <v>1408</v>
      </c>
      <c r="BO323" s="1">
        <v>13</v>
      </c>
      <c r="BP323" s="12">
        <v>9.25</v>
      </c>
      <c r="BQ323" s="12"/>
      <c r="BR323" s="1">
        <v>33</v>
      </c>
      <c r="BS323" s="1">
        <v>23.5</v>
      </c>
      <c r="BT323" s="1"/>
      <c r="BU323" s="1"/>
      <c r="BV323" s="1" t="s">
        <v>575</v>
      </c>
      <c r="BW323" s="1" t="s">
        <v>386</v>
      </c>
      <c r="BX323" s="1"/>
      <c r="BY323" s="1">
        <v>1956</v>
      </c>
      <c r="BZ323" s="1"/>
      <c r="CA323" s="1" t="s">
        <v>576</v>
      </c>
      <c r="CB323" s="1" t="s">
        <v>577</v>
      </c>
      <c r="CN323" s="1" t="s">
        <v>390</v>
      </c>
      <c r="CP323" s="8" t="str">
        <f>HYPERLINK("http://www.metmuseum.org/art/collection/search/57259","http://www.metmuseum.org/art/collection/search/57259")</f>
        <v>http://www.metmuseum.org/art/collection/search/57259</v>
      </c>
      <c r="CQ323" s="4">
        <v>42842.333402777775</v>
      </c>
      <c r="CR323" s="1" t="s">
        <v>97</v>
      </c>
    </row>
    <row r="324" spans="1:96" ht="52.5" customHeight="1" x14ac:dyDescent="0.2">
      <c r="A324" s="1" t="s">
        <v>1409</v>
      </c>
      <c r="B324" s="1" t="b">
        <v>0</v>
      </c>
      <c r="C324" s="1" t="b">
        <v>1</v>
      </c>
      <c r="D324" s="1">
        <v>57260</v>
      </c>
      <c r="E324" s="1" t="s">
        <v>85</v>
      </c>
      <c r="F324" s="1" t="s">
        <v>1392</v>
      </c>
      <c r="N324" s="1" t="s">
        <v>87</v>
      </c>
      <c r="O324" s="1" t="s">
        <v>1798</v>
      </c>
      <c r="P324" s="1">
        <v>1615</v>
      </c>
      <c r="Q324" s="1">
        <v>1868</v>
      </c>
      <c r="U324" s="1" t="s">
        <v>88</v>
      </c>
      <c r="V324" s="1" t="s">
        <v>530</v>
      </c>
      <c r="W324" s="1" t="s">
        <v>89</v>
      </c>
      <c r="X324" s="1" t="s">
        <v>1801</v>
      </c>
      <c r="Z324" s="1" t="s">
        <v>89</v>
      </c>
      <c r="AA324" s="1" t="s">
        <v>90</v>
      </c>
      <c r="AB324" s="1">
        <v>1760</v>
      </c>
      <c r="AC324" s="1">
        <v>1849</v>
      </c>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t="s">
        <v>573</v>
      </c>
      <c r="BG324" s="1">
        <v>1760</v>
      </c>
      <c r="BH324" s="1">
        <v>1849</v>
      </c>
      <c r="BI324" s="1">
        <v>1</v>
      </c>
      <c r="BJ324" s="1"/>
      <c r="BK324" s="1"/>
      <c r="BL324" s="1" t="s">
        <v>1748</v>
      </c>
      <c r="BM324" s="1"/>
      <c r="BN324" s="1" t="s">
        <v>1410</v>
      </c>
      <c r="BO324" s="12">
        <v>18.5</v>
      </c>
      <c r="BP324" s="11">
        <v>12.1875</v>
      </c>
      <c r="BQ324" s="11"/>
      <c r="BR324" s="1">
        <v>47</v>
      </c>
      <c r="BS324" s="1">
        <v>31</v>
      </c>
      <c r="BT324" s="1"/>
      <c r="BU324" s="1"/>
      <c r="BV324" s="1" t="s">
        <v>575</v>
      </c>
      <c r="BW324" s="1" t="s">
        <v>386</v>
      </c>
      <c r="BX324" s="1"/>
      <c r="BY324" s="1">
        <v>1956</v>
      </c>
      <c r="BZ324" s="1"/>
      <c r="CA324" s="1" t="s">
        <v>576</v>
      </c>
      <c r="CB324" s="1" t="s">
        <v>577</v>
      </c>
      <c r="CN324" s="1" t="s">
        <v>390</v>
      </c>
      <c r="CP324" s="8" t="str">
        <f>HYPERLINK("http://www.metmuseum.org/art/collection/search/57260","http://www.metmuseum.org/art/collection/search/57260")</f>
        <v>http://www.metmuseum.org/art/collection/search/57260</v>
      </c>
      <c r="CQ324" s="4">
        <v>42842.333402777775</v>
      </c>
      <c r="CR324" s="1" t="s">
        <v>97</v>
      </c>
    </row>
    <row r="325" spans="1:96" ht="52.5" customHeight="1" x14ac:dyDescent="0.2">
      <c r="A325" s="1" t="s">
        <v>1411</v>
      </c>
      <c r="B325" s="1" t="b">
        <v>0</v>
      </c>
      <c r="C325" s="1" t="b">
        <v>1</v>
      </c>
      <c r="D325" s="1">
        <v>57261</v>
      </c>
      <c r="E325" s="1" t="s">
        <v>85</v>
      </c>
      <c r="F325" s="1" t="s">
        <v>1392</v>
      </c>
      <c r="N325" s="1" t="s">
        <v>87</v>
      </c>
      <c r="O325" s="1" t="s">
        <v>1798</v>
      </c>
      <c r="P325" s="1">
        <v>1615</v>
      </c>
      <c r="Q325" s="1">
        <v>1868</v>
      </c>
      <c r="U325" s="1" t="s">
        <v>88</v>
      </c>
      <c r="V325" s="1" t="s">
        <v>530</v>
      </c>
      <c r="W325" s="1" t="s">
        <v>89</v>
      </c>
      <c r="X325" s="1" t="s">
        <v>1801</v>
      </c>
      <c r="Z325" s="1" t="s">
        <v>89</v>
      </c>
      <c r="AA325" s="1" t="s">
        <v>90</v>
      </c>
      <c r="AB325" s="1">
        <v>1760</v>
      </c>
      <c r="AC325" s="1">
        <v>1849</v>
      </c>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t="s">
        <v>573</v>
      </c>
      <c r="BG325" s="1">
        <v>1760</v>
      </c>
      <c r="BH325" s="1">
        <v>1849</v>
      </c>
      <c r="BI325" s="1">
        <v>1</v>
      </c>
      <c r="BJ325" s="1"/>
      <c r="BK325" s="1"/>
      <c r="BL325" s="1" t="s">
        <v>1748</v>
      </c>
      <c r="BM325" s="1"/>
      <c r="BN325" s="1" t="s">
        <v>1412</v>
      </c>
      <c r="BO325" s="12">
        <v>9.875</v>
      </c>
      <c r="BP325" s="11">
        <v>7.4375</v>
      </c>
      <c r="BQ325" s="11"/>
      <c r="BR325" s="1">
        <v>25.1</v>
      </c>
      <c r="BS325" s="1">
        <v>18.899999999999999</v>
      </c>
      <c r="BT325" s="1"/>
      <c r="BU325" s="1"/>
      <c r="BV325" s="1" t="s">
        <v>575</v>
      </c>
      <c r="BW325" s="1" t="s">
        <v>386</v>
      </c>
      <c r="BX325" s="1"/>
      <c r="BY325" s="1">
        <v>1956</v>
      </c>
      <c r="BZ325" s="1"/>
      <c r="CA325" s="1" t="s">
        <v>576</v>
      </c>
      <c r="CB325" s="1" t="s">
        <v>577</v>
      </c>
      <c r="CN325" s="1" t="s">
        <v>390</v>
      </c>
      <c r="CP325" s="8" t="str">
        <f>HYPERLINK("http://www.metmuseum.org/art/collection/search/57261","http://www.metmuseum.org/art/collection/search/57261")</f>
        <v>http://www.metmuseum.org/art/collection/search/57261</v>
      </c>
      <c r="CQ325" s="4">
        <v>42842.333402777775</v>
      </c>
      <c r="CR325" s="1" t="s">
        <v>97</v>
      </c>
    </row>
    <row r="326" spans="1:96" ht="52.5" customHeight="1" x14ac:dyDescent="0.2">
      <c r="A326" s="1" t="s">
        <v>1413</v>
      </c>
      <c r="B326" s="1" t="b">
        <v>0</v>
      </c>
      <c r="C326" s="1" t="b">
        <v>1</v>
      </c>
      <c r="D326" s="1">
        <v>57262</v>
      </c>
      <c r="E326" s="1" t="s">
        <v>85</v>
      </c>
      <c r="F326" s="1" t="s">
        <v>1392</v>
      </c>
      <c r="N326" s="1" t="s">
        <v>87</v>
      </c>
      <c r="O326" s="1" t="s">
        <v>1798</v>
      </c>
      <c r="P326" s="1">
        <v>1615</v>
      </c>
      <c r="Q326" s="1">
        <v>1868</v>
      </c>
      <c r="U326" s="1" t="s">
        <v>88</v>
      </c>
      <c r="V326" s="1" t="s">
        <v>530</v>
      </c>
      <c r="W326" s="1" t="s">
        <v>89</v>
      </c>
      <c r="X326" s="1" t="s">
        <v>1801</v>
      </c>
      <c r="Z326" s="1" t="s">
        <v>89</v>
      </c>
      <c r="AA326" s="1" t="s">
        <v>90</v>
      </c>
      <c r="AB326" s="1">
        <v>1760</v>
      </c>
      <c r="AC326" s="1">
        <v>1849</v>
      </c>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t="s">
        <v>573</v>
      </c>
      <c r="BG326" s="1">
        <v>1760</v>
      </c>
      <c r="BH326" s="1">
        <v>1849</v>
      </c>
      <c r="BI326" s="1">
        <v>1</v>
      </c>
      <c r="BJ326" s="1"/>
      <c r="BK326" s="1"/>
      <c r="BL326" s="1" t="s">
        <v>1748</v>
      </c>
      <c r="BM326" s="1"/>
      <c r="BN326" s="1" t="s">
        <v>1414</v>
      </c>
      <c r="BO326" s="12">
        <v>11.375</v>
      </c>
      <c r="BP326" s="12">
        <v>8.375</v>
      </c>
      <c r="BQ326" s="12"/>
      <c r="BR326" s="1">
        <v>28.9</v>
      </c>
      <c r="BS326" s="1">
        <v>21.3</v>
      </c>
      <c r="BT326" s="1"/>
      <c r="BU326" s="1"/>
      <c r="BV326" s="1" t="s">
        <v>575</v>
      </c>
      <c r="BW326" s="1" t="s">
        <v>386</v>
      </c>
      <c r="BX326" s="1"/>
      <c r="BY326" s="1">
        <v>1956</v>
      </c>
      <c r="BZ326" s="1"/>
      <c r="CA326" s="1" t="s">
        <v>576</v>
      </c>
      <c r="CB326" s="1" t="s">
        <v>577</v>
      </c>
      <c r="CN326" s="1" t="s">
        <v>390</v>
      </c>
      <c r="CP326" s="8" t="str">
        <f>HYPERLINK("http://www.metmuseum.org/art/collection/search/57262","http://www.metmuseum.org/art/collection/search/57262")</f>
        <v>http://www.metmuseum.org/art/collection/search/57262</v>
      </c>
      <c r="CQ326" s="4">
        <v>42842.333402777775</v>
      </c>
      <c r="CR326" s="1" t="s">
        <v>97</v>
      </c>
    </row>
    <row r="327" spans="1:96" ht="52.5" customHeight="1" x14ac:dyDescent="0.2">
      <c r="A327" s="1" t="s">
        <v>1415</v>
      </c>
      <c r="B327" s="1" t="b">
        <v>0</v>
      </c>
      <c r="C327" s="1" t="b">
        <v>1</v>
      </c>
      <c r="D327" s="1">
        <v>57263</v>
      </c>
      <c r="E327" s="1" t="s">
        <v>85</v>
      </c>
      <c r="F327" s="1" t="s">
        <v>1392</v>
      </c>
      <c r="N327" s="1" t="s">
        <v>87</v>
      </c>
      <c r="O327" s="1" t="s">
        <v>1798</v>
      </c>
      <c r="P327" s="1">
        <v>1615</v>
      </c>
      <c r="Q327" s="1">
        <v>1868</v>
      </c>
      <c r="U327" s="1" t="s">
        <v>88</v>
      </c>
      <c r="V327" s="1" t="s">
        <v>530</v>
      </c>
      <c r="W327" s="1" t="s">
        <v>89</v>
      </c>
      <c r="X327" s="1" t="s">
        <v>1801</v>
      </c>
      <c r="Z327" s="1" t="s">
        <v>89</v>
      </c>
      <c r="AA327" s="1" t="s">
        <v>90</v>
      </c>
      <c r="AB327" s="1">
        <v>1760</v>
      </c>
      <c r="AC327" s="1">
        <v>1849</v>
      </c>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t="s">
        <v>573</v>
      </c>
      <c r="BG327" s="1">
        <v>1760</v>
      </c>
      <c r="BH327" s="1">
        <v>1849</v>
      </c>
      <c r="BI327" s="1">
        <v>1</v>
      </c>
      <c r="BJ327" s="1"/>
      <c r="BK327" s="1"/>
      <c r="BL327" s="1" t="s">
        <v>1748</v>
      </c>
      <c r="BM327" s="1"/>
      <c r="BN327" s="1" t="s">
        <v>1416</v>
      </c>
      <c r="BO327" s="12">
        <v>8.25</v>
      </c>
      <c r="BP327" s="12">
        <v>10.875</v>
      </c>
      <c r="BQ327" s="12"/>
      <c r="BR327" s="1">
        <v>21</v>
      </c>
      <c r="BS327" s="1">
        <v>27.6</v>
      </c>
      <c r="BT327" s="1"/>
      <c r="BU327" s="1"/>
      <c r="BV327" s="1" t="s">
        <v>575</v>
      </c>
      <c r="BW327" s="1" t="s">
        <v>386</v>
      </c>
      <c r="BX327" s="1"/>
      <c r="BY327" s="1">
        <v>1956</v>
      </c>
      <c r="BZ327" s="1"/>
      <c r="CA327" s="1" t="s">
        <v>576</v>
      </c>
      <c r="CB327" s="1" t="s">
        <v>577</v>
      </c>
      <c r="CN327" s="1" t="s">
        <v>390</v>
      </c>
      <c r="CP327" s="8" t="str">
        <f>HYPERLINK("http://www.metmuseum.org/art/collection/search/57263","http://www.metmuseum.org/art/collection/search/57263")</f>
        <v>http://www.metmuseum.org/art/collection/search/57263</v>
      </c>
      <c r="CQ327" s="4">
        <v>42842.333402777775</v>
      </c>
      <c r="CR327" s="1" t="s">
        <v>97</v>
      </c>
    </row>
    <row r="328" spans="1:96" ht="52.5" customHeight="1" x14ac:dyDescent="0.2">
      <c r="A328" s="1" t="s">
        <v>1417</v>
      </c>
      <c r="B328" s="1" t="b">
        <v>0</v>
      </c>
      <c r="C328" s="1" t="b">
        <v>1</v>
      </c>
      <c r="D328" s="1">
        <v>57264</v>
      </c>
      <c r="E328" s="1" t="s">
        <v>85</v>
      </c>
      <c r="F328" s="1" t="s">
        <v>1418</v>
      </c>
      <c r="N328" s="1" t="s">
        <v>87</v>
      </c>
      <c r="O328" s="1" t="s">
        <v>1798</v>
      </c>
      <c r="P328" s="1">
        <v>1615</v>
      </c>
      <c r="Q328" s="1">
        <v>1868</v>
      </c>
      <c r="U328" s="1" t="s">
        <v>88</v>
      </c>
      <c r="V328" s="1" t="s">
        <v>530</v>
      </c>
      <c r="W328" s="1" t="s">
        <v>89</v>
      </c>
      <c r="X328" s="1" t="s">
        <v>1801</v>
      </c>
      <c r="Z328" s="1" t="s">
        <v>89</v>
      </c>
      <c r="AA328" s="1" t="s">
        <v>90</v>
      </c>
      <c r="AB328" s="1">
        <v>1760</v>
      </c>
      <c r="AC328" s="1">
        <v>1849</v>
      </c>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t="s">
        <v>573</v>
      </c>
      <c r="BG328" s="1">
        <v>1760</v>
      </c>
      <c r="BH328" s="1">
        <v>1849</v>
      </c>
      <c r="BI328" s="1">
        <v>1</v>
      </c>
      <c r="BJ328" s="1"/>
      <c r="BK328" s="1"/>
      <c r="BL328" s="1" t="s">
        <v>1746</v>
      </c>
      <c r="BM328" s="1"/>
      <c r="BN328" s="6" t="s">
        <v>1807</v>
      </c>
      <c r="BO328" s="1">
        <v>5</v>
      </c>
      <c r="BP328" s="12">
        <v>9.3125</v>
      </c>
      <c r="BQ328" s="12"/>
      <c r="BR328" s="1">
        <v>12.7</v>
      </c>
      <c r="BS328" s="1">
        <v>23.7</v>
      </c>
      <c r="BT328" s="1"/>
      <c r="BU328" s="1" t="s">
        <v>1419</v>
      </c>
      <c r="BV328" s="1" t="s">
        <v>575</v>
      </c>
      <c r="BW328" s="1" t="s">
        <v>386</v>
      </c>
      <c r="BX328" s="1"/>
      <c r="BY328" s="1">
        <v>1956</v>
      </c>
      <c r="BZ328" s="1"/>
      <c r="CA328" s="1" t="s">
        <v>576</v>
      </c>
      <c r="CB328" s="1" t="s">
        <v>577</v>
      </c>
      <c r="CN328" s="1" t="s">
        <v>390</v>
      </c>
      <c r="CP328" s="8" t="str">
        <f>HYPERLINK("http://www.metmuseum.org/art/collection/search/57264","http://www.metmuseum.org/art/collection/search/57264")</f>
        <v>http://www.metmuseum.org/art/collection/search/57264</v>
      </c>
      <c r="CQ328" s="4">
        <v>42842.333402777775</v>
      </c>
      <c r="CR328" s="1" t="s">
        <v>97</v>
      </c>
    </row>
    <row r="329" spans="1:96" ht="52.5" customHeight="1" x14ac:dyDescent="0.2">
      <c r="A329" s="1" t="s">
        <v>1420</v>
      </c>
      <c r="B329" s="1" t="b">
        <v>0</v>
      </c>
      <c r="C329" s="1" t="b">
        <v>1</v>
      </c>
      <c r="D329" s="1">
        <v>57265</v>
      </c>
      <c r="E329" s="1" t="s">
        <v>85</v>
      </c>
      <c r="F329" s="1" t="s">
        <v>1392</v>
      </c>
      <c r="N329" s="1" t="s">
        <v>87</v>
      </c>
      <c r="O329" s="1" t="s">
        <v>1798</v>
      </c>
      <c r="P329" s="1">
        <v>1615</v>
      </c>
      <c r="Q329" s="6">
        <v>1868</v>
      </c>
      <c r="U329" s="1" t="s">
        <v>88</v>
      </c>
      <c r="V329" s="1" t="s">
        <v>1421</v>
      </c>
      <c r="W329" s="1" t="s">
        <v>89</v>
      </c>
      <c r="X329" s="1" t="s">
        <v>1801</v>
      </c>
      <c r="Z329" s="1" t="s">
        <v>89</v>
      </c>
      <c r="AA329" s="1" t="s">
        <v>90</v>
      </c>
      <c r="AB329" s="1">
        <v>1760</v>
      </c>
      <c r="AC329" s="1">
        <v>1849</v>
      </c>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t="s">
        <v>573</v>
      </c>
      <c r="BG329" s="1">
        <v>1760</v>
      </c>
      <c r="BH329" s="1">
        <v>1849</v>
      </c>
      <c r="BI329" s="1">
        <v>1</v>
      </c>
      <c r="BJ329" s="1"/>
      <c r="BK329" s="1"/>
      <c r="BL329" s="1" t="s">
        <v>1748</v>
      </c>
      <c r="BM329" s="1"/>
      <c r="BN329" s="1" t="s">
        <v>1422</v>
      </c>
      <c r="BO329" s="12">
        <v>9.625</v>
      </c>
      <c r="BP329" s="12">
        <v>13.125</v>
      </c>
      <c r="BQ329" s="12"/>
      <c r="BR329" s="1">
        <v>24.4</v>
      </c>
      <c r="BS329" s="1">
        <v>33.299999999999997</v>
      </c>
      <c r="BT329" s="1"/>
      <c r="BU329" s="1"/>
      <c r="BV329" s="1" t="s">
        <v>575</v>
      </c>
      <c r="BW329" s="1" t="s">
        <v>386</v>
      </c>
      <c r="BX329" s="1"/>
      <c r="BY329" s="1">
        <v>1956</v>
      </c>
      <c r="BZ329" s="1"/>
      <c r="CA329" s="1" t="s">
        <v>576</v>
      </c>
      <c r="CB329" s="1" t="s">
        <v>577</v>
      </c>
      <c r="CN329" s="1" t="s">
        <v>390</v>
      </c>
      <c r="CP329" s="8" t="str">
        <f>HYPERLINK("http://www.metmuseum.org/art/collection/search/57265","http://www.metmuseum.org/art/collection/search/57265")</f>
        <v>http://www.metmuseum.org/art/collection/search/57265</v>
      </c>
      <c r="CQ329" s="4">
        <v>42842.333402777775</v>
      </c>
      <c r="CR329" s="1" t="s">
        <v>97</v>
      </c>
    </row>
    <row r="330" spans="1:96" ht="52.5" customHeight="1" x14ac:dyDescent="0.2">
      <c r="A330" s="1" t="s">
        <v>1423</v>
      </c>
      <c r="B330" s="1" t="b">
        <v>0</v>
      </c>
      <c r="C330" s="1" t="b">
        <v>1</v>
      </c>
      <c r="D330" s="1">
        <v>57266</v>
      </c>
      <c r="E330" s="1" t="s">
        <v>85</v>
      </c>
      <c r="F330" s="1" t="s">
        <v>1392</v>
      </c>
      <c r="N330" s="1" t="s">
        <v>87</v>
      </c>
      <c r="O330" s="1" t="s">
        <v>1798</v>
      </c>
      <c r="P330" s="1">
        <v>1615</v>
      </c>
      <c r="Q330" s="1">
        <v>1868</v>
      </c>
      <c r="U330" s="1" t="s">
        <v>88</v>
      </c>
      <c r="V330" s="1" t="s">
        <v>1421</v>
      </c>
      <c r="W330" s="1" t="s">
        <v>89</v>
      </c>
      <c r="X330" s="1" t="s">
        <v>1801</v>
      </c>
      <c r="Z330" s="1" t="s">
        <v>89</v>
      </c>
      <c r="AA330" s="1" t="s">
        <v>90</v>
      </c>
      <c r="AB330" s="1">
        <v>1760</v>
      </c>
      <c r="AC330" s="1">
        <v>1849</v>
      </c>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t="s">
        <v>573</v>
      </c>
      <c r="BG330" s="1">
        <v>1760</v>
      </c>
      <c r="BH330" s="1">
        <v>1849</v>
      </c>
      <c r="BI330" s="1">
        <v>1</v>
      </c>
      <c r="BJ330" s="1"/>
      <c r="BK330" s="1"/>
      <c r="BL330" s="1" t="s">
        <v>1750</v>
      </c>
      <c r="BM330" s="1"/>
      <c r="BN330" s="1" t="s">
        <v>1424</v>
      </c>
      <c r="BO330" s="11">
        <v>16.8125</v>
      </c>
      <c r="BP330" s="12">
        <v>10.5</v>
      </c>
      <c r="BQ330" s="12"/>
      <c r="BR330" s="1">
        <v>42.7</v>
      </c>
      <c r="BS330" s="1">
        <v>26.7</v>
      </c>
      <c r="BT330" s="1"/>
      <c r="BU330" s="1"/>
      <c r="BV330" s="1" t="s">
        <v>575</v>
      </c>
      <c r="BW330" s="1" t="s">
        <v>386</v>
      </c>
      <c r="BX330" s="1"/>
      <c r="BY330" s="1">
        <v>1956</v>
      </c>
      <c r="BZ330" s="1"/>
      <c r="CA330" s="1" t="s">
        <v>576</v>
      </c>
      <c r="CB330" s="1" t="s">
        <v>577</v>
      </c>
      <c r="CN330" s="1" t="s">
        <v>390</v>
      </c>
      <c r="CP330" s="8" t="str">
        <f>HYPERLINK("http://www.metmuseum.org/art/collection/search/57266","http://www.metmuseum.org/art/collection/search/57266")</f>
        <v>http://www.metmuseum.org/art/collection/search/57266</v>
      </c>
      <c r="CQ330" s="4">
        <v>42842.333402777775</v>
      </c>
      <c r="CR330" s="1" t="s">
        <v>97</v>
      </c>
    </row>
    <row r="331" spans="1:96" ht="52.5" customHeight="1" x14ac:dyDescent="0.2">
      <c r="A331" s="1" t="s">
        <v>1425</v>
      </c>
      <c r="B331" s="1" t="b">
        <v>0</v>
      </c>
      <c r="C331" s="1" t="b">
        <v>1</v>
      </c>
      <c r="D331" s="1">
        <v>57267</v>
      </c>
      <c r="E331" s="1" t="s">
        <v>85</v>
      </c>
      <c r="F331" s="1" t="s">
        <v>1392</v>
      </c>
      <c r="N331" s="1" t="s">
        <v>87</v>
      </c>
      <c r="O331" s="1" t="s">
        <v>1798</v>
      </c>
      <c r="P331" s="1">
        <v>1615</v>
      </c>
      <c r="Q331" s="1">
        <v>1868</v>
      </c>
      <c r="U331" s="1" t="s">
        <v>88</v>
      </c>
      <c r="V331" s="1" t="s">
        <v>1421</v>
      </c>
      <c r="W331" s="1" t="s">
        <v>89</v>
      </c>
      <c r="X331" s="1" t="s">
        <v>1801</v>
      </c>
      <c r="Z331" s="1" t="s">
        <v>89</v>
      </c>
      <c r="AA331" s="1" t="s">
        <v>90</v>
      </c>
      <c r="AB331" s="1">
        <v>1760</v>
      </c>
      <c r="AC331" s="1">
        <v>1849</v>
      </c>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t="s">
        <v>573</v>
      </c>
      <c r="BG331" s="1">
        <v>1760</v>
      </c>
      <c r="BH331" s="1">
        <v>1849</v>
      </c>
      <c r="BI331" s="1">
        <v>1</v>
      </c>
      <c r="BJ331" s="1"/>
      <c r="BK331" s="1"/>
      <c r="BL331" s="1" t="s">
        <v>1748</v>
      </c>
      <c r="BM331" s="1"/>
      <c r="BN331" s="1" t="s">
        <v>1426</v>
      </c>
      <c r="BO331" s="12">
        <v>15.375</v>
      </c>
      <c r="BP331" s="11">
        <v>10.8125</v>
      </c>
      <c r="BQ331" s="11"/>
      <c r="BR331" s="1">
        <v>39.1</v>
      </c>
      <c r="BS331" s="1">
        <v>27.5</v>
      </c>
      <c r="BT331" s="1"/>
      <c r="BU331" s="1"/>
      <c r="BV331" s="1" t="s">
        <v>575</v>
      </c>
      <c r="BW331" s="1" t="s">
        <v>386</v>
      </c>
      <c r="BX331" s="1"/>
      <c r="BY331" s="1">
        <v>1956</v>
      </c>
      <c r="BZ331" s="1"/>
      <c r="CA331" s="1" t="s">
        <v>576</v>
      </c>
      <c r="CB331" s="1" t="s">
        <v>577</v>
      </c>
      <c r="CN331" s="1" t="s">
        <v>390</v>
      </c>
      <c r="CP331" s="8" t="str">
        <f>HYPERLINK("http://www.metmuseum.org/art/collection/search/57267","http://www.metmuseum.org/art/collection/search/57267")</f>
        <v>http://www.metmuseum.org/art/collection/search/57267</v>
      </c>
      <c r="CQ331" s="4">
        <v>42842.333402777775</v>
      </c>
      <c r="CR331" s="1" t="s">
        <v>97</v>
      </c>
    </row>
    <row r="332" spans="1:96" ht="52.5" customHeight="1" x14ac:dyDescent="0.2">
      <c r="A332" s="1" t="s">
        <v>1427</v>
      </c>
      <c r="B332" s="1" t="b">
        <v>0</v>
      </c>
      <c r="C332" s="1" t="b">
        <v>1</v>
      </c>
      <c r="D332" s="1">
        <v>57268</v>
      </c>
      <c r="E332" s="1" t="s">
        <v>85</v>
      </c>
      <c r="F332" s="1" t="s">
        <v>1392</v>
      </c>
      <c r="N332" s="1" t="s">
        <v>87</v>
      </c>
      <c r="O332" s="1" t="s">
        <v>1798</v>
      </c>
      <c r="P332" s="1">
        <v>1615</v>
      </c>
      <c r="Q332" s="1">
        <v>1868</v>
      </c>
      <c r="U332" s="1" t="s">
        <v>88</v>
      </c>
      <c r="V332" s="1" t="s">
        <v>1421</v>
      </c>
      <c r="W332" s="1" t="s">
        <v>89</v>
      </c>
      <c r="X332" s="1" t="s">
        <v>1801</v>
      </c>
      <c r="Z332" s="1" t="s">
        <v>89</v>
      </c>
      <c r="AA332" s="1" t="s">
        <v>90</v>
      </c>
      <c r="AB332" s="1">
        <v>1760</v>
      </c>
      <c r="AC332" s="1">
        <v>1849</v>
      </c>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t="s">
        <v>573</v>
      </c>
      <c r="BG332" s="1">
        <v>1760</v>
      </c>
      <c r="BH332" s="1">
        <v>1849</v>
      </c>
      <c r="BI332" s="1">
        <v>1</v>
      </c>
      <c r="BJ332" s="1"/>
      <c r="BK332" s="1"/>
      <c r="BL332" s="1" t="s">
        <v>1751</v>
      </c>
      <c r="BM332" s="1"/>
      <c r="BN332" s="1" t="s">
        <v>1388</v>
      </c>
      <c r="BO332" s="1">
        <v>11</v>
      </c>
      <c r="BP332" s="1">
        <v>16</v>
      </c>
      <c r="BQ332" s="1"/>
      <c r="BR332" s="1">
        <v>27.9</v>
      </c>
      <c r="BS332" s="1">
        <v>40.6</v>
      </c>
      <c r="BT332" s="1"/>
      <c r="BU332" s="1"/>
      <c r="BV332" s="1" t="s">
        <v>575</v>
      </c>
      <c r="BW332" s="1" t="s">
        <v>386</v>
      </c>
      <c r="BX332" s="1"/>
      <c r="BY332" s="1">
        <v>1956</v>
      </c>
      <c r="BZ332" s="1"/>
      <c r="CA332" s="1" t="s">
        <v>576</v>
      </c>
      <c r="CB332" s="1" t="s">
        <v>577</v>
      </c>
      <c r="CN332" s="1" t="s">
        <v>390</v>
      </c>
      <c r="CP332" s="8" t="str">
        <f>HYPERLINK("http://www.metmuseum.org/art/collection/search/57268","http://www.metmuseum.org/art/collection/search/57268")</f>
        <v>http://www.metmuseum.org/art/collection/search/57268</v>
      </c>
      <c r="CQ332" s="4">
        <v>42842.333402777775</v>
      </c>
      <c r="CR332" s="1" t="s">
        <v>97</v>
      </c>
    </row>
    <row r="333" spans="1:96" ht="52.5" customHeight="1" x14ac:dyDescent="0.2">
      <c r="A333" s="1" t="s">
        <v>1428</v>
      </c>
      <c r="B333" s="1" t="b">
        <v>0</v>
      </c>
      <c r="C333" s="1" t="b">
        <v>1</v>
      </c>
      <c r="D333" s="1">
        <v>57269</v>
      </c>
      <c r="E333" s="1" t="s">
        <v>85</v>
      </c>
      <c r="F333" s="1" t="s">
        <v>1392</v>
      </c>
      <c r="N333" s="1" t="s">
        <v>87</v>
      </c>
      <c r="O333" s="1" t="s">
        <v>1798</v>
      </c>
      <c r="P333" s="1">
        <v>1615</v>
      </c>
      <c r="Q333" s="1">
        <v>1868</v>
      </c>
      <c r="U333" s="1" t="s">
        <v>88</v>
      </c>
      <c r="V333" s="1" t="s">
        <v>1421</v>
      </c>
      <c r="W333" s="1" t="s">
        <v>89</v>
      </c>
      <c r="X333" s="1" t="s">
        <v>1801</v>
      </c>
      <c r="Z333" s="1" t="s">
        <v>89</v>
      </c>
      <c r="AA333" s="1" t="s">
        <v>90</v>
      </c>
      <c r="AB333" s="1">
        <v>1760</v>
      </c>
      <c r="AC333" s="1">
        <v>1849</v>
      </c>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t="s">
        <v>573</v>
      </c>
      <c r="BG333" s="1">
        <v>1760</v>
      </c>
      <c r="BH333" s="1">
        <v>1849</v>
      </c>
      <c r="BI333" s="1">
        <v>1</v>
      </c>
      <c r="BJ333" s="1"/>
      <c r="BK333" s="1"/>
      <c r="BL333" s="1" t="s">
        <v>1748</v>
      </c>
      <c r="BM333" s="1"/>
      <c r="BN333" s="1" t="s">
        <v>1429</v>
      </c>
      <c r="BO333" s="11">
        <v>10.6875</v>
      </c>
      <c r="BP333" s="12">
        <v>7.125</v>
      </c>
      <c r="BQ333" s="12"/>
      <c r="BR333" s="1">
        <v>27.1</v>
      </c>
      <c r="BS333" s="1">
        <v>18.100000000000001</v>
      </c>
      <c r="BT333" s="1"/>
      <c r="BU333" s="1"/>
      <c r="BV333" s="1" t="s">
        <v>575</v>
      </c>
      <c r="BW333" s="1" t="s">
        <v>386</v>
      </c>
      <c r="BX333" s="1"/>
      <c r="BY333" s="1">
        <v>1956</v>
      </c>
      <c r="BZ333" s="1"/>
      <c r="CA333" s="1" t="s">
        <v>576</v>
      </c>
      <c r="CB333" s="1" t="s">
        <v>577</v>
      </c>
      <c r="CN333" s="1" t="s">
        <v>390</v>
      </c>
      <c r="CP333" s="8" t="str">
        <f>HYPERLINK("http://www.metmuseum.org/art/collection/search/57269","http://www.metmuseum.org/art/collection/search/57269")</f>
        <v>http://www.metmuseum.org/art/collection/search/57269</v>
      </c>
      <c r="CQ333" s="4">
        <v>42842.333402777775</v>
      </c>
      <c r="CR333" s="1" t="s">
        <v>97</v>
      </c>
    </row>
    <row r="334" spans="1:96" ht="52.5" customHeight="1" x14ac:dyDescent="0.2">
      <c r="A334" s="1" t="s">
        <v>1430</v>
      </c>
      <c r="B334" s="1" t="b">
        <v>0</v>
      </c>
      <c r="C334" s="1" t="b">
        <v>1</v>
      </c>
      <c r="D334" s="1">
        <v>57270</v>
      </c>
      <c r="E334" s="1" t="s">
        <v>85</v>
      </c>
      <c r="F334" s="1" t="s">
        <v>1392</v>
      </c>
      <c r="N334" s="1" t="s">
        <v>87</v>
      </c>
      <c r="O334" s="1" t="s">
        <v>1798</v>
      </c>
      <c r="P334" s="1">
        <v>1615</v>
      </c>
      <c r="Q334" s="1">
        <v>1868</v>
      </c>
      <c r="U334" s="1" t="s">
        <v>88</v>
      </c>
      <c r="V334" s="1" t="s">
        <v>1421</v>
      </c>
      <c r="W334" s="1" t="s">
        <v>89</v>
      </c>
      <c r="X334" s="1" t="s">
        <v>1801</v>
      </c>
      <c r="Z334" s="1" t="s">
        <v>89</v>
      </c>
      <c r="AA334" s="1" t="s">
        <v>90</v>
      </c>
      <c r="AB334" s="1">
        <v>1760</v>
      </c>
      <c r="AC334" s="1">
        <v>1849</v>
      </c>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t="s">
        <v>573</v>
      </c>
      <c r="BG334" s="1">
        <v>1760</v>
      </c>
      <c r="BH334" s="1">
        <v>1849</v>
      </c>
      <c r="BI334" s="1">
        <v>1</v>
      </c>
      <c r="BJ334" s="1"/>
      <c r="BK334" s="1"/>
      <c r="BL334" s="1" t="s">
        <v>1748</v>
      </c>
      <c r="BM334" s="1"/>
      <c r="BN334" s="1" t="s">
        <v>1431</v>
      </c>
      <c r="BO334" s="11">
        <v>12.9375</v>
      </c>
      <c r="BP334" s="12">
        <v>9.5</v>
      </c>
      <c r="BQ334" s="12"/>
      <c r="BR334" s="1">
        <v>32.9</v>
      </c>
      <c r="BS334" s="1">
        <v>24.1</v>
      </c>
      <c r="BT334" s="1"/>
      <c r="BU334" s="1"/>
      <c r="BV334" s="1" t="s">
        <v>575</v>
      </c>
      <c r="BW334" s="1" t="s">
        <v>386</v>
      </c>
      <c r="BX334" s="1"/>
      <c r="BY334" s="1">
        <v>1956</v>
      </c>
      <c r="BZ334" s="1"/>
      <c r="CA334" s="1" t="s">
        <v>576</v>
      </c>
      <c r="CB334" s="1" t="s">
        <v>577</v>
      </c>
      <c r="CN334" s="1" t="s">
        <v>390</v>
      </c>
      <c r="CP334" s="8" t="str">
        <f>HYPERLINK("http://www.metmuseum.org/art/collection/search/57270","http://www.metmuseum.org/art/collection/search/57270")</f>
        <v>http://www.metmuseum.org/art/collection/search/57270</v>
      </c>
      <c r="CQ334" s="4">
        <v>42842.333402777775</v>
      </c>
      <c r="CR334" s="1" t="s">
        <v>97</v>
      </c>
    </row>
    <row r="335" spans="1:96" ht="52.5" customHeight="1" x14ac:dyDescent="0.2">
      <c r="A335" s="1" t="s">
        <v>1432</v>
      </c>
      <c r="B335" s="1" t="b">
        <v>0</v>
      </c>
      <c r="C335" s="1" t="b">
        <v>1</v>
      </c>
      <c r="D335" s="1">
        <v>57271</v>
      </c>
      <c r="E335" s="1" t="s">
        <v>85</v>
      </c>
      <c r="F335" s="1" t="s">
        <v>1392</v>
      </c>
      <c r="N335" s="1" t="s">
        <v>87</v>
      </c>
      <c r="O335" s="1" t="s">
        <v>1798</v>
      </c>
      <c r="P335" s="1">
        <v>1615</v>
      </c>
      <c r="Q335" s="1">
        <v>1868</v>
      </c>
      <c r="U335" s="1" t="s">
        <v>88</v>
      </c>
      <c r="V335" s="1" t="s">
        <v>1421</v>
      </c>
      <c r="W335" s="1" t="s">
        <v>89</v>
      </c>
      <c r="X335" s="1" t="s">
        <v>1801</v>
      </c>
      <c r="Z335" s="1" t="s">
        <v>89</v>
      </c>
      <c r="AA335" s="1" t="s">
        <v>90</v>
      </c>
      <c r="AB335" s="1">
        <v>1760</v>
      </c>
      <c r="AC335" s="1">
        <v>1849</v>
      </c>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t="s">
        <v>573</v>
      </c>
      <c r="BG335" s="1">
        <v>1760</v>
      </c>
      <c r="BH335" s="1">
        <v>1849</v>
      </c>
      <c r="BI335" s="1">
        <v>1</v>
      </c>
      <c r="BJ335" s="1"/>
      <c r="BK335" s="1"/>
      <c r="BL335" s="1" t="s">
        <v>1748</v>
      </c>
      <c r="BM335" s="1"/>
      <c r="BN335" s="1" t="s">
        <v>1433</v>
      </c>
      <c r="BO335" s="12">
        <v>12.875</v>
      </c>
      <c r="BP335" s="12">
        <v>9.5</v>
      </c>
      <c r="BQ335" s="12"/>
      <c r="BR335" s="1">
        <v>32.700000000000003</v>
      </c>
      <c r="BS335" s="1">
        <v>24.1</v>
      </c>
      <c r="BT335" s="1"/>
      <c r="BU335" s="1"/>
      <c r="BV335" s="1" t="s">
        <v>575</v>
      </c>
      <c r="BW335" s="1" t="s">
        <v>386</v>
      </c>
      <c r="BX335" s="1"/>
      <c r="BY335" s="1">
        <v>1956</v>
      </c>
      <c r="BZ335" s="1"/>
      <c r="CA335" s="1" t="s">
        <v>576</v>
      </c>
      <c r="CB335" s="1" t="s">
        <v>577</v>
      </c>
      <c r="CN335" s="1" t="s">
        <v>390</v>
      </c>
      <c r="CP335" s="8" t="str">
        <f>HYPERLINK("http://www.metmuseum.org/art/collection/search/57271","http://www.metmuseum.org/art/collection/search/57271")</f>
        <v>http://www.metmuseum.org/art/collection/search/57271</v>
      </c>
      <c r="CQ335" s="4">
        <v>42842.333402777775</v>
      </c>
      <c r="CR335" s="1" t="s">
        <v>97</v>
      </c>
    </row>
    <row r="336" spans="1:96" ht="52.5" customHeight="1" x14ac:dyDescent="0.2">
      <c r="A336" s="1" t="s">
        <v>1434</v>
      </c>
      <c r="B336" s="1" t="b">
        <v>0</v>
      </c>
      <c r="C336" s="1" t="b">
        <v>1</v>
      </c>
      <c r="D336" s="1">
        <v>57272</v>
      </c>
      <c r="E336" s="1" t="s">
        <v>85</v>
      </c>
      <c r="F336" s="1" t="s">
        <v>1392</v>
      </c>
      <c r="N336" s="1" t="s">
        <v>87</v>
      </c>
      <c r="O336" s="1" t="s">
        <v>1798</v>
      </c>
      <c r="P336" s="1">
        <v>1615</v>
      </c>
      <c r="Q336" s="1">
        <v>1868</v>
      </c>
      <c r="U336" s="1" t="s">
        <v>88</v>
      </c>
      <c r="V336" s="1" t="s">
        <v>1421</v>
      </c>
      <c r="W336" s="1" t="s">
        <v>89</v>
      </c>
      <c r="X336" s="1" t="s">
        <v>1801</v>
      </c>
      <c r="Z336" s="1" t="s">
        <v>89</v>
      </c>
      <c r="AA336" s="1" t="s">
        <v>90</v>
      </c>
      <c r="AB336" s="1">
        <v>1760</v>
      </c>
      <c r="AC336" s="1">
        <v>1849</v>
      </c>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t="s">
        <v>573</v>
      </c>
      <c r="BG336" s="1">
        <v>1700</v>
      </c>
      <c r="BH336" s="1">
        <v>1899</v>
      </c>
      <c r="BI336" s="1">
        <v>1</v>
      </c>
      <c r="BJ336" s="1"/>
      <c r="BK336" s="1"/>
      <c r="BL336" s="1" t="s">
        <v>1748</v>
      </c>
      <c r="BM336" s="1"/>
      <c r="BN336" s="1" t="s">
        <v>1435</v>
      </c>
      <c r="BO336" s="12">
        <v>9.75</v>
      </c>
      <c r="BP336" s="12">
        <v>13.625</v>
      </c>
      <c r="BQ336" s="12"/>
      <c r="BR336" s="1">
        <v>24.8</v>
      </c>
      <c r="BS336" s="1">
        <v>36.6</v>
      </c>
      <c r="BT336" s="1"/>
      <c r="BU336" s="1"/>
      <c r="BV336" s="1" t="s">
        <v>575</v>
      </c>
      <c r="BW336" s="1" t="s">
        <v>386</v>
      </c>
      <c r="BX336" s="1"/>
      <c r="BY336" s="1">
        <v>1956</v>
      </c>
      <c r="BZ336" s="1"/>
      <c r="CA336" s="1" t="s">
        <v>576</v>
      </c>
      <c r="CB336" s="1" t="s">
        <v>577</v>
      </c>
      <c r="CN336" s="1" t="s">
        <v>390</v>
      </c>
      <c r="CP336" s="8" t="str">
        <f>HYPERLINK("http://www.metmuseum.org/art/collection/search/57272","http://www.metmuseum.org/art/collection/search/57272")</f>
        <v>http://www.metmuseum.org/art/collection/search/57272</v>
      </c>
      <c r="CQ336" s="4">
        <v>42842.333402777775</v>
      </c>
      <c r="CR336" s="1" t="s">
        <v>97</v>
      </c>
    </row>
    <row r="337" spans="1:96" ht="52.5" customHeight="1" x14ac:dyDescent="0.2">
      <c r="A337" s="1" t="s">
        <v>1436</v>
      </c>
      <c r="B337" s="1" t="b">
        <v>0</v>
      </c>
      <c r="C337" s="1" t="b">
        <v>1</v>
      </c>
      <c r="D337" s="1">
        <v>57273</v>
      </c>
      <c r="E337" s="1" t="s">
        <v>85</v>
      </c>
      <c r="F337" s="1" t="s">
        <v>1392</v>
      </c>
      <c r="N337" s="1" t="s">
        <v>87</v>
      </c>
      <c r="O337" s="1" t="s">
        <v>1798</v>
      </c>
      <c r="P337" s="1">
        <v>1615</v>
      </c>
      <c r="Q337" s="1">
        <v>1868</v>
      </c>
      <c r="U337" s="1" t="s">
        <v>88</v>
      </c>
      <c r="V337" s="1" t="s">
        <v>1421</v>
      </c>
      <c r="W337" s="1" t="s">
        <v>89</v>
      </c>
      <c r="X337" s="1" t="s">
        <v>1801</v>
      </c>
      <c r="Z337" s="1" t="s">
        <v>89</v>
      </c>
      <c r="AA337" s="1" t="s">
        <v>90</v>
      </c>
      <c r="AB337" s="1">
        <v>1760</v>
      </c>
      <c r="AC337" s="1">
        <v>1849</v>
      </c>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t="s">
        <v>573</v>
      </c>
      <c r="BG337" s="1">
        <v>1700</v>
      </c>
      <c r="BH337" s="1">
        <v>1899</v>
      </c>
      <c r="BI337" s="1">
        <v>1</v>
      </c>
      <c r="BJ337" s="1"/>
      <c r="BK337" s="1"/>
      <c r="BL337" s="1" t="s">
        <v>1746</v>
      </c>
      <c r="BM337" s="1"/>
      <c r="BN337" s="1" t="s">
        <v>1437</v>
      </c>
      <c r="BO337" s="1">
        <v>11</v>
      </c>
      <c r="BP337" s="12">
        <v>16.5</v>
      </c>
      <c r="BQ337" s="12"/>
      <c r="BR337" s="1">
        <v>27.9</v>
      </c>
      <c r="BS337" s="1">
        <v>41.9</v>
      </c>
      <c r="BT337" s="1"/>
      <c r="BU337" s="1"/>
      <c r="BV337" s="1" t="s">
        <v>575</v>
      </c>
      <c r="BW337" s="1" t="s">
        <v>386</v>
      </c>
      <c r="BX337" s="1"/>
      <c r="BY337" s="1">
        <v>1956</v>
      </c>
      <c r="BZ337" s="1"/>
      <c r="CA337" s="1" t="s">
        <v>576</v>
      </c>
      <c r="CB337" s="1" t="s">
        <v>577</v>
      </c>
      <c r="CN337" s="1" t="s">
        <v>390</v>
      </c>
      <c r="CP337" s="8" t="str">
        <f>HYPERLINK("http://www.metmuseum.org/art/collection/search/57273","http://www.metmuseum.org/art/collection/search/57273")</f>
        <v>http://www.metmuseum.org/art/collection/search/57273</v>
      </c>
      <c r="CQ337" s="4">
        <v>42842.333402777775</v>
      </c>
      <c r="CR337" s="1" t="s">
        <v>97</v>
      </c>
    </row>
    <row r="338" spans="1:96" ht="52.5" customHeight="1" x14ac:dyDescent="0.2">
      <c r="A338" s="1" t="s">
        <v>1438</v>
      </c>
      <c r="B338" s="1" t="b">
        <v>0</v>
      </c>
      <c r="C338" s="1" t="b">
        <v>1</v>
      </c>
      <c r="D338" s="1">
        <v>57274</v>
      </c>
      <c r="E338" s="1" t="s">
        <v>85</v>
      </c>
      <c r="F338" s="1" t="s">
        <v>1392</v>
      </c>
      <c r="N338" s="1" t="s">
        <v>87</v>
      </c>
      <c r="O338" s="1" t="s">
        <v>1798</v>
      </c>
      <c r="P338" s="1">
        <v>1615</v>
      </c>
      <c r="Q338" s="1">
        <v>1868</v>
      </c>
      <c r="U338" s="1" t="s">
        <v>88</v>
      </c>
      <c r="V338" s="1" t="s">
        <v>1421</v>
      </c>
      <c r="W338" s="1" t="s">
        <v>89</v>
      </c>
      <c r="X338" s="1" t="s">
        <v>1801</v>
      </c>
      <c r="Z338" s="1" t="s">
        <v>89</v>
      </c>
      <c r="AA338" s="1" t="s">
        <v>90</v>
      </c>
      <c r="AB338" s="1">
        <v>1760</v>
      </c>
      <c r="AC338" s="1">
        <v>1849</v>
      </c>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t="s">
        <v>573</v>
      </c>
      <c r="BG338" s="1">
        <v>1700</v>
      </c>
      <c r="BH338" s="1">
        <v>1899</v>
      </c>
      <c r="BI338" s="1">
        <v>1</v>
      </c>
      <c r="BJ338" s="1"/>
      <c r="BK338" s="1"/>
      <c r="BL338" s="1" t="s">
        <v>1748</v>
      </c>
      <c r="BM338" s="1"/>
      <c r="BN338" s="1" t="s">
        <v>1439</v>
      </c>
      <c r="BO338" s="12">
        <v>11.375</v>
      </c>
      <c r="BP338" s="12">
        <v>5.875</v>
      </c>
      <c r="BQ338" s="12"/>
      <c r="BR338" s="1">
        <v>28.9</v>
      </c>
      <c r="BS338" s="1">
        <v>14.9</v>
      </c>
      <c r="BT338" s="1"/>
      <c r="BU338" s="1"/>
      <c r="BV338" s="1" t="s">
        <v>575</v>
      </c>
      <c r="BW338" s="1" t="s">
        <v>386</v>
      </c>
      <c r="BX338" s="1"/>
      <c r="BY338" s="1">
        <v>1956</v>
      </c>
      <c r="BZ338" s="1"/>
      <c r="CA338" s="1" t="s">
        <v>576</v>
      </c>
      <c r="CB338" s="1" t="s">
        <v>577</v>
      </c>
      <c r="CN338" s="1" t="s">
        <v>390</v>
      </c>
      <c r="CP338" s="8" t="str">
        <f>HYPERLINK("http://www.metmuseum.org/art/collection/search/57274","http://www.metmuseum.org/art/collection/search/57274")</f>
        <v>http://www.metmuseum.org/art/collection/search/57274</v>
      </c>
      <c r="CQ338" s="4">
        <v>42842.333402777775</v>
      </c>
      <c r="CR338" s="1" t="s">
        <v>97</v>
      </c>
    </row>
    <row r="339" spans="1:96" ht="52.5" customHeight="1" x14ac:dyDescent="0.2">
      <c r="A339" s="1" t="s">
        <v>1440</v>
      </c>
      <c r="B339" s="1" t="b">
        <v>0</v>
      </c>
      <c r="C339" s="1" t="b">
        <v>1</v>
      </c>
      <c r="D339" s="1">
        <v>57275</v>
      </c>
      <c r="E339" s="1" t="s">
        <v>85</v>
      </c>
      <c r="F339" s="1" t="s">
        <v>1392</v>
      </c>
      <c r="N339" s="1" t="s">
        <v>87</v>
      </c>
      <c r="O339" s="1" t="s">
        <v>1798</v>
      </c>
      <c r="P339" s="1">
        <v>1615</v>
      </c>
      <c r="Q339" s="1">
        <v>1868</v>
      </c>
      <c r="U339" s="1" t="s">
        <v>88</v>
      </c>
      <c r="V339" s="1" t="s">
        <v>1421</v>
      </c>
      <c r="W339" s="1" t="s">
        <v>89</v>
      </c>
      <c r="X339" s="1" t="s">
        <v>1801</v>
      </c>
      <c r="Z339" s="1" t="s">
        <v>89</v>
      </c>
      <c r="AA339" s="1" t="s">
        <v>90</v>
      </c>
      <c r="AB339" s="1">
        <v>1760</v>
      </c>
      <c r="AC339" s="1">
        <v>1849</v>
      </c>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t="s">
        <v>573</v>
      </c>
      <c r="BG339" s="1">
        <v>1700</v>
      </c>
      <c r="BH339" s="1">
        <v>1899</v>
      </c>
      <c r="BI339" s="1">
        <v>1</v>
      </c>
      <c r="BJ339" s="1"/>
      <c r="BK339" s="1"/>
      <c r="BL339" s="1" t="s">
        <v>1746</v>
      </c>
      <c r="BM339" s="1"/>
      <c r="BN339" s="1" t="s">
        <v>1441</v>
      </c>
      <c r="BO339" s="11">
        <v>9.4375</v>
      </c>
      <c r="BP339" s="12">
        <v>13.5</v>
      </c>
      <c r="BQ339" s="12"/>
      <c r="BR339" s="1">
        <v>24</v>
      </c>
      <c r="BS339" s="1">
        <v>34.4</v>
      </c>
      <c r="BT339" s="1"/>
      <c r="BU339" s="1"/>
      <c r="BV339" s="1" t="s">
        <v>575</v>
      </c>
      <c r="BW339" s="1" t="s">
        <v>386</v>
      </c>
      <c r="BX339" s="1"/>
      <c r="BY339" s="1">
        <v>1956</v>
      </c>
      <c r="BZ339" s="1"/>
      <c r="CA339" s="1" t="s">
        <v>576</v>
      </c>
      <c r="CB339" s="1" t="s">
        <v>577</v>
      </c>
      <c r="CN339" s="1" t="s">
        <v>390</v>
      </c>
      <c r="CP339" s="8" t="str">
        <f>HYPERLINK("http://www.metmuseum.org/art/collection/search/57275","http://www.metmuseum.org/art/collection/search/57275")</f>
        <v>http://www.metmuseum.org/art/collection/search/57275</v>
      </c>
      <c r="CQ339" s="4">
        <v>42842.333402777775</v>
      </c>
      <c r="CR339" s="1" t="s">
        <v>97</v>
      </c>
    </row>
    <row r="340" spans="1:96" ht="52.5" customHeight="1" x14ac:dyDescent="0.2">
      <c r="A340" s="1" t="s">
        <v>1442</v>
      </c>
      <c r="B340" s="1" t="b">
        <v>0</v>
      </c>
      <c r="C340" s="1" t="b">
        <v>1</v>
      </c>
      <c r="D340" s="1">
        <v>57276</v>
      </c>
      <c r="E340" s="1" t="s">
        <v>85</v>
      </c>
      <c r="F340" s="1" t="s">
        <v>1392</v>
      </c>
      <c r="N340" s="1" t="s">
        <v>87</v>
      </c>
      <c r="O340" s="1" t="s">
        <v>1798</v>
      </c>
      <c r="P340" s="1">
        <v>1615</v>
      </c>
      <c r="Q340" s="1">
        <v>1868</v>
      </c>
      <c r="U340" s="1" t="s">
        <v>88</v>
      </c>
      <c r="V340" s="1" t="s">
        <v>1421</v>
      </c>
      <c r="W340" s="1" t="s">
        <v>89</v>
      </c>
      <c r="X340" s="1" t="s">
        <v>1801</v>
      </c>
      <c r="Z340" s="1" t="s">
        <v>89</v>
      </c>
      <c r="AA340" s="1" t="s">
        <v>90</v>
      </c>
      <c r="AB340" s="1">
        <v>1760</v>
      </c>
      <c r="AC340" s="1">
        <v>1849</v>
      </c>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t="s">
        <v>573</v>
      </c>
      <c r="BG340" s="1">
        <v>1700</v>
      </c>
      <c r="BH340" s="1">
        <v>1899</v>
      </c>
      <c r="BI340" s="1">
        <v>1</v>
      </c>
      <c r="BJ340" s="1"/>
      <c r="BK340" s="1"/>
      <c r="BL340" s="1" t="s">
        <v>1748</v>
      </c>
      <c r="BM340" s="1"/>
      <c r="BN340" s="1" t="s">
        <v>1443</v>
      </c>
      <c r="BO340" s="11">
        <v>12.3125</v>
      </c>
      <c r="BP340" s="11">
        <v>9.1875</v>
      </c>
      <c r="BQ340" s="11"/>
      <c r="BR340" s="1">
        <v>31.3</v>
      </c>
      <c r="BS340" s="1">
        <v>23.3</v>
      </c>
      <c r="BT340" s="1"/>
      <c r="BU340" s="1"/>
      <c r="BV340" s="1" t="s">
        <v>575</v>
      </c>
      <c r="BW340" s="1" t="s">
        <v>386</v>
      </c>
      <c r="BX340" s="1"/>
      <c r="BY340" s="1">
        <v>1956</v>
      </c>
      <c r="BZ340" s="1"/>
      <c r="CA340" s="1" t="s">
        <v>576</v>
      </c>
      <c r="CB340" s="1" t="s">
        <v>577</v>
      </c>
      <c r="CN340" s="1" t="s">
        <v>390</v>
      </c>
      <c r="CP340" s="8" t="str">
        <f>HYPERLINK("http://www.metmuseum.org/art/collection/search/57276","http://www.metmuseum.org/art/collection/search/57276")</f>
        <v>http://www.metmuseum.org/art/collection/search/57276</v>
      </c>
      <c r="CQ340" s="4">
        <v>42842.333402777775</v>
      </c>
      <c r="CR340" s="1" t="s">
        <v>97</v>
      </c>
    </row>
    <row r="341" spans="1:96" ht="52.5" customHeight="1" x14ac:dyDescent="0.2">
      <c r="A341" s="1" t="s">
        <v>1444</v>
      </c>
      <c r="B341" s="1" t="b">
        <v>0</v>
      </c>
      <c r="C341" s="1" t="b">
        <v>1</v>
      </c>
      <c r="D341" s="1">
        <v>57277</v>
      </c>
      <c r="E341" s="1" t="s">
        <v>85</v>
      </c>
      <c r="F341" s="1" t="s">
        <v>1392</v>
      </c>
      <c r="N341" s="1" t="s">
        <v>87</v>
      </c>
      <c r="O341" s="1" t="s">
        <v>1798</v>
      </c>
      <c r="P341" s="1">
        <v>1615</v>
      </c>
      <c r="Q341" s="1">
        <v>1868</v>
      </c>
      <c r="U341" s="1" t="s">
        <v>88</v>
      </c>
      <c r="V341" s="1" t="s">
        <v>1421</v>
      </c>
      <c r="W341" s="1" t="s">
        <v>89</v>
      </c>
      <c r="X341" s="1" t="s">
        <v>1801</v>
      </c>
      <c r="Z341" s="1" t="s">
        <v>89</v>
      </c>
      <c r="AA341" s="1" t="s">
        <v>90</v>
      </c>
      <c r="AB341" s="1">
        <v>1760</v>
      </c>
      <c r="AC341" s="1">
        <v>1849</v>
      </c>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t="s">
        <v>573</v>
      </c>
      <c r="BG341" s="1">
        <v>1700</v>
      </c>
      <c r="BH341" s="1">
        <v>1899</v>
      </c>
      <c r="BI341" s="1">
        <v>1</v>
      </c>
      <c r="BJ341" s="1"/>
      <c r="BK341" s="1"/>
      <c r="BL341" s="1" t="s">
        <v>1746</v>
      </c>
      <c r="BM341" s="1"/>
      <c r="BN341" s="1" t="s">
        <v>1445</v>
      </c>
      <c r="BO341" s="11">
        <v>11.1875</v>
      </c>
      <c r="BP341" s="12">
        <v>8.75</v>
      </c>
      <c r="BQ341" s="12"/>
      <c r="BR341" s="1">
        <v>28.4</v>
      </c>
      <c r="BS341" s="1">
        <v>22.2</v>
      </c>
      <c r="BT341" s="1"/>
      <c r="BU341" s="1"/>
      <c r="BV341" s="1" t="s">
        <v>575</v>
      </c>
      <c r="BW341" s="1" t="s">
        <v>386</v>
      </c>
      <c r="BX341" s="1"/>
      <c r="BY341" s="1">
        <v>1956</v>
      </c>
      <c r="BZ341" s="1"/>
      <c r="CA341" s="1" t="s">
        <v>576</v>
      </c>
      <c r="CB341" s="1" t="s">
        <v>577</v>
      </c>
      <c r="CN341" s="1" t="s">
        <v>390</v>
      </c>
      <c r="CP341" s="8" t="str">
        <f>HYPERLINK("http://www.metmuseum.org/art/collection/search/57277","http://www.metmuseum.org/art/collection/search/57277")</f>
        <v>http://www.metmuseum.org/art/collection/search/57277</v>
      </c>
      <c r="CQ341" s="4">
        <v>42842.333402777775</v>
      </c>
      <c r="CR341" s="1" t="s">
        <v>97</v>
      </c>
    </row>
    <row r="342" spans="1:96" ht="52.5" customHeight="1" x14ac:dyDescent="0.2">
      <c r="A342" s="1" t="s">
        <v>1446</v>
      </c>
      <c r="B342" s="1" t="b">
        <v>0</v>
      </c>
      <c r="C342" s="1" t="b">
        <v>1</v>
      </c>
      <c r="D342" s="1">
        <v>57278</v>
      </c>
      <c r="E342" s="1" t="s">
        <v>85</v>
      </c>
      <c r="F342" s="1" t="s">
        <v>1392</v>
      </c>
      <c r="N342" s="1" t="s">
        <v>87</v>
      </c>
      <c r="O342" s="1" t="s">
        <v>1798</v>
      </c>
      <c r="P342" s="1">
        <v>1615</v>
      </c>
      <c r="Q342" s="1">
        <v>1868</v>
      </c>
      <c r="U342" s="1" t="s">
        <v>88</v>
      </c>
      <c r="V342" s="1" t="s">
        <v>1421</v>
      </c>
      <c r="W342" s="1" t="s">
        <v>89</v>
      </c>
      <c r="X342" s="1" t="s">
        <v>1801</v>
      </c>
      <c r="Z342" s="1" t="s">
        <v>89</v>
      </c>
      <c r="AA342" s="1" t="s">
        <v>90</v>
      </c>
      <c r="AB342" s="1">
        <v>1760</v>
      </c>
      <c r="AC342" s="1">
        <v>1849</v>
      </c>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t="s">
        <v>573</v>
      </c>
      <c r="BG342" s="1">
        <v>1700</v>
      </c>
      <c r="BH342" s="1">
        <v>1899</v>
      </c>
      <c r="BI342" s="1">
        <v>1</v>
      </c>
      <c r="BJ342" s="1"/>
      <c r="BK342" s="1"/>
      <c r="BL342" s="1" t="s">
        <v>1746</v>
      </c>
      <c r="BM342" s="1"/>
      <c r="BN342" s="1" t="s">
        <v>1437</v>
      </c>
      <c r="BO342" s="1">
        <v>11</v>
      </c>
      <c r="BP342" s="12">
        <v>16.5</v>
      </c>
      <c r="BQ342" s="12"/>
      <c r="BR342" s="1">
        <v>27.9</v>
      </c>
      <c r="BS342" s="1">
        <v>41.9</v>
      </c>
      <c r="BT342" s="1"/>
      <c r="BU342" s="1"/>
      <c r="BV342" s="1" t="s">
        <v>575</v>
      </c>
      <c r="BW342" s="1" t="s">
        <v>386</v>
      </c>
      <c r="BX342" s="1"/>
      <c r="BY342" s="1">
        <v>1956</v>
      </c>
      <c r="BZ342" s="1"/>
      <c r="CA342" s="1" t="s">
        <v>576</v>
      </c>
      <c r="CB342" s="1" t="s">
        <v>577</v>
      </c>
      <c r="CN342" s="1" t="s">
        <v>390</v>
      </c>
      <c r="CP342" s="8" t="str">
        <f>HYPERLINK("http://www.metmuseum.org/art/collection/search/57278","http://www.metmuseum.org/art/collection/search/57278")</f>
        <v>http://www.metmuseum.org/art/collection/search/57278</v>
      </c>
      <c r="CQ342" s="4">
        <v>42842.333402777775</v>
      </c>
      <c r="CR342" s="1" t="s">
        <v>97</v>
      </c>
    </row>
    <row r="343" spans="1:96" ht="52.5" customHeight="1" x14ac:dyDescent="0.2">
      <c r="A343" s="1" t="s">
        <v>1447</v>
      </c>
      <c r="B343" s="1" t="b">
        <v>0</v>
      </c>
      <c r="C343" s="1" t="b">
        <v>1</v>
      </c>
      <c r="D343" s="1">
        <v>57279</v>
      </c>
      <c r="E343" s="1" t="s">
        <v>85</v>
      </c>
      <c r="F343" s="1" t="s">
        <v>1392</v>
      </c>
      <c r="N343" s="1" t="s">
        <v>87</v>
      </c>
      <c r="O343" s="1" t="s">
        <v>1798</v>
      </c>
      <c r="P343" s="1">
        <v>1615</v>
      </c>
      <c r="Q343" s="1">
        <v>1868</v>
      </c>
      <c r="U343" s="1" t="s">
        <v>88</v>
      </c>
      <c r="V343" s="1" t="s">
        <v>1421</v>
      </c>
      <c r="W343" s="1" t="s">
        <v>89</v>
      </c>
      <c r="X343" s="1" t="s">
        <v>1801</v>
      </c>
      <c r="Z343" s="1" t="s">
        <v>89</v>
      </c>
      <c r="AA343" s="1" t="s">
        <v>90</v>
      </c>
      <c r="AB343" s="1">
        <v>1760</v>
      </c>
      <c r="AC343" s="1">
        <v>1849</v>
      </c>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t="s">
        <v>573</v>
      </c>
      <c r="BG343" s="1">
        <v>1700</v>
      </c>
      <c r="BH343" s="1">
        <v>1899</v>
      </c>
      <c r="BI343" s="1">
        <v>1</v>
      </c>
      <c r="BJ343" s="1"/>
      <c r="BK343" s="1"/>
      <c r="BL343" s="1" t="s">
        <v>1748</v>
      </c>
      <c r="BM343" s="1"/>
      <c r="BN343" s="1" t="s">
        <v>1448</v>
      </c>
      <c r="BO343" s="12">
        <v>16.25</v>
      </c>
      <c r="BP343" s="12">
        <v>10.25</v>
      </c>
      <c r="BQ343" s="12"/>
      <c r="BR343" s="1">
        <v>41.3</v>
      </c>
      <c r="BS343" s="1">
        <v>26</v>
      </c>
      <c r="BT343" s="1"/>
      <c r="BU343" s="1"/>
      <c r="BV343" s="1" t="s">
        <v>575</v>
      </c>
      <c r="BW343" s="1" t="s">
        <v>386</v>
      </c>
      <c r="BX343" s="1"/>
      <c r="BY343" s="1">
        <v>1956</v>
      </c>
      <c r="BZ343" s="1"/>
      <c r="CA343" s="1" t="s">
        <v>576</v>
      </c>
      <c r="CB343" s="1" t="s">
        <v>577</v>
      </c>
      <c r="CN343" s="1" t="s">
        <v>390</v>
      </c>
      <c r="CP343" s="8" t="str">
        <f>HYPERLINK("http://www.metmuseum.org/art/collection/search/57279","http://www.metmuseum.org/art/collection/search/57279")</f>
        <v>http://www.metmuseum.org/art/collection/search/57279</v>
      </c>
      <c r="CQ343" s="4">
        <v>42842.333402777775</v>
      </c>
      <c r="CR343" s="1" t="s">
        <v>97</v>
      </c>
    </row>
    <row r="344" spans="1:96" ht="52.5" customHeight="1" x14ac:dyDescent="0.2">
      <c r="A344" s="1" t="s">
        <v>1449</v>
      </c>
      <c r="B344" s="1" t="b">
        <v>0</v>
      </c>
      <c r="C344" s="1" t="b">
        <v>1</v>
      </c>
      <c r="D344" s="1">
        <v>57280</v>
      </c>
      <c r="E344" s="1" t="s">
        <v>85</v>
      </c>
      <c r="F344" s="1" t="s">
        <v>1392</v>
      </c>
      <c r="N344" s="1" t="s">
        <v>87</v>
      </c>
      <c r="O344" s="1" t="s">
        <v>1798</v>
      </c>
      <c r="P344" s="1">
        <v>1615</v>
      </c>
      <c r="Q344" s="1">
        <v>1868</v>
      </c>
      <c r="U344" s="1" t="s">
        <v>88</v>
      </c>
      <c r="V344" s="1" t="s">
        <v>1421</v>
      </c>
      <c r="W344" s="1" t="s">
        <v>89</v>
      </c>
      <c r="X344" s="1" t="s">
        <v>1801</v>
      </c>
      <c r="Z344" s="1" t="s">
        <v>89</v>
      </c>
      <c r="AA344" s="1" t="s">
        <v>90</v>
      </c>
      <c r="AB344" s="1">
        <v>1760</v>
      </c>
      <c r="AC344" s="1">
        <v>1849</v>
      </c>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t="s">
        <v>573</v>
      </c>
      <c r="BG344" s="1">
        <v>1700</v>
      </c>
      <c r="BH344" s="1">
        <v>1899</v>
      </c>
      <c r="BI344" s="1">
        <v>1</v>
      </c>
      <c r="BJ344" s="1"/>
      <c r="BK344" s="1"/>
      <c r="BL344" s="1" t="s">
        <v>1748</v>
      </c>
      <c r="BM344" s="1"/>
      <c r="BN344" s="1" t="s">
        <v>1450</v>
      </c>
      <c r="BO344" s="12">
        <v>16.25</v>
      </c>
      <c r="BP344" s="12">
        <v>10.375</v>
      </c>
      <c r="BQ344" s="12"/>
      <c r="BR344" s="1">
        <v>41.3</v>
      </c>
      <c r="BS344" s="1">
        <v>26.4</v>
      </c>
      <c r="BT344" s="1"/>
      <c r="BU344" s="1"/>
      <c r="BV344" s="1" t="s">
        <v>575</v>
      </c>
      <c r="BW344" s="1" t="s">
        <v>386</v>
      </c>
      <c r="BX344" s="1"/>
      <c r="BY344" s="1">
        <v>1956</v>
      </c>
      <c r="BZ344" s="1"/>
      <c r="CA344" s="1" t="s">
        <v>576</v>
      </c>
      <c r="CB344" s="1" t="s">
        <v>577</v>
      </c>
      <c r="CN344" s="1" t="s">
        <v>390</v>
      </c>
      <c r="CP344" s="8" t="str">
        <f>HYPERLINK("http://www.metmuseum.org/art/collection/search/57280","http://www.metmuseum.org/art/collection/search/57280")</f>
        <v>http://www.metmuseum.org/art/collection/search/57280</v>
      </c>
      <c r="CQ344" s="4">
        <v>42842.333402777775</v>
      </c>
      <c r="CR344" s="1" t="s">
        <v>97</v>
      </c>
    </row>
    <row r="345" spans="1:96" ht="52.5" customHeight="1" x14ac:dyDescent="0.2">
      <c r="A345" s="1" t="s">
        <v>1451</v>
      </c>
      <c r="B345" s="1" t="b">
        <v>0</v>
      </c>
      <c r="C345" s="1" t="b">
        <v>1</v>
      </c>
      <c r="D345" s="1">
        <v>57281</v>
      </c>
      <c r="E345" s="1" t="s">
        <v>85</v>
      </c>
      <c r="F345" s="1" t="s">
        <v>1392</v>
      </c>
      <c r="N345" s="1" t="s">
        <v>87</v>
      </c>
      <c r="O345" s="1" t="s">
        <v>1798</v>
      </c>
      <c r="P345" s="1">
        <v>1615</v>
      </c>
      <c r="Q345" s="1">
        <v>1868</v>
      </c>
      <c r="U345" s="1" t="s">
        <v>88</v>
      </c>
      <c r="V345" s="1" t="s">
        <v>1421</v>
      </c>
      <c r="W345" s="1" t="s">
        <v>89</v>
      </c>
      <c r="X345" s="1" t="s">
        <v>1801</v>
      </c>
      <c r="Z345" s="1" t="s">
        <v>89</v>
      </c>
      <c r="AA345" s="1" t="s">
        <v>90</v>
      </c>
      <c r="AB345" s="1">
        <v>1760</v>
      </c>
      <c r="AC345" s="1">
        <v>1849</v>
      </c>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t="s">
        <v>573</v>
      </c>
      <c r="BG345" s="1">
        <v>1700</v>
      </c>
      <c r="BH345" s="1">
        <v>1899</v>
      </c>
      <c r="BI345" s="1">
        <v>1</v>
      </c>
      <c r="BJ345" s="1"/>
      <c r="BK345" s="1"/>
      <c r="BL345" s="1" t="s">
        <v>1748</v>
      </c>
      <c r="BM345" s="1"/>
      <c r="BN345" s="1" t="s">
        <v>1452</v>
      </c>
      <c r="BO345" s="11">
        <v>9.5625</v>
      </c>
      <c r="BP345" s="12">
        <v>5.5</v>
      </c>
      <c r="BQ345" s="12"/>
      <c r="BR345" s="1">
        <v>24.3</v>
      </c>
      <c r="BS345" s="1">
        <v>14</v>
      </c>
      <c r="BT345" s="1"/>
      <c r="BU345" s="1"/>
      <c r="BV345" s="1" t="s">
        <v>575</v>
      </c>
      <c r="BW345" s="1" t="s">
        <v>386</v>
      </c>
      <c r="BX345" s="1"/>
      <c r="BY345" s="1">
        <v>1956</v>
      </c>
      <c r="BZ345" s="1"/>
      <c r="CA345" s="1" t="s">
        <v>576</v>
      </c>
      <c r="CB345" s="1" t="s">
        <v>577</v>
      </c>
      <c r="CN345" s="1" t="s">
        <v>390</v>
      </c>
      <c r="CP345" s="8" t="str">
        <f>HYPERLINK("http://www.metmuseum.org/art/collection/search/57281","http://www.metmuseum.org/art/collection/search/57281")</f>
        <v>http://www.metmuseum.org/art/collection/search/57281</v>
      </c>
      <c r="CQ345" s="4">
        <v>42842.333402777775</v>
      </c>
      <c r="CR345" s="1" t="s">
        <v>97</v>
      </c>
    </row>
    <row r="346" spans="1:96" ht="52.5" customHeight="1" x14ac:dyDescent="0.2">
      <c r="A346" s="1" t="s">
        <v>1453</v>
      </c>
      <c r="B346" s="1" t="b">
        <v>0</v>
      </c>
      <c r="C346" s="1" t="b">
        <v>1</v>
      </c>
      <c r="D346" s="1">
        <v>57282</v>
      </c>
      <c r="E346" s="1" t="s">
        <v>85</v>
      </c>
      <c r="F346" s="1" t="s">
        <v>1392</v>
      </c>
      <c r="N346" s="1" t="s">
        <v>87</v>
      </c>
      <c r="O346" s="1" t="s">
        <v>1798</v>
      </c>
      <c r="P346" s="1">
        <v>1615</v>
      </c>
      <c r="Q346" s="1">
        <v>1868</v>
      </c>
      <c r="U346" s="1" t="s">
        <v>88</v>
      </c>
      <c r="V346" s="1" t="s">
        <v>1421</v>
      </c>
      <c r="W346" s="1" t="s">
        <v>89</v>
      </c>
      <c r="X346" s="1" t="s">
        <v>1801</v>
      </c>
      <c r="Z346" s="1" t="s">
        <v>89</v>
      </c>
      <c r="AA346" s="1" t="s">
        <v>90</v>
      </c>
      <c r="AB346" s="1">
        <v>1760</v>
      </c>
      <c r="AC346" s="1">
        <v>1849</v>
      </c>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t="s">
        <v>573</v>
      </c>
      <c r="BG346" s="1">
        <v>1700</v>
      </c>
      <c r="BH346" s="1">
        <v>1899</v>
      </c>
      <c r="BI346" s="1">
        <v>1</v>
      </c>
      <c r="BJ346" s="1"/>
      <c r="BK346" s="1"/>
      <c r="BL346" s="1" t="s">
        <v>1746</v>
      </c>
      <c r="BM346" s="1"/>
      <c r="BN346" s="1" t="s">
        <v>1454</v>
      </c>
      <c r="BO346" s="12">
        <v>16.125</v>
      </c>
      <c r="BP346" s="11">
        <v>9.3125</v>
      </c>
      <c r="BQ346" s="11"/>
      <c r="BR346" s="1">
        <v>41</v>
      </c>
      <c r="BS346" s="1">
        <v>23.7</v>
      </c>
      <c r="BT346" s="1"/>
      <c r="BU346" s="1"/>
      <c r="BV346" s="1" t="s">
        <v>575</v>
      </c>
      <c r="BW346" s="1" t="s">
        <v>386</v>
      </c>
      <c r="BX346" s="1"/>
      <c r="BY346" s="1">
        <v>1956</v>
      </c>
      <c r="BZ346" s="1"/>
      <c r="CA346" s="1" t="s">
        <v>576</v>
      </c>
      <c r="CB346" s="1" t="s">
        <v>577</v>
      </c>
      <c r="CN346" s="1" t="s">
        <v>390</v>
      </c>
      <c r="CP346" s="8" t="str">
        <f>HYPERLINK("http://www.metmuseum.org/art/collection/search/57282","http://www.metmuseum.org/art/collection/search/57282")</f>
        <v>http://www.metmuseum.org/art/collection/search/57282</v>
      </c>
      <c r="CQ346" s="4">
        <v>42842.333402777775</v>
      </c>
      <c r="CR346" s="1" t="s">
        <v>97</v>
      </c>
    </row>
    <row r="347" spans="1:96" ht="52.5" customHeight="1" x14ac:dyDescent="0.2">
      <c r="A347" s="1" t="s">
        <v>1455</v>
      </c>
      <c r="B347" s="1" t="b">
        <v>0</v>
      </c>
      <c r="C347" s="1" t="b">
        <v>1</v>
      </c>
      <c r="D347" s="1">
        <v>57283</v>
      </c>
      <c r="E347" s="1" t="s">
        <v>85</v>
      </c>
      <c r="F347" s="1" t="s">
        <v>1392</v>
      </c>
      <c r="N347" s="1" t="s">
        <v>87</v>
      </c>
      <c r="O347" s="1" t="s">
        <v>1798</v>
      </c>
      <c r="P347" s="1">
        <v>1615</v>
      </c>
      <c r="Q347" s="1">
        <v>1868</v>
      </c>
      <c r="U347" s="1" t="s">
        <v>88</v>
      </c>
      <c r="V347" s="1" t="s">
        <v>1421</v>
      </c>
      <c r="W347" s="1" t="s">
        <v>89</v>
      </c>
      <c r="X347" s="1" t="s">
        <v>1801</v>
      </c>
      <c r="Z347" s="1" t="s">
        <v>89</v>
      </c>
      <c r="AA347" s="1" t="s">
        <v>90</v>
      </c>
      <c r="AB347" s="1">
        <v>1760</v>
      </c>
      <c r="AC347" s="1">
        <v>1849</v>
      </c>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t="s">
        <v>573</v>
      </c>
      <c r="BG347" s="1">
        <v>1700</v>
      </c>
      <c r="BH347" s="1">
        <v>1899</v>
      </c>
      <c r="BI347" s="1">
        <v>1</v>
      </c>
      <c r="BJ347" s="1"/>
      <c r="BK347" s="1"/>
      <c r="BL347" s="1" t="s">
        <v>1746</v>
      </c>
      <c r="BM347" s="1"/>
      <c r="BN347" s="1" t="s">
        <v>1456</v>
      </c>
      <c r="BO347" s="11">
        <v>10.6875</v>
      </c>
      <c r="BP347" s="1">
        <v>7</v>
      </c>
      <c r="BQ347" s="1"/>
      <c r="BR347" s="1">
        <v>27.1</v>
      </c>
      <c r="BS347" s="1">
        <v>17.8</v>
      </c>
      <c r="BT347" s="1"/>
      <c r="BU347" s="1"/>
      <c r="BV347" s="1" t="s">
        <v>575</v>
      </c>
      <c r="BW347" s="1" t="s">
        <v>386</v>
      </c>
      <c r="BX347" s="1"/>
      <c r="BY347" s="1">
        <v>1956</v>
      </c>
      <c r="BZ347" s="1"/>
      <c r="CA347" s="1" t="s">
        <v>576</v>
      </c>
      <c r="CB347" s="1" t="s">
        <v>577</v>
      </c>
      <c r="CN347" s="1" t="s">
        <v>390</v>
      </c>
      <c r="CP347" s="8" t="str">
        <f>HYPERLINK("http://www.metmuseum.org/art/collection/search/57283","http://www.metmuseum.org/art/collection/search/57283")</f>
        <v>http://www.metmuseum.org/art/collection/search/57283</v>
      </c>
      <c r="CQ347" s="4">
        <v>42842.333402777775</v>
      </c>
      <c r="CR347" s="1" t="s">
        <v>97</v>
      </c>
    </row>
    <row r="348" spans="1:96" ht="52.5" customHeight="1" x14ac:dyDescent="0.2">
      <c r="A348" s="1" t="s">
        <v>1457</v>
      </c>
      <c r="B348" s="1" t="b">
        <v>0</v>
      </c>
      <c r="C348" s="1" t="b">
        <v>1</v>
      </c>
      <c r="D348" s="1">
        <v>57284</v>
      </c>
      <c r="E348" s="1" t="s">
        <v>85</v>
      </c>
      <c r="F348" s="1" t="s">
        <v>1392</v>
      </c>
      <c r="N348" s="1" t="s">
        <v>87</v>
      </c>
      <c r="O348" s="1" t="s">
        <v>1798</v>
      </c>
      <c r="P348" s="1">
        <v>1615</v>
      </c>
      <c r="Q348" s="1">
        <v>1868</v>
      </c>
      <c r="U348" s="1" t="s">
        <v>88</v>
      </c>
      <c r="V348" s="1" t="s">
        <v>1421</v>
      </c>
      <c r="W348" s="1" t="s">
        <v>89</v>
      </c>
      <c r="X348" s="1" t="s">
        <v>1801</v>
      </c>
      <c r="Z348" s="1" t="s">
        <v>89</v>
      </c>
      <c r="AA348" s="1" t="s">
        <v>90</v>
      </c>
      <c r="AB348" s="1">
        <v>1760</v>
      </c>
      <c r="AC348" s="1">
        <v>1849</v>
      </c>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t="s">
        <v>573</v>
      </c>
      <c r="BG348" s="1">
        <v>1700</v>
      </c>
      <c r="BH348" s="1">
        <v>1899</v>
      </c>
      <c r="BI348" s="1">
        <v>1</v>
      </c>
      <c r="BJ348" s="1"/>
      <c r="BK348" s="1"/>
      <c r="BL348" s="1" t="s">
        <v>1748</v>
      </c>
      <c r="BM348" s="1"/>
      <c r="BN348" s="1" t="s">
        <v>1458</v>
      </c>
      <c r="BO348" s="12">
        <v>9.75</v>
      </c>
      <c r="BP348" s="12">
        <v>7.375</v>
      </c>
      <c r="BQ348" s="12"/>
      <c r="BR348" s="1">
        <v>24.8</v>
      </c>
      <c r="BS348" s="1">
        <v>18.7</v>
      </c>
      <c r="BT348" s="1"/>
      <c r="BU348" s="1"/>
      <c r="BV348" s="1" t="s">
        <v>575</v>
      </c>
      <c r="BW348" s="1" t="s">
        <v>386</v>
      </c>
      <c r="BX348" s="1"/>
      <c r="BY348" s="1">
        <v>1956</v>
      </c>
      <c r="BZ348" s="1"/>
      <c r="CA348" s="1" t="s">
        <v>576</v>
      </c>
      <c r="CB348" s="1" t="s">
        <v>577</v>
      </c>
      <c r="CN348" s="1" t="s">
        <v>390</v>
      </c>
      <c r="CP348" s="8" t="str">
        <f>HYPERLINK("http://www.metmuseum.org/art/collection/search/57284","http://www.metmuseum.org/art/collection/search/57284")</f>
        <v>http://www.metmuseum.org/art/collection/search/57284</v>
      </c>
      <c r="CQ348" s="4">
        <v>42842.333402777775</v>
      </c>
      <c r="CR348" s="1" t="s">
        <v>97</v>
      </c>
    </row>
    <row r="349" spans="1:96" ht="52.5" customHeight="1" x14ac:dyDescent="0.2">
      <c r="A349" s="1" t="s">
        <v>1459</v>
      </c>
      <c r="B349" s="1" t="b">
        <v>0</v>
      </c>
      <c r="C349" s="1" t="b">
        <v>1</v>
      </c>
      <c r="D349" s="1">
        <v>57285</v>
      </c>
      <c r="E349" s="1" t="s">
        <v>85</v>
      </c>
      <c r="F349" s="1" t="s">
        <v>1392</v>
      </c>
      <c r="N349" s="1" t="s">
        <v>87</v>
      </c>
      <c r="O349" s="1" t="s">
        <v>1798</v>
      </c>
      <c r="P349" s="1">
        <v>1615</v>
      </c>
      <c r="Q349" s="1">
        <v>1868</v>
      </c>
      <c r="U349" s="1" t="s">
        <v>88</v>
      </c>
      <c r="V349" s="1" t="s">
        <v>1421</v>
      </c>
      <c r="W349" s="1" t="s">
        <v>89</v>
      </c>
      <c r="X349" s="1" t="s">
        <v>1801</v>
      </c>
      <c r="Z349" s="1" t="s">
        <v>89</v>
      </c>
      <c r="AA349" s="1" t="s">
        <v>90</v>
      </c>
      <c r="AB349" s="1">
        <v>1760</v>
      </c>
      <c r="AC349" s="1">
        <v>1849</v>
      </c>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t="s">
        <v>573</v>
      </c>
      <c r="BG349" s="1">
        <v>1700</v>
      </c>
      <c r="BH349" s="1">
        <v>1899</v>
      </c>
      <c r="BI349" s="1">
        <v>1</v>
      </c>
      <c r="BJ349" s="1"/>
      <c r="BK349" s="1"/>
      <c r="BL349" s="1" t="s">
        <v>1748</v>
      </c>
      <c r="BM349" s="1"/>
      <c r="BN349" s="1" t="s">
        <v>1460</v>
      </c>
      <c r="BO349" s="12">
        <v>12.875</v>
      </c>
      <c r="BP349" s="12">
        <v>9.875</v>
      </c>
      <c r="BQ349" s="12"/>
      <c r="BR349" s="1">
        <v>32.700000000000003</v>
      </c>
      <c r="BS349" s="1">
        <v>25.1</v>
      </c>
      <c r="BT349" s="1"/>
      <c r="BU349" s="1"/>
      <c r="BV349" s="1" t="s">
        <v>575</v>
      </c>
      <c r="BW349" s="1" t="s">
        <v>386</v>
      </c>
      <c r="BX349" s="1"/>
      <c r="BY349" s="1">
        <v>1956</v>
      </c>
      <c r="BZ349" s="1"/>
      <c r="CA349" s="1" t="s">
        <v>576</v>
      </c>
      <c r="CB349" s="1" t="s">
        <v>577</v>
      </c>
      <c r="CN349" s="1" t="s">
        <v>390</v>
      </c>
      <c r="CP349" s="8" t="str">
        <f>HYPERLINK("http://www.metmuseum.org/art/collection/search/57285","http://www.metmuseum.org/art/collection/search/57285")</f>
        <v>http://www.metmuseum.org/art/collection/search/57285</v>
      </c>
      <c r="CQ349" s="4">
        <v>42842.333402777775</v>
      </c>
      <c r="CR349" s="1" t="s">
        <v>97</v>
      </c>
    </row>
    <row r="350" spans="1:96" ht="52.5" customHeight="1" x14ac:dyDescent="0.2">
      <c r="A350" s="1" t="s">
        <v>1461</v>
      </c>
      <c r="B350" s="1" t="b">
        <v>0</v>
      </c>
      <c r="C350" s="1" t="b">
        <v>1</v>
      </c>
      <c r="D350" s="1">
        <v>57286</v>
      </c>
      <c r="E350" s="1" t="s">
        <v>85</v>
      </c>
      <c r="F350" s="1" t="s">
        <v>554</v>
      </c>
      <c r="N350" s="1" t="s">
        <v>87</v>
      </c>
      <c r="O350" s="1" t="s">
        <v>1798</v>
      </c>
      <c r="P350" s="1">
        <v>1615</v>
      </c>
      <c r="Q350" s="1">
        <v>1868</v>
      </c>
      <c r="U350" s="1" t="s">
        <v>88</v>
      </c>
      <c r="V350" s="1" t="s">
        <v>1421</v>
      </c>
      <c r="W350" s="1" t="s">
        <v>89</v>
      </c>
      <c r="X350" s="1" t="s">
        <v>1801</v>
      </c>
      <c r="Z350" s="1" t="s">
        <v>89</v>
      </c>
      <c r="AA350" s="1" t="s">
        <v>90</v>
      </c>
      <c r="AB350" s="1">
        <v>1760</v>
      </c>
      <c r="AC350" s="1">
        <v>1849</v>
      </c>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t="s">
        <v>573</v>
      </c>
      <c r="BG350" s="1">
        <v>1700</v>
      </c>
      <c r="BH350" s="1">
        <v>1899</v>
      </c>
      <c r="BI350" s="1">
        <v>1</v>
      </c>
      <c r="BJ350" s="1"/>
      <c r="BK350" s="1"/>
      <c r="BL350" s="6" t="s">
        <v>1746</v>
      </c>
      <c r="BM350" s="1"/>
      <c r="BN350" s="1" t="s">
        <v>1462</v>
      </c>
      <c r="BO350" s="11">
        <v>7.5625</v>
      </c>
      <c r="BP350" s="12">
        <v>10.25</v>
      </c>
      <c r="BQ350" s="12"/>
      <c r="BR350" s="1">
        <v>19.2</v>
      </c>
      <c r="BS350" s="1">
        <v>26</v>
      </c>
      <c r="BT350" s="1"/>
      <c r="BU350" s="1"/>
      <c r="BV350" s="1" t="s">
        <v>575</v>
      </c>
      <c r="BW350" s="1" t="s">
        <v>386</v>
      </c>
      <c r="BX350" s="1"/>
      <c r="BY350" s="1">
        <v>1956</v>
      </c>
      <c r="BZ350" s="1"/>
      <c r="CA350" s="1" t="s">
        <v>576</v>
      </c>
      <c r="CB350" s="1" t="s">
        <v>577</v>
      </c>
      <c r="CN350" s="1" t="s">
        <v>390</v>
      </c>
      <c r="CP350" s="8" t="str">
        <f>HYPERLINK("http://www.metmuseum.org/art/collection/search/57286","http://www.metmuseum.org/art/collection/search/57286")</f>
        <v>http://www.metmuseum.org/art/collection/search/57286</v>
      </c>
      <c r="CQ350" s="4">
        <v>42842.333402777775</v>
      </c>
      <c r="CR350" s="1" t="s">
        <v>97</v>
      </c>
    </row>
    <row r="351" spans="1:96" ht="52.5" customHeight="1" x14ac:dyDescent="0.2">
      <c r="A351" s="1" t="s">
        <v>1463</v>
      </c>
      <c r="B351" s="1" t="b">
        <v>0</v>
      </c>
      <c r="C351" s="1" t="b">
        <v>1</v>
      </c>
      <c r="D351" s="1">
        <v>57287</v>
      </c>
      <c r="E351" s="1" t="s">
        <v>85</v>
      </c>
      <c r="F351" s="1" t="s">
        <v>1392</v>
      </c>
      <c r="N351" s="1" t="s">
        <v>87</v>
      </c>
      <c r="O351" s="1" t="s">
        <v>1798</v>
      </c>
      <c r="P351" s="1">
        <v>1615</v>
      </c>
      <c r="Q351" s="1">
        <v>1868</v>
      </c>
      <c r="U351" s="1" t="s">
        <v>88</v>
      </c>
      <c r="V351" s="1" t="s">
        <v>1421</v>
      </c>
      <c r="W351" s="1" t="s">
        <v>89</v>
      </c>
      <c r="X351" s="1" t="s">
        <v>1801</v>
      </c>
      <c r="Z351" s="1" t="s">
        <v>89</v>
      </c>
      <c r="AA351" s="1" t="s">
        <v>90</v>
      </c>
      <c r="AB351" s="1">
        <v>1760</v>
      </c>
      <c r="AC351" s="1">
        <v>1849</v>
      </c>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t="s">
        <v>573</v>
      </c>
      <c r="BG351" s="1">
        <v>1700</v>
      </c>
      <c r="BH351" s="1">
        <v>1899</v>
      </c>
      <c r="BI351" s="1">
        <v>1</v>
      </c>
      <c r="BJ351" s="1"/>
      <c r="BK351" s="1"/>
      <c r="BL351" s="6" t="s">
        <v>1748</v>
      </c>
      <c r="BM351" s="1"/>
      <c r="BN351" s="1" t="s">
        <v>1464</v>
      </c>
      <c r="BO351" s="11">
        <v>7.5625</v>
      </c>
      <c r="BP351" s="12">
        <v>5.875</v>
      </c>
      <c r="BQ351" s="12"/>
      <c r="BR351" s="1">
        <v>19.2</v>
      </c>
      <c r="BS351" s="1">
        <v>14.9</v>
      </c>
      <c r="BT351" s="1"/>
      <c r="BU351" s="1"/>
      <c r="BV351" s="1" t="s">
        <v>575</v>
      </c>
      <c r="BW351" s="1" t="s">
        <v>386</v>
      </c>
      <c r="BX351" s="1"/>
      <c r="BY351" s="1">
        <v>1956</v>
      </c>
      <c r="BZ351" s="1"/>
      <c r="CA351" s="1" t="s">
        <v>576</v>
      </c>
      <c r="CB351" s="1" t="s">
        <v>577</v>
      </c>
      <c r="CN351" s="1" t="s">
        <v>390</v>
      </c>
      <c r="CP351" s="8" t="str">
        <f>HYPERLINK("http://www.metmuseum.org/art/collection/search/57287","http://www.metmuseum.org/art/collection/search/57287")</f>
        <v>http://www.metmuseum.org/art/collection/search/57287</v>
      </c>
      <c r="CQ351" s="4">
        <v>42842.333402777775</v>
      </c>
      <c r="CR351" s="1" t="s">
        <v>97</v>
      </c>
    </row>
    <row r="352" spans="1:96" ht="52.5" customHeight="1" x14ac:dyDescent="0.2">
      <c r="A352" s="1" t="s">
        <v>1465</v>
      </c>
      <c r="B352" s="1" t="b">
        <v>0</v>
      </c>
      <c r="C352" s="1" t="b">
        <v>1</v>
      </c>
      <c r="D352" s="1">
        <v>57288</v>
      </c>
      <c r="E352" s="1" t="s">
        <v>85</v>
      </c>
      <c r="F352" s="1" t="s">
        <v>1392</v>
      </c>
      <c r="N352" s="1" t="s">
        <v>87</v>
      </c>
      <c r="O352" s="1" t="s">
        <v>1798</v>
      </c>
      <c r="P352" s="1">
        <v>1615</v>
      </c>
      <c r="Q352" s="1">
        <v>1868</v>
      </c>
      <c r="U352" s="1" t="s">
        <v>88</v>
      </c>
      <c r="V352" s="1" t="s">
        <v>1421</v>
      </c>
      <c r="W352" s="1" t="s">
        <v>89</v>
      </c>
      <c r="X352" s="1" t="s">
        <v>1801</v>
      </c>
      <c r="Z352" s="1" t="s">
        <v>89</v>
      </c>
      <c r="AA352" s="1" t="s">
        <v>90</v>
      </c>
      <c r="AB352" s="1">
        <v>1760</v>
      </c>
      <c r="AC352" s="1">
        <v>1849</v>
      </c>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t="s">
        <v>573</v>
      </c>
      <c r="BG352" s="1">
        <v>1700</v>
      </c>
      <c r="BH352" s="1">
        <v>1899</v>
      </c>
      <c r="BI352" s="1">
        <v>1</v>
      </c>
      <c r="BJ352" s="1"/>
      <c r="BK352" s="1"/>
      <c r="BL352" s="6" t="s">
        <v>1748</v>
      </c>
      <c r="BM352" s="1"/>
      <c r="BN352" s="1" t="s">
        <v>1466</v>
      </c>
      <c r="BO352" s="12">
        <v>10.75</v>
      </c>
      <c r="BP352" s="12">
        <v>7.125</v>
      </c>
      <c r="BQ352" s="12"/>
      <c r="BR352" s="1">
        <v>27.3</v>
      </c>
      <c r="BS352" s="1">
        <v>18.100000000000001</v>
      </c>
      <c r="BT352" s="1"/>
      <c r="BU352" s="1"/>
      <c r="BV352" s="1" t="s">
        <v>575</v>
      </c>
      <c r="BW352" s="1" t="s">
        <v>386</v>
      </c>
      <c r="BX352" s="1"/>
      <c r="BY352" s="1">
        <v>1956</v>
      </c>
      <c r="BZ352" s="1"/>
      <c r="CA352" s="1" t="s">
        <v>576</v>
      </c>
      <c r="CB352" s="1" t="s">
        <v>577</v>
      </c>
      <c r="CN352" s="1" t="s">
        <v>390</v>
      </c>
      <c r="CP352" s="8" t="str">
        <f>HYPERLINK("http://www.metmuseum.org/art/collection/search/57288","http://www.metmuseum.org/art/collection/search/57288")</f>
        <v>http://www.metmuseum.org/art/collection/search/57288</v>
      </c>
      <c r="CQ352" s="4">
        <v>42842.333402777775</v>
      </c>
      <c r="CR352" s="1" t="s">
        <v>97</v>
      </c>
    </row>
    <row r="353" spans="1:96" ht="52.5" customHeight="1" x14ac:dyDescent="0.2">
      <c r="A353" s="1" t="s">
        <v>1467</v>
      </c>
      <c r="B353" s="1" t="b">
        <v>0</v>
      </c>
      <c r="C353" s="1" t="b">
        <v>1</v>
      </c>
      <c r="D353" s="1">
        <v>57289</v>
      </c>
      <c r="E353" s="1" t="s">
        <v>85</v>
      </c>
      <c r="F353" s="1" t="s">
        <v>1392</v>
      </c>
      <c r="N353" s="1" t="s">
        <v>87</v>
      </c>
      <c r="O353" s="1" t="s">
        <v>1798</v>
      </c>
      <c r="P353" s="1">
        <v>1615</v>
      </c>
      <c r="Q353" s="1">
        <v>1868</v>
      </c>
      <c r="U353" s="1" t="s">
        <v>88</v>
      </c>
      <c r="V353" s="1" t="s">
        <v>1421</v>
      </c>
      <c r="W353" s="1" t="s">
        <v>89</v>
      </c>
      <c r="X353" s="1" t="s">
        <v>1801</v>
      </c>
      <c r="Z353" s="1" t="s">
        <v>89</v>
      </c>
      <c r="AA353" s="1" t="s">
        <v>90</v>
      </c>
      <c r="AB353" s="1">
        <v>1760</v>
      </c>
      <c r="AC353" s="1">
        <v>1849</v>
      </c>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t="s">
        <v>573</v>
      </c>
      <c r="BG353" s="1">
        <v>1700</v>
      </c>
      <c r="BH353" s="1">
        <v>1899</v>
      </c>
      <c r="BI353" s="1">
        <v>1</v>
      </c>
      <c r="BJ353" s="1"/>
      <c r="BK353" s="1"/>
      <c r="BL353" s="6" t="s">
        <v>1748</v>
      </c>
      <c r="BM353" s="1"/>
      <c r="BN353" s="1" t="s">
        <v>1468</v>
      </c>
      <c r="BO353" s="12">
        <v>12.125</v>
      </c>
      <c r="BP353" s="12">
        <v>5.625</v>
      </c>
      <c r="BQ353" s="12"/>
      <c r="BR353" s="1">
        <v>30.8</v>
      </c>
      <c r="BS353" s="1">
        <v>14.3</v>
      </c>
      <c r="BT353" s="1"/>
      <c r="BU353" s="1"/>
      <c r="BV353" s="1" t="s">
        <v>575</v>
      </c>
      <c r="BW353" s="1" t="s">
        <v>386</v>
      </c>
      <c r="BX353" s="1"/>
      <c r="BY353" s="1">
        <v>1956</v>
      </c>
      <c r="BZ353" s="1"/>
      <c r="CA353" s="1" t="s">
        <v>576</v>
      </c>
      <c r="CB353" s="1" t="s">
        <v>577</v>
      </c>
      <c r="CN353" s="1" t="s">
        <v>390</v>
      </c>
      <c r="CP353" s="8" t="str">
        <f>HYPERLINK("http://www.metmuseum.org/art/collection/search/57289","http://www.metmuseum.org/art/collection/search/57289")</f>
        <v>http://www.metmuseum.org/art/collection/search/57289</v>
      </c>
      <c r="CQ353" s="4">
        <v>42842.333402777775</v>
      </c>
      <c r="CR353" s="1" t="s">
        <v>97</v>
      </c>
    </row>
    <row r="354" spans="1:96" ht="52.5" customHeight="1" x14ac:dyDescent="0.2">
      <c r="A354" s="1" t="s">
        <v>1469</v>
      </c>
      <c r="B354" s="1" t="b">
        <v>0</v>
      </c>
      <c r="C354" s="1" t="b">
        <v>1</v>
      </c>
      <c r="D354" s="1">
        <v>57290</v>
      </c>
      <c r="E354" s="1" t="s">
        <v>85</v>
      </c>
      <c r="F354" s="1" t="s">
        <v>554</v>
      </c>
      <c r="N354" s="1" t="s">
        <v>87</v>
      </c>
      <c r="O354" s="1" t="s">
        <v>1798</v>
      </c>
      <c r="P354" s="1">
        <v>1615</v>
      </c>
      <c r="Q354" s="1">
        <v>1868</v>
      </c>
      <c r="U354" s="1" t="s">
        <v>88</v>
      </c>
      <c r="V354" s="1" t="s">
        <v>1421</v>
      </c>
      <c r="W354" s="1" t="s">
        <v>89</v>
      </c>
      <c r="X354" s="1" t="s">
        <v>1801</v>
      </c>
      <c r="Z354" s="1" t="s">
        <v>89</v>
      </c>
      <c r="AA354" s="1" t="s">
        <v>90</v>
      </c>
      <c r="AB354" s="1">
        <v>1760</v>
      </c>
      <c r="AC354" s="1">
        <v>1849</v>
      </c>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t="s">
        <v>573</v>
      </c>
      <c r="BG354" s="1">
        <v>1700</v>
      </c>
      <c r="BH354" s="1">
        <v>1899</v>
      </c>
      <c r="BI354" s="1">
        <v>1</v>
      </c>
      <c r="BJ354" s="1"/>
      <c r="BK354" s="1"/>
      <c r="BL354" s="6" t="s">
        <v>1746</v>
      </c>
      <c r="BM354" s="1"/>
      <c r="BN354" s="1" t="s">
        <v>1470</v>
      </c>
      <c r="BO354" s="12">
        <v>10.625</v>
      </c>
      <c r="BP354" s="12">
        <v>15.375</v>
      </c>
      <c r="BQ354" s="12"/>
      <c r="BR354" s="1">
        <v>27</v>
      </c>
      <c r="BS354" s="1">
        <v>39.1</v>
      </c>
      <c r="BT354" s="1"/>
      <c r="BU354" s="1"/>
      <c r="BV354" s="1" t="s">
        <v>575</v>
      </c>
      <c r="BW354" s="1" t="s">
        <v>386</v>
      </c>
      <c r="BX354" s="1"/>
      <c r="BY354" s="1">
        <v>1956</v>
      </c>
      <c r="BZ354" s="1"/>
      <c r="CA354" s="1" t="s">
        <v>576</v>
      </c>
      <c r="CB354" s="1" t="s">
        <v>577</v>
      </c>
      <c r="CN354" s="1" t="s">
        <v>390</v>
      </c>
      <c r="CP354" s="8" t="str">
        <f>HYPERLINK("http://www.metmuseum.org/art/collection/search/57290","http://www.metmuseum.org/art/collection/search/57290")</f>
        <v>http://www.metmuseum.org/art/collection/search/57290</v>
      </c>
      <c r="CQ354" s="4">
        <v>42842.333402777775</v>
      </c>
      <c r="CR354" s="1" t="s">
        <v>97</v>
      </c>
    </row>
    <row r="355" spans="1:96" ht="52.5" customHeight="1" x14ac:dyDescent="0.2">
      <c r="A355" s="1" t="s">
        <v>1471</v>
      </c>
      <c r="B355" s="1" t="b">
        <v>0</v>
      </c>
      <c r="C355" s="1" t="b">
        <v>1</v>
      </c>
      <c r="D355" s="1">
        <v>57291</v>
      </c>
      <c r="E355" s="1" t="s">
        <v>85</v>
      </c>
      <c r="F355" s="1" t="s">
        <v>554</v>
      </c>
      <c r="N355" s="1" t="s">
        <v>87</v>
      </c>
      <c r="O355" s="1" t="s">
        <v>1798</v>
      </c>
      <c r="P355" s="1">
        <v>1615</v>
      </c>
      <c r="Q355" s="1">
        <v>1868</v>
      </c>
      <c r="U355" s="1" t="s">
        <v>88</v>
      </c>
      <c r="V355" s="1" t="s">
        <v>1421</v>
      </c>
      <c r="W355" s="1" t="s">
        <v>89</v>
      </c>
      <c r="X355" s="1" t="s">
        <v>1801</v>
      </c>
      <c r="Z355" s="1" t="s">
        <v>89</v>
      </c>
      <c r="AA355" s="1" t="s">
        <v>90</v>
      </c>
      <c r="AB355" s="1">
        <v>1760</v>
      </c>
      <c r="AC355" s="1">
        <v>1849</v>
      </c>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t="s">
        <v>573</v>
      </c>
      <c r="BG355" s="1">
        <v>1700</v>
      </c>
      <c r="BH355" s="1">
        <v>1899</v>
      </c>
      <c r="BI355" s="1">
        <v>2</v>
      </c>
      <c r="BJ355" s="1"/>
      <c r="BK355" s="6" t="s">
        <v>1774</v>
      </c>
      <c r="BL355" s="6" t="s">
        <v>1748</v>
      </c>
      <c r="BM355" s="1"/>
      <c r="BN355" s="1" t="s">
        <v>1472</v>
      </c>
      <c r="BO355" s="11">
        <v>7.6875</v>
      </c>
      <c r="BP355" s="12">
        <v>5.5</v>
      </c>
      <c r="BQ355" s="12"/>
      <c r="BR355" s="1">
        <v>19.5</v>
      </c>
      <c r="BS355" s="1">
        <v>14</v>
      </c>
      <c r="BT355" s="1"/>
      <c r="BU355" s="1" t="s">
        <v>1473</v>
      </c>
      <c r="BV355" s="1" t="s">
        <v>575</v>
      </c>
      <c r="BW355" s="1" t="s">
        <v>386</v>
      </c>
      <c r="BX355" s="1"/>
      <c r="BY355" s="1">
        <v>1956</v>
      </c>
      <c r="BZ355" s="1"/>
      <c r="CA355" s="1" t="s">
        <v>576</v>
      </c>
      <c r="CB355" s="1" t="s">
        <v>577</v>
      </c>
      <c r="CN355" s="1" t="s">
        <v>390</v>
      </c>
      <c r="CP355" s="8" t="str">
        <f>HYPERLINK("http://www.metmuseum.org/art/collection/search/57291","http://www.metmuseum.org/art/collection/search/57291")</f>
        <v>http://www.metmuseum.org/art/collection/search/57291</v>
      </c>
      <c r="CQ355" s="4">
        <v>42842.333402777775</v>
      </c>
      <c r="CR355" s="1" t="s">
        <v>97</v>
      </c>
    </row>
    <row r="356" spans="1:96" ht="52.5" customHeight="1" x14ac:dyDescent="0.2">
      <c r="A356" s="1" t="s">
        <v>1474</v>
      </c>
      <c r="B356" s="1" t="b">
        <v>0</v>
      </c>
      <c r="C356" s="1" t="b">
        <v>1</v>
      </c>
      <c r="D356" s="1">
        <v>57292</v>
      </c>
      <c r="E356" s="1" t="s">
        <v>85</v>
      </c>
      <c r="F356" s="1" t="s">
        <v>554</v>
      </c>
      <c r="N356" s="1" t="s">
        <v>87</v>
      </c>
      <c r="O356" s="1" t="s">
        <v>1798</v>
      </c>
      <c r="P356" s="1">
        <v>1615</v>
      </c>
      <c r="Q356" s="1">
        <v>1868</v>
      </c>
      <c r="U356" s="1" t="s">
        <v>88</v>
      </c>
      <c r="V356" s="1" t="s">
        <v>1421</v>
      </c>
      <c r="W356" s="1" t="s">
        <v>89</v>
      </c>
      <c r="X356" s="1" t="s">
        <v>1801</v>
      </c>
      <c r="Z356" s="1" t="s">
        <v>89</v>
      </c>
      <c r="AA356" s="1" t="s">
        <v>90</v>
      </c>
      <c r="AB356" s="1">
        <v>1760</v>
      </c>
      <c r="AC356" s="1">
        <v>1849</v>
      </c>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t="s">
        <v>573</v>
      </c>
      <c r="BG356" s="1">
        <v>1700</v>
      </c>
      <c r="BH356" s="1">
        <v>1899</v>
      </c>
      <c r="BI356" s="1">
        <v>1</v>
      </c>
      <c r="BJ356" s="1"/>
      <c r="BK356" s="1"/>
      <c r="BL356" s="6" t="s">
        <v>1746</v>
      </c>
      <c r="BM356" s="1"/>
      <c r="BN356" s="1" t="s">
        <v>1475</v>
      </c>
      <c r="BO356" s="11">
        <v>8.3125</v>
      </c>
      <c r="BP356" s="12">
        <v>9.875</v>
      </c>
      <c r="BQ356" s="12"/>
      <c r="BR356" s="1">
        <v>21.1</v>
      </c>
      <c r="BS356" s="1">
        <v>25.1</v>
      </c>
      <c r="BT356" s="1"/>
      <c r="BU356" s="1" t="s">
        <v>1476</v>
      </c>
      <c r="BV356" s="1" t="s">
        <v>575</v>
      </c>
      <c r="BW356" s="1" t="s">
        <v>386</v>
      </c>
      <c r="BX356" s="1"/>
      <c r="BY356" s="1">
        <v>1956</v>
      </c>
      <c r="BZ356" s="1"/>
      <c r="CA356" s="1" t="s">
        <v>576</v>
      </c>
      <c r="CB356" s="1" t="s">
        <v>577</v>
      </c>
      <c r="CN356" s="1" t="s">
        <v>390</v>
      </c>
      <c r="CP356" s="8" t="str">
        <f>HYPERLINK("http://www.metmuseum.org/art/collection/search/57292","http://www.metmuseum.org/art/collection/search/57292")</f>
        <v>http://www.metmuseum.org/art/collection/search/57292</v>
      </c>
      <c r="CQ356" s="4">
        <v>42842.333402777775</v>
      </c>
      <c r="CR356" s="1" t="s">
        <v>97</v>
      </c>
    </row>
    <row r="357" spans="1:96" ht="52.5" customHeight="1" x14ac:dyDescent="0.2">
      <c r="A357" s="1" t="s">
        <v>1477</v>
      </c>
      <c r="B357" s="1" t="b">
        <v>0</v>
      </c>
      <c r="C357" s="1" t="b">
        <v>1</v>
      </c>
      <c r="D357" s="1">
        <v>57293</v>
      </c>
      <c r="E357" s="1" t="s">
        <v>85</v>
      </c>
      <c r="F357" s="1" t="s">
        <v>554</v>
      </c>
      <c r="N357" s="1" t="s">
        <v>87</v>
      </c>
      <c r="O357" s="1" t="s">
        <v>1798</v>
      </c>
      <c r="P357" s="1">
        <v>1615</v>
      </c>
      <c r="Q357" s="1">
        <v>1868</v>
      </c>
      <c r="U357" s="1" t="s">
        <v>88</v>
      </c>
      <c r="V357" s="1" t="s">
        <v>1421</v>
      </c>
      <c r="W357" s="1" t="s">
        <v>89</v>
      </c>
      <c r="X357" s="1" t="s">
        <v>1801</v>
      </c>
      <c r="Z357" s="1" t="s">
        <v>89</v>
      </c>
      <c r="AA357" s="1" t="s">
        <v>90</v>
      </c>
      <c r="AB357" s="1">
        <v>1760</v>
      </c>
      <c r="AC357" s="1">
        <v>1849</v>
      </c>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t="s">
        <v>573</v>
      </c>
      <c r="BG357" s="1">
        <v>1700</v>
      </c>
      <c r="BH357" s="1">
        <v>1899</v>
      </c>
      <c r="BI357" s="1">
        <v>1</v>
      </c>
      <c r="BJ357" s="1"/>
      <c r="BK357" s="1"/>
      <c r="BL357" s="1" t="s">
        <v>1746</v>
      </c>
      <c r="BM357" s="1"/>
      <c r="BN357" s="1" t="s">
        <v>1478</v>
      </c>
      <c r="BO357" s="12">
        <v>8.25</v>
      </c>
      <c r="BP357" s="12">
        <v>12.625</v>
      </c>
      <c r="BQ357" s="12"/>
      <c r="BR357" s="1">
        <v>21</v>
      </c>
      <c r="BS357" s="1">
        <v>32.1</v>
      </c>
      <c r="BT357" s="1"/>
      <c r="BU357" s="1"/>
      <c r="BV357" s="1" t="s">
        <v>575</v>
      </c>
      <c r="BW357" s="1" t="s">
        <v>386</v>
      </c>
      <c r="BX357" s="1"/>
      <c r="BY357" s="1">
        <v>1956</v>
      </c>
      <c r="BZ357" s="1"/>
      <c r="CA357" s="1" t="s">
        <v>576</v>
      </c>
      <c r="CB357" s="1" t="s">
        <v>577</v>
      </c>
      <c r="CN357" s="1" t="s">
        <v>390</v>
      </c>
      <c r="CP357" s="8" t="str">
        <f>HYPERLINK("http://www.metmuseum.org/art/collection/search/57293","http://www.metmuseum.org/art/collection/search/57293")</f>
        <v>http://www.metmuseum.org/art/collection/search/57293</v>
      </c>
      <c r="CQ357" s="4">
        <v>42842.333402777775</v>
      </c>
      <c r="CR357" s="1" t="s">
        <v>97</v>
      </c>
    </row>
    <row r="358" spans="1:96" ht="26.25" customHeight="1" x14ac:dyDescent="0.2">
      <c r="A358" s="1" t="s">
        <v>1479</v>
      </c>
      <c r="B358" s="1" t="b">
        <v>0</v>
      </c>
      <c r="C358" s="1" t="b">
        <v>1</v>
      </c>
      <c r="D358" s="1">
        <v>57299</v>
      </c>
      <c r="E358" s="1" t="s">
        <v>85</v>
      </c>
      <c r="F358" s="1" t="s">
        <v>554</v>
      </c>
      <c r="N358" s="1" t="s">
        <v>87</v>
      </c>
      <c r="O358" s="1" t="s">
        <v>1798</v>
      </c>
      <c r="P358" s="1">
        <v>1615</v>
      </c>
      <c r="Q358" s="1">
        <v>1868</v>
      </c>
      <c r="U358" s="1" t="s">
        <v>88</v>
      </c>
      <c r="W358" s="1" t="s">
        <v>1380</v>
      </c>
      <c r="Z358" s="1" t="s">
        <v>1380</v>
      </c>
      <c r="BF358" s="1" t="s">
        <v>383</v>
      </c>
      <c r="BG358" s="1">
        <v>1800</v>
      </c>
      <c r="BH358" s="1">
        <v>1868</v>
      </c>
      <c r="BI358" s="1">
        <v>1</v>
      </c>
      <c r="BJ358" s="1"/>
      <c r="BK358" s="6" t="s">
        <v>1769</v>
      </c>
      <c r="BL358" s="6" t="s">
        <v>1748</v>
      </c>
      <c r="BM358" s="1"/>
      <c r="BN358" s="1" t="s">
        <v>1480</v>
      </c>
      <c r="BO358" s="12">
        <v>9.5</v>
      </c>
      <c r="BP358" s="12">
        <v>13.25</v>
      </c>
      <c r="BQ358" s="12"/>
      <c r="BR358" s="1">
        <v>24.1</v>
      </c>
      <c r="BS358" s="1">
        <v>33.700000000000003</v>
      </c>
      <c r="BT358" s="1"/>
      <c r="BU358" s="1"/>
      <c r="BV358" s="1" t="s">
        <v>1382</v>
      </c>
      <c r="BW358" s="1" t="s">
        <v>94</v>
      </c>
      <c r="BX358" s="1" t="s">
        <v>571</v>
      </c>
      <c r="BY358" s="1">
        <v>1938</v>
      </c>
      <c r="BZ358" s="1"/>
      <c r="CA358" s="1"/>
      <c r="CB358" s="1"/>
      <c r="CN358" s="1" t="s">
        <v>390</v>
      </c>
      <c r="CP358" s="8" t="str">
        <f>HYPERLINK("http://www.metmuseum.org/art/collection/search/57299","http://www.metmuseum.org/art/collection/search/57299")</f>
        <v>http://www.metmuseum.org/art/collection/search/57299</v>
      </c>
      <c r="CQ358" s="4">
        <v>42842.333402777775</v>
      </c>
      <c r="CR358" s="1" t="s">
        <v>97</v>
      </c>
    </row>
    <row r="359" spans="1:96" ht="26.25" customHeight="1" x14ac:dyDescent="0.2">
      <c r="A359" s="1" t="s">
        <v>1481</v>
      </c>
      <c r="B359" s="1" t="b">
        <v>0</v>
      </c>
      <c r="C359" s="1" t="b">
        <v>1</v>
      </c>
      <c r="D359" s="1">
        <v>57300</v>
      </c>
      <c r="E359" s="1" t="s">
        <v>85</v>
      </c>
      <c r="F359" s="1" t="s">
        <v>554</v>
      </c>
      <c r="N359" s="1" t="s">
        <v>87</v>
      </c>
      <c r="O359" s="1" t="s">
        <v>1798</v>
      </c>
      <c r="P359" s="1">
        <v>1615</v>
      </c>
      <c r="Q359" s="1">
        <v>1868</v>
      </c>
      <c r="U359" s="1" t="s">
        <v>88</v>
      </c>
      <c r="W359" s="1" t="s">
        <v>1380</v>
      </c>
      <c r="Z359" s="1" t="s">
        <v>1380</v>
      </c>
      <c r="BF359" s="1" t="s">
        <v>383</v>
      </c>
      <c r="BG359" s="1">
        <v>1800</v>
      </c>
      <c r="BH359" s="1">
        <v>1868</v>
      </c>
      <c r="BI359" s="1">
        <v>1</v>
      </c>
      <c r="BJ359" s="1"/>
      <c r="BK359" s="6" t="s">
        <v>1769</v>
      </c>
      <c r="BL359" s="6" t="s">
        <v>1752</v>
      </c>
      <c r="BM359" s="1"/>
      <c r="BN359" s="1" t="s">
        <v>1482</v>
      </c>
      <c r="BO359" s="12">
        <v>9.875</v>
      </c>
      <c r="BP359" s="12">
        <v>13.75</v>
      </c>
      <c r="BQ359" s="12"/>
      <c r="BR359" s="1">
        <v>25.1</v>
      </c>
      <c r="BS359" s="1">
        <v>34.9</v>
      </c>
      <c r="BT359" s="1"/>
      <c r="BU359" s="1"/>
      <c r="BV359" s="1" t="s">
        <v>1382</v>
      </c>
      <c r="BW359" s="1" t="s">
        <v>94</v>
      </c>
      <c r="BX359" s="1" t="s">
        <v>571</v>
      </c>
      <c r="BY359" s="1">
        <v>1938</v>
      </c>
      <c r="BZ359" s="1"/>
      <c r="CA359" s="1"/>
      <c r="CB359" s="1"/>
      <c r="CN359" s="1" t="s">
        <v>390</v>
      </c>
      <c r="CP359" s="8" t="str">
        <f>HYPERLINK("http://www.metmuseum.org/art/collection/search/57300","http://www.metmuseum.org/art/collection/search/57300")</f>
        <v>http://www.metmuseum.org/art/collection/search/57300</v>
      </c>
      <c r="CQ359" s="4">
        <v>42842.333402777775</v>
      </c>
      <c r="CR359" s="1" t="s">
        <v>97</v>
      </c>
    </row>
    <row r="360" spans="1:96" ht="26.25" customHeight="1" x14ac:dyDescent="0.2">
      <c r="A360" s="1" t="s">
        <v>1483</v>
      </c>
      <c r="B360" s="1" t="b">
        <v>0</v>
      </c>
      <c r="C360" s="1" t="b">
        <v>1</v>
      </c>
      <c r="D360" s="1">
        <v>57301</v>
      </c>
      <c r="E360" s="1" t="s">
        <v>85</v>
      </c>
      <c r="F360" s="1" t="s">
        <v>554</v>
      </c>
      <c r="N360" s="1" t="s">
        <v>87</v>
      </c>
      <c r="O360" s="1" t="s">
        <v>1798</v>
      </c>
      <c r="P360" s="1">
        <v>1615</v>
      </c>
      <c r="Q360" s="6">
        <v>1868</v>
      </c>
      <c r="U360" s="1" t="s">
        <v>88</v>
      </c>
      <c r="W360" s="1" t="s">
        <v>1380</v>
      </c>
      <c r="Z360" s="1" t="s">
        <v>1380</v>
      </c>
      <c r="BF360" s="1" t="s">
        <v>383</v>
      </c>
      <c r="BG360" s="1">
        <v>1800</v>
      </c>
      <c r="BH360" s="1">
        <v>1868</v>
      </c>
      <c r="BI360" s="1">
        <v>1</v>
      </c>
      <c r="BJ360" s="1"/>
      <c r="BK360" s="6" t="s">
        <v>1769</v>
      </c>
      <c r="BL360" s="6" t="s">
        <v>1748</v>
      </c>
      <c r="BM360" s="1"/>
      <c r="BN360" s="1" t="s">
        <v>1381</v>
      </c>
      <c r="BO360" s="12">
        <v>10.875</v>
      </c>
      <c r="BP360" s="12">
        <v>14.5</v>
      </c>
      <c r="BQ360" s="12"/>
      <c r="BR360" s="1">
        <v>27.6</v>
      </c>
      <c r="BS360" s="1">
        <v>36.799999999999997</v>
      </c>
      <c r="BT360" s="1"/>
      <c r="BU360" s="1"/>
      <c r="BV360" s="1" t="s">
        <v>1382</v>
      </c>
      <c r="BW360" s="1" t="s">
        <v>94</v>
      </c>
      <c r="BX360" s="1" t="s">
        <v>571</v>
      </c>
      <c r="BY360" s="1">
        <v>1938</v>
      </c>
      <c r="BZ360" s="1"/>
      <c r="CA360" s="1"/>
      <c r="CB360" s="1"/>
      <c r="CN360" s="1" t="s">
        <v>390</v>
      </c>
      <c r="CP360" s="8" t="str">
        <f>HYPERLINK("http://www.metmuseum.org/art/collection/search/57301","http://www.metmuseum.org/art/collection/search/57301")</f>
        <v>http://www.metmuseum.org/art/collection/search/57301</v>
      </c>
      <c r="CQ360" s="4">
        <v>42842.333402777775</v>
      </c>
      <c r="CR360" s="1" t="s">
        <v>97</v>
      </c>
    </row>
    <row r="361" spans="1:96" ht="26.25" customHeight="1" x14ac:dyDescent="0.2">
      <c r="A361" s="1" t="s">
        <v>1484</v>
      </c>
      <c r="B361" s="1" t="b">
        <v>0</v>
      </c>
      <c r="C361" s="1" t="b">
        <v>1</v>
      </c>
      <c r="D361" s="1">
        <v>57302</v>
      </c>
      <c r="E361" s="1" t="s">
        <v>85</v>
      </c>
      <c r="F361" s="1" t="s">
        <v>554</v>
      </c>
      <c r="N361" s="1" t="s">
        <v>87</v>
      </c>
      <c r="O361" s="1" t="s">
        <v>1798</v>
      </c>
      <c r="P361" s="1">
        <v>1615</v>
      </c>
      <c r="Q361" s="1">
        <v>1868</v>
      </c>
      <c r="U361" s="1" t="s">
        <v>88</v>
      </c>
      <c r="W361" s="1" t="s">
        <v>1380</v>
      </c>
      <c r="Z361" s="1" t="s">
        <v>1380</v>
      </c>
      <c r="BF361" s="1" t="s">
        <v>383</v>
      </c>
      <c r="BG361" s="1">
        <v>1800</v>
      </c>
      <c r="BH361" s="1">
        <v>1868</v>
      </c>
      <c r="BI361" s="1">
        <v>1</v>
      </c>
      <c r="BJ361" s="1"/>
      <c r="BK361" s="6" t="s">
        <v>1769</v>
      </c>
      <c r="BL361" s="6" t="s">
        <v>1749</v>
      </c>
      <c r="BM361" s="1"/>
      <c r="BN361" s="1" t="s">
        <v>1381</v>
      </c>
      <c r="BO361" s="12">
        <v>10.875</v>
      </c>
      <c r="BP361" s="12">
        <v>14.5</v>
      </c>
      <c r="BQ361" s="12"/>
      <c r="BR361" s="1">
        <v>27.6</v>
      </c>
      <c r="BS361" s="1">
        <v>36.799999999999997</v>
      </c>
      <c r="BT361" s="1"/>
      <c r="BU361" s="1"/>
      <c r="BV361" s="1" t="s">
        <v>1382</v>
      </c>
      <c r="BW361" s="1" t="s">
        <v>94</v>
      </c>
      <c r="BX361" s="1" t="s">
        <v>571</v>
      </c>
      <c r="BY361" s="1">
        <v>1938</v>
      </c>
      <c r="BZ361" s="1"/>
      <c r="CA361" s="1"/>
      <c r="CB361" s="1"/>
      <c r="CN361" s="1" t="s">
        <v>390</v>
      </c>
      <c r="CP361" s="8" t="str">
        <f>HYPERLINK("http://www.metmuseum.org/art/collection/search/57302","http://www.metmuseum.org/art/collection/search/57302")</f>
        <v>http://www.metmuseum.org/art/collection/search/57302</v>
      </c>
      <c r="CQ361" s="4">
        <v>42842.333402777775</v>
      </c>
      <c r="CR361" s="1" t="s">
        <v>97</v>
      </c>
    </row>
    <row r="362" spans="1:96" ht="26.25" customHeight="1" x14ac:dyDescent="0.2">
      <c r="A362" s="1" t="s">
        <v>1485</v>
      </c>
      <c r="B362" s="1" t="b">
        <v>0</v>
      </c>
      <c r="C362" s="1" t="b">
        <v>1</v>
      </c>
      <c r="D362" s="1">
        <v>57303</v>
      </c>
      <c r="E362" s="1" t="s">
        <v>85</v>
      </c>
      <c r="F362" s="1" t="s">
        <v>554</v>
      </c>
      <c r="N362" s="1" t="s">
        <v>87</v>
      </c>
      <c r="O362" s="1" t="s">
        <v>1798</v>
      </c>
      <c r="P362" s="1">
        <v>1615</v>
      </c>
      <c r="Q362" s="1">
        <v>1868</v>
      </c>
      <c r="U362" s="1" t="s">
        <v>88</v>
      </c>
      <c r="W362" s="1" t="s">
        <v>1380</v>
      </c>
      <c r="Z362" s="1" t="s">
        <v>1380</v>
      </c>
      <c r="BF362" s="1" t="s">
        <v>383</v>
      </c>
      <c r="BG362" s="1">
        <v>1800</v>
      </c>
      <c r="BH362" s="1">
        <v>1868</v>
      </c>
      <c r="BI362" s="1">
        <v>1</v>
      </c>
      <c r="BJ362" s="1"/>
      <c r="BK362" s="1" t="s">
        <v>1769</v>
      </c>
      <c r="BL362" s="6" t="s">
        <v>1749</v>
      </c>
      <c r="BM362" s="1"/>
      <c r="BN362" s="1" t="s">
        <v>1486</v>
      </c>
      <c r="BO362" s="12">
        <v>15.375</v>
      </c>
      <c r="BP362" s="12">
        <v>10.875</v>
      </c>
      <c r="BQ362" s="12"/>
      <c r="BR362" s="1">
        <v>39.1</v>
      </c>
      <c r="BS362" s="1">
        <v>36.799999999999997</v>
      </c>
      <c r="BT362" s="1"/>
      <c r="BU362" s="1"/>
      <c r="BV362" s="1" t="s">
        <v>1382</v>
      </c>
      <c r="BW362" s="1" t="s">
        <v>94</v>
      </c>
      <c r="BX362" s="1" t="s">
        <v>571</v>
      </c>
      <c r="BY362" s="1">
        <v>1938</v>
      </c>
      <c r="BZ362" s="1"/>
      <c r="CA362" s="1"/>
      <c r="CB362" s="1"/>
      <c r="CN362" s="1" t="s">
        <v>390</v>
      </c>
      <c r="CP362" s="8" t="str">
        <f>HYPERLINK("http://www.metmuseum.org/art/collection/search/57303","http://www.metmuseum.org/art/collection/search/57303")</f>
        <v>http://www.metmuseum.org/art/collection/search/57303</v>
      </c>
      <c r="CQ362" s="4">
        <v>42842.333402777775</v>
      </c>
      <c r="CR362" s="1" t="s">
        <v>97</v>
      </c>
    </row>
    <row r="363" spans="1:96" ht="26.25" customHeight="1" x14ac:dyDescent="0.2">
      <c r="A363" s="1" t="s">
        <v>1487</v>
      </c>
      <c r="B363" s="1" t="b">
        <v>0</v>
      </c>
      <c r="C363" s="1" t="b">
        <v>1</v>
      </c>
      <c r="D363" s="1">
        <v>57304</v>
      </c>
      <c r="E363" s="1" t="s">
        <v>85</v>
      </c>
      <c r="F363" s="1" t="s">
        <v>554</v>
      </c>
      <c r="N363" s="1" t="s">
        <v>87</v>
      </c>
      <c r="O363" s="1" t="s">
        <v>1798</v>
      </c>
      <c r="P363" s="1">
        <v>1615</v>
      </c>
      <c r="Q363" s="1">
        <v>1868</v>
      </c>
      <c r="U363" s="1" t="s">
        <v>88</v>
      </c>
      <c r="W363" s="1" t="s">
        <v>1380</v>
      </c>
      <c r="Z363" s="1" t="s">
        <v>1380</v>
      </c>
      <c r="BF363" s="1" t="s">
        <v>383</v>
      </c>
      <c r="BG363" s="1">
        <v>1800</v>
      </c>
      <c r="BH363" s="1">
        <v>1868</v>
      </c>
      <c r="BI363" s="1">
        <v>1</v>
      </c>
      <c r="BJ363" s="1"/>
      <c r="BK363" s="1" t="s">
        <v>1769</v>
      </c>
      <c r="BL363" s="6" t="s">
        <v>1746</v>
      </c>
      <c r="BM363" s="1"/>
      <c r="BN363" s="1" t="s">
        <v>1390</v>
      </c>
      <c r="BO363" s="12">
        <v>10.5</v>
      </c>
      <c r="BP363" s="12">
        <v>14.5</v>
      </c>
      <c r="BQ363" s="12"/>
      <c r="BR363" s="1">
        <v>26.7</v>
      </c>
      <c r="BS363" s="1">
        <v>36.799999999999997</v>
      </c>
      <c r="BT363" s="1"/>
      <c r="BU363" s="1"/>
      <c r="BV363" s="1" t="s">
        <v>1382</v>
      </c>
      <c r="BW363" s="1" t="s">
        <v>94</v>
      </c>
      <c r="BX363" s="1" t="s">
        <v>571</v>
      </c>
      <c r="BY363" s="1">
        <v>1938</v>
      </c>
      <c r="BZ363" s="1"/>
      <c r="CA363" s="1"/>
      <c r="CB363" s="1"/>
      <c r="CN363" s="1" t="s">
        <v>390</v>
      </c>
      <c r="CP363" s="8" t="str">
        <f>HYPERLINK("http://www.metmuseum.org/art/collection/search/57304","http://www.metmuseum.org/art/collection/search/57304")</f>
        <v>http://www.metmuseum.org/art/collection/search/57304</v>
      </c>
      <c r="CQ363" s="4">
        <v>42842.333402777775</v>
      </c>
      <c r="CR363" s="1" t="s">
        <v>97</v>
      </c>
    </row>
    <row r="364" spans="1:96" ht="26.25" customHeight="1" x14ac:dyDescent="0.2">
      <c r="A364" s="1" t="s">
        <v>1488</v>
      </c>
      <c r="B364" s="1" t="b">
        <v>0</v>
      </c>
      <c r="C364" s="1" t="b">
        <v>1</v>
      </c>
      <c r="D364" s="1">
        <v>57305</v>
      </c>
      <c r="E364" s="1" t="s">
        <v>85</v>
      </c>
      <c r="F364" s="1" t="s">
        <v>554</v>
      </c>
      <c r="N364" s="1" t="s">
        <v>87</v>
      </c>
      <c r="O364" s="1" t="s">
        <v>1798</v>
      </c>
      <c r="P364" s="1">
        <v>1615</v>
      </c>
      <c r="Q364" s="1">
        <v>1868</v>
      </c>
      <c r="U364" s="1" t="s">
        <v>88</v>
      </c>
      <c r="W364" s="1" t="s">
        <v>1380</v>
      </c>
      <c r="Z364" s="1" t="s">
        <v>1380</v>
      </c>
      <c r="BF364" s="1" t="s">
        <v>383</v>
      </c>
      <c r="BG364" s="1">
        <v>1800</v>
      </c>
      <c r="BH364" s="1">
        <v>1868</v>
      </c>
      <c r="BI364" s="1">
        <v>1</v>
      </c>
      <c r="BJ364" s="1"/>
      <c r="BK364" s="1" t="s">
        <v>1769</v>
      </c>
      <c r="BL364" s="6" t="s">
        <v>1749</v>
      </c>
      <c r="BM364" s="1"/>
      <c r="BN364" s="1" t="s">
        <v>1489</v>
      </c>
      <c r="BO364" s="12">
        <v>9.375</v>
      </c>
      <c r="BP364" s="12">
        <v>12.25</v>
      </c>
      <c r="BQ364" s="12"/>
      <c r="BR364" s="1">
        <v>23.8</v>
      </c>
      <c r="BS364" s="1">
        <v>31.1</v>
      </c>
      <c r="BT364" s="1"/>
      <c r="BU364" s="1"/>
      <c r="BV364" s="1" t="s">
        <v>1382</v>
      </c>
      <c r="BW364" s="1" t="s">
        <v>94</v>
      </c>
      <c r="BX364" s="1" t="s">
        <v>571</v>
      </c>
      <c r="BY364" s="1">
        <v>1938</v>
      </c>
      <c r="BZ364" s="1"/>
      <c r="CA364" s="1"/>
      <c r="CB364" s="1"/>
      <c r="CN364" s="1" t="s">
        <v>390</v>
      </c>
      <c r="CP364" s="8" t="str">
        <f>HYPERLINK("http://www.metmuseum.org/art/collection/search/57305","http://www.metmuseum.org/art/collection/search/57305")</f>
        <v>http://www.metmuseum.org/art/collection/search/57305</v>
      </c>
      <c r="CQ364" s="4">
        <v>42842.333402777775</v>
      </c>
      <c r="CR364" s="1" t="s">
        <v>97</v>
      </c>
    </row>
    <row r="365" spans="1:96" ht="26.25" customHeight="1" x14ac:dyDescent="0.2">
      <c r="A365" s="1" t="s">
        <v>1490</v>
      </c>
      <c r="B365" s="1" t="b">
        <v>0</v>
      </c>
      <c r="C365" s="1" t="b">
        <v>1</v>
      </c>
      <c r="D365" s="1">
        <v>57306</v>
      </c>
      <c r="E365" s="1" t="s">
        <v>85</v>
      </c>
      <c r="F365" s="1" t="s">
        <v>554</v>
      </c>
      <c r="N365" s="1" t="s">
        <v>87</v>
      </c>
      <c r="O365" s="1" t="s">
        <v>1798</v>
      </c>
      <c r="P365" s="1">
        <v>1615</v>
      </c>
      <c r="Q365" s="1">
        <v>1868</v>
      </c>
      <c r="U365" s="1" t="s">
        <v>88</v>
      </c>
      <c r="W365" s="1" t="s">
        <v>1380</v>
      </c>
      <c r="Z365" s="1" t="s">
        <v>1380</v>
      </c>
      <c r="BF365" s="1" t="s">
        <v>383</v>
      </c>
      <c r="BG365" s="1">
        <v>1800</v>
      </c>
      <c r="BH365" s="1">
        <v>1868</v>
      </c>
      <c r="BI365" s="1">
        <v>1</v>
      </c>
      <c r="BJ365" s="1"/>
      <c r="BK365" s="1" t="s">
        <v>1769</v>
      </c>
      <c r="BL365" s="6" t="s">
        <v>1749</v>
      </c>
      <c r="BM365" s="1"/>
      <c r="BN365" s="1" t="s">
        <v>1491</v>
      </c>
      <c r="BO365" s="12">
        <v>8.375</v>
      </c>
      <c r="BP365" s="12">
        <v>11.375</v>
      </c>
      <c r="BQ365" s="12"/>
      <c r="BR365" s="1">
        <v>21.3</v>
      </c>
      <c r="BS365" s="1">
        <v>28.9</v>
      </c>
      <c r="BT365" s="1"/>
      <c r="BU365" s="1"/>
      <c r="BV365" s="1" t="s">
        <v>1382</v>
      </c>
      <c r="BW365" s="1" t="s">
        <v>94</v>
      </c>
      <c r="BX365" s="1" t="s">
        <v>571</v>
      </c>
      <c r="BY365" s="1">
        <v>1938</v>
      </c>
      <c r="BZ365" s="1"/>
      <c r="CA365" s="1"/>
      <c r="CB365" s="1"/>
      <c r="CN365" s="1" t="s">
        <v>390</v>
      </c>
      <c r="CP365" s="8" t="str">
        <f>HYPERLINK("http://www.metmuseum.org/art/collection/search/57306","http://www.metmuseum.org/art/collection/search/57306")</f>
        <v>http://www.metmuseum.org/art/collection/search/57306</v>
      </c>
      <c r="CQ365" s="4">
        <v>42842.333402777775</v>
      </c>
      <c r="CR365" s="1" t="s">
        <v>97</v>
      </c>
    </row>
    <row r="366" spans="1:96" ht="26.25" customHeight="1" x14ac:dyDescent="0.2">
      <c r="A366" s="1" t="s">
        <v>1492</v>
      </c>
      <c r="B366" s="1" t="b">
        <v>0</v>
      </c>
      <c r="C366" s="1" t="b">
        <v>1</v>
      </c>
      <c r="D366" s="1">
        <v>57307</v>
      </c>
      <c r="E366" s="1" t="s">
        <v>85</v>
      </c>
      <c r="F366" s="1" t="s">
        <v>554</v>
      </c>
      <c r="N366" s="1" t="s">
        <v>87</v>
      </c>
      <c r="O366" s="1" t="s">
        <v>1798</v>
      </c>
      <c r="P366" s="1">
        <v>1615</v>
      </c>
      <c r="Q366" s="1">
        <v>1868</v>
      </c>
      <c r="U366" s="1" t="s">
        <v>88</v>
      </c>
      <c r="W366" s="1" t="s">
        <v>1380</v>
      </c>
      <c r="Z366" s="1" t="s">
        <v>1380</v>
      </c>
      <c r="BF366" s="1" t="s">
        <v>383</v>
      </c>
      <c r="BG366" s="1">
        <v>1800</v>
      </c>
      <c r="BH366" s="1">
        <v>1868</v>
      </c>
      <c r="BI366" s="1">
        <v>1</v>
      </c>
      <c r="BJ366" s="1"/>
      <c r="BK366" s="1" t="s">
        <v>1769</v>
      </c>
      <c r="BL366" s="6" t="s">
        <v>1749</v>
      </c>
      <c r="BM366" s="1"/>
      <c r="BN366" s="1" t="s">
        <v>1470</v>
      </c>
      <c r="BO366" s="12">
        <v>10.625</v>
      </c>
      <c r="BP366" s="12">
        <v>15.375</v>
      </c>
      <c r="BQ366" s="12"/>
      <c r="BR366" s="1">
        <v>27</v>
      </c>
      <c r="BS366" s="1">
        <v>39.1</v>
      </c>
      <c r="BT366" s="1"/>
      <c r="BU366" s="1"/>
      <c r="BV366" s="1" t="s">
        <v>1382</v>
      </c>
      <c r="BW366" s="1" t="s">
        <v>94</v>
      </c>
      <c r="BX366" s="1" t="s">
        <v>571</v>
      </c>
      <c r="BY366" s="1">
        <v>1938</v>
      </c>
      <c r="BZ366" s="1"/>
      <c r="CA366" s="1"/>
      <c r="CB366" s="1"/>
      <c r="CN366" s="1" t="s">
        <v>390</v>
      </c>
      <c r="CP366" s="8" t="str">
        <f>HYPERLINK("http://www.metmuseum.org/art/collection/search/57307","http://www.metmuseum.org/art/collection/search/57307")</f>
        <v>http://www.metmuseum.org/art/collection/search/57307</v>
      </c>
      <c r="CQ366" s="4">
        <v>42842.333402777775</v>
      </c>
      <c r="CR366" s="1" t="s">
        <v>97</v>
      </c>
    </row>
    <row r="367" spans="1:96" ht="26.25" customHeight="1" x14ac:dyDescent="0.2">
      <c r="A367" s="1" t="s">
        <v>1493</v>
      </c>
      <c r="B367" s="1" t="b">
        <v>0</v>
      </c>
      <c r="C367" s="1" t="b">
        <v>1</v>
      </c>
      <c r="D367" s="1">
        <v>57308</v>
      </c>
      <c r="E367" s="1" t="s">
        <v>85</v>
      </c>
      <c r="F367" s="1" t="s">
        <v>554</v>
      </c>
      <c r="N367" s="1" t="s">
        <v>87</v>
      </c>
      <c r="O367" s="1" t="s">
        <v>1798</v>
      </c>
      <c r="P367" s="1">
        <v>1615</v>
      </c>
      <c r="Q367" s="1">
        <v>1868</v>
      </c>
      <c r="U367" s="1" t="s">
        <v>88</v>
      </c>
      <c r="W367" s="1" t="s">
        <v>1380</v>
      </c>
      <c r="Z367" s="1" t="s">
        <v>1380</v>
      </c>
      <c r="BF367" s="1" t="s">
        <v>383</v>
      </c>
      <c r="BG367" s="1">
        <v>1800</v>
      </c>
      <c r="BH367" s="1">
        <v>1868</v>
      </c>
      <c r="BI367" s="1">
        <v>1</v>
      </c>
      <c r="BJ367" s="1"/>
      <c r="BK367" s="1" t="s">
        <v>1769</v>
      </c>
      <c r="BL367" s="6" t="s">
        <v>1749</v>
      </c>
      <c r="BM367" s="1"/>
      <c r="BN367" s="1" t="s">
        <v>1494</v>
      </c>
      <c r="BO367" s="12">
        <v>13.25</v>
      </c>
      <c r="BP367" s="12">
        <v>9.625</v>
      </c>
      <c r="BQ367" s="12"/>
      <c r="BR367" s="1">
        <v>33.700000000000003</v>
      </c>
      <c r="BS367" s="1">
        <v>24.4</v>
      </c>
      <c r="BT367" s="1"/>
      <c r="BU367" s="1"/>
      <c r="BV367" s="1" t="s">
        <v>1382</v>
      </c>
      <c r="BW367" s="1" t="s">
        <v>94</v>
      </c>
      <c r="BX367" s="1" t="s">
        <v>571</v>
      </c>
      <c r="BY367" s="1">
        <v>1938</v>
      </c>
      <c r="BZ367" s="1"/>
      <c r="CA367" s="1"/>
      <c r="CB367" s="1"/>
      <c r="CN367" s="1" t="s">
        <v>390</v>
      </c>
      <c r="CP367" s="8" t="str">
        <f>HYPERLINK("http://www.metmuseum.org/art/collection/search/57308","http://www.metmuseum.org/art/collection/search/57308")</f>
        <v>http://www.metmuseum.org/art/collection/search/57308</v>
      </c>
      <c r="CQ367" s="4">
        <v>42842.333402777775</v>
      </c>
      <c r="CR367" s="1" t="s">
        <v>97</v>
      </c>
    </row>
    <row r="368" spans="1:96" ht="26.25" customHeight="1" x14ac:dyDescent="0.2">
      <c r="A368" s="1" t="s">
        <v>1495</v>
      </c>
      <c r="B368" s="1" t="b">
        <v>0</v>
      </c>
      <c r="C368" s="1" t="b">
        <v>1</v>
      </c>
      <c r="D368" s="1">
        <v>57309</v>
      </c>
      <c r="E368" s="1" t="s">
        <v>85</v>
      </c>
      <c r="F368" s="1" t="s">
        <v>554</v>
      </c>
      <c r="N368" s="1" t="s">
        <v>87</v>
      </c>
      <c r="O368" s="1" t="s">
        <v>1798</v>
      </c>
      <c r="P368" s="1">
        <v>1615</v>
      </c>
      <c r="Q368" s="1">
        <v>1868</v>
      </c>
      <c r="U368" s="1" t="s">
        <v>88</v>
      </c>
      <c r="W368" s="1" t="s">
        <v>1380</v>
      </c>
      <c r="Z368" s="1" t="s">
        <v>1380</v>
      </c>
      <c r="BF368" s="1" t="s">
        <v>383</v>
      </c>
      <c r="BG368" s="1">
        <v>1800</v>
      </c>
      <c r="BH368" s="1">
        <v>1868</v>
      </c>
      <c r="BI368" s="1">
        <v>1</v>
      </c>
      <c r="BJ368" s="1"/>
      <c r="BK368" s="1" t="s">
        <v>1769</v>
      </c>
      <c r="BL368" s="6" t="s">
        <v>1748</v>
      </c>
      <c r="BM368" s="1"/>
      <c r="BN368" s="1" t="s">
        <v>1496</v>
      </c>
      <c r="BO368" s="12">
        <v>10.75</v>
      </c>
      <c r="BP368" s="1">
        <v>16</v>
      </c>
      <c r="BQ368" s="1"/>
      <c r="BR368" s="1">
        <v>27.3</v>
      </c>
      <c r="BS368" s="1">
        <v>40.6</v>
      </c>
      <c r="BT368" s="1"/>
      <c r="BU368" s="1"/>
      <c r="BV368" s="1" t="s">
        <v>1382</v>
      </c>
      <c r="BW368" s="1" t="s">
        <v>94</v>
      </c>
      <c r="BX368" s="1" t="s">
        <v>571</v>
      </c>
      <c r="BY368" s="1">
        <v>1938</v>
      </c>
      <c r="BZ368" s="1"/>
      <c r="CA368" s="1"/>
      <c r="CB368" s="1"/>
      <c r="CN368" s="1" t="s">
        <v>390</v>
      </c>
      <c r="CP368" s="8" t="str">
        <f>HYPERLINK("http://www.metmuseum.org/art/collection/search/57309","http://www.metmuseum.org/art/collection/search/57309")</f>
        <v>http://www.metmuseum.org/art/collection/search/57309</v>
      </c>
      <c r="CQ368" s="4">
        <v>42842.333402777775</v>
      </c>
      <c r="CR368" s="1" t="s">
        <v>97</v>
      </c>
    </row>
    <row r="369" spans="1:96" ht="52.5" customHeight="1" x14ac:dyDescent="0.2">
      <c r="A369" s="1" t="s">
        <v>1497</v>
      </c>
      <c r="B369" s="1" t="b">
        <v>0</v>
      </c>
      <c r="C369" s="1" t="b">
        <v>1</v>
      </c>
      <c r="D369" s="1">
        <v>57390</v>
      </c>
      <c r="E369" s="1" t="s">
        <v>85</v>
      </c>
      <c r="F369" s="1" t="s">
        <v>482</v>
      </c>
      <c r="N369" s="1" t="s">
        <v>87</v>
      </c>
      <c r="O369" s="1" t="s">
        <v>1498</v>
      </c>
      <c r="P369" s="1">
        <v>1868</v>
      </c>
      <c r="Q369" s="1">
        <v>1912</v>
      </c>
      <c r="U369" s="1" t="s">
        <v>88</v>
      </c>
      <c r="W369" s="1" t="s">
        <v>89</v>
      </c>
      <c r="X369" s="1" t="s">
        <v>1801</v>
      </c>
      <c r="Z369" s="1" t="s">
        <v>89</v>
      </c>
      <c r="AA369" s="1" t="s">
        <v>90</v>
      </c>
      <c r="AB369" s="1">
        <v>1760</v>
      </c>
      <c r="AC369" s="1">
        <v>1849</v>
      </c>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v>1878</v>
      </c>
      <c r="BG369" s="1">
        <v>1878</v>
      </c>
      <c r="BH369" s="1">
        <v>1878</v>
      </c>
      <c r="BI369" s="1">
        <v>1</v>
      </c>
      <c r="BJ369" s="1"/>
      <c r="BK369" s="6" t="s">
        <v>1775</v>
      </c>
      <c r="BL369" s="6" t="s">
        <v>1746</v>
      </c>
      <c r="BM369" s="1"/>
      <c r="BN369" s="1" t="s">
        <v>1500</v>
      </c>
      <c r="BO369" s="12">
        <v>9.125</v>
      </c>
      <c r="BP369" s="1">
        <v>6</v>
      </c>
      <c r="BQ369" s="1"/>
      <c r="BR369" s="1">
        <v>23.2</v>
      </c>
      <c r="BS369" s="1">
        <v>15.2</v>
      </c>
      <c r="BT369" s="1"/>
      <c r="BU369" s="1" t="s">
        <v>1345</v>
      </c>
      <c r="BV369" s="1" t="s">
        <v>1501</v>
      </c>
      <c r="BW369" s="1" t="s">
        <v>94</v>
      </c>
      <c r="BX369" s="1" t="s">
        <v>95</v>
      </c>
      <c r="BY369" s="1">
        <v>1932</v>
      </c>
      <c r="BZ369" s="1"/>
      <c r="CA369" s="1"/>
      <c r="CB369" s="1"/>
      <c r="CN369" s="1" t="s">
        <v>490</v>
      </c>
      <c r="CP369" s="8" t="str">
        <f>HYPERLINK("http://www.metmuseum.org/art/collection/search/57390","http://www.metmuseum.org/art/collection/search/57390")</f>
        <v>http://www.metmuseum.org/art/collection/search/57390</v>
      </c>
      <c r="CQ369" s="4">
        <v>42842.333402777775</v>
      </c>
      <c r="CR369" s="1" t="s">
        <v>97</v>
      </c>
    </row>
    <row r="370" spans="1:96" ht="78.75" customHeight="1" x14ac:dyDescent="0.2">
      <c r="A370" s="1" t="s">
        <v>1502</v>
      </c>
      <c r="B370" s="1" t="b">
        <v>0</v>
      </c>
      <c r="C370" s="1" t="b">
        <v>1</v>
      </c>
      <c r="D370" s="1">
        <v>57540</v>
      </c>
      <c r="E370" s="1" t="s">
        <v>85</v>
      </c>
      <c r="F370" s="1" t="s">
        <v>482</v>
      </c>
      <c r="G370" s="1" t="s">
        <v>1503</v>
      </c>
      <c r="H370" s="1"/>
      <c r="I370" s="1" t="s">
        <v>1504</v>
      </c>
      <c r="J370" s="1" t="s">
        <v>1505</v>
      </c>
      <c r="K370" s="1"/>
      <c r="L370" s="1"/>
      <c r="M370" s="1" t="s">
        <v>1506</v>
      </c>
      <c r="N370" s="1" t="s">
        <v>87</v>
      </c>
      <c r="O370" s="1" t="s">
        <v>1798</v>
      </c>
      <c r="P370" s="1">
        <v>1615</v>
      </c>
      <c r="Q370" s="1">
        <v>1868</v>
      </c>
      <c r="U370" s="1" t="s">
        <v>1507</v>
      </c>
      <c r="W370" s="1" t="s">
        <v>1508</v>
      </c>
      <c r="X370" s="1" t="s">
        <v>1802</v>
      </c>
      <c r="Z370" s="1" t="s">
        <v>1508</v>
      </c>
      <c r="AA370" s="1" t="s">
        <v>1509</v>
      </c>
      <c r="AB370" s="1" t="s">
        <v>1510</v>
      </c>
      <c r="AC370" s="1" t="s">
        <v>1511</v>
      </c>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v>1801</v>
      </c>
      <c r="BG370" s="1">
        <v>1801</v>
      </c>
      <c r="BH370" s="1">
        <v>1801</v>
      </c>
      <c r="BI370" s="1">
        <v>1</v>
      </c>
      <c r="BJ370" s="1"/>
      <c r="BK370" s="1"/>
      <c r="BL370" s="1" t="s">
        <v>1746</v>
      </c>
      <c r="BM370" s="1"/>
      <c r="BN370" s="1" t="s">
        <v>1512</v>
      </c>
      <c r="BO370" s="12">
        <v>9.875</v>
      </c>
      <c r="BP370" s="12">
        <v>7.375</v>
      </c>
      <c r="BQ370" s="12">
        <v>0.75</v>
      </c>
      <c r="BR370" s="1">
        <v>25.1</v>
      </c>
      <c r="BS370" s="1">
        <v>18.7</v>
      </c>
      <c r="BT370" s="1">
        <v>1.9</v>
      </c>
      <c r="BU370" s="1"/>
      <c r="BV370" s="1" t="s">
        <v>508</v>
      </c>
      <c r="BW370" s="1" t="s">
        <v>94</v>
      </c>
      <c r="BX370" s="1" t="s">
        <v>95</v>
      </c>
      <c r="BY370" s="1">
        <v>1918</v>
      </c>
      <c r="BZ370" s="1"/>
      <c r="CA370" s="1"/>
      <c r="CB370" s="1"/>
      <c r="CN370" s="1" t="s">
        <v>490</v>
      </c>
      <c r="CP370" s="8" t="str">
        <f>HYPERLINK("http://www.metmuseum.org/art/collection/search/57540","http://www.metmuseum.org/art/collection/search/57540")</f>
        <v>http://www.metmuseum.org/art/collection/search/57540</v>
      </c>
      <c r="CQ370" s="4">
        <v>42842.333402777775</v>
      </c>
      <c r="CR370" s="1" t="s">
        <v>97</v>
      </c>
    </row>
    <row r="371" spans="1:96" ht="52.5" customHeight="1" x14ac:dyDescent="0.2">
      <c r="A371" s="1" t="s">
        <v>1513</v>
      </c>
      <c r="B371" s="1" t="b">
        <v>0</v>
      </c>
      <c r="C371" s="1" t="b">
        <v>1</v>
      </c>
      <c r="D371" s="1">
        <v>57544</v>
      </c>
      <c r="E371" s="1" t="s">
        <v>85</v>
      </c>
      <c r="F371" s="1" t="s">
        <v>482</v>
      </c>
      <c r="N371" s="1" t="s">
        <v>87</v>
      </c>
      <c r="O371" s="1" t="s">
        <v>1798</v>
      </c>
      <c r="P371" s="1">
        <v>1615</v>
      </c>
      <c r="Q371" s="1">
        <v>1868</v>
      </c>
      <c r="U371" s="1" t="s">
        <v>1507</v>
      </c>
      <c r="W371" s="1" t="s">
        <v>1514</v>
      </c>
      <c r="X371" s="1" t="s">
        <v>1801</v>
      </c>
      <c r="Y371" s="1" t="s">
        <v>1515</v>
      </c>
      <c r="Z371" s="1" t="s">
        <v>1514</v>
      </c>
      <c r="AA371" s="1" t="s">
        <v>90</v>
      </c>
      <c r="AB371" s="1">
        <v>1760</v>
      </c>
      <c r="AC371" s="1">
        <v>1849</v>
      </c>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v>1802</v>
      </c>
      <c r="BG371" s="1">
        <v>1802</v>
      </c>
      <c r="BH371" s="1">
        <v>1802</v>
      </c>
      <c r="BI371" s="1">
        <v>3</v>
      </c>
      <c r="BJ371" s="1"/>
      <c r="BK371" s="6" t="s">
        <v>1776</v>
      </c>
      <c r="BL371" s="1" t="s">
        <v>1746</v>
      </c>
      <c r="BM371" s="1"/>
      <c r="BN371" s="1" t="s">
        <v>1516</v>
      </c>
      <c r="BO371" s="12">
        <v>10.25</v>
      </c>
      <c r="BP371" s="12">
        <v>6.75</v>
      </c>
      <c r="BQ371" s="12">
        <v>0.25</v>
      </c>
      <c r="BR371" s="1">
        <v>26</v>
      </c>
      <c r="BS371" s="1">
        <v>17.100000000000001</v>
      </c>
      <c r="BT371" s="1">
        <v>0.6</v>
      </c>
      <c r="BU371" s="1" t="s">
        <v>487</v>
      </c>
      <c r="BV371" s="1" t="s">
        <v>508</v>
      </c>
      <c r="BW371" s="1" t="s">
        <v>94</v>
      </c>
      <c r="BX371" s="1" t="s">
        <v>95</v>
      </c>
      <c r="BY371" s="1">
        <v>1918</v>
      </c>
      <c r="BZ371" s="1"/>
      <c r="CA371" s="1"/>
      <c r="CB371" s="1"/>
      <c r="CN371" s="1" t="s">
        <v>490</v>
      </c>
      <c r="CP371" s="8" t="str">
        <f>HYPERLINK("http://www.metmuseum.org/art/collection/search/57544","http://www.metmuseum.org/art/collection/search/57544")</f>
        <v>http://www.metmuseum.org/art/collection/search/57544</v>
      </c>
      <c r="CQ371" s="4">
        <v>42842.333402777775</v>
      </c>
      <c r="CR371" s="1" t="s">
        <v>97</v>
      </c>
    </row>
    <row r="372" spans="1:96" ht="52.5" customHeight="1" x14ac:dyDescent="0.2">
      <c r="A372" s="1" t="s">
        <v>1517</v>
      </c>
      <c r="B372" s="1" t="b">
        <v>0</v>
      </c>
      <c r="C372" s="1" t="b">
        <v>1</v>
      </c>
      <c r="D372" s="1">
        <v>57545</v>
      </c>
      <c r="E372" s="1" t="s">
        <v>85</v>
      </c>
      <c r="F372" s="1" t="s">
        <v>1518</v>
      </c>
      <c r="N372" s="1" t="s">
        <v>87</v>
      </c>
      <c r="O372" s="1" t="s">
        <v>1798</v>
      </c>
      <c r="P372" s="1">
        <v>1615</v>
      </c>
      <c r="Q372" s="1">
        <v>1868</v>
      </c>
      <c r="U372" s="1" t="s">
        <v>88</v>
      </c>
      <c r="W372" s="1" t="s">
        <v>89</v>
      </c>
      <c r="X372" s="1" t="s">
        <v>1801</v>
      </c>
      <c r="Z372" s="1" t="s">
        <v>89</v>
      </c>
      <c r="AA372" s="1" t="s">
        <v>90</v>
      </c>
      <c r="AB372" s="1">
        <v>1760</v>
      </c>
      <c r="AC372" s="1">
        <v>1849</v>
      </c>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t="s">
        <v>1519</v>
      </c>
      <c r="BG372" s="1">
        <v>1818</v>
      </c>
      <c r="BH372" s="1">
        <v>1838</v>
      </c>
      <c r="BI372" s="1">
        <v>3</v>
      </c>
      <c r="BJ372" s="1"/>
      <c r="BK372" s="6" t="s">
        <v>1776</v>
      </c>
      <c r="BL372" s="6" t="s">
        <v>1748</v>
      </c>
      <c r="BM372" s="1"/>
      <c r="BN372" s="1" t="s">
        <v>507</v>
      </c>
      <c r="BO372" s="1">
        <v>9</v>
      </c>
      <c r="BP372" s="12">
        <v>6.25</v>
      </c>
      <c r="BQ372" s="12">
        <v>0.5</v>
      </c>
      <c r="BR372" s="1">
        <v>22.9</v>
      </c>
      <c r="BS372" s="1">
        <v>15.9</v>
      </c>
      <c r="BT372" s="1">
        <v>1.3</v>
      </c>
      <c r="BU372" s="1"/>
      <c r="BV372" s="1" t="s">
        <v>508</v>
      </c>
      <c r="BW372" s="1" t="s">
        <v>94</v>
      </c>
      <c r="BX372" s="1" t="s">
        <v>95</v>
      </c>
      <c r="BY372" s="1">
        <v>1918</v>
      </c>
      <c r="BZ372" s="1"/>
      <c r="CA372" s="1"/>
      <c r="CB372" s="1"/>
      <c r="CN372" s="1" t="s">
        <v>490</v>
      </c>
      <c r="CP372" s="8" t="str">
        <f>HYPERLINK("http://www.metmuseum.org/art/collection/search/57545","http://www.metmuseum.org/art/collection/search/57545")</f>
        <v>http://www.metmuseum.org/art/collection/search/57545</v>
      </c>
      <c r="CQ372" s="4">
        <v>42842.333402777775</v>
      </c>
      <c r="CR372" s="1" t="s">
        <v>97</v>
      </c>
    </row>
    <row r="373" spans="1:96" ht="52.5" customHeight="1" x14ac:dyDescent="0.2">
      <c r="A373" s="1" t="s">
        <v>1520</v>
      </c>
      <c r="B373" s="1" t="b">
        <v>0</v>
      </c>
      <c r="C373" s="1" t="b">
        <v>1</v>
      </c>
      <c r="D373" s="1">
        <v>57546</v>
      </c>
      <c r="E373" s="1" t="s">
        <v>85</v>
      </c>
      <c r="F373" s="1" t="s">
        <v>482</v>
      </c>
      <c r="N373" s="1" t="s">
        <v>87</v>
      </c>
      <c r="O373" s="1" t="s">
        <v>1798</v>
      </c>
      <c r="P373" s="1">
        <v>1615</v>
      </c>
      <c r="Q373" s="1">
        <v>1868</v>
      </c>
      <c r="U373" s="1" t="s">
        <v>88</v>
      </c>
      <c r="W373" s="1" t="s">
        <v>89</v>
      </c>
      <c r="X373" s="1" t="s">
        <v>1801</v>
      </c>
      <c r="Z373" s="1" t="s">
        <v>89</v>
      </c>
      <c r="AA373" s="1" t="s">
        <v>90</v>
      </c>
      <c r="AB373" s="1">
        <v>1760</v>
      </c>
      <c r="AC373" s="1">
        <v>1849</v>
      </c>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v>1802</v>
      </c>
      <c r="BG373" s="1">
        <v>1802</v>
      </c>
      <c r="BH373" s="1">
        <v>1802</v>
      </c>
      <c r="BI373" s="1">
        <v>1</v>
      </c>
      <c r="BJ373" s="1"/>
      <c r="BK373" s="1"/>
      <c r="BL373" s="6" t="s">
        <v>1746</v>
      </c>
      <c r="BM373" s="1"/>
      <c r="BN373" s="1" t="s">
        <v>1521</v>
      </c>
      <c r="BO373" s="12">
        <v>7.5</v>
      </c>
      <c r="BP373" s="12">
        <v>5.25</v>
      </c>
      <c r="BQ373" s="12">
        <v>0.375</v>
      </c>
      <c r="BR373" s="1">
        <v>19.100000000000001</v>
      </c>
      <c r="BS373" s="1">
        <v>13.3</v>
      </c>
      <c r="BT373" s="1">
        <v>1</v>
      </c>
      <c r="BU373" s="1"/>
      <c r="BV373" s="1" t="s">
        <v>508</v>
      </c>
      <c r="BW373" s="1" t="s">
        <v>94</v>
      </c>
      <c r="BX373" s="1" t="s">
        <v>95</v>
      </c>
      <c r="BY373" s="1">
        <v>1918</v>
      </c>
      <c r="BZ373" s="1"/>
      <c r="CA373" s="1"/>
      <c r="CB373" s="1"/>
      <c r="CN373" s="1" t="s">
        <v>490</v>
      </c>
      <c r="CP373" s="8" t="str">
        <f>HYPERLINK("http://www.metmuseum.org/art/collection/search/57546","http://www.metmuseum.org/art/collection/search/57546")</f>
        <v>http://www.metmuseum.org/art/collection/search/57546</v>
      </c>
      <c r="CQ373" s="4">
        <v>42842.333402777775</v>
      </c>
      <c r="CR373" s="1" t="s">
        <v>97</v>
      </c>
    </row>
    <row r="374" spans="1:96" ht="52.5" customHeight="1" x14ac:dyDescent="0.2">
      <c r="A374" s="1" t="s">
        <v>1522</v>
      </c>
      <c r="B374" s="1" t="b">
        <v>0</v>
      </c>
      <c r="C374" s="1" t="b">
        <v>1</v>
      </c>
      <c r="D374" s="1">
        <v>57547</v>
      </c>
      <c r="E374" s="1" t="s">
        <v>85</v>
      </c>
      <c r="F374" s="1" t="s">
        <v>482</v>
      </c>
      <c r="N374" s="1" t="s">
        <v>87</v>
      </c>
      <c r="O374" s="1" t="s">
        <v>1798</v>
      </c>
      <c r="P374" s="1">
        <v>1615</v>
      </c>
      <c r="Q374" s="1">
        <v>1868</v>
      </c>
      <c r="U374" s="1" t="s">
        <v>88</v>
      </c>
      <c r="W374" s="1" t="s">
        <v>89</v>
      </c>
      <c r="X374" s="1" t="s">
        <v>1801</v>
      </c>
      <c r="Z374" s="1" t="s">
        <v>89</v>
      </c>
      <c r="AA374" s="1" t="s">
        <v>90</v>
      </c>
      <c r="AB374" s="1">
        <v>1760</v>
      </c>
      <c r="AC374" s="1">
        <v>1849</v>
      </c>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t="s">
        <v>1523</v>
      </c>
      <c r="BG374" s="1">
        <v>1835</v>
      </c>
      <c r="BH374" s="1">
        <v>1855</v>
      </c>
      <c r="BI374" s="1">
        <v>1</v>
      </c>
      <c r="BJ374" s="1"/>
      <c r="BK374" s="6" t="s">
        <v>1777</v>
      </c>
      <c r="BL374" s="6" t="s">
        <v>1746</v>
      </c>
      <c r="BM374" s="1"/>
      <c r="BN374" s="1" t="s">
        <v>1524</v>
      </c>
      <c r="BO374" s="12">
        <v>4.875</v>
      </c>
      <c r="BP374" s="12">
        <v>7.75</v>
      </c>
      <c r="BQ374" s="12">
        <v>0.625</v>
      </c>
      <c r="BR374" s="1">
        <v>12.4</v>
      </c>
      <c r="BS374" s="1">
        <v>19.7</v>
      </c>
      <c r="BT374" s="1">
        <v>1.6</v>
      </c>
      <c r="BU374" s="1"/>
      <c r="BV374" s="1" t="s">
        <v>508</v>
      </c>
      <c r="BW374" s="1" t="s">
        <v>94</v>
      </c>
      <c r="BX374" s="1" t="s">
        <v>95</v>
      </c>
      <c r="BY374" s="1">
        <v>1918</v>
      </c>
      <c r="BZ374" s="1"/>
      <c r="CA374" s="1"/>
      <c r="CB374" s="1"/>
      <c r="CN374" s="1" t="s">
        <v>490</v>
      </c>
      <c r="CP374" s="8" t="str">
        <f>HYPERLINK("http://www.metmuseum.org/art/collection/search/57547","http://www.metmuseum.org/art/collection/search/57547")</f>
        <v>http://www.metmuseum.org/art/collection/search/57547</v>
      </c>
      <c r="CQ374" s="4">
        <v>42842.333402777775</v>
      </c>
      <c r="CR374" s="1" t="s">
        <v>97</v>
      </c>
    </row>
    <row r="375" spans="1:96" ht="52.5" customHeight="1" x14ac:dyDescent="0.2">
      <c r="A375" s="1" t="s">
        <v>1525</v>
      </c>
      <c r="B375" s="1" t="b">
        <v>0</v>
      </c>
      <c r="C375" s="1" t="b">
        <v>1</v>
      </c>
      <c r="D375" s="1">
        <v>57548</v>
      </c>
      <c r="E375" s="1" t="s">
        <v>85</v>
      </c>
      <c r="F375" s="1" t="s">
        <v>482</v>
      </c>
      <c r="N375" s="1" t="s">
        <v>87</v>
      </c>
      <c r="O375" s="1" t="s">
        <v>1798</v>
      </c>
      <c r="P375" s="1">
        <v>1615</v>
      </c>
      <c r="Q375" s="6">
        <v>1868</v>
      </c>
      <c r="U375" s="1" t="s">
        <v>88</v>
      </c>
      <c r="W375" s="1" t="s">
        <v>89</v>
      </c>
      <c r="X375" s="1" t="s">
        <v>1801</v>
      </c>
      <c r="Z375" s="1" t="s">
        <v>89</v>
      </c>
      <c r="AA375" s="1" t="s">
        <v>90</v>
      </c>
      <c r="AB375" s="1">
        <v>1760</v>
      </c>
      <c r="AC375" s="1">
        <v>1849</v>
      </c>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t="s">
        <v>1526</v>
      </c>
      <c r="BG375" s="1">
        <v>1830</v>
      </c>
      <c r="BH375" s="1">
        <v>1850</v>
      </c>
      <c r="BI375" s="1">
        <v>2</v>
      </c>
      <c r="BJ375" s="1"/>
      <c r="BK375" s="6" t="s">
        <v>1778</v>
      </c>
      <c r="BL375" s="1" t="s">
        <v>1746</v>
      </c>
      <c r="BM375" s="1"/>
      <c r="BN375" s="1" t="s">
        <v>1527</v>
      </c>
      <c r="BO375" s="1">
        <v>9</v>
      </c>
      <c r="BP375" s="12">
        <v>6.25</v>
      </c>
      <c r="BQ375" s="12">
        <v>0.375</v>
      </c>
      <c r="BR375" s="1">
        <v>22.9</v>
      </c>
      <c r="BS375" s="1">
        <v>15.9</v>
      </c>
      <c r="BT375" s="1">
        <v>1</v>
      </c>
      <c r="BU375" s="1" t="s">
        <v>487</v>
      </c>
      <c r="BV375" s="1" t="s">
        <v>508</v>
      </c>
      <c r="BW375" s="1" t="s">
        <v>94</v>
      </c>
      <c r="BX375" s="1" t="s">
        <v>95</v>
      </c>
      <c r="BY375" s="1">
        <v>1918</v>
      </c>
      <c r="BZ375" s="1"/>
      <c r="CA375" s="1"/>
      <c r="CB375" s="1"/>
      <c r="CN375" s="1" t="s">
        <v>490</v>
      </c>
      <c r="CP375" s="8" t="str">
        <f>HYPERLINK("http://www.metmuseum.org/art/collection/search/57548","http://www.metmuseum.org/art/collection/search/57548")</f>
        <v>http://www.metmuseum.org/art/collection/search/57548</v>
      </c>
      <c r="CQ375" s="4">
        <v>42842.333402777775</v>
      </c>
      <c r="CR375" s="1" t="s">
        <v>97</v>
      </c>
    </row>
    <row r="376" spans="1:96" ht="52.5" customHeight="1" x14ac:dyDescent="0.2">
      <c r="A376" s="1" t="s">
        <v>1528</v>
      </c>
      <c r="B376" s="1" t="b">
        <v>0</v>
      </c>
      <c r="C376" s="1" t="b">
        <v>1</v>
      </c>
      <c r="D376" s="1">
        <v>57549</v>
      </c>
      <c r="E376" s="1" t="s">
        <v>85</v>
      </c>
      <c r="F376" s="1" t="s">
        <v>482</v>
      </c>
      <c r="N376" s="1" t="s">
        <v>87</v>
      </c>
      <c r="O376" s="1" t="s">
        <v>1798</v>
      </c>
      <c r="P376" s="1">
        <v>1615</v>
      </c>
      <c r="Q376" s="1">
        <v>1868</v>
      </c>
      <c r="U376" s="1" t="s">
        <v>88</v>
      </c>
      <c r="W376" s="1" t="s">
        <v>89</v>
      </c>
      <c r="X376" s="1" t="s">
        <v>1801</v>
      </c>
      <c r="Z376" s="1" t="s">
        <v>89</v>
      </c>
      <c r="AA376" s="1" t="s">
        <v>90</v>
      </c>
      <c r="AB376" s="1">
        <v>1760</v>
      </c>
      <c r="AC376" s="1">
        <v>1849</v>
      </c>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t="s">
        <v>1529</v>
      </c>
      <c r="BG376" s="1">
        <v>1793</v>
      </c>
      <c r="BH376" s="1">
        <v>1813</v>
      </c>
      <c r="BI376" s="1">
        <v>3</v>
      </c>
      <c r="BJ376" s="1"/>
      <c r="BK376" s="6" t="s">
        <v>1776</v>
      </c>
      <c r="BL376" s="1" t="s">
        <v>1746</v>
      </c>
      <c r="BM376" s="1"/>
      <c r="BN376" s="1" t="s">
        <v>1530</v>
      </c>
      <c r="BO376" s="1">
        <v>10</v>
      </c>
      <c r="BP376" s="12">
        <v>6.75</v>
      </c>
      <c r="BQ376" s="12">
        <v>0.25</v>
      </c>
      <c r="BR376" s="1">
        <v>25.4</v>
      </c>
      <c r="BS376" s="1">
        <v>17.100000000000001</v>
      </c>
      <c r="BT376" s="1">
        <v>0.6</v>
      </c>
      <c r="BU376" s="1" t="s">
        <v>487</v>
      </c>
      <c r="BV376" s="1" t="s">
        <v>508</v>
      </c>
      <c r="BW376" s="1" t="s">
        <v>94</v>
      </c>
      <c r="BX376" s="1" t="s">
        <v>95</v>
      </c>
      <c r="BY376" s="1">
        <v>1918</v>
      </c>
      <c r="BZ376" s="1"/>
      <c r="CA376" s="1"/>
      <c r="CB376" s="1"/>
      <c r="CN376" s="1" t="s">
        <v>490</v>
      </c>
      <c r="CP376" s="8" t="str">
        <f>HYPERLINK("http://www.metmuseum.org/art/collection/search/57549","http://www.metmuseum.org/art/collection/search/57549")</f>
        <v>http://www.metmuseum.org/art/collection/search/57549</v>
      </c>
      <c r="CQ376" s="4">
        <v>42842.333402777775</v>
      </c>
      <c r="CR376" s="1" t="s">
        <v>97</v>
      </c>
    </row>
    <row r="377" spans="1:96" ht="52.5" customHeight="1" x14ac:dyDescent="0.2">
      <c r="A377" s="1" t="s">
        <v>1531</v>
      </c>
      <c r="B377" s="1" t="b">
        <v>0</v>
      </c>
      <c r="C377" s="1" t="b">
        <v>1</v>
      </c>
      <c r="D377" s="1">
        <v>57550</v>
      </c>
      <c r="E377" s="1" t="s">
        <v>85</v>
      </c>
      <c r="F377" s="1" t="s">
        <v>482</v>
      </c>
      <c r="N377" s="1" t="s">
        <v>87</v>
      </c>
      <c r="O377" s="1" t="s">
        <v>1798</v>
      </c>
      <c r="P377" s="1">
        <v>1615</v>
      </c>
      <c r="Q377" s="1">
        <v>1868</v>
      </c>
      <c r="U377" s="1" t="s">
        <v>88</v>
      </c>
      <c r="W377" s="1" t="s">
        <v>89</v>
      </c>
      <c r="X377" s="1" t="s">
        <v>1801</v>
      </c>
      <c r="Z377" s="1" t="s">
        <v>89</v>
      </c>
      <c r="AA377" s="1" t="s">
        <v>90</v>
      </c>
      <c r="AB377" s="1">
        <v>1760</v>
      </c>
      <c r="AC377" s="1">
        <v>1849</v>
      </c>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t="s">
        <v>805</v>
      </c>
      <c r="BG377" s="1">
        <v>1804</v>
      </c>
      <c r="BH377" s="1">
        <v>1824</v>
      </c>
      <c r="BI377" s="1">
        <v>1</v>
      </c>
      <c r="BJ377" s="1"/>
      <c r="BK377" s="6" t="s">
        <v>1779</v>
      </c>
      <c r="BL377" s="1" t="s">
        <v>1746</v>
      </c>
      <c r="BM377" s="1"/>
      <c r="BN377" s="1" t="s">
        <v>1532</v>
      </c>
      <c r="BO377" s="1">
        <v>10</v>
      </c>
      <c r="BP377" s="12">
        <v>13.25</v>
      </c>
      <c r="BQ377" s="12">
        <v>0.25</v>
      </c>
      <c r="BR377" s="1">
        <v>25.4</v>
      </c>
      <c r="BS377" s="1">
        <v>33.700000000000003</v>
      </c>
      <c r="BT377" s="1">
        <v>0.6</v>
      </c>
      <c r="BU377" s="1"/>
      <c r="BV377" s="1" t="s">
        <v>508</v>
      </c>
      <c r="BW377" s="1" t="s">
        <v>94</v>
      </c>
      <c r="BX377" s="1" t="s">
        <v>95</v>
      </c>
      <c r="BY377" s="1">
        <v>1918</v>
      </c>
      <c r="BZ377" s="1"/>
      <c r="CA377" s="1"/>
      <c r="CB377" s="1"/>
      <c r="CN377" s="1" t="s">
        <v>490</v>
      </c>
      <c r="CP377" s="8" t="str">
        <f>HYPERLINK("http://www.metmuseum.org/art/collection/search/57550","http://www.metmuseum.org/art/collection/search/57550")</f>
        <v>http://www.metmuseum.org/art/collection/search/57550</v>
      </c>
      <c r="CQ377" s="4">
        <v>42842.333402777775</v>
      </c>
      <c r="CR377" s="1" t="s">
        <v>97</v>
      </c>
    </row>
    <row r="378" spans="1:96" ht="52.5" customHeight="1" x14ac:dyDescent="0.2">
      <c r="A378" s="1" t="s">
        <v>1533</v>
      </c>
      <c r="B378" s="1" t="b">
        <v>0</v>
      </c>
      <c r="C378" s="1" t="b">
        <v>1</v>
      </c>
      <c r="D378" s="1">
        <v>57551</v>
      </c>
      <c r="E378" s="1" t="s">
        <v>85</v>
      </c>
      <c r="F378" s="1" t="s">
        <v>482</v>
      </c>
      <c r="N378" s="1" t="s">
        <v>87</v>
      </c>
      <c r="O378" s="1" t="s">
        <v>1798</v>
      </c>
      <c r="P378" s="1">
        <v>1615</v>
      </c>
      <c r="Q378" s="1">
        <v>1868</v>
      </c>
      <c r="U378" s="1" t="s">
        <v>88</v>
      </c>
      <c r="W378" s="1" t="s">
        <v>89</v>
      </c>
      <c r="X378" s="1" t="s">
        <v>1801</v>
      </c>
      <c r="Z378" s="1" t="s">
        <v>89</v>
      </c>
      <c r="AA378" s="1" t="s">
        <v>90</v>
      </c>
      <c r="AB378" s="1">
        <v>1760</v>
      </c>
      <c r="AC378" s="1">
        <v>1849</v>
      </c>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v>1834</v>
      </c>
      <c r="BG378" s="1">
        <v>1834</v>
      </c>
      <c r="BH378" s="1">
        <v>1834</v>
      </c>
      <c r="BI378" s="1">
        <v>1</v>
      </c>
      <c r="BJ378" s="1"/>
      <c r="BK378" s="6" t="s">
        <v>99</v>
      </c>
      <c r="BL378" s="6" t="s">
        <v>1748</v>
      </c>
      <c r="BM378" s="1"/>
      <c r="BN378" s="1" t="s">
        <v>1527</v>
      </c>
      <c r="BO378" s="1">
        <v>9</v>
      </c>
      <c r="BP378" s="12">
        <v>6.25</v>
      </c>
      <c r="BQ378" s="12">
        <v>0.375</v>
      </c>
      <c r="BR378" s="1">
        <v>22.9</v>
      </c>
      <c r="BS378" s="1">
        <v>15.9</v>
      </c>
      <c r="BT378" s="1">
        <v>1</v>
      </c>
      <c r="BU378" s="1"/>
      <c r="BV378" s="1" t="s">
        <v>508</v>
      </c>
      <c r="BW378" s="1" t="s">
        <v>94</v>
      </c>
      <c r="BX378" s="1" t="s">
        <v>95</v>
      </c>
      <c r="BY378" s="1">
        <v>1918</v>
      </c>
      <c r="BZ378" s="1"/>
      <c r="CA378" s="1"/>
      <c r="CB378" s="1"/>
      <c r="CN378" s="1" t="s">
        <v>490</v>
      </c>
      <c r="CP378" s="8" t="str">
        <f>HYPERLINK("http://www.metmuseum.org/art/collection/search/57551","http://www.metmuseum.org/art/collection/search/57551")</f>
        <v>http://www.metmuseum.org/art/collection/search/57551</v>
      </c>
      <c r="CQ378" s="4">
        <v>42842.333402777775</v>
      </c>
      <c r="CR378" s="1" t="s">
        <v>97</v>
      </c>
    </row>
    <row r="379" spans="1:96" ht="52.5" customHeight="1" x14ac:dyDescent="0.2">
      <c r="A379" s="1" t="s">
        <v>1534</v>
      </c>
      <c r="B379" s="1" t="b">
        <v>0</v>
      </c>
      <c r="C379" s="1" t="b">
        <v>1</v>
      </c>
      <c r="D379" s="1">
        <v>57552</v>
      </c>
      <c r="E379" s="1" t="s">
        <v>85</v>
      </c>
      <c r="F379" s="1" t="s">
        <v>482</v>
      </c>
      <c r="N379" s="1" t="s">
        <v>87</v>
      </c>
      <c r="O379" s="1" t="s">
        <v>1798</v>
      </c>
      <c r="P379" s="1">
        <v>1615</v>
      </c>
      <c r="Q379" s="6">
        <v>1868</v>
      </c>
      <c r="U379" s="1" t="s">
        <v>88</v>
      </c>
      <c r="W379" s="1" t="s">
        <v>89</v>
      </c>
      <c r="X379" s="1" t="s">
        <v>1801</v>
      </c>
      <c r="Z379" s="1" t="s">
        <v>89</v>
      </c>
      <c r="AA379" s="1" t="s">
        <v>90</v>
      </c>
      <c r="AB379" s="1">
        <v>1760</v>
      </c>
      <c r="AC379" s="1">
        <v>1849</v>
      </c>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v>1835</v>
      </c>
      <c r="BG379" s="1">
        <v>1835</v>
      </c>
      <c r="BH379" s="1">
        <v>1835</v>
      </c>
      <c r="BI379" s="1">
        <v>2</v>
      </c>
      <c r="BJ379" s="1"/>
      <c r="BK379" s="6" t="s">
        <v>1780</v>
      </c>
      <c r="BL379" s="6" t="s">
        <v>1748</v>
      </c>
      <c r="BM379" s="1"/>
      <c r="BN379" s="1" t="s">
        <v>507</v>
      </c>
      <c r="BO379" s="1">
        <v>9</v>
      </c>
      <c r="BP379" s="12">
        <v>6.25</v>
      </c>
      <c r="BQ379" s="12">
        <v>0.5</v>
      </c>
      <c r="BR379" s="1">
        <v>22.9</v>
      </c>
      <c r="BS379" s="1">
        <v>15.9</v>
      </c>
      <c r="BT379" s="1">
        <v>1.3</v>
      </c>
      <c r="BU379" s="1" t="s">
        <v>487</v>
      </c>
      <c r="BV379" s="1" t="s">
        <v>508</v>
      </c>
      <c r="BW379" s="1" t="s">
        <v>94</v>
      </c>
      <c r="BX379" s="1" t="s">
        <v>95</v>
      </c>
      <c r="BY379" s="1">
        <v>1918</v>
      </c>
      <c r="BZ379" s="1"/>
      <c r="CA379" s="1"/>
      <c r="CB379" s="1"/>
      <c r="CN379" s="1" t="s">
        <v>490</v>
      </c>
      <c r="CP379" s="8" t="str">
        <f>HYPERLINK("http://www.metmuseum.org/art/collection/search/57552","http://www.metmuseum.org/art/collection/search/57552")</f>
        <v>http://www.metmuseum.org/art/collection/search/57552</v>
      </c>
      <c r="CQ379" s="4">
        <v>42842.333402777775</v>
      </c>
      <c r="CR379" s="1" t="s">
        <v>97</v>
      </c>
    </row>
    <row r="380" spans="1:96" ht="52.5" customHeight="1" x14ac:dyDescent="0.2">
      <c r="A380" s="1" t="s">
        <v>1535</v>
      </c>
      <c r="B380" s="1" t="b">
        <v>0</v>
      </c>
      <c r="C380" s="1" t="b">
        <v>1</v>
      </c>
      <c r="D380" s="1">
        <v>57553</v>
      </c>
      <c r="E380" s="1" t="s">
        <v>85</v>
      </c>
      <c r="F380" s="1" t="s">
        <v>482</v>
      </c>
      <c r="N380" s="1" t="s">
        <v>87</v>
      </c>
      <c r="O380" s="1" t="s">
        <v>1798</v>
      </c>
      <c r="P380" s="1">
        <v>1615</v>
      </c>
      <c r="Q380" s="1">
        <v>1868</v>
      </c>
      <c r="U380" s="1" t="s">
        <v>88</v>
      </c>
      <c r="W380" s="1" t="s">
        <v>89</v>
      </c>
      <c r="X380" s="1" t="s">
        <v>1801</v>
      </c>
      <c r="Z380" s="1" t="s">
        <v>89</v>
      </c>
      <c r="AA380" s="1" t="s">
        <v>90</v>
      </c>
      <c r="AB380" s="1">
        <v>1760</v>
      </c>
      <c r="AC380" s="1">
        <v>1849</v>
      </c>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t="s">
        <v>1536</v>
      </c>
      <c r="BG380" s="1">
        <v>1837</v>
      </c>
      <c r="BH380" s="1">
        <v>1857</v>
      </c>
      <c r="BI380" s="1">
        <v>1</v>
      </c>
      <c r="BJ380" s="1"/>
      <c r="BK380" s="6" t="s">
        <v>99</v>
      </c>
      <c r="BL380" s="6" t="s">
        <v>1748</v>
      </c>
      <c r="BM380" s="1"/>
      <c r="BN380" s="1" t="s">
        <v>1527</v>
      </c>
      <c r="BO380" s="1">
        <v>9</v>
      </c>
      <c r="BP380" s="12">
        <v>6.25</v>
      </c>
      <c r="BQ380" s="12">
        <v>0.375</v>
      </c>
      <c r="BR380" s="1">
        <v>22.9</v>
      </c>
      <c r="BS380" s="1">
        <v>15.9</v>
      </c>
      <c r="BT380" s="1">
        <v>1</v>
      </c>
      <c r="BU380" s="1"/>
      <c r="BV380" s="1" t="s">
        <v>508</v>
      </c>
      <c r="BW380" s="1" t="s">
        <v>94</v>
      </c>
      <c r="BX380" s="1" t="s">
        <v>95</v>
      </c>
      <c r="BY380" s="1">
        <v>1918</v>
      </c>
      <c r="BZ380" s="1"/>
      <c r="CA380" s="1"/>
      <c r="CB380" s="1"/>
      <c r="CN380" s="1" t="s">
        <v>490</v>
      </c>
      <c r="CP380" s="8" t="str">
        <f>HYPERLINK("http://www.metmuseum.org/art/collection/search/57553","http://www.metmuseum.org/art/collection/search/57553")</f>
        <v>http://www.metmuseum.org/art/collection/search/57553</v>
      </c>
      <c r="CQ380" s="4">
        <v>42842.333402777775</v>
      </c>
      <c r="CR380" s="1" t="s">
        <v>97</v>
      </c>
    </row>
    <row r="381" spans="1:96" ht="52.5" customHeight="1" x14ac:dyDescent="0.2">
      <c r="A381" s="1" t="s">
        <v>1537</v>
      </c>
      <c r="B381" s="1" t="b">
        <v>0</v>
      </c>
      <c r="C381" s="1" t="b">
        <v>1</v>
      </c>
      <c r="D381" s="1">
        <v>57667</v>
      </c>
      <c r="E381" s="1" t="s">
        <v>85</v>
      </c>
      <c r="F381" s="1" t="s">
        <v>482</v>
      </c>
      <c r="N381" s="1" t="s">
        <v>87</v>
      </c>
      <c r="O381" s="1" t="s">
        <v>1798</v>
      </c>
      <c r="P381" s="1">
        <v>1615</v>
      </c>
      <c r="Q381" s="1">
        <v>1868</v>
      </c>
      <c r="U381" s="1" t="s">
        <v>88</v>
      </c>
      <c r="W381" s="1" t="s">
        <v>89</v>
      </c>
      <c r="X381" s="1" t="s">
        <v>1801</v>
      </c>
      <c r="Z381" s="1" t="s">
        <v>89</v>
      </c>
      <c r="AA381" s="1" t="s">
        <v>90</v>
      </c>
      <c r="AB381" s="1">
        <v>1760</v>
      </c>
      <c r="AC381" s="1">
        <v>1849</v>
      </c>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v>1811</v>
      </c>
      <c r="BG381" s="1">
        <v>1811</v>
      </c>
      <c r="BH381" s="1">
        <v>1811</v>
      </c>
      <c r="BI381" s="1">
        <v>1</v>
      </c>
      <c r="BJ381" s="1"/>
      <c r="BK381" s="6" t="s">
        <v>99</v>
      </c>
      <c r="BL381" s="6" t="s">
        <v>1748</v>
      </c>
      <c r="BM381" s="1"/>
      <c r="BN381" s="1" t="s">
        <v>1538</v>
      </c>
      <c r="BO381" s="12">
        <v>8.75</v>
      </c>
      <c r="BP381" s="11">
        <v>6.0625</v>
      </c>
      <c r="BQ381" s="11">
        <v>1</v>
      </c>
      <c r="BR381" s="1">
        <v>22.2</v>
      </c>
      <c r="BS381" s="1">
        <v>15.4</v>
      </c>
      <c r="BT381" s="1">
        <v>2.5</v>
      </c>
      <c r="BU381" s="1"/>
      <c r="BV381" s="1" t="s">
        <v>1539</v>
      </c>
      <c r="BW381" s="1" t="s">
        <v>386</v>
      </c>
      <c r="BX381" s="1"/>
      <c r="BY381" s="1">
        <v>1918</v>
      </c>
      <c r="BZ381" s="1"/>
      <c r="CA381" s="1" t="s">
        <v>1540</v>
      </c>
      <c r="CB381" s="1"/>
      <c r="CN381" s="1" t="s">
        <v>490</v>
      </c>
      <c r="CP381" s="8" t="str">
        <f>HYPERLINK("http://www.metmuseum.org/art/collection/search/57667","http://www.metmuseum.org/art/collection/search/57667")</f>
        <v>http://www.metmuseum.org/art/collection/search/57667</v>
      </c>
      <c r="CQ381" s="4">
        <v>42842.333402777775</v>
      </c>
      <c r="CR381" s="1" t="s">
        <v>97</v>
      </c>
    </row>
    <row r="382" spans="1:96" ht="52.5" customHeight="1" x14ac:dyDescent="0.2">
      <c r="A382" s="1" t="s">
        <v>1541</v>
      </c>
      <c r="B382" s="1" t="b">
        <v>0</v>
      </c>
      <c r="C382" s="1" t="b">
        <v>1</v>
      </c>
      <c r="D382" s="1">
        <v>57677</v>
      </c>
      <c r="E382" s="1" t="s">
        <v>85</v>
      </c>
      <c r="F382" s="1" t="s">
        <v>482</v>
      </c>
      <c r="N382" s="1" t="s">
        <v>87</v>
      </c>
      <c r="O382" s="1" t="s">
        <v>1798</v>
      </c>
      <c r="P382" s="1">
        <v>1615</v>
      </c>
      <c r="Q382" s="1">
        <v>1868</v>
      </c>
      <c r="U382" s="1" t="s">
        <v>88</v>
      </c>
      <c r="W382" s="1" t="s">
        <v>89</v>
      </c>
      <c r="X382" s="1" t="s">
        <v>1801</v>
      </c>
      <c r="Z382" s="1" t="s">
        <v>89</v>
      </c>
      <c r="AA382" s="1" t="s">
        <v>90</v>
      </c>
      <c r="AB382" s="1">
        <v>1760</v>
      </c>
      <c r="AC382" s="1">
        <v>1849</v>
      </c>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t="s">
        <v>91</v>
      </c>
      <c r="BG382" s="1">
        <v>1794</v>
      </c>
      <c r="BH382" s="1">
        <v>1814</v>
      </c>
      <c r="BI382" s="1">
        <v>5</v>
      </c>
      <c r="BJ382" s="1"/>
      <c r="BK382" s="1" t="s">
        <v>1542</v>
      </c>
      <c r="BL382" s="1"/>
      <c r="BM382" s="1"/>
      <c r="BN382" s="1" t="s">
        <v>1543</v>
      </c>
      <c r="BO382" s="12">
        <v>14.5</v>
      </c>
      <c r="BP382" s="12">
        <v>48.5</v>
      </c>
      <c r="BQ382" s="12"/>
      <c r="BR382" s="1">
        <v>36.799999999999997</v>
      </c>
      <c r="BS382" s="1">
        <v>123.2</v>
      </c>
      <c r="BT382" s="1"/>
      <c r="BU382" s="1"/>
      <c r="BV382" s="1" t="s">
        <v>508</v>
      </c>
      <c r="BW382" s="1" t="s">
        <v>94</v>
      </c>
      <c r="BX382" s="1" t="s">
        <v>95</v>
      </c>
      <c r="BY382" s="1">
        <v>1918</v>
      </c>
      <c r="BZ382" s="1"/>
      <c r="CA382" s="1"/>
      <c r="CB382" s="1"/>
      <c r="CN382" s="1" t="s">
        <v>490</v>
      </c>
      <c r="CP382" s="8" t="str">
        <f>HYPERLINK("http://www.metmuseum.org/art/collection/search/57677","http://www.metmuseum.org/art/collection/search/57677")</f>
        <v>http://www.metmuseum.org/art/collection/search/57677</v>
      </c>
      <c r="CQ382" s="4">
        <v>42842.333402777775</v>
      </c>
      <c r="CR382" s="1" t="s">
        <v>97</v>
      </c>
    </row>
    <row r="383" spans="1:96" ht="52.5" customHeight="1" x14ac:dyDescent="0.2">
      <c r="A383" s="1" t="s">
        <v>1544</v>
      </c>
      <c r="B383" s="1" t="b">
        <v>0</v>
      </c>
      <c r="C383" s="1" t="b">
        <v>1</v>
      </c>
      <c r="D383" s="1">
        <v>57678</v>
      </c>
      <c r="E383" s="1" t="s">
        <v>85</v>
      </c>
      <c r="F383" s="1" t="s">
        <v>482</v>
      </c>
      <c r="N383" s="1" t="s">
        <v>87</v>
      </c>
      <c r="O383" s="1" t="s">
        <v>1798</v>
      </c>
      <c r="P383" s="1">
        <v>1615</v>
      </c>
      <c r="Q383" s="6">
        <v>1868</v>
      </c>
      <c r="U383" s="1" t="s">
        <v>88</v>
      </c>
      <c r="W383" s="1" t="s">
        <v>89</v>
      </c>
      <c r="X383" s="1" t="s">
        <v>1801</v>
      </c>
      <c r="Z383" s="1" t="s">
        <v>89</v>
      </c>
      <c r="AA383" s="1" t="s">
        <v>90</v>
      </c>
      <c r="AB383" s="1">
        <v>1760</v>
      </c>
      <c r="AC383" s="1">
        <v>1849</v>
      </c>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v>1816</v>
      </c>
      <c r="BG383" s="1">
        <v>1816</v>
      </c>
      <c r="BH383" s="1">
        <v>1816</v>
      </c>
      <c r="BI383" s="1">
        <v>1</v>
      </c>
      <c r="BJ383" s="1"/>
      <c r="BK383" s="6" t="s">
        <v>1775</v>
      </c>
      <c r="BL383" s="6" t="s">
        <v>1746</v>
      </c>
      <c r="BM383" s="1"/>
      <c r="BN383" s="1" t="s">
        <v>1545</v>
      </c>
      <c r="BO383" s="12">
        <v>8.875</v>
      </c>
      <c r="BP383" s="12">
        <v>6.25</v>
      </c>
      <c r="BQ383" s="12">
        <v>0.5</v>
      </c>
      <c r="BR383" s="1">
        <v>22.5</v>
      </c>
      <c r="BS383" s="1">
        <v>15.9</v>
      </c>
      <c r="BT383" s="1">
        <v>1.3</v>
      </c>
      <c r="BU383" s="1" t="s">
        <v>1345</v>
      </c>
      <c r="BV383" s="1" t="s">
        <v>1546</v>
      </c>
      <c r="BW383" s="1" t="s">
        <v>94</v>
      </c>
      <c r="BX383" s="1" t="s">
        <v>95</v>
      </c>
      <c r="BY383" s="1">
        <v>1931</v>
      </c>
      <c r="BZ383" s="1"/>
      <c r="CA383" s="1"/>
      <c r="CB383" s="1"/>
      <c r="CN383" s="1" t="s">
        <v>490</v>
      </c>
      <c r="CP383" s="8" t="str">
        <f>HYPERLINK("http://www.metmuseum.org/art/collection/search/57678","http://www.metmuseum.org/art/collection/search/57678")</f>
        <v>http://www.metmuseum.org/art/collection/search/57678</v>
      </c>
      <c r="CQ383" s="4">
        <v>42842.333402777775</v>
      </c>
      <c r="CR383" s="1" t="s">
        <v>97</v>
      </c>
    </row>
    <row r="384" spans="1:96" ht="52.5" customHeight="1" x14ac:dyDescent="0.2">
      <c r="A384" s="1" t="s">
        <v>1547</v>
      </c>
      <c r="B384" s="1" t="b">
        <v>0</v>
      </c>
      <c r="C384" s="1" t="b">
        <v>1</v>
      </c>
      <c r="D384" s="1">
        <v>57679</v>
      </c>
      <c r="E384" s="1" t="s">
        <v>85</v>
      </c>
      <c r="F384" s="1" t="s">
        <v>482</v>
      </c>
      <c r="N384" s="1" t="s">
        <v>87</v>
      </c>
      <c r="O384" s="1" t="s">
        <v>1798</v>
      </c>
      <c r="P384" s="1">
        <v>1615</v>
      </c>
      <c r="Q384" s="1">
        <v>1868</v>
      </c>
      <c r="U384" s="1" t="s">
        <v>88</v>
      </c>
      <c r="W384" s="1" t="s">
        <v>89</v>
      </c>
      <c r="X384" s="1" t="s">
        <v>1801</v>
      </c>
      <c r="Z384" s="1" t="s">
        <v>89</v>
      </c>
      <c r="AA384" s="1" t="s">
        <v>90</v>
      </c>
      <c r="AB384" s="1">
        <v>1760</v>
      </c>
      <c r="AC384" s="1">
        <v>1849</v>
      </c>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t="s">
        <v>1548</v>
      </c>
      <c r="BG384" s="1">
        <v>1828</v>
      </c>
      <c r="BH384" s="1">
        <v>1868</v>
      </c>
      <c r="BI384" s="1">
        <v>1</v>
      </c>
      <c r="BJ384" s="1"/>
      <c r="BK384" s="6" t="s">
        <v>1775</v>
      </c>
      <c r="BL384" s="6" t="s">
        <v>1746</v>
      </c>
      <c r="BM384" s="1"/>
      <c r="BN384" s="1" t="s">
        <v>1549</v>
      </c>
      <c r="BO384" s="1">
        <v>9</v>
      </c>
      <c r="BP384" s="12">
        <v>6.25</v>
      </c>
      <c r="BQ384" s="12">
        <v>0.375</v>
      </c>
      <c r="BR384" s="1">
        <v>22.9</v>
      </c>
      <c r="BS384" s="1">
        <v>15.9</v>
      </c>
      <c r="BT384" s="1">
        <v>1</v>
      </c>
      <c r="BU384" s="1" t="s">
        <v>1345</v>
      </c>
      <c r="BV384" s="1" t="s">
        <v>1546</v>
      </c>
      <c r="BW384" s="1" t="s">
        <v>94</v>
      </c>
      <c r="BX384" s="1" t="s">
        <v>95</v>
      </c>
      <c r="BY384" s="1">
        <v>1931</v>
      </c>
      <c r="BZ384" s="1"/>
      <c r="CA384" s="1"/>
      <c r="CB384" s="1"/>
      <c r="CN384" s="1" t="s">
        <v>490</v>
      </c>
      <c r="CP384" s="8" t="str">
        <f>HYPERLINK("http://www.metmuseum.org/art/collection/search/57679","http://www.metmuseum.org/art/collection/search/57679")</f>
        <v>http://www.metmuseum.org/art/collection/search/57679</v>
      </c>
      <c r="CQ384" s="4">
        <v>42842.333402777775</v>
      </c>
      <c r="CR384" s="1" t="s">
        <v>97</v>
      </c>
    </row>
    <row r="385" spans="1:96" ht="52.5" customHeight="1" x14ac:dyDescent="0.2">
      <c r="A385" s="1" t="s">
        <v>1550</v>
      </c>
      <c r="B385" s="1" t="b">
        <v>0</v>
      </c>
      <c r="C385" s="1" t="b">
        <v>1</v>
      </c>
      <c r="D385" s="1">
        <v>57680</v>
      </c>
      <c r="E385" s="1" t="s">
        <v>85</v>
      </c>
      <c r="F385" s="1" t="s">
        <v>482</v>
      </c>
      <c r="N385" s="1" t="s">
        <v>87</v>
      </c>
      <c r="O385" s="1" t="s">
        <v>1798</v>
      </c>
      <c r="P385" s="1">
        <v>1615</v>
      </c>
      <c r="Q385" s="1">
        <v>1868</v>
      </c>
      <c r="U385" s="1" t="s">
        <v>88</v>
      </c>
      <c r="W385" s="1" t="s">
        <v>89</v>
      </c>
      <c r="X385" s="1" t="s">
        <v>1801</v>
      </c>
      <c r="Z385" s="1" t="s">
        <v>89</v>
      </c>
      <c r="AA385" s="1" t="s">
        <v>90</v>
      </c>
      <c r="AB385" s="1">
        <v>1760</v>
      </c>
      <c r="AC385" s="1">
        <v>1849</v>
      </c>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t="s">
        <v>1551</v>
      </c>
      <c r="BG385" s="1">
        <v>1815</v>
      </c>
      <c r="BH385" s="1">
        <v>1868</v>
      </c>
      <c r="BI385" s="1">
        <v>1</v>
      </c>
      <c r="BJ385" s="1"/>
      <c r="BK385" s="6" t="s">
        <v>1775</v>
      </c>
      <c r="BL385" s="1" t="s">
        <v>1746</v>
      </c>
      <c r="BM385" s="1"/>
      <c r="BN385" s="1" t="s">
        <v>1552</v>
      </c>
      <c r="BO385" s="1">
        <v>9</v>
      </c>
      <c r="BP385" s="12">
        <v>6.25</v>
      </c>
      <c r="BQ385" s="12">
        <v>0.5</v>
      </c>
      <c r="BR385" s="1">
        <v>22.9</v>
      </c>
      <c r="BS385" s="1">
        <v>15.9</v>
      </c>
      <c r="BT385" s="1">
        <v>1.3</v>
      </c>
      <c r="BU385" s="1"/>
      <c r="BV385" s="1" t="s">
        <v>1546</v>
      </c>
      <c r="BW385" s="1" t="s">
        <v>94</v>
      </c>
      <c r="BX385" s="1" t="s">
        <v>95</v>
      </c>
      <c r="BY385" s="1">
        <v>1931</v>
      </c>
      <c r="BZ385" s="1"/>
      <c r="CA385" s="1"/>
      <c r="CB385" s="1"/>
      <c r="CN385" s="1" t="s">
        <v>490</v>
      </c>
      <c r="CP385" s="8" t="str">
        <f>HYPERLINK("http://www.metmuseum.org/art/collection/search/57680","http://www.metmuseum.org/art/collection/search/57680")</f>
        <v>http://www.metmuseum.org/art/collection/search/57680</v>
      </c>
      <c r="CQ385" s="4">
        <v>42842.333402777775</v>
      </c>
      <c r="CR385" s="1" t="s">
        <v>97</v>
      </c>
    </row>
    <row r="386" spans="1:96" ht="52.5" customHeight="1" x14ac:dyDescent="0.2">
      <c r="A386" s="1" t="s">
        <v>1553</v>
      </c>
      <c r="B386" s="1" t="b">
        <v>0</v>
      </c>
      <c r="C386" s="1" t="b">
        <v>1</v>
      </c>
      <c r="D386" s="1">
        <v>57681</v>
      </c>
      <c r="E386" s="1" t="s">
        <v>85</v>
      </c>
      <c r="F386" s="1" t="s">
        <v>482</v>
      </c>
      <c r="N386" s="1" t="s">
        <v>87</v>
      </c>
      <c r="O386" s="1" t="s">
        <v>1798</v>
      </c>
      <c r="P386" s="1">
        <v>1615</v>
      </c>
      <c r="Q386" s="1">
        <v>1868</v>
      </c>
      <c r="U386" s="1" t="s">
        <v>88</v>
      </c>
      <c r="W386" s="1" t="s">
        <v>89</v>
      </c>
      <c r="X386" s="1" t="s">
        <v>1801</v>
      </c>
      <c r="Z386" s="1" t="s">
        <v>89</v>
      </c>
      <c r="AA386" s="1" t="s">
        <v>90</v>
      </c>
      <c r="AB386" s="1">
        <v>1760</v>
      </c>
      <c r="AC386" s="1">
        <v>1849</v>
      </c>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G386" s="1">
        <v>1615</v>
      </c>
      <c r="BH386" s="1">
        <v>1868</v>
      </c>
      <c r="BI386" s="1">
        <v>1</v>
      </c>
      <c r="BJ386" s="1"/>
      <c r="BK386" s="6" t="s">
        <v>1775</v>
      </c>
      <c r="BL386" s="1" t="s">
        <v>1746</v>
      </c>
      <c r="BM386" s="1"/>
      <c r="BN386" s="1" t="s">
        <v>1527</v>
      </c>
      <c r="BO386" s="1">
        <v>9</v>
      </c>
      <c r="BP386" s="12">
        <v>6.25</v>
      </c>
      <c r="BQ386" s="12">
        <v>0.375</v>
      </c>
      <c r="BR386" s="1">
        <v>22.9</v>
      </c>
      <c r="BS386" s="1">
        <v>15.9</v>
      </c>
      <c r="BT386" s="1">
        <v>1</v>
      </c>
      <c r="BU386" s="1" t="s">
        <v>1345</v>
      </c>
      <c r="BV386" s="1" t="s">
        <v>1546</v>
      </c>
      <c r="BW386" s="1" t="s">
        <v>94</v>
      </c>
      <c r="BX386" s="1" t="s">
        <v>95</v>
      </c>
      <c r="BY386" s="1">
        <v>1931</v>
      </c>
      <c r="BZ386" s="1"/>
      <c r="CA386" s="1"/>
      <c r="CB386" s="1"/>
      <c r="CN386" s="1" t="s">
        <v>490</v>
      </c>
      <c r="CP386" s="8" t="str">
        <f>HYPERLINK("http://www.metmuseum.org/art/collection/search/57681","http://www.metmuseum.org/art/collection/search/57681")</f>
        <v>http://www.metmuseum.org/art/collection/search/57681</v>
      </c>
      <c r="CQ386" s="4">
        <v>42842.333402777775</v>
      </c>
      <c r="CR386" s="1" t="s">
        <v>97</v>
      </c>
    </row>
    <row r="387" spans="1:96" ht="52.5" customHeight="1" x14ac:dyDescent="0.2">
      <c r="A387" s="1" t="s">
        <v>1554</v>
      </c>
      <c r="B387" s="1" t="b">
        <v>0</v>
      </c>
      <c r="C387" s="1" t="b">
        <v>1</v>
      </c>
      <c r="D387" s="1">
        <v>57682</v>
      </c>
      <c r="E387" s="1" t="s">
        <v>85</v>
      </c>
      <c r="F387" s="1" t="s">
        <v>482</v>
      </c>
      <c r="N387" s="1" t="s">
        <v>87</v>
      </c>
      <c r="O387" s="1" t="s">
        <v>1798</v>
      </c>
      <c r="P387" s="1">
        <v>1615</v>
      </c>
      <c r="Q387" s="1">
        <v>1868</v>
      </c>
      <c r="U387" s="1" t="s">
        <v>88</v>
      </c>
      <c r="W387" s="1" t="s">
        <v>89</v>
      </c>
      <c r="X387" s="1" t="s">
        <v>1801</v>
      </c>
      <c r="Z387" s="1" t="s">
        <v>89</v>
      </c>
      <c r="AA387" s="1" t="s">
        <v>90</v>
      </c>
      <c r="AB387" s="1">
        <v>1760</v>
      </c>
      <c r="AC387" s="1">
        <v>1849</v>
      </c>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v>1819</v>
      </c>
      <c r="BG387" s="1">
        <v>1819</v>
      </c>
      <c r="BH387" s="1">
        <v>1819</v>
      </c>
      <c r="BI387" s="1">
        <v>1</v>
      </c>
      <c r="BJ387" s="1"/>
      <c r="BK387" s="1" t="s">
        <v>1775</v>
      </c>
      <c r="BL387" s="1" t="s">
        <v>1746</v>
      </c>
      <c r="BM387" s="1"/>
      <c r="BN387" s="1" t="s">
        <v>1555</v>
      </c>
      <c r="BO387" s="1">
        <v>9</v>
      </c>
      <c r="BP387" s="1">
        <v>6</v>
      </c>
      <c r="BQ387" s="15">
        <v>0.375</v>
      </c>
      <c r="BR387" s="1">
        <v>22.9</v>
      </c>
      <c r="BS387" s="1">
        <v>15.2</v>
      </c>
      <c r="BT387" s="1">
        <v>1</v>
      </c>
      <c r="BU387" s="1" t="s">
        <v>1345</v>
      </c>
      <c r="BV387" s="1" t="s">
        <v>1546</v>
      </c>
      <c r="BW387" s="1" t="s">
        <v>94</v>
      </c>
      <c r="BX387" s="1" t="s">
        <v>95</v>
      </c>
      <c r="BY387" s="1">
        <v>1931</v>
      </c>
      <c r="BZ387" s="1"/>
      <c r="CA387" s="1"/>
      <c r="CB387" s="1"/>
      <c r="CN387" s="1" t="s">
        <v>490</v>
      </c>
      <c r="CP387" s="8" t="str">
        <f>HYPERLINK("http://www.metmuseum.org/art/collection/search/57682","http://www.metmuseum.org/art/collection/search/57682")</f>
        <v>http://www.metmuseum.org/art/collection/search/57682</v>
      </c>
      <c r="CQ387" s="4">
        <v>42842.333402777775</v>
      </c>
      <c r="CR387" s="1" t="s">
        <v>97</v>
      </c>
    </row>
    <row r="388" spans="1:96" ht="52.5" customHeight="1" x14ac:dyDescent="0.2">
      <c r="A388" s="1" t="s">
        <v>1556</v>
      </c>
      <c r="B388" s="1" t="b">
        <v>0</v>
      </c>
      <c r="C388" s="1" t="b">
        <v>1</v>
      </c>
      <c r="D388" s="1">
        <v>57683</v>
      </c>
      <c r="E388" s="1" t="s">
        <v>85</v>
      </c>
      <c r="F388" s="1" t="s">
        <v>482</v>
      </c>
      <c r="N388" s="1" t="s">
        <v>87</v>
      </c>
      <c r="O388" s="1" t="s">
        <v>1798</v>
      </c>
      <c r="P388" s="1">
        <v>1615</v>
      </c>
      <c r="Q388" s="1">
        <v>1868</v>
      </c>
      <c r="U388" s="1" t="s">
        <v>88</v>
      </c>
      <c r="W388" s="1" t="s">
        <v>89</v>
      </c>
      <c r="X388" s="1" t="s">
        <v>1801</v>
      </c>
      <c r="Z388" s="1" t="s">
        <v>89</v>
      </c>
      <c r="AA388" s="1" t="s">
        <v>90</v>
      </c>
      <c r="AB388" s="1">
        <v>1760</v>
      </c>
      <c r="AC388" s="1">
        <v>1849</v>
      </c>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G388" s="1">
        <v>1615</v>
      </c>
      <c r="BH388" s="1">
        <v>1868</v>
      </c>
      <c r="BI388" s="1">
        <v>1</v>
      </c>
      <c r="BJ388" s="1"/>
      <c r="BK388" s="1" t="s">
        <v>1775</v>
      </c>
      <c r="BL388" s="1" t="s">
        <v>1746</v>
      </c>
      <c r="BM388" s="1"/>
      <c r="BN388" s="1" t="s">
        <v>1527</v>
      </c>
      <c r="BO388" s="1">
        <v>9</v>
      </c>
      <c r="BP388" s="12">
        <v>6.25</v>
      </c>
      <c r="BQ388" s="12">
        <v>0.375</v>
      </c>
      <c r="BR388" s="1">
        <v>22.9</v>
      </c>
      <c r="BS388" s="1">
        <v>15.9</v>
      </c>
      <c r="BT388" s="1">
        <v>1</v>
      </c>
      <c r="BU388" s="1" t="s">
        <v>1345</v>
      </c>
      <c r="BV388" s="1" t="s">
        <v>1546</v>
      </c>
      <c r="BW388" s="1" t="s">
        <v>94</v>
      </c>
      <c r="BX388" s="1" t="s">
        <v>95</v>
      </c>
      <c r="BY388" s="1">
        <v>1931</v>
      </c>
      <c r="BZ388" s="1"/>
      <c r="CA388" s="1"/>
      <c r="CB388" s="1"/>
      <c r="CN388" s="1" t="s">
        <v>490</v>
      </c>
      <c r="CP388" s="8" t="str">
        <f>HYPERLINK("http://www.metmuseum.org/art/collection/search/57683","http://www.metmuseum.org/art/collection/search/57683")</f>
        <v>http://www.metmuseum.org/art/collection/search/57683</v>
      </c>
      <c r="CQ388" s="4">
        <v>42842.333402777775</v>
      </c>
      <c r="CR388" s="1" t="s">
        <v>97</v>
      </c>
    </row>
    <row r="389" spans="1:96" ht="52.5" customHeight="1" x14ac:dyDescent="0.2">
      <c r="A389" s="1" t="s">
        <v>1557</v>
      </c>
      <c r="B389" s="1" t="b">
        <v>0</v>
      </c>
      <c r="C389" s="1" t="b">
        <v>1</v>
      </c>
      <c r="D389" s="1">
        <v>57684</v>
      </c>
      <c r="E389" s="1" t="s">
        <v>85</v>
      </c>
      <c r="F389" s="1" t="s">
        <v>482</v>
      </c>
      <c r="N389" s="1" t="s">
        <v>87</v>
      </c>
      <c r="O389" s="1" t="s">
        <v>1798</v>
      </c>
      <c r="P389" s="1">
        <v>1615</v>
      </c>
      <c r="Q389" s="1">
        <v>1868</v>
      </c>
      <c r="U389" s="1" t="s">
        <v>88</v>
      </c>
      <c r="W389" s="1" t="s">
        <v>89</v>
      </c>
      <c r="X389" s="1" t="s">
        <v>1801</v>
      </c>
      <c r="Z389" s="1" t="s">
        <v>89</v>
      </c>
      <c r="AA389" s="1" t="s">
        <v>90</v>
      </c>
      <c r="AB389" s="1">
        <v>1760</v>
      </c>
      <c r="AC389" s="1">
        <v>1849</v>
      </c>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v>1819</v>
      </c>
      <c r="BG389" s="1">
        <v>1819</v>
      </c>
      <c r="BH389" s="1">
        <v>1819</v>
      </c>
      <c r="BI389" s="1">
        <v>1</v>
      </c>
      <c r="BJ389" s="1"/>
      <c r="BK389" s="1" t="s">
        <v>1775</v>
      </c>
      <c r="BL389" s="1" t="s">
        <v>1746</v>
      </c>
      <c r="BM389" s="1"/>
      <c r="BN389" s="1" t="s">
        <v>1555</v>
      </c>
      <c r="BO389" s="1">
        <v>9</v>
      </c>
      <c r="BP389" s="1">
        <v>6</v>
      </c>
      <c r="BQ389" s="16">
        <v>0.375</v>
      </c>
      <c r="BR389" s="1">
        <v>22.9</v>
      </c>
      <c r="BS389" s="1">
        <v>15.2</v>
      </c>
      <c r="BT389" s="1">
        <v>1</v>
      </c>
      <c r="BU389" s="1" t="s">
        <v>1345</v>
      </c>
      <c r="BV389" s="1" t="s">
        <v>1546</v>
      </c>
      <c r="BW389" s="1" t="s">
        <v>94</v>
      </c>
      <c r="BX389" s="1" t="s">
        <v>95</v>
      </c>
      <c r="BY389" s="1">
        <v>1931</v>
      </c>
      <c r="BZ389" s="1"/>
      <c r="CA389" s="1"/>
      <c r="CB389" s="1"/>
      <c r="CN389" s="1" t="s">
        <v>490</v>
      </c>
      <c r="CP389" s="8" t="str">
        <f>HYPERLINK("http://www.metmuseum.org/art/collection/search/57684","http://www.metmuseum.org/art/collection/search/57684")</f>
        <v>http://www.metmuseum.org/art/collection/search/57684</v>
      </c>
      <c r="CQ389" s="4">
        <v>42842.333402777775</v>
      </c>
      <c r="CR389" s="1" t="s">
        <v>97</v>
      </c>
    </row>
    <row r="390" spans="1:96" ht="52.5" customHeight="1" x14ac:dyDescent="0.2">
      <c r="A390" s="1" t="s">
        <v>1558</v>
      </c>
      <c r="B390" s="1" t="b">
        <v>0</v>
      </c>
      <c r="C390" s="1" t="b">
        <v>1</v>
      </c>
      <c r="D390" s="1">
        <v>57685</v>
      </c>
      <c r="E390" s="1" t="s">
        <v>85</v>
      </c>
      <c r="F390" s="1" t="s">
        <v>482</v>
      </c>
      <c r="N390" s="1" t="s">
        <v>87</v>
      </c>
      <c r="O390" s="1" t="s">
        <v>1798</v>
      </c>
      <c r="P390" s="1">
        <v>1615</v>
      </c>
      <c r="Q390" s="1">
        <v>1868</v>
      </c>
      <c r="U390" s="1" t="s">
        <v>88</v>
      </c>
      <c r="W390" s="1" t="s">
        <v>89</v>
      </c>
      <c r="X390" s="1" t="s">
        <v>1801</v>
      </c>
      <c r="Z390" s="1" t="s">
        <v>89</v>
      </c>
      <c r="AA390" s="1" t="s">
        <v>90</v>
      </c>
      <c r="AB390" s="1">
        <v>1760</v>
      </c>
      <c r="AC390" s="1">
        <v>1849</v>
      </c>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v>1817</v>
      </c>
      <c r="BG390" s="1">
        <v>1817</v>
      </c>
      <c r="BH390" s="1">
        <v>1817</v>
      </c>
      <c r="BI390" s="1">
        <v>1</v>
      </c>
      <c r="BJ390" s="1"/>
      <c r="BK390" s="6" t="s">
        <v>1775</v>
      </c>
      <c r="BL390" s="1" t="s">
        <v>1746</v>
      </c>
      <c r="BM390" s="1"/>
      <c r="BN390" s="1" t="s">
        <v>1555</v>
      </c>
      <c r="BO390" s="1">
        <v>9</v>
      </c>
      <c r="BP390" s="1">
        <v>6</v>
      </c>
      <c r="BQ390" s="1"/>
      <c r="BR390" s="1">
        <v>22.9</v>
      </c>
      <c r="BS390" s="1">
        <v>15.2</v>
      </c>
      <c r="BT390" s="1">
        <v>1</v>
      </c>
      <c r="BU390" s="1" t="s">
        <v>1345</v>
      </c>
      <c r="BV390" s="1" t="s">
        <v>1546</v>
      </c>
      <c r="BW390" s="1" t="s">
        <v>94</v>
      </c>
      <c r="BX390" s="1" t="s">
        <v>95</v>
      </c>
      <c r="BY390" s="1">
        <v>1931</v>
      </c>
      <c r="BZ390" s="1"/>
      <c r="CA390" s="1"/>
      <c r="CB390" s="1"/>
      <c r="CN390" s="1" t="s">
        <v>490</v>
      </c>
      <c r="CP390" s="8" t="str">
        <f>HYPERLINK("http://www.metmuseum.org/art/collection/search/57685","http://www.metmuseum.org/art/collection/search/57685")</f>
        <v>http://www.metmuseum.org/art/collection/search/57685</v>
      </c>
      <c r="CQ390" s="4">
        <v>42842.333402777775</v>
      </c>
      <c r="CR390" s="1" t="s">
        <v>97</v>
      </c>
    </row>
    <row r="391" spans="1:96" ht="52.5" customHeight="1" x14ac:dyDescent="0.2">
      <c r="A391" s="1" t="s">
        <v>1559</v>
      </c>
      <c r="B391" s="1" t="b">
        <v>0</v>
      </c>
      <c r="C391" s="1" t="b">
        <v>1</v>
      </c>
      <c r="D391" s="1">
        <v>57686</v>
      </c>
      <c r="E391" s="1" t="s">
        <v>85</v>
      </c>
      <c r="F391" s="1" t="s">
        <v>482</v>
      </c>
      <c r="N391" s="1" t="s">
        <v>87</v>
      </c>
      <c r="O391" s="1" t="s">
        <v>1798</v>
      </c>
      <c r="P391" s="1">
        <v>1615</v>
      </c>
      <c r="Q391" s="1">
        <v>1868</v>
      </c>
      <c r="U391" s="1" t="s">
        <v>88</v>
      </c>
      <c r="W391" s="1" t="s">
        <v>89</v>
      </c>
      <c r="X391" s="1" t="s">
        <v>1801</v>
      </c>
      <c r="Z391" s="1" t="s">
        <v>89</v>
      </c>
      <c r="AA391" s="1" t="s">
        <v>90</v>
      </c>
      <c r="AB391" s="1">
        <v>1760</v>
      </c>
      <c r="AC391" s="1">
        <v>1849</v>
      </c>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v>1819</v>
      </c>
      <c r="BG391" s="1">
        <v>1819</v>
      </c>
      <c r="BH391" s="1">
        <v>1819</v>
      </c>
      <c r="BI391" s="1">
        <v>1</v>
      </c>
      <c r="BJ391" s="1"/>
      <c r="BK391" s="1" t="s">
        <v>1775</v>
      </c>
      <c r="BL391" s="1" t="s">
        <v>1746</v>
      </c>
      <c r="BM391" s="1"/>
      <c r="BN391" s="1" t="s">
        <v>1549</v>
      </c>
      <c r="BO391" s="1">
        <v>9</v>
      </c>
      <c r="BP391" s="12">
        <v>6.25</v>
      </c>
      <c r="BQ391" s="12">
        <v>0.375</v>
      </c>
      <c r="BR391" s="1">
        <v>22.9</v>
      </c>
      <c r="BS391" s="1">
        <v>15.9</v>
      </c>
      <c r="BT391" s="1">
        <v>1</v>
      </c>
      <c r="BU391" s="1" t="s">
        <v>1345</v>
      </c>
      <c r="BV391" s="1" t="s">
        <v>1546</v>
      </c>
      <c r="BW391" s="1" t="s">
        <v>94</v>
      </c>
      <c r="BX391" s="1" t="s">
        <v>95</v>
      </c>
      <c r="BY391" s="1">
        <v>1931</v>
      </c>
      <c r="BZ391" s="1"/>
      <c r="CA391" s="1"/>
      <c r="CB391" s="1"/>
      <c r="CN391" s="1" t="s">
        <v>490</v>
      </c>
      <c r="CP391" s="8" t="str">
        <f>HYPERLINK("http://www.metmuseum.org/art/collection/search/57686","http://www.metmuseum.org/art/collection/search/57686")</f>
        <v>http://www.metmuseum.org/art/collection/search/57686</v>
      </c>
      <c r="CQ391" s="4">
        <v>42842.333402777775</v>
      </c>
      <c r="CR391" s="1" t="s">
        <v>97</v>
      </c>
    </row>
    <row r="392" spans="1:96" ht="52.5" customHeight="1" x14ac:dyDescent="0.2">
      <c r="A392" s="1" t="s">
        <v>1560</v>
      </c>
      <c r="B392" s="1" t="b">
        <v>0</v>
      </c>
      <c r="C392" s="1" t="b">
        <v>1</v>
      </c>
      <c r="D392" s="1">
        <v>57687</v>
      </c>
      <c r="E392" s="1" t="s">
        <v>85</v>
      </c>
      <c r="F392" s="1" t="s">
        <v>482</v>
      </c>
      <c r="N392" s="1" t="s">
        <v>87</v>
      </c>
      <c r="O392" s="1" t="s">
        <v>1798</v>
      </c>
      <c r="P392" s="1">
        <v>1615</v>
      </c>
      <c r="Q392" s="1">
        <v>1868</v>
      </c>
      <c r="U392" s="1" t="s">
        <v>88</v>
      </c>
      <c r="W392" s="1" t="s">
        <v>89</v>
      </c>
      <c r="X392" s="1" t="s">
        <v>1801</v>
      </c>
      <c r="Z392" s="1" t="s">
        <v>89</v>
      </c>
      <c r="AA392" s="1" t="s">
        <v>90</v>
      </c>
      <c r="AB392" s="1">
        <v>1760</v>
      </c>
      <c r="AC392" s="1">
        <v>1849</v>
      </c>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v>1819</v>
      </c>
      <c r="BG392" s="1">
        <v>1819</v>
      </c>
      <c r="BH392" s="1">
        <v>1819</v>
      </c>
      <c r="BI392" s="1">
        <v>1</v>
      </c>
      <c r="BJ392" s="1"/>
      <c r="BK392" s="1" t="s">
        <v>1775</v>
      </c>
      <c r="BL392" s="1" t="s">
        <v>1746</v>
      </c>
      <c r="BM392" s="1"/>
      <c r="BN392" s="1" t="s">
        <v>1555</v>
      </c>
      <c r="BO392" s="1">
        <v>9</v>
      </c>
      <c r="BP392" s="1">
        <v>6</v>
      </c>
      <c r="BQ392" s="16">
        <v>0.375</v>
      </c>
      <c r="BR392" s="1">
        <v>22.9</v>
      </c>
      <c r="BS392" s="1">
        <v>15.2</v>
      </c>
      <c r="BT392" s="1">
        <v>1</v>
      </c>
      <c r="BU392" s="1" t="s">
        <v>1345</v>
      </c>
      <c r="BV392" s="1" t="s">
        <v>1546</v>
      </c>
      <c r="BW392" s="1" t="s">
        <v>94</v>
      </c>
      <c r="BX392" s="1" t="s">
        <v>95</v>
      </c>
      <c r="BY392" s="1">
        <v>1931</v>
      </c>
      <c r="BZ392" s="1"/>
      <c r="CA392" s="1"/>
      <c r="CB392" s="1"/>
      <c r="CN392" s="1" t="s">
        <v>490</v>
      </c>
      <c r="CP392" s="8" t="str">
        <f>HYPERLINK("http://www.metmuseum.org/art/collection/search/57687","http://www.metmuseum.org/art/collection/search/57687")</f>
        <v>http://www.metmuseum.org/art/collection/search/57687</v>
      </c>
      <c r="CQ392" s="4">
        <v>42842.333402777775</v>
      </c>
      <c r="CR392" s="1" t="s">
        <v>97</v>
      </c>
    </row>
    <row r="393" spans="1:96" ht="52.5" customHeight="1" x14ac:dyDescent="0.2">
      <c r="A393" s="1" t="s">
        <v>1561</v>
      </c>
      <c r="B393" s="1" t="b">
        <v>0</v>
      </c>
      <c r="C393" s="1" t="b">
        <v>1</v>
      </c>
      <c r="D393" s="1">
        <v>57688</v>
      </c>
      <c r="E393" s="1" t="s">
        <v>85</v>
      </c>
      <c r="F393" s="1" t="s">
        <v>482</v>
      </c>
      <c r="N393" s="1" t="s">
        <v>87</v>
      </c>
      <c r="O393" s="1" t="s">
        <v>1798</v>
      </c>
      <c r="P393" s="1">
        <v>1615</v>
      </c>
      <c r="Q393" s="6">
        <v>1868</v>
      </c>
      <c r="U393" s="1" t="s">
        <v>88</v>
      </c>
      <c r="W393" s="1" t="s">
        <v>89</v>
      </c>
      <c r="X393" s="1" t="s">
        <v>1801</v>
      </c>
      <c r="Z393" s="1" t="s">
        <v>89</v>
      </c>
      <c r="AA393" s="1" t="s">
        <v>90</v>
      </c>
      <c r="AB393" s="1">
        <v>1760</v>
      </c>
      <c r="AC393" s="1">
        <v>1849</v>
      </c>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G393" s="1">
        <v>1615</v>
      </c>
      <c r="BH393" s="1">
        <v>1868</v>
      </c>
      <c r="BI393" s="1">
        <v>1</v>
      </c>
      <c r="BJ393" s="1"/>
      <c r="BK393" s="1" t="s">
        <v>1775</v>
      </c>
      <c r="BL393" s="1" t="s">
        <v>1746</v>
      </c>
      <c r="BM393" s="1"/>
      <c r="BN393" s="1" t="s">
        <v>1527</v>
      </c>
      <c r="BO393" s="1">
        <v>9</v>
      </c>
      <c r="BP393" s="12">
        <v>6.25</v>
      </c>
      <c r="BQ393" s="12">
        <v>0.375</v>
      </c>
      <c r="BR393" s="1">
        <v>22.9</v>
      </c>
      <c r="BS393" s="1">
        <v>15.9</v>
      </c>
      <c r="BT393" s="1">
        <v>1</v>
      </c>
      <c r="BU393" s="1" t="s">
        <v>1345</v>
      </c>
      <c r="BV393" s="1" t="s">
        <v>1546</v>
      </c>
      <c r="BW393" s="1" t="s">
        <v>94</v>
      </c>
      <c r="BX393" s="1" t="s">
        <v>95</v>
      </c>
      <c r="BY393" s="1">
        <v>1931</v>
      </c>
      <c r="BZ393" s="1"/>
      <c r="CA393" s="1"/>
      <c r="CB393" s="1"/>
      <c r="CN393" s="1" t="s">
        <v>490</v>
      </c>
      <c r="CP393" s="8" t="str">
        <f>HYPERLINK("http://www.metmuseum.org/art/collection/search/57688","http://www.metmuseum.org/art/collection/search/57688")</f>
        <v>http://www.metmuseum.org/art/collection/search/57688</v>
      </c>
      <c r="CQ393" s="4">
        <v>42842.333402777775</v>
      </c>
      <c r="CR393" s="1" t="s">
        <v>97</v>
      </c>
    </row>
    <row r="394" spans="1:96" ht="52.5" customHeight="1" x14ac:dyDescent="0.2">
      <c r="A394" s="1" t="s">
        <v>1562</v>
      </c>
      <c r="B394" s="1" t="b">
        <v>0</v>
      </c>
      <c r="C394" s="1" t="b">
        <v>1</v>
      </c>
      <c r="D394" s="1">
        <v>57689</v>
      </c>
      <c r="E394" s="1" t="s">
        <v>85</v>
      </c>
      <c r="F394" s="1" t="s">
        <v>482</v>
      </c>
      <c r="N394" s="1" t="s">
        <v>87</v>
      </c>
      <c r="O394" s="1" t="s">
        <v>1798</v>
      </c>
      <c r="P394" s="1">
        <v>1615</v>
      </c>
      <c r="Q394" s="1">
        <v>1868</v>
      </c>
      <c r="U394" s="1" t="s">
        <v>88</v>
      </c>
      <c r="W394" s="1" t="s">
        <v>89</v>
      </c>
      <c r="X394" s="1" t="s">
        <v>1801</v>
      </c>
      <c r="Z394" s="1" t="s">
        <v>89</v>
      </c>
      <c r="AA394" s="1" t="s">
        <v>90</v>
      </c>
      <c r="AB394" s="1">
        <v>1760</v>
      </c>
      <c r="AC394" s="1">
        <v>1849</v>
      </c>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v>1834</v>
      </c>
      <c r="BG394" s="1">
        <v>1834</v>
      </c>
      <c r="BH394" s="1">
        <v>1834</v>
      </c>
      <c r="BI394" s="1">
        <v>1</v>
      </c>
      <c r="BJ394" s="1"/>
      <c r="BK394" s="1" t="s">
        <v>1775</v>
      </c>
      <c r="BL394" s="1" t="s">
        <v>1746</v>
      </c>
      <c r="BM394" s="1"/>
      <c r="BN394" s="1" t="s">
        <v>1527</v>
      </c>
      <c r="BO394" s="1">
        <v>9</v>
      </c>
      <c r="BP394" s="12">
        <v>6.25</v>
      </c>
      <c r="BQ394" s="12">
        <v>0.375</v>
      </c>
      <c r="BR394" s="1">
        <v>22.9</v>
      </c>
      <c r="BS394" s="1">
        <v>15.9</v>
      </c>
      <c r="BT394" s="1">
        <v>1</v>
      </c>
      <c r="BU394" s="1" t="s">
        <v>1345</v>
      </c>
      <c r="BV394" s="1" t="s">
        <v>1546</v>
      </c>
      <c r="BW394" s="1" t="s">
        <v>94</v>
      </c>
      <c r="BX394" s="1" t="s">
        <v>95</v>
      </c>
      <c r="BY394" s="1">
        <v>1931</v>
      </c>
      <c r="BZ394" s="1"/>
      <c r="CA394" s="1"/>
      <c r="CB394" s="1"/>
      <c r="CN394" s="1" t="s">
        <v>490</v>
      </c>
      <c r="CP394" s="8" t="str">
        <f>HYPERLINK("http://www.metmuseum.org/art/collection/search/57689","http://www.metmuseum.org/art/collection/search/57689")</f>
        <v>http://www.metmuseum.org/art/collection/search/57689</v>
      </c>
      <c r="CQ394" s="4">
        <v>42842.333402777775</v>
      </c>
      <c r="CR394" s="1" t="s">
        <v>97</v>
      </c>
    </row>
    <row r="395" spans="1:96" ht="52.5" customHeight="1" x14ac:dyDescent="0.2">
      <c r="A395" s="1" t="s">
        <v>1563</v>
      </c>
      <c r="B395" s="1" t="b">
        <v>0</v>
      </c>
      <c r="C395" s="1" t="b">
        <v>1</v>
      </c>
      <c r="D395" s="1">
        <v>57741</v>
      </c>
      <c r="E395" s="1" t="s">
        <v>85</v>
      </c>
      <c r="F395" s="1" t="s">
        <v>482</v>
      </c>
      <c r="N395" s="1" t="s">
        <v>87</v>
      </c>
      <c r="O395" s="1" t="s">
        <v>1798</v>
      </c>
      <c r="P395" s="1">
        <v>1615</v>
      </c>
      <c r="Q395" s="1">
        <v>1868</v>
      </c>
      <c r="U395" s="1" t="s">
        <v>88</v>
      </c>
      <c r="W395" s="1" t="s">
        <v>89</v>
      </c>
      <c r="X395" s="1" t="s">
        <v>1801</v>
      </c>
      <c r="Z395" s="1" t="s">
        <v>89</v>
      </c>
      <c r="AA395" s="1" t="s">
        <v>90</v>
      </c>
      <c r="AB395" s="1">
        <v>1760</v>
      </c>
      <c r="AC395" s="1">
        <v>1849</v>
      </c>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t="s">
        <v>1564</v>
      </c>
      <c r="BG395" s="1">
        <v>1839</v>
      </c>
      <c r="BH395" s="1">
        <v>1859</v>
      </c>
      <c r="BI395" s="1">
        <v>1</v>
      </c>
      <c r="BJ395" s="1"/>
      <c r="BK395" s="1" t="s">
        <v>1775</v>
      </c>
      <c r="BL395" s="1" t="s">
        <v>1746</v>
      </c>
      <c r="BM395" s="1"/>
      <c r="BN395" s="1" t="s">
        <v>1565</v>
      </c>
      <c r="BO395" s="1">
        <v>9</v>
      </c>
      <c r="BP395" s="12">
        <v>6.25</v>
      </c>
      <c r="BQ395" s="12">
        <v>0.75</v>
      </c>
      <c r="BR395" s="1">
        <v>22.9</v>
      </c>
      <c r="BS395" s="1">
        <v>15.9</v>
      </c>
      <c r="BT395" s="1">
        <v>1.9</v>
      </c>
      <c r="BU395" s="9" t="s">
        <v>1566</v>
      </c>
      <c r="BV395" s="1" t="s">
        <v>1546</v>
      </c>
      <c r="BW395" s="1" t="s">
        <v>94</v>
      </c>
      <c r="BX395" s="1" t="s">
        <v>95</v>
      </c>
      <c r="BY395" s="1">
        <v>1931</v>
      </c>
      <c r="BZ395" s="1"/>
      <c r="CA395" s="1"/>
      <c r="CB395" s="1"/>
      <c r="CN395" s="1" t="s">
        <v>490</v>
      </c>
      <c r="CP395" s="8" t="str">
        <f>HYPERLINK("http://www.metmuseum.org/art/collection/search/57741","http://www.metmuseum.org/art/collection/search/57741")</f>
        <v>http://www.metmuseum.org/art/collection/search/57741</v>
      </c>
      <c r="CQ395" s="4">
        <v>42842.333402777775</v>
      </c>
      <c r="CR395" s="1" t="s">
        <v>97</v>
      </c>
    </row>
    <row r="396" spans="1:96" ht="52.5" customHeight="1" x14ac:dyDescent="0.2">
      <c r="A396" s="1" t="s">
        <v>1567</v>
      </c>
      <c r="B396" s="1" t="b">
        <v>0</v>
      </c>
      <c r="C396" s="1" t="b">
        <v>1</v>
      </c>
      <c r="D396" s="1">
        <v>57742</v>
      </c>
      <c r="E396" s="1" t="s">
        <v>85</v>
      </c>
      <c r="F396" s="1" t="s">
        <v>482</v>
      </c>
      <c r="N396" s="1" t="s">
        <v>87</v>
      </c>
      <c r="O396" s="1" t="s">
        <v>1798</v>
      </c>
      <c r="P396" s="1">
        <v>1615</v>
      </c>
      <c r="Q396" s="1">
        <v>1868</v>
      </c>
      <c r="U396" s="1" t="s">
        <v>88</v>
      </c>
      <c r="W396" s="1" t="s">
        <v>89</v>
      </c>
      <c r="X396" s="1" t="s">
        <v>1801</v>
      </c>
      <c r="Z396" s="1" t="s">
        <v>89</v>
      </c>
      <c r="AA396" s="1" t="s">
        <v>90</v>
      </c>
      <c r="AB396" s="1">
        <v>1760</v>
      </c>
      <c r="AC396" s="1">
        <v>1849</v>
      </c>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t="s">
        <v>1568</v>
      </c>
      <c r="BG396" s="1">
        <v>1875</v>
      </c>
      <c r="BH396" s="1">
        <v>1878</v>
      </c>
      <c r="BI396" s="1">
        <v>1</v>
      </c>
      <c r="BJ396" s="1"/>
      <c r="BK396" s="1" t="s">
        <v>1775</v>
      </c>
      <c r="BL396" s="1" t="s">
        <v>1746</v>
      </c>
      <c r="BM396" s="1"/>
      <c r="BN396" s="1"/>
      <c r="BO396" s="1"/>
      <c r="BP396" s="1"/>
      <c r="BQ396" s="1"/>
      <c r="BR396" s="1"/>
      <c r="BS396" s="1"/>
      <c r="BT396" s="1"/>
      <c r="BU396" s="9" t="s">
        <v>1569</v>
      </c>
      <c r="BV396" s="1" t="s">
        <v>1546</v>
      </c>
      <c r="BW396" s="1" t="s">
        <v>94</v>
      </c>
      <c r="BX396" s="1" t="s">
        <v>95</v>
      </c>
      <c r="BY396" s="1">
        <v>1931</v>
      </c>
      <c r="BZ396" s="1"/>
      <c r="CA396" s="1"/>
      <c r="CB396" s="1"/>
      <c r="CN396" s="1" t="s">
        <v>490</v>
      </c>
      <c r="CP396" s="8" t="str">
        <f>HYPERLINK("http://www.metmuseum.org/art/collection/search/57742","http://www.metmuseum.org/art/collection/search/57742")</f>
        <v>http://www.metmuseum.org/art/collection/search/57742</v>
      </c>
      <c r="CQ396" s="4">
        <v>42842.333402777775</v>
      </c>
      <c r="CR396" s="1" t="s">
        <v>97</v>
      </c>
    </row>
    <row r="397" spans="1:96" ht="52.5" customHeight="1" x14ac:dyDescent="0.2">
      <c r="A397" s="1" t="s">
        <v>1570</v>
      </c>
      <c r="B397" s="1" t="b">
        <v>0</v>
      </c>
      <c r="C397" s="1" t="b">
        <v>1</v>
      </c>
      <c r="D397" s="1">
        <v>57791</v>
      </c>
      <c r="E397" s="1" t="s">
        <v>85</v>
      </c>
      <c r="F397" s="1" t="s">
        <v>1518</v>
      </c>
      <c r="N397" s="1" t="s">
        <v>87</v>
      </c>
      <c r="O397" s="1" t="s">
        <v>1798</v>
      </c>
      <c r="P397" s="1">
        <v>1615</v>
      </c>
      <c r="Q397" s="1">
        <v>1868</v>
      </c>
      <c r="U397" s="1" t="s">
        <v>88</v>
      </c>
      <c r="W397" s="1" t="s">
        <v>89</v>
      </c>
      <c r="X397" s="1" t="s">
        <v>1801</v>
      </c>
      <c r="Z397" s="1" t="s">
        <v>89</v>
      </c>
      <c r="AA397" s="1" t="s">
        <v>90</v>
      </c>
      <c r="AB397" s="1">
        <v>1760</v>
      </c>
      <c r="AC397" s="1">
        <v>1849</v>
      </c>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v>1833</v>
      </c>
      <c r="BG397" s="1">
        <v>1833</v>
      </c>
      <c r="BH397" s="1">
        <v>1833</v>
      </c>
      <c r="BI397" s="1">
        <v>5</v>
      </c>
      <c r="BJ397" s="1"/>
      <c r="BK397" s="6" t="s">
        <v>1781</v>
      </c>
      <c r="BL397" s="6" t="s">
        <v>1748</v>
      </c>
      <c r="BM397" s="1"/>
      <c r="BN397" s="1" t="s">
        <v>1571</v>
      </c>
      <c r="BO397" s="1">
        <v>9</v>
      </c>
      <c r="BP397" s="11">
        <v>6.1875</v>
      </c>
      <c r="BQ397" s="11">
        <v>0.25</v>
      </c>
      <c r="BR397" s="1">
        <v>22.9</v>
      </c>
      <c r="BS397" s="1">
        <v>15.7</v>
      </c>
      <c r="BT397" s="1">
        <v>0.6</v>
      </c>
      <c r="BU397" s="1" t="s">
        <v>487</v>
      </c>
      <c r="BV397" s="1" t="s">
        <v>500</v>
      </c>
      <c r="BW397" s="1" t="s">
        <v>386</v>
      </c>
      <c r="BX397" s="1"/>
      <c r="BY397" s="1">
        <v>1936</v>
      </c>
      <c r="BZ397" s="1" t="s">
        <v>373</v>
      </c>
      <c r="CA397" s="1" t="s">
        <v>501</v>
      </c>
      <c r="CB397" s="1"/>
      <c r="CN397" s="1" t="s">
        <v>490</v>
      </c>
      <c r="CP397" s="8" t="str">
        <f>HYPERLINK("http://www.metmuseum.org/art/collection/search/57791","http://www.metmuseum.org/art/collection/search/57791")</f>
        <v>http://www.metmuseum.org/art/collection/search/57791</v>
      </c>
      <c r="CQ397" s="4">
        <v>42842.333402777775</v>
      </c>
      <c r="CR397" s="1" t="s">
        <v>97</v>
      </c>
    </row>
    <row r="398" spans="1:96" ht="52.5" customHeight="1" x14ac:dyDescent="0.2">
      <c r="A398" s="1" t="s">
        <v>1572</v>
      </c>
      <c r="B398" s="1" t="b">
        <v>0</v>
      </c>
      <c r="C398" s="1" t="b">
        <v>1</v>
      </c>
      <c r="D398" s="1">
        <v>57793</v>
      </c>
      <c r="E398" s="1" t="s">
        <v>85</v>
      </c>
      <c r="F398" s="1" t="s">
        <v>482</v>
      </c>
      <c r="G398" s="1" t="s">
        <v>1573</v>
      </c>
      <c r="H398" s="1" t="s">
        <v>1574</v>
      </c>
      <c r="I398" s="1" t="s">
        <v>1575</v>
      </c>
      <c r="J398" s="1" t="s">
        <v>1576</v>
      </c>
      <c r="K398" s="1"/>
      <c r="L398" s="1"/>
      <c r="M398" s="1"/>
      <c r="N398" s="1" t="s">
        <v>87</v>
      </c>
      <c r="O398" s="1" t="s">
        <v>1798</v>
      </c>
      <c r="P398" s="1">
        <v>1615</v>
      </c>
      <c r="Q398" s="1">
        <v>1868</v>
      </c>
      <c r="U398" s="1" t="s">
        <v>88</v>
      </c>
      <c r="W398" s="1" t="s">
        <v>89</v>
      </c>
      <c r="X398" s="1" t="s">
        <v>1801</v>
      </c>
      <c r="Z398" s="1" t="s">
        <v>89</v>
      </c>
      <c r="AA398" s="1" t="s">
        <v>90</v>
      </c>
      <c r="AB398" s="1">
        <v>1760</v>
      </c>
      <c r="AC398" s="1">
        <v>1849</v>
      </c>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t="s">
        <v>1577</v>
      </c>
      <c r="BG398" s="1">
        <v>1834</v>
      </c>
      <c r="BH398" s="1">
        <v>1835</v>
      </c>
      <c r="BI398" s="1">
        <v>2</v>
      </c>
      <c r="BJ398" s="1"/>
      <c r="BK398" s="6" t="s">
        <v>1782</v>
      </c>
      <c r="BL398" s="1" t="s">
        <v>1746</v>
      </c>
      <c r="BM398" s="1"/>
      <c r="BN398" s="1" t="s">
        <v>1578</v>
      </c>
      <c r="BO398" s="1">
        <v>9</v>
      </c>
      <c r="BP398" s="12">
        <v>6.25</v>
      </c>
      <c r="BQ398" s="12"/>
      <c r="BR398" s="1">
        <v>22.9</v>
      </c>
      <c r="BS398" s="1">
        <v>15.9</v>
      </c>
      <c r="BT398" s="1"/>
      <c r="BU398" s="1"/>
      <c r="BV398" s="1" t="s">
        <v>500</v>
      </c>
      <c r="BW398" s="1" t="s">
        <v>386</v>
      </c>
      <c r="BX398" s="1"/>
      <c r="BY398" s="1">
        <v>1936</v>
      </c>
      <c r="BZ398" s="1" t="s">
        <v>373</v>
      </c>
      <c r="CA398" s="1" t="s">
        <v>501</v>
      </c>
      <c r="CB398" s="1"/>
      <c r="CN398" s="1" t="s">
        <v>490</v>
      </c>
      <c r="CP398" s="8" t="str">
        <f>HYPERLINK("http://www.metmuseum.org/art/collection/search/57793","http://www.metmuseum.org/art/collection/search/57793")</f>
        <v>http://www.metmuseum.org/art/collection/search/57793</v>
      </c>
      <c r="CQ398" s="4">
        <v>42842.333402777775</v>
      </c>
      <c r="CR398" s="1" t="s">
        <v>97</v>
      </c>
    </row>
    <row r="399" spans="1:96" ht="52.5" customHeight="1" x14ac:dyDescent="0.2">
      <c r="A399" s="1" t="s">
        <v>1579</v>
      </c>
      <c r="B399" s="1" t="b">
        <v>0</v>
      </c>
      <c r="C399" s="1" t="b">
        <v>1</v>
      </c>
      <c r="D399" s="1">
        <v>57794</v>
      </c>
      <c r="E399" s="1" t="s">
        <v>85</v>
      </c>
      <c r="F399" s="1" t="s">
        <v>482</v>
      </c>
      <c r="G399" s="1" t="s">
        <v>1580</v>
      </c>
      <c r="H399" s="1" t="s">
        <v>1574</v>
      </c>
      <c r="I399" s="1" t="s">
        <v>1575</v>
      </c>
      <c r="J399" s="1"/>
      <c r="K399" s="1"/>
      <c r="L399" s="1"/>
      <c r="M399" s="1"/>
      <c r="N399" s="1" t="s">
        <v>87</v>
      </c>
      <c r="O399" s="1" t="s">
        <v>1798</v>
      </c>
      <c r="P399" s="1">
        <v>1615</v>
      </c>
      <c r="Q399" s="1">
        <v>1868</v>
      </c>
      <c r="U399" s="1" t="s">
        <v>88</v>
      </c>
      <c r="W399" s="1" t="s">
        <v>89</v>
      </c>
      <c r="X399" s="1" t="s">
        <v>1801</v>
      </c>
      <c r="Z399" s="1" t="s">
        <v>89</v>
      </c>
      <c r="AA399" s="1" t="s">
        <v>90</v>
      </c>
      <c r="AB399" s="1">
        <v>1760</v>
      </c>
      <c r="AC399" s="1">
        <v>1849</v>
      </c>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t="s">
        <v>1577</v>
      </c>
      <c r="BG399" s="1">
        <v>1834</v>
      </c>
      <c r="BH399" s="1">
        <v>1835</v>
      </c>
      <c r="BI399" s="1">
        <v>1</v>
      </c>
      <c r="BJ399" s="1"/>
      <c r="BK399" s="6" t="s">
        <v>99</v>
      </c>
      <c r="BL399" s="1" t="s">
        <v>1746</v>
      </c>
      <c r="BM399" s="1"/>
      <c r="BN399" s="1" t="s">
        <v>1527</v>
      </c>
      <c r="BO399" s="1">
        <v>9</v>
      </c>
      <c r="BP399" s="12">
        <v>6.25</v>
      </c>
      <c r="BQ399" s="12">
        <v>0.375</v>
      </c>
      <c r="BR399" s="1">
        <v>22.9</v>
      </c>
      <c r="BS399" s="1">
        <v>15.9</v>
      </c>
      <c r="BT399" s="1">
        <v>1</v>
      </c>
      <c r="BU399" s="1"/>
      <c r="BV399" s="1" t="s">
        <v>500</v>
      </c>
      <c r="BW399" s="1" t="s">
        <v>386</v>
      </c>
      <c r="BX399" s="1"/>
      <c r="BY399" s="1">
        <v>1936</v>
      </c>
      <c r="BZ399" s="1" t="s">
        <v>373</v>
      </c>
      <c r="CA399" s="1" t="s">
        <v>501</v>
      </c>
      <c r="CB399" s="1"/>
      <c r="CN399" s="1" t="s">
        <v>490</v>
      </c>
      <c r="CP399" s="8" t="str">
        <f>HYPERLINK("http://www.metmuseum.org/art/collection/search/57794","http://www.metmuseum.org/art/collection/search/57794")</f>
        <v>http://www.metmuseum.org/art/collection/search/57794</v>
      </c>
      <c r="CQ399" s="4">
        <v>42842.333402777775</v>
      </c>
      <c r="CR399" s="1" t="s">
        <v>97</v>
      </c>
    </row>
    <row r="400" spans="1:96" ht="52.5" customHeight="1" x14ac:dyDescent="0.2">
      <c r="A400" s="1" t="s">
        <v>1581</v>
      </c>
      <c r="B400" s="1" t="b">
        <v>0</v>
      </c>
      <c r="C400" s="1" t="b">
        <v>1</v>
      </c>
      <c r="D400" s="1">
        <v>57796</v>
      </c>
      <c r="E400" s="1" t="s">
        <v>85</v>
      </c>
      <c r="F400" s="1" t="s">
        <v>482</v>
      </c>
      <c r="N400" s="1" t="s">
        <v>87</v>
      </c>
      <c r="O400" s="1" t="s">
        <v>1798</v>
      </c>
      <c r="P400" s="1">
        <v>1615</v>
      </c>
      <c r="Q400" s="1">
        <v>1868</v>
      </c>
      <c r="U400" s="1" t="s">
        <v>88</v>
      </c>
      <c r="W400" s="1" t="s">
        <v>89</v>
      </c>
      <c r="X400" s="1" t="s">
        <v>1801</v>
      </c>
      <c r="Z400" s="1" t="s">
        <v>89</v>
      </c>
      <c r="AA400" s="1" t="s">
        <v>90</v>
      </c>
      <c r="AB400" s="1">
        <v>1760</v>
      </c>
      <c r="AC400" s="1">
        <v>1849</v>
      </c>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v>1850</v>
      </c>
      <c r="BG400" s="1">
        <v>1850</v>
      </c>
      <c r="BH400" s="1">
        <v>1850</v>
      </c>
      <c r="BI400" s="1">
        <v>1</v>
      </c>
      <c r="BJ400" s="1"/>
      <c r="BK400" s="1"/>
      <c r="BL400" s="6" t="s">
        <v>1748</v>
      </c>
      <c r="BM400" s="1"/>
      <c r="BN400" s="1" t="s">
        <v>1582</v>
      </c>
      <c r="BO400" s="12">
        <v>8.875</v>
      </c>
      <c r="BP400" s="12">
        <v>6.25</v>
      </c>
      <c r="BQ400" s="12">
        <v>0.375</v>
      </c>
      <c r="BR400" s="1">
        <v>22.5</v>
      </c>
      <c r="BS400" s="1">
        <v>15.9</v>
      </c>
      <c r="BT400" s="1">
        <v>1</v>
      </c>
      <c r="BU400" s="1"/>
      <c r="BV400" s="1" t="s">
        <v>500</v>
      </c>
      <c r="BW400" s="1" t="s">
        <v>386</v>
      </c>
      <c r="BX400" s="1"/>
      <c r="BY400" s="1">
        <v>1936</v>
      </c>
      <c r="BZ400" s="1" t="s">
        <v>373</v>
      </c>
      <c r="CA400" s="1" t="s">
        <v>501</v>
      </c>
      <c r="CB400" s="1"/>
      <c r="CN400" s="1" t="s">
        <v>490</v>
      </c>
      <c r="CP400" s="8" t="str">
        <f>HYPERLINK("http://www.metmuseum.org/art/collection/search/57796","http://www.metmuseum.org/art/collection/search/57796")</f>
        <v>http://www.metmuseum.org/art/collection/search/57796</v>
      </c>
      <c r="CQ400" s="4">
        <v>42842.333402777775</v>
      </c>
      <c r="CR400" s="1" t="s">
        <v>97</v>
      </c>
    </row>
    <row r="401" spans="1:96" ht="52.5" customHeight="1" x14ac:dyDescent="0.2">
      <c r="A401" s="1" t="s">
        <v>1583</v>
      </c>
      <c r="B401" s="1" t="b">
        <v>0</v>
      </c>
      <c r="C401" s="1" t="b">
        <v>1</v>
      </c>
      <c r="D401" s="1">
        <v>57804</v>
      </c>
      <c r="E401" s="1" t="s">
        <v>85</v>
      </c>
      <c r="F401" s="1" t="s">
        <v>482</v>
      </c>
      <c r="N401" s="1" t="s">
        <v>87</v>
      </c>
      <c r="O401" s="1" t="s">
        <v>1798</v>
      </c>
      <c r="P401" s="1">
        <v>1615</v>
      </c>
      <c r="Q401" s="1">
        <v>1868</v>
      </c>
      <c r="U401" s="1" t="s">
        <v>88</v>
      </c>
      <c r="W401" s="1" t="s">
        <v>89</v>
      </c>
      <c r="X401" s="1" t="s">
        <v>1801</v>
      </c>
      <c r="Z401" s="1" t="s">
        <v>89</v>
      </c>
      <c r="AA401" s="1" t="s">
        <v>90</v>
      </c>
      <c r="AB401" s="1">
        <v>1760</v>
      </c>
      <c r="AC401" s="1">
        <v>1849</v>
      </c>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G401" s="1">
        <v>1615</v>
      </c>
      <c r="BH401" s="1">
        <v>1868</v>
      </c>
      <c r="BI401" s="1">
        <v>11</v>
      </c>
      <c r="BJ401" s="1"/>
      <c r="BK401" s="6" t="s">
        <v>1783</v>
      </c>
      <c r="BL401" s="1" t="s">
        <v>1746</v>
      </c>
      <c r="BM401" s="1"/>
      <c r="BN401" s="1" t="s">
        <v>1584</v>
      </c>
      <c r="BO401" s="11">
        <v>8.9375</v>
      </c>
      <c r="BP401" s="12">
        <v>6.25</v>
      </c>
      <c r="BQ401" s="12">
        <v>0.5</v>
      </c>
      <c r="BR401" s="1">
        <v>22.7</v>
      </c>
      <c r="BS401" s="1">
        <v>15.8</v>
      </c>
      <c r="BT401" s="1">
        <v>1.3</v>
      </c>
      <c r="BU401" s="1" t="s">
        <v>1585</v>
      </c>
      <c r="BV401" s="1" t="s">
        <v>500</v>
      </c>
      <c r="BW401" s="1" t="s">
        <v>386</v>
      </c>
      <c r="BX401" s="1"/>
      <c r="BY401" s="1">
        <v>1936</v>
      </c>
      <c r="BZ401" s="1" t="s">
        <v>373</v>
      </c>
      <c r="CA401" s="1" t="s">
        <v>501</v>
      </c>
      <c r="CB401" s="1"/>
      <c r="CN401" s="1" t="s">
        <v>490</v>
      </c>
      <c r="CP401" s="8" t="str">
        <f>HYPERLINK("http://www.metmuseum.org/art/collection/search/57804","http://www.metmuseum.org/art/collection/search/57804")</f>
        <v>http://www.metmuseum.org/art/collection/search/57804</v>
      </c>
      <c r="CQ401" s="4">
        <v>42842.333402777775</v>
      </c>
      <c r="CR401" s="1" t="s">
        <v>97</v>
      </c>
    </row>
    <row r="402" spans="1:96" ht="52.5" customHeight="1" x14ac:dyDescent="0.2">
      <c r="A402" s="1" t="s">
        <v>1586</v>
      </c>
      <c r="B402" s="1" t="b">
        <v>0</v>
      </c>
      <c r="C402" s="1" t="b">
        <v>1</v>
      </c>
      <c r="D402" s="1">
        <v>57805</v>
      </c>
      <c r="E402" s="1" t="s">
        <v>85</v>
      </c>
      <c r="F402" s="1" t="s">
        <v>482</v>
      </c>
      <c r="N402" s="1" t="s">
        <v>87</v>
      </c>
      <c r="O402" s="1" t="s">
        <v>1798</v>
      </c>
      <c r="P402" s="1">
        <v>1615</v>
      </c>
      <c r="Q402" s="1">
        <v>1868</v>
      </c>
      <c r="U402" s="1" t="s">
        <v>88</v>
      </c>
      <c r="W402" s="1" t="s">
        <v>89</v>
      </c>
      <c r="X402" s="1" t="s">
        <v>1801</v>
      </c>
      <c r="Z402" s="1" t="s">
        <v>89</v>
      </c>
      <c r="AA402" s="1" t="s">
        <v>90</v>
      </c>
      <c r="AB402" s="1">
        <v>1760</v>
      </c>
      <c r="AC402" s="1">
        <v>1849</v>
      </c>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v>1834</v>
      </c>
      <c r="BG402" s="1">
        <v>1834</v>
      </c>
      <c r="BH402" s="1">
        <v>1834</v>
      </c>
      <c r="BI402" s="1">
        <v>1</v>
      </c>
      <c r="BJ402" s="1"/>
      <c r="BK402" s="6" t="s">
        <v>1775</v>
      </c>
      <c r="BL402" s="1" t="s">
        <v>1746</v>
      </c>
      <c r="BM402" s="1"/>
      <c r="BN402" s="1" t="s">
        <v>507</v>
      </c>
      <c r="BO402" s="1">
        <v>9</v>
      </c>
      <c r="BP402" s="12">
        <v>6.25</v>
      </c>
      <c r="BQ402" s="12">
        <v>0.5</v>
      </c>
      <c r="BR402" s="1">
        <v>22.9</v>
      </c>
      <c r="BS402" s="1">
        <v>15.9</v>
      </c>
      <c r="BT402" s="1">
        <v>1.3</v>
      </c>
      <c r="BU402" s="1" t="s">
        <v>1587</v>
      </c>
      <c r="BV402" s="1" t="s">
        <v>500</v>
      </c>
      <c r="BW402" s="1" t="s">
        <v>386</v>
      </c>
      <c r="BX402" s="1"/>
      <c r="BY402" s="1">
        <v>1936</v>
      </c>
      <c r="BZ402" s="1" t="s">
        <v>373</v>
      </c>
      <c r="CA402" s="1" t="s">
        <v>501</v>
      </c>
      <c r="CB402" s="1"/>
      <c r="CN402" s="1" t="s">
        <v>490</v>
      </c>
      <c r="CP402" s="8" t="str">
        <f>HYPERLINK("http://www.metmuseum.org/art/collection/search/57805","http://www.metmuseum.org/art/collection/search/57805")</f>
        <v>http://www.metmuseum.org/art/collection/search/57805</v>
      </c>
      <c r="CQ402" s="4">
        <v>42842.333402777775</v>
      </c>
      <c r="CR402" s="1" t="s">
        <v>97</v>
      </c>
    </row>
    <row r="403" spans="1:96" ht="52.5" customHeight="1" x14ac:dyDescent="0.2">
      <c r="A403" s="1" t="s">
        <v>1588</v>
      </c>
      <c r="B403" s="1" t="b">
        <v>0</v>
      </c>
      <c r="C403" s="1" t="b">
        <v>1</v>
      </c>
      <c r="D403" s="1">
        <v>57812</v>
      </c>
      <c r="E403" s="1" t="s">
        <v>85</v>
      </c>
      <c r="F403" s="1" t="s">
        <v>482</v>
      </c>
      <c r="N403" s="1" t="s">
        <v>87</v>
      </c>
      <c r="O403" s="1" t="s">
        <v>1798</v>
      </c>
      <c r="P403" s="1">
        <v>1615</v>
      </c>
      <c r="Q403" s="1">
        <v>1868</v>
      </c>
      <c r="U403" s="1" t="s">
        <v>88</v>
      </c>
      <c r="W403" s="1" t="s">
        <v>89</v>
      </c>
      <c r="X403" s="1" t="s">
        <v>1801</v>
      </c>
      <c r="Z403" s="1" t="s">
        <v>89</v>
      </c>
      <c r="AA403" s="1" t="s">
        <v>90</v>
      </c>
      <c r="AB403" s="1">
        <v>1760</v>
      </c>
      <c r="AC403" s="1">
        <v>1849</v>
      </c>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v>1818</v>
      </c>
      <c r="BG403" s="1">
        <v>1818</v>
      </c>
      <c r="BH403" s="1">
        <v>1818</v>
      </c>
      <c r="BI403" s="1">
        <v>1</v>
      </c>
      <c r="BJ403" s="1"/>
      <c r="BK403" s="1"/>
      <c r="BL403" s="6" t="s">
        <v>1748</v>
      </c>
      <c r="BM403" s="1"/>
      <c r="BN403" s="1" t="s">
        <v>1589</v>
      </c>
      <c r="BO403" s="12">
        <v>10.5</v>
      </c>
      <c r="BP403" s="11">
        <v>7.0625</v>
      </c>
      <c r="BQ403" s="11">
        <v>0.375</v>
      </c>
      <c r="BR403" s="1">
        <v>26.7</v>
      </c>
      <c r="BS403" s="1">
        <v>17.899999999999999</v>
      </c>
      <c r="BT403" s="1">
        <v>1</v>
      </c>
      <c r="BU403" s="1"/>
      <c r="BV403" s="1" t="s">
        <v>500</v>
      </c>
      <c r="BW403" s="1" t="s">
        <v>386</v>
      </c>
      <c r="BX403" s="1"/>
      <c r="BY403" s="1">
        <v>1936</v>
      </c>
      <c r="BZ403" s="1" t="s">
        <v>373</v>
      </c>
      <c r="CA403" s="1" t="s">
        <v>501</v>
      </c>
      <c r="CB403" s="1"/>
      <c r="CN403" s="1" t="s">
        <v>490</v>
      </c>
      <c r="CP403" s="8" t="str">
        <f>HYPERLINK("http://www.metmuseum.org/art/collection/search/57812","http://www.metmuseum.org/art/collection/search/57812")</f>
        <v>http://www.metmuseum.org/art/collection/search/57812</v>
      </c>
      <c r="CQ403" s="4">
        <v>42842.333402777775</v>
      </c>
      <c r="CR403" s="1" t="s">
        <v>97</v>
      </c>
    </row>
    <row r="404" spans="1:96" ht="92.25" customHeight="1" x14ac:dyDescent="0.2">
      <c r="A404" s="1" t="s">
        <v>1590</v>
      </c>
      <c r="B404" s="1" t="b">
        <v>0</v>
      </c>
      <c r="C404" s="1" t="b">
        <v>0</v>
      </c>
      <c r="D404" s="1">
        <v>57818</v>
      </c>
      <c r="E404" s="1" t="s">
        <v>85</v>
      </c>
      <c r="F404" s="1" t="s">
        <v>482</v>
      </c>
      <c r="G404" s="1" t="s">
        <v>1591</v>
      </c>
      <c r="H404" s="1"/>
      <c r="I404" s="1" t="s">
        <v>1592</v>
      </c>
      <c r="J404" s="1" t="s">
        <v>1593</v>
      </c>
      <c r="K404" s="1"/>
      <c r="L404" s="1"/>
      <c r="M404" s="1"/>
      <c r="N404" s="1" t="s">
        <v>87</v>
      </c>
      <c r="O404" s="1" t="s">
        <v>1798</v>
      </c>
      <c r="P404" s="1">
        <v>1615</v>
      </c>
      <c r="Q404" s="1">
        <v>1868</v>
      </c>
      <c r="U404" s="1" t="s">
        <v>1594</v>
      </c>
      <c r="W404" s="1" t="s">
        <v>1595</v>
      </c>
      <c r="X404" s="1"/>
      <c r="Z404" s="1" t="s">
        <v>1596</v>
      </c>
      <c r="AA404" s="1" t="s">
        <v>90</v>
      </c>
      <c r="AB404" s="1"/>
      <c r="AC404" s="1" t="s">
        <v>1597</v>
      </c>
      <c r="AD404" s="1"/>
      <c r="AE404" s="1" t="s">
        <v>88</v>
      </c>
      <c r="AF404" s="1" t="s">
        <v>89</v>
      </c>
      <c r="AG404" s="1" t="s">
        <v>1801</v>
      </c>
      <c r="AH404" s="1" t="s">
        <v>90</v>
      </c>
      <c r="AI404" s="1">
        <v>1760</v>
      </c>
      <c r="AJ404" s="1">
        <v>1849</v>
      </c>
      <c r="AK404" s="1"/>
      <c r="AL404" s="1" t="s">
        <v>1598</v>
      </c>
      <c r="AM404" s="1" t="s">
        <v>1599</v>
      </c>
      <c r="AN404" s="1" t="s">
        <v>1600</v>
      </c>
      <c r="AO404" s="1" t="s">
        <v>90</v>
      </c>
      <c r="AP404" s="1">
        <v>1778</v>
      </c>
      <c r="AQ404" s="1">
        <v>1843</v>
      </c>
      <c r="AR404" s="1"/>
      <c r="AS404" s="1" t="s">
        <v>88</v>
      </c>
      <c r="AT404" s="1" t="s">
        <v>1601</v>
      </c>
      <c r="AU404" s="1" t="s">
        <v>1602</v>
      </c>
      <c r="AV404" s="1" t="s">
        <v>90</v>
      </c>
      <c r="AW404" s="1">
        <v>1739</v>
      </c>
      <c r="AX404" s="1">
        <v>1820</v>
      </c>
      <c r="AY404" s="1"/>
      <c r="AZ404" s="1"/>
      <c r="BA404" s="1"/>
      <c r="BB404" s="1"/>
      <c r="BC404" s="1"/>
      <c r="BD404" s="1"/>
      <c r="BE404" s="1"/>
      <c r="BF404" s="1">
        <v>1798</v>
      </c>
      <c r="BG404" s="1">
        <v>1798</v>
      </c>
      <c r="BH404" s="1">
        <v>1798</v>
      </c>
      <c r="BI404" s="1">
        <v>1</v>
      </c>
      <c r="BJ404" s="1"/>
      <c r="BK404" s="6" t="s">
        <v>1784</v>
      </c>
      <c r="BL404" s="1" t="s">
        <v>1746</v>
      </c>
      <c r="BM404" s="1"/>
      <c r="BN404" s="1" t="s">
        <v>1603</v>
      </c>
      <c r="BO404" s="12">
        <v>8.75</v>
      </c>
      <c r="BP404" s="12">
        <v>6.25</v>
      </c>
      <c r="BQ404" s="12">
        <v>0.375</v>
      </c>
      <c r="BR404" s="1">
        <v>22.2</v>
      </c>
      <c r="BS404" s="1">
        <v>15.9</v>
      </c>
      <c r="BT404" s="1">
        <v>1</v>
      </c>
      <c r="BU404" s="1"/>
      <c r="BV404" s="1" t="s">
        <v>500</v>
      </c>
      <c r="BW404" s="1" t="s">
        <v>386</v>
      </c>
      <c r="BX404" s="1"/>
      <c r="BY404" s="1">
        <v>1936</v>
      </c>
      <c r="BZ404" s="1" t="s">
        <v>373</v>
      </c>
      <c r="CA404" s="1" t="s">
        <v>501</v>
      </c>
      <c r="CB404" s="1"/>
      <c r="CN404" s="1" t="s">
        <v>490</v>
      </c>
      <c r="CP404" s="8" t="str">
        <f>HYPERLINK("http://www.metmuseum.org/art/collection/search/57818","http://www.metmuseum.org/art/collection/search/57818")</f>
        <v>http://www.metmuseum.org/art/collection/search/57818</v>
      </c>
      <c r="CQ404" s="4">
        <v>42842.333402777775</v>
      </c>
      <c r="CR404" s="1" t="s">
        <v>97</v>
      </c>
    </row>
    <row r="405" spans="1:96" ht="52.5" customHeight="1" x14ac:dyDescent="0.2">
      <c r="A405" s="1" t="s">
        <v>1604</v>
      </c>
      <c r="B405" s="1" t="b">
        <v>0</v>
      </c>
      <c r="C405" s="1" t="b">
        <v>0</v>
      </c>
      <c r="D405" s="1">
        <v>57833</v>
      </c>
      <c r="E405" s="1" t="s">
        <v>85</v>
      </c>
      <c r="F405" s="1" t="s">
        <v>482</v>
      </c>
      <c r="N405" s="1" t="s">
        <v>87</v>
      </c>
      <c r="O405" s="1" t="s">
        <v>1798</v>
      </c>
      <c r="P405" s="1">
        <v>1615</v>
      </c>
      <c r="Q405" s="1">
        <v>1868</v>
      </c>
      <c r="U405" s="1" t="s">
        <v>88</v>
      </c>
      <c r="W405" s="1" t="s">
        <v>89</v>
      </c>
      <c r="X405" s="1" t="s">
        <v>1801</v>
      </c>
      <c r="Z405" s="1" t="s">
        <v>89</v>
      </c>
      <c r="AA405" s="1" t="s">
        <v>90</v>
      </c>
      <c r="AB405" s="1">
        <v>1760</v>
      </c>
      <c r="AC405" s="1">
        <v>1849</v>
      </c>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t="s">
        <v>1605</v>
      </c>
      <c r="BG405" s="1">
        <v>1834</v>
      </c>
      <c r="BH405" s="1">
        <v>1834</v>
      </c>
      <c r="BI405" s="1">
        <v>8</v>
      </c>
      <c r="BJ405" s="1"/>
      <c r="BK405" s="6" t="s">
        <v>1785</v>
      </c>
      <c r="BL405" s="1" t="s">
        <v>1746</v>
      </c>
      <c r="BM405" s="1"/>
      <c r="BN405" s="1" t="s">
        <v>1578</v>
      </c>
      <c r="BO405" s="1">
        <v>9</v>
      </c>
      <c r="BP405" s="12">
        <v>6.25</v>
      </c>
      <c r="BQ405" s="12"/>
      <c r="BR405" s="1">
        <v>22.9</v>
      </c>
      <c r="BS405" s="1">
        <v>15.9</v>
      </c>
      <c r="BT405" s="1"/>
      <c r="BU405" s="1"/>
      <c r="BV405" s="1" t="s">
        <v>1606</v>
      </c>
      <c r="BW405" s="1" t="s">
        <v>346</v>
      </c>
      <c r="BX405" s="1"/>
      <c r="BY405" s="1">
        <v>1941</v>
      </c>
      <c r="BZ405" s="1"/>
      <c r="CA405" s="1" t="s">
        <v>1607</v>
      </c>
      <c r="CB405" s="1"/>
      <c r="CN405" s="1" t="s">
        <v>490</v>
      </c>
      <c r="CP405" s="8" t="str">
        <f>HYPERLINK("http://www.metmuseum.org/art/collection/search/57833","http://www.metmuseum.org/art/collection/search/57833")</f>
        <v>http://www.metmuseum.org/art/collection/search/57833</v>
      </c>
      <c r="CQ405" s="4">
        <v>42842.333402777775</v>
      </c>
      <c r="CR405" s="1" t="s">
        <v>97</v>
      </c>
    </row>
    <row r="406" spans="1:96" ht="52.5" customHeight="1" x14ac:dyDescent="0.2">
      <c r="A406" s="1" t="s">
        <v>1608</v>
      </c>
      <c r="B406" s="1" t="b">
        <v>0</v>
      </c>
      <c r="C406" s="1" t="b">
        <v>0</v>
      </c>
      <c r="D406" s="1">
        <v>57849</v>
      </c>
      <c r="E406" s="1" t="s">
        <v>85</v>
      </c>
      <c r="F406" s="1" t="s">
        <v>482</v>
      </c>
      <c r="N406" s="1" t="s">
        <v>87</v>
      </c>
      <c r="O406" s="1" t="s">
        <v>1798</v>
      </c>
      <c r="P406" s="1">
        <v>1615</v>
      </c>
      <c r="Q406" s="1">
        <v>1868</v>
      </c>
      <c r="U406" s="1" t="s">
        <v>88</v>
      </c>
      <c r="W406" s="1" t="s">
        <v>89</v>
      </c>
      <c r="X406" s="1" t="s">
        <v>1801</v>
      </c>
      <c r="Z406" s="1" t="s">
        <v>89</v>
      </c>
      <c r="AA406" s="1" t="s">
        <v>90</v>
      </c>
      <c r="AB406" s="1">
        <v>1760</v>
      </c>
      <c r="AC406" s="1">
        <v>1849</v>
      </c>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t="s">
        <v>1577</v>
      </c>
      <c r="BG406" s="1">
        <v>1834</v>
      </c>
      <c r="BH406" s="1">
        <v>1835</v>
      </c>
      <c r="BI406" s="1">
        <v>1</v>
      </c>
      <c r="BJ406" s="1"/>
      <c r="BK406" s="1" t="s">
        <v>1393</v>
      </c>
      <c r="BL406" s="6" t="s">
        <v>1748</v>
      </c>
      <c r="BM406" s="1"/>
      <c r="BN406" s="1" t="s">
        <v>1609</v>
      </c>
      <c r="BO406" s="12">
        <v>9.25</v>
      </c>
      <c r="BP406" s="12">
        <v>6.25</v>
      </c>
      <c r="BQ406" s="12"/>
      <c r="BR406" s="1">
        <v>23.5</v>
      </c>
      <c r="BS406" s="1">
        <v>15.9</v>
      </c>
      <c r="BT406" s="1"/>
      <c r="BU406" s="1"/>
      <c r="BV406" s="1" t="s">
        <v>1606</v>
      </c>
      <c r="BW406" s="1" t="s">
        <v>346</v>
      </c>
      <c r="BX406" s="1"/>
      <c r="BY406" s="1">
        <v>1941</v>
      </c>
      <c r="BZ406" s="1"/>
      <c r="CA406" s="1" t="s">
        <v>1607</v>
      </c>
      <c r="CB406" s="1"/>
      <c r="CN406" s="1" t="s">
        <v>490</v>
      </c>
      <c r="CP406" s="8" t="str">
        <f>HYPERLINK("http://www.metmuseum.org/art/collection/search/57849","http://www.metmuseum.org/art/collection/search/57849")</f>
        <v>http://www.metmuseum.org/art/collection/search/57849</v>
      </c>
      <c r="CQ406" s="4">
        <v>42842.333402777775</v>
      </c>
      <c r="CR406" s="1" t="s">
        <v>97</v>
      </c>
    </row>
    <row r="407" spans="1:96" ht="52.5" customHeight="1" x14ac:dyDescent="0.2">
      <c r="A407" s="1" t="s">
        <v>1610</v>
      </c>
      <c r="B407" s="1" t="b">
        <v>0</v>
      </c>
      <c r="C407" s="1" t="b">
        <v>0</v>
      </c>
      <c r="D407" s="1">
        <v>57910</v>
      </c>
      <c r="E407" s="1" t="s">
        <v>85</v>
      </c>
      <c r="F407" s="1" t="s">
        <v>1611</v>
      </c>
      <c r="N407" s="1" t="s">
        <v>87</v>
      </c>
      <c r="U407" s="1" t="s">
        <v>88</v>
      </c>
      <c r="W407" s="1" t="s">
        <v>89</v>
      </c>
      <c r="X407" s="1" t="s">
        <v>1801</v>
      </c>
      <c r="Z407" s="1" t="s">
        <v>89</v>
      </c>
      <c r="AA407" s="1" t="s">
        <v>90</v>
      </c>
      <c r="AB407" s="1">
        <v>1760</v>
      </c>
      <c r="AC407" s="1">
        <v>1849</v>
      </c>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G407" s="1">
        <v>1760</v>
      </c>
      <c r="BH407" s="1">
        <v>1849</v>
      </c>
      <c r="BI407" s="1">
        <v>1</v>
      </c>
      <c r="BJ407" s="1"/>
      <c r="BK407" s="1" t="s">
        <v>1393</v>
      </c>
      <c r="BL407" s="6" t="s">
        <v>1748</v>
      </c>
      <c r="BM407" s="1"/>
      <c r="BN407" s="1" t="s">
        <v>1612</v>
      </c>
      <c r="BO407" s="12">
        <v>9.375</v>
      </c>
      <c r="BP407" s="11">
        <v>6.3125</v>
      </c>
      <c r="BQ407" s="11">
        <v>0.5</v>
      </c>
      <c r="BR407" s="1">
        <v>23.8</v>
      </c>
      <c r="BS407" s="1">
        <v>16</v>
      </c>
      <c r="BT407" s="1">
        <v>1.3</v>
      </c>
      <c r="BU407" s="1"/>
      <c r="BV407" s="1" t="s">
        <v>1613</v>
      </c>
      <c r="BW407" s="1" t="s">
        <v>386</v>
      </c>
      <c r="BX407" s="1"/>
      <c r="BY407" s="1">
        <v>1971</v>
      </c>
      <c r="BZ407" s="1"/>
      <c r="CA407" s="1" t="s">
        <v>1614</v>
      </c>
      <c r="CB407" s="1" t="s">
        <v>1615</v>
      </c>
      <c r="CN407" s="1" t="s">
        <v>490</v>
      </c>
      <c r="CP407" s="8" t="str">
        <f>HYPERLINK("http://www.metmuseum.org/art/collection/search/57910","http://www.metmuseum.org/art/collection/search/57910")</f>
        <v>http://www.metmuseum.org/art/collection/search/57910</v>
      </c>
      <c r="CQ407" s="4">
        <v>42842.333402777775</v>
      </c>
      <c r="CR407" s="1" t="s">
        <v>97</v>
      </c>
    </row>
    <row r="408" spans="1:96" ht="52.5" customHeight="1" x14ac:dyDescent="0.2">
      <c r="A408" s="1" t="s">
        <v>1616</v>
      </c>
      <c r="B408" s="1" t="b">
        <v>0</v>
      </c>
      <c r="C408" s="1" t="b">
        <v>0</v>
      </c>
      <c r="D408" s="1">
        <v>57911</v>
      </c>
      <c r="E408" s="1" t="s">
        <v>85</v>
      </c>
      <c r="F408" s="1" t="s">
        <v>482</v>
      </c>
      <c r="N408" s="1" t="s">
        <v>87</v>
      </c>
      <c r="U408" s="1" t="s">
        <v>88</v>
      </c>
      <c r="W408" s="1" t="s">
        <v>89</v>
      </c>
      <c r="X408" s="1" t="s">
        <v>1801</v>
      </c>
      <c r="Z408" s="1" t="s">
        <v>89</v>
      </c>
      <c r="AA408" s="1" t="s">
        <v>90</v>
      </c>
      <c r="AB408" s="1">
        <v>1760</v>
      </c>
      <c r="AC408" s="1">
        <v>1849</v>
      </c>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t="s">
        <v>1617</v>
      </c>
      <c r="BG408" s="1">
        <v>1912</v>
      </c>
      <c r="BH408" s="1">
        <v>1912</v>
      </c>
      <c r="BI408" s="1">
        <v>12</v>
      </c>
      <c r="BJ408" s="1"/>
      <c r="BK408" s="6" t="s">
        <v>1786</v>
      </c>
      <c r="BL408" s="6" t="s">
        <v>1746</v>
      </c>
      <c r="BM408" s="1"/>
      <c r="BN408" s="1" t="s">
        <v>1618</v>
      </c>
      <c r="BO408" s="12">
        <v>9.375</v>
      </c>
      <c r="BP408" s="11">
        <v>6.3125</v>
      </c>
      <c r="BQ408" s="11">
        <v>0.5</v>
      </c>
      <c r="BR408" s="1">
        <v>23.8</v>
      </c>
      <c r="BS408" s="1">
        <v>16</v>
      </c>
      <c r="BT408" s="1">
        <v>1.3</v>
      </c>
      <c r="BU408" s="1"/>
      <c r="BV408" s="1" t="s">
        <v>1613</v>
      </c>
      <c r="BW408" s="1" t="s">
        <v>386</v>
      </c>
      <c r="BX408" s="1"/>
      <c r="BY408" s="1">
        <v>1971</v>
      </c>
      <c r="BZ408" s="1"/>
      <c r="CA408" s="1" t="s">
        <v>1614</v>
      </c>
      <c r="CB408" s="1" t="s">
        <v>1615</v>
      </c>
      <c r="CN408" s="1" t="s">
        <v>490</v>
      </c>
      <c r="CP408" s="8" t="str">
        <f>HYPERLINK("http://www.metmuseum.org/art/collection/search/57911","http://www.metmuseum.org/art/collection/search/57911")</f>
        <v>http://www.metmuseum.org/art/collection/search/57911</v>
      </c>
      <c r="CQ408" s="4">
        <v>42842.333402777775</v>
      </c>
      <c r="CR408" s="1" t="s">
        <v>97</v>
      </c>
    </row>
    <row r="409" spans="1:96" ht="87.75" customHeight="1" x14ac:dyDescent="0.2">
      <c r="A409" s="1" t="s">
        <v>1619</v>
      </c>
      <c r="B409" s="1" t="b">
        <v>0</v>
      </c>
      <c r="C409" s="1" t="b">
        <v>0</v>
      </c>
      <c r="D409" s="1">
        <v>78563</v>
      </c>
      <c r="E409" s="1" t="s">
        <v>85</v>
      </c>
      <c r="F409" s="1" t="s">
        <v>391</v>
      </c>
      <c r="G409" s="1" t="s">
        <v>1620</v>
      </c>
      <c r="H409" s="1" t="s">
        <v>1621</v>
      </c>
      <c r="I409" s="1"/>
      <c r="J409" s="1" t="s">
        <v>1622</v>
      </c>
      <c r="K409" s="1"/>
      <c r="L409" s="1"/>
      <c r="M409" s="1"/>
      <c r="N409" s="1" t="s">
        <v>87</v>
      </c>
      <c r="O409" s="1" t="s">
        <v>1798</v>
      </c>
      <c r="P409" s="1">
        <v>1615</v>
      </c>
      <c r="Q409" s="1">
        <v>1868</v>
      </c>
      <c r="U409" s="1" t="s">
        <v>88</v>
      </c>
      <c r="W409" s="1" t="s">
        <v>89</v>
      </c>
      <c r="X409" s="1" t="s">
        <v>1801</v>
      </c>
      <c r="Z409" s="1" t="s">
        <v>89</v>
      </c>
      <c r="AA409" s="1" t="s">
        <v>90</v>
      </c>
      <c r="AB409" s="1">
        <v>1760</v>
      </c>
      <c r="AC409" s="1">
        <v>1849</v>
      </c>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t="s">
        <v>1623</v>
      </c>
      <c r="BG409" s="1">
        <v>1847</v>
      </c>
      <c r="BH409" s="1">
        <v>1849</v>
      </c>
      <c r="BI409" s="1">
        <v>1</v>
      </c>
      <c r="BJ409" s="1"/>
      <c r="BK409" s="6" t="s">
        <v>391</v>
      </c>
      <c r="BL409" s="6" t="s">
        <v>1747</v>
      </c>
      <c r="BM409" s="1"/>
      <c r="BN409" s="1" t="s">
        <v>1624</v>
      </c>
      <c r="BO409" s="11">
        <v>75.5625</v>
      </c>
      <c r="BP409" s="11">
        <v>21.9375</v>
      </c>
      <c r="BQ409" s="11"/>
      <c r="BR409" s="1">
        <v>192</v>
      </c>
      <c r="BS409" s="1">
        <v>55.8</v>
      </c>
      <c r="BT409" s="1"/>
      <c r="BU409" s="1" t="s">
        <v>1625</v>
      </c>
      <c r="BV409" s="1" t="s">
        <v>1626</v>
      </c>
      <c r="BW409" s="1" t="s">
        <v>1627</v>
      </c>
      <c r="BX409" s="1"/>
      <c r="BY409" s="1"/>
      <c r="BZ409" s="1" t="s">
        <v>1628</v>
      </c>
      <c r="CA409" s="1"/>
      <c r="CB409" s="1"/>
      <c r="CN409" s="1" t="s">
        <v>390</v>
      </c>
      <c r="CP409" s="8" t="str">
        <f>HYPERLINK("http://www.metmuseum.org/art/collection/search/78563","http://www.metmuseum.org/art/collection/search/78563")</f>
        <v>http://www.metmuseum.org/art/collection/search/78563</v>
      </c>
      <c r="CQ409" s="4">
        <v>42842.333402777775</v>
      </c>
      <c r="CR409" s="1" t="s">
        <v>97</v>
      </c>
    </row>
    <row r="410" spans="1:96" ht="52.5" customHeight="1" x14ac:dyDescent="0.2">
      <c r="A410" s="1" t="s">
        <v>1629</v>
      </c>
      <c r="B410" s="1" t="b">
        <v>0</v>
      </c>
      <c r="C410" s="1" t="b">
        <v>1</v>
      </c>
      <c r="D410" s="1">
        <v>78631</v>
      </c>
      <c r="E410" s="1" t="s">
        <v>85</v>
      </c>
      <c r="F410" s="1" t="s">
        <v>1518</v>
      </c>
      <c r="N410" s="1" t="s">
        <v>87</v>
      </c>
      <c r="O410" s="1" t="s">
        <v>1798</v>
      </c>
      <c r="P410" s="1">
        <v>1615</v>
      </c>
      <c r="Q410" s="1">
        <v>1868</v>
      </c>
      <c r="U410" s="1" t="s">
        <v>88</v>
      </c>
      <c r="W410" s="1" t="s">
        <v>89</v>
      </c>
      <c r="X410" s="1" t="s">
        <v>1801</v>
      </c>
      <c r="Z410" s="1" t="s">
        <v>89</v>
      </c>
      <c r="AA410" s="1" t="s">
        <v>90</v>
      </c>
      <c r="AB410" s="1">
        <v>1760</v>
      </c>
      <c r="AC410" s="1">
        <v>1849</v>
      </c>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t="s">
        <v>741</v>
      </c>
      <c r="BG410" s="1">
        <v>1797</v>
      </c>
      <c r="BH410" s="1">
        <v>1807</v>
      </c>
      <c r="BI410" s="1">
        <v>2</v>
      </c>
      <c r="BJ410" s="1"/>
      <c r="BK410" s="6" t="s">
        <v>1787</v>
      </c>
      <c r="BL410" s="6" t="s">
        <v>1746</v>
      </c>
      <c r="BM410" s="1"/>
      <c r="BN410" s="1" t="s">
        <v>1630</v>
      </c>
      <c r="BO410" s="12">
        <v>10.5</v>
      </c>
      <c r="BP410" s="12">
        <v>6.875</v>
      </c>
      <c r="BQ410" s="12"/>
      <c r="BR410" s="1">
        <v>26.6</v>
      </c>
      <c r="BS410" s="1">
        <v>17.5</v>
      </c>
      <c r="BT410" s="1"/>
      <c r="BU410" s="1" t="s">
        <v>487</v>
      </c>
      <c r="BV410" s="1" t="s">
        <v>1631</v>
      </c>
      <c r="BW410" s="1" t="s">
        <v>94</v>
      </c>
      <c r="BX410" s="1" t="s">
        <v>1632</v>
      </c>
      <c r="BY410" s="1">
        <v>2013</v>
      </c>
      <c r="BZ410" s="1"/>
      <c r="CA410" s="1"/>
      <c r="CB410" s="1"/>
      <c r="CN410" s="1" t="s">
        <v>490</v>
      </c>
      <c r="CP410" s="8" t="str">
        <f>HYPERLINK("http://www.metmuseum.org/art/collection/search/78631","http://www.metmuseum.org/art/collection/search/78631")</f>
        <v>http://www.metmuseum.org/art/collection/search/78631</v>
      </c>
      <c r="CQ410" s="4">
        <v>42842.333402777775</v>
      </c>
      <c r="CR410" s="1" t="s">
        <v>97</v>
      </c>
    </row>
    <row r="411" spans="1:96" ht="52.5" customHeight="1" x14ac:dyDescent="0.2">
      <c r="A411" s="1">
        <v>2013.711</v>
      </c>
      <c r="B411" s="1" t="b">
        <v>0</v>
      </c>
      <c r="C411" s="1" t="b">
        <v>1</v>
      </c>
      <c r="D411" s="1">
        <v>78632</v>
      </c>
      <c r="E411" s="1" t="s">
        <v>85</v>
      </c>
      <c r="F411" s="1" t="s">
        <v>482</v>
      </c>
      <c r="N411" s="1" t="s">
        <v>87</v>
      </c>
      <c r="O411" s="1" t="s">
        <v>1798</v>
      </c>
      <c r="P411" s="1">
        <v>1615</v>
      </c>
      <c r="Q411" s="1">
        <v>1868</v>
      </c>
      <c r="U411" s="1" t="s">
        <v>88</v>
      </c>
      <c r="W411" s="1" t="s">
        <v>89</v>
      </c>
      <c r="X411" s="1" t="s">
        <v>1801</v>
      </c>
      <c r="Z411" s="1" t="s">
        <v>89</v>
      </c>
      <c r="AA411" s="1" t="s">
        <v>90</v>
      </c>
      <c r="AB411" s="1">
        <v>1760</v>
      </c>
      <c r="AC411" s="1">
        <v>1849</v>
      </c>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v>1799</v>
      </c>
      <c r="BG411" s="1">
        <v>1799</v>
      </c>
      <c r="BH411" s="1">
        <v>1799</v>
      </c>
      <c r="BI411" s="1">
        <v>1</v>
      </c>
      <c r="BJ411" s="1"/>
      <c r="BK411" s="6" t="s">
        <v>1775</v>
      </c>
      <c r="BL411" s="6" t="s">
        <v>1748</v>
      </c>
      <c r="BM411" s="1"/>
      <c r="BN411" s="1" t="s">
        <v>1633</v>
      </c>
      <c r="BO411" s="11">
        <v>10.4375</v>
      </c>
      <c r="BP411" s="11">
        <v>7.0625</v>
      </c>
      <c r="BQ411" s="11"/>
      <c r="BR411" s="1">
        <v>26.5</v>
      </c>
      <c r="BS411" s="1">
        <v>18</v>
      </c>
      <c r="BT411" s="1"/>
      <c r="BU411" s="1"/>
      <c r="BV411" s="1" t="s">
        <v>1631</v>
      </c>
      <c r="BW411" s="1" t="s">
        <v>94</v>
      </c>
      <c r="BX411" s="1" t="s">
        <v>1632</v>
      </c>
      <c r="BY411" s="1">
        <v>2013</v>
      </c>
      <c r="BZ411" s="1"/>
      <c r="CA411" s="1"/>
      <c r="CB411" s="1"/>
      <c r="CN411" s="1" t="s">
        <v>490</v>
      </c>
      <c r="CP411" s="8" t="str">
        <f>HYPERLINK("http://www.metmuseum.org/art/collection/search/78632","http://www.metmuseum.org/art/collection/search/78632")</f>
        <v>http://www.metmuseum.org/art/collection/search/78632</v>
      </c>
      <c r="CQ411" s="4">
        <v>42842.333402777775</v>
      </c>
      <c r="CR411" s="1" t="s">
        <v>97</v>
      </c>
    </row>
    <row r="412" spans="1:96" ht="66" customHeight="1" x14ac:dyDescent="0.2">
      <c r="A412" s="1" t="s">
        <v>1634</v>
      </c>
      <c r="B412" s="1" t="b">
        <v>0</v>
      </c>
      <c r="C412" s="1" t="b">
        <v>1</v>
      </c>
      <c r="D412" s="1">
        <v>78633</v>
      </c>
      <c r="E412" s="1" t="s">
        <v>85</v>
      </c>
      <c r="F412" s="1" t="s">
        <v>1518</v>
      </c>
      <c r="G412" s="1" t="s">
        <v>1635</v>
      </c>
      <c r="H412" s="1" t="s">
        <v>1636</v>
      </c>
      <c r="I412" s="1" t="s">
        <v>1637</v>
      </c>
      <c r="J412" s="1" t="s">
        <v>1638</v>
      </c>
      <c r="K412" s="1"/>
      <c r="L412" s="1"/>
      <c r="M412" s="1"/>
      <c r="N412" s="1" t="s">
        <v>87</v>
      </c>
      <c r="O412" s="1" t="s">
        <v>1798</v>
      </c>
      <c r="P412" s="1">
        <v>1615</v>
      </c>
      <c r="Q412" s="1">
        <v>1868</v>
      </c>
      <c r="U412" s="1" t="s">
        <v>88</v>
      </c>
      <c r="W412" s="1" t="s">
        <v>89</v>
      </c>
      <c r="X412" s="1" t="s">
        <v>1801</v>
      </c>
      <c r="Z412" s="1" t="s">
        <v>89</v>
      </c>
      <c r="AA412" s="1" t="s">
        <v>90</v>
      </c>
      <c r="AB412" s="1">
        <v>1760</v>
      </c>
      <c r="AC412" s="1">
        <v>1849</v>
      </c>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v>1800</v>
      </c>
      <c r="BG412" s="1">
        <v>1800</v>
      </c>
      <c r="BH412" s="1">
        <v>1800</v>
      </c>
      <c r="BI412" s="1">
        <v>2</v>
      </c>
      <c r="BJ412" s="1"/>
      <c r="BK412" s="6" t="s">
        <v>1787</v>
      </c>
      <c r="BL412" s="1" t="s">
        <v>1746</v>
      </c>
      <c r="BM412" s="1"/>
      <c r="BN412" s="1" t="s">
        <v>1639</v>
      </c>
      <c r="BO412" s="11">
        <v>10.1875</v>
      </c>
      <c r="BP412" s="12">
        <v>6.875</v>
      </c>
      <c r="BQ412" s="12"/>
      <c r="BR412" s="1">
        <v>25.8</v>
      </c>
      <c r="BS412" s="1">
        <v>17.5</v>
      </c>
      <c r="BT412" s="1"/>
      <c r="BU412" s="1" t="s">
        <v>487</v>
      </c>
      <c r="BV412" s="1" t="s">
        <v>1640</v>
      </c>
      <c r="BW412" s="1" t="s">
        <v>94</v>
      </c>
      <c r="BX412" s="1" t="s">
        <v>1632</v>
      </c>
      <c r="BY412" s="1">
        <v>2013</v>
      </c>
      <c r="BZ412" s="1"/>
      <c r="CA412" s="1"/>
      <c r="CB412" s="1" t="s">
        <v>1641</v>
      </c>
      <c r="CN412" s="1" t="s">
        <v>490</v>
      </c>
      <c r="CP412" s="8" t="str">
        <f>HYPERLINK("http://www.metmuseum.org/art/collection/search/78633","http://www.metmuseum.org/art/collection/search/78633")</f>
        <v>http://www.metmuseum.org/art/collection/search/78633</v>
      </c>
      <c r="CQ412" s="4">
        <v>42842.333402777775</v>
      </c>
      <c r="CR412" s="1" t="s">
        <v>97</v>
      </c>
    </row>
    <row r="413" spans="1:96" ht="52.5" customHeight="1" x14ac:dyDescent="0.2">
      <c r="A413" s="1">
        <v>2013.713</v>
      </c>
      <c r="B413" s="1" t="b">
        <v>0</v>
      </c>
      <c r="C413" s="1" t="b">
        <v>1</v>
      </c>
      <c r="D413" s="1">
        <v>78634</v>
      </c>
      <c r="E413" s="1" t="s">
        <v>85</v>
      </c>
      <c r="F413" s="1" t="s">
        <v>482</v>
      </c>
      <c r="N413" s="1" t="s">
        <v>87</v>
      </c>
      <c r="O413" s="1" t="s">
        <v>1798</v>
      </c>
      <c r="P413" s="1">
        <v>1615</v>
      </c>
      <c r="Q413" s="1">
        <v>1868</v>
      </c>
      <c r="U413" s="1" t="s">
        <v>88</v>
      </c>
      <c r="W413" s="1" t="s">
        <v>89</v>
      </c>
      <c r="X413" s="1" t="s">
        <v>1801</v>
      </c>
      <c r="Z413" s="1" t="s">
        <v>89</v>
      </c>
      <c r="AA413" s="1" t="s">
        <v>90</v>
      </c>
      <c r="AB413" s="1">
        <v>1760</v>
      </c>
      <c r="AC413" s="1">
        <v>1849</v>
      </c>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v>1802</v>
      </c>
      <c r="BG413" s="1">
        <v>1802</v>
      </c>
      <c r="BH413" s="1">
        <v>1802</v>
      </c>
      <c r="BI413" s="1">
        <v>1</v>
      </c>
      <c r="BJ413" s="1"/>
      <c r="BK413" s="1" t="s">
        <v>1499</v>
      </c>
      <c r="BL413" s="1" t="s">
        <v>1746</v>
      </c>
      <c r="BM413" s="1"/>
      <c r="BN413" s="1" t="s">
        <v>1642</v>
      </c>
      <c r="BO413" s="12">
        <v>7.625</v>
      </c>
      <c r="BP413" s="12">
        <v>5.25</v>
      </c>
      <c r="BQ413" s="12"/>
      <c r="BR413" s="1">
        <v>19.3</v>
      </c>
      <c r="BS413" s="1">
        <v>13.4</v>
      </c>
      <c r="BT413" s="1"/>
      <c r="BU413" s="1"/>
      <c r="BV413" s="1" t="s">
        <v>1631</v>
      </c>
      <c r="BW413" s="1" t="s">
        <v>94</v>
      </c>
      <c r="BX413" s="1" t="s">
        <v>1632</v>
      </c>
      <c r="BY413" s="1">
        <v>2013</v>
      </c>
      <c r="BZ413" s="1"/>
      <c r="CA413" s="1"/>
      <c r="CB413" s="1"/>
      <c r="CN413" s="1" t="s">
        <v>490</v>
      </c>
      <c r="CP413" s="8" t="str">
        <f>HYPERLINK("http://www.metmuseum.org/art/collection/search/78634","http://www.metmuseum.org/art/collection/search/78634")</f>
        <v>http://www.metmuseum.org/art/collection/search/78634</v>
      </c>
      <c r="CQ413" s="4">
        <v>42842.333402777775</v>
      </c>
      <c r="CR413" s="1" t="s">
        <v>97</v>
      </c>
    </row>
    <row r="414" spans="1:96" ht="66" customHeight="1" x14ac:dyDescent="0.2">
      <c r="A414" s="1">
        <v>2013.7139999999999</v>
      </c>
      <c r="B414" s="1" t="b">
        <v>0</v>
      </c>
      <c r="C414" s="1" t="b">
        <v>1</v>
      </c>
      <c r="D414" s="1">
        <v>78635</v>
      </c>
      <c r="E414" s="1" t="s">
        <v>85</v>
      </c>
      <c r="F414" s="1" t="s">
        <v>482</v>
      </c>
      <c r="G414" s="1" t="s">
        <v>1643</v>
      </c>
      <c r="H414" s="1" t="s">
        <v>1644</v>
      </c>
      <c r="I414" s="1" t="s">
        <v>1645</v>
      </c>
      <c r="J414" s="1" t="s">
        <v>1646</v>
      </c>
      <c r="K414" s="1"/>
      <c r="L414" s="1"/>
      <c r="M414" s="1"/>
      <c r="N414" s="1" t="s">
        <v>87</v>
      </c>
      <c r="O414" s="1" t="s">
        <v>1798</v>
      </c>
      <c r="P414" s="1">
        <v>1615</v>
      </c>
      <c r="Q414" s="1">
        <v>1868</v>
      </c>
      <c r="U414" s="1" t="s">
        <v>88</v>
      </c>
      <c r="W414" s="1" t="s">
        <v>89</v>
      </c>
      <c r="X414" s="1" t="s">
        <v>1801</v>
      </c>
      <c r="Z414" s="1" t="s">
        <v>89</v>
      </c>
      <c r="AA414" s="1" t="s">
        <v>90</v>
      </c>
      <c r="AB414" s="1">
        <v>1760</v>
      </c>
      <c r="AC414" s="1">
        <v>1849</v>
      </c>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v>1804</v>
      </c>
      <c r="BG414" s="1">
        <v>1804</v>
      </c>
      <c r="BH414" s="1">
        <v>1804</v>
      </c>
      <c r="BI414" s="1">
        <v>1</v>
      </c>
      <c r="BJ414" s="1"/>
      <c r="BK414" s="6" t="s">
        <v>1775</v>
      </c>
      <c r="BL414" s="1" t="s">
        <v>1746</v>
      </c>
      <c r="BM414" s="1"/>
      <c r="BN414" s="1" t="s">
        <v>1647</v>
      </c>
      <c r="BO414" s="11">
        <v>10.4375</v>
      </c>
      <c r="BP414" s="12">
        <v>6.875</v>
      </c>
      <c r="BQ414" s="12"/>
      <c r="BR414" s="1">
        <v>26.5</v>
      </c>
      <c r="BS414" s="1">
        <v>17.5</v>
      </c>
      <c r="BT414" s="1"/>
      <c r="BU414" s="1"/>
      <c r="BV414" s="1" t="s">
        <v>1640</v>
      </c>
      <c r="BW414" s="1" t="s">
        <v>94</v>
      </c>
      <c r="BX414" s="1" t="s">
        <v>1632</v>
      </c>
      <c r="BY414" s="1">
        <v>2013</v>
      </c>
      <c r="BZ414" s="1"/>
      <c r="CA414" s="1"/>
      <c r="CB414" s="1" t="s">
        <v>1641</v>
      </c>
      <c r="CN414" s="1" t="s">
        <v>490</v>
      </c>
      <c r="CP414" s="8" t="str">
        <f>HYPERLINK("http://www.metmuseum.org/art/collection/search/78635","http://www.metmuseum.org/art/collection/search/78635")</f>
        <v>http://www.metmuseum.org/art/collection/search/78635</v>
      </c>
      <c r="CQ414" s="4">
        <v>42842.333402777775</v>
      </c>
      <c r="CR414" s="1" t="s">
        <v>97</v>
      </c>
    </row>
    <row r="415" spans="1:96" ht="52.5" customHeight="1" x14ac:dyDescent="0.2">
      <c r="A415" s="1" t="s">
        <v>1648</v>
      </c>
      <c r="B415" s="1" t="b">
        <v>0</v>
      </c>
      <c r="C415" s="1" t="b">
        <v>1</v>
      </c>
      <c r="D415" s="1">
        <v>78636</v>
      </c>
      <c r="E415" s="1" t="s">
        <v>85</v>
      </c>
      <c r="F415" s="1" t="s">
        <v>1518</v>
      </c>
      <c r="N415" s="1" t="s">
        <v>87</v>
      </c>
      <c r="O415" s="1" t="s">
        <v>1798</v>
      </c>
      <c r="P415" s="1">
        <v>1615</v>
      </c>
      <c r="Q415" s="1">
        <v>1868</v>
      </c>
      <c r="U415" s="1" t="s">
        <v>88</v>
      </c>
      <c r="W415" s="1" t="s">
        <v>89</v>
      </c>
      <c r="X415" s="1" t="s">
        <v>1801</v>
      </c>
      <c r="Z415" s="1" t="s">
        <v>89</v>
      </c>
      <c r="AA415" s="1" t="s">
        <v>90</v>
      </c>
      <c r="AB415" s="1">
        <v>1760</v>
      </c>
      <c r="AC415" s="1">
        <v>1849</v>
      </c>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t="s">
        <v>1649</v>
      </c>
      <c r="BG415" s="1">
        <v>1805</v>
      </c>
      <c r="BH415" s="1">
        <v>1838</v>
      </c>
      <c r="BI415" s="1">
        <v>4</v>
      </c>
      <c r="BJ415" s="1"/>
      <c r="BK415" s="6" t="s">
        <v>1788</v>
      </c>
      <c r="BL415" s="6" t="s">
        <v>1748</v>
      </c>
      <c r="BM415" s="1"/>
      <c r="BN415" s="1" t="s">
        <v>1650</v>
      </c>
      <c r="BO415" s="11">
        <v>9.8125</v>
      </c>
      <c r="BP415" s="11">
        <v>7.0625</v>
      </c>
      <c r="BQ415" s="11"/>
      <c r="BR415" s="1">
        <v>25</v>
      </c>
      <c r="BS415" s="1">
        <v>18</v>
      </c>
      <c r="BT415" s="1"/>
      <c r="BU415" s="1" t="s">
        <v>487</v>
      </c>
      <c r="BV415" s="1" t="s">
        <v>1631</v>
      </c>
      <c r="BW415" s="1" t="s">
        <v>94</v>
      </c>
      <c r="BX415" s="1" t="s">
        <v>1632</v>
      </c>
      <c r="BY415" s="1">
        <v>2013</v>
      </c>
      <c r="BZ415" s="1"/>
      <c r="CA415" s="1"/>
      <c r="CB415" s="1"/>
      <c r="CN415" s="1" t="s">
        <v>490</v>
      </c>
      <c r="CP415" s="8" t="str">
        <f>HYPERLINK("http://www.metmuseum.org/art/collection/search/78636","http://www.metmuseum.org/art/collection/search/78636")</f>
        <v>http://www.metmuseum.org/art/collection/search/78636</v>
      </c>
      <c r="CQ415" s="4">
        <v>42842.333402777775</v>
      </c>
      <c r="CR415" s="1" t="s">
        <v>97</v>
      </c>
    </row>
    <row r="416" spans="1:96" ht="52.5" customHeight="1" x14ac:dyDescent="0.2">
      <c r="A416" s="1" t="s">
        <v>1651</v>
      </c>
      <c r="B416" s="1" t="b">
        <v>0</v>
      </c>
      <c r="C416" s="1" t="b">
        <v>1</v>
      </c>
      <c r="D416" s="1">
        <v>78637</v>
      </c>
      <c r="E416" s="1" t="s">
        <v>85</v>
      </c>
      <c r="F416" s="1" t="s">
        <v>1518</v>
      </c>
      <c r="N416" s="1" t="s">
        <v>87</v>
      </c>
      <c r="O416" s="1" t="s">
        <v>1798</v>
      </c>
      <c r="P416" s="1">
        <v>1615</v>
      </c>
      <c r="Q416" s="1">
        <v>1868</v>
      </c>
      <c r="U416" s="1" t="s">
        <v>88</v>
      </c>
      <c r="W416" s="1" t="s">
        <v>89</v>
      </c>
      <c r="X416" s="1" t="s">
        <v>1801</v>
      </c>
      <c r="Z416" s="1" t="s">
        <v>89</v>
      </c>
      <c r="AA416" s="1" t="s">
        <v>90</v>
      </c>
      <c r="AB416" s="1">
        <v>1760</v>
      </c>
      <c r="AC416" s="1">
        <v>1849</v>
      </c>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t="s">
        <v>1652</v>
      </c>
      <c r="BG416" s="1">
        <v>1801</v>
      </c>
      <c r="BH416" s="1">
        <v>1811</v>
      </c>
      <c r="BI416" s="1">
        <v>3</v>
      </c>
      <c r="BJ416" s="1"/>
      <c r="BK416" s="6" t="s">
        <v>1703</v>
      </c>
      <c r="BL416" s="1" t="s">
        <v>1746</v>
      </c>
      <c r="BM416" s="1"/>
      <c r="BN416" s="1" t="s">
        <v>1653</v>
      </c>
      <c r="BO416" s="12">
        <v>9.25</v>
      </c>
      <c r="BP416" s="12">
        <v>6.625</v>
      </c>
      <c r="BQ416" s="12"/>
      <c r="BR416" s="1">
        <v>23.5</v>
      </c>
      <c r="BS416" s="1">
        <v>16.899999999999999</v>
      </c>
      <c r="BT416" s="1"/>
      <c r="BU416" s="1" t="s">
        <v>487</v>
      </c>
      <c r="BV416" s="1" t="s">
        <v>1631</v>
      </c>
      <c r="BW416" s="1" t="s">
        <v>94</v>
      </c>
      <c r="BX416" s="1" t="s">
        <v>1632</v>
      </c>
      <c r="BY416" s="1">
        <v>2013</v>
      </c>
      <c r="BZ416" s="1"/>
      <c r="CA416" s="1"/>
      <c r="CB416" s="1"/>
      <c r="CN416" s="1" t="s">
        <v>490</v>
      </c>
      <c r="CP416" s="8" t="str">
        <f>HYPERLINK("http://www.metmuseum.org/art/collection/search/78637","http://www.metmuseum.org/art/collection/search/78637")</f>
        <v>http://www.metmuseum.org/art/collection/search/78637</v>
      </c>
      <c r="CQ416" s="4">
        <v>42842.333402777775</v>
      </c>
      <c r="CR416" s="1" t="s">
        <v>97</v>
      </c>
    </row>
    <row r="417" spans="1:96" ht="52.5" customHeight="1" x14ac:dyDescent="0.2">
      <c r="A417" s="1" t="s">
        <v>1654</v>
      </c>
      <c r="B417" s="1" t="b">
        <v>0</v>
      </c>
      <c r="C417" s="1" t="b">
        <v>1</v>
      </c>
      <c r="D417" s="1">
        <v>78638</v>
      </c>
      <c r="E417" s="1" t="s">
        <v>85</v>
      </c>
      <c r="F417" s="1" t="s">
        <v>1518</v>
      </c>
      <c r="N417" s="1" t="s">
        <v>87</v>
      </c>
      <c r="O417" s="6" t="s">
        <v>1800</v>
      </c>
      <c r="P417" s="1">
        <v>1615</v>
      </c>
      <c r="Q417" s="1">
        <v>1868</v>
      </c>
      <c r="U417" s="1" t="s">
        <v>88</v>
      </c>
      <c r="W417" s="1" t="s">
        <v>89</v>
      </c>
      <c r="X417" s="1" t="s">
        <v>1801</v>
      </c>
      <c r="Z417" s="1" t="s">
        <v>89</v>
      </c>
      <c r="AA417" s="1" t="s">
        <v>90</v>
      </c>
      <c r="AB417" s="1">
        <v>1760</v>
      </c>
      <c r="AC417" s="1">
        <v>1849</v>
      </c>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v>1845</v>
      </c>
      <c r="BG417" s="1">
        <v>1845</v>
      </c>
      <c r="BH417" s="1">
        <v>1845</v>
      </c>
      <c r="BI417" s="1">
        <v>6</v>
      </c>
      <c r="BJ417" s="1"/>
      <c r="BK417" s="6" t="s">
        <v>1789</v>
      </c>
      <c r="BL417" s="6" t="s">
        <v>1748</v>
      </c>
      <c r="BM417" s="1"/>
      <c r="BN417" s="1" t="s">
        <v>1655</v>
      </c>
      <c r="BO417" s="11">
        <v>10.0625</v>
      </c>
      <c r="BP417" s="11">
        <v>6.9375</v>
      </c>
      <c r="BQ417" s="11"/>
      <c r="BR417" s="1">
        <v>25.6</v>
      </c>
      <c r="BS417" s="1">
        <v>17.7</v>
      </c>
      <c r="BT417" s="1"/>
      <c r="BU417" s="1"/>
      <c r="BV417" s="1" t="s">
        <v>1631</v>
      </c>
      <c r="BW417" s="1" t="s">
        <v>94</v>
      </c>
      <c r="BX417" s="1" t="s">
        <v>1632</v>
      </c>
      <c r="BY417" s="1">
        <v>2013</v>
      </c>
      <c r="BZ417" s="1"/>
      <c r="CA417" s="1"/>
      <c r="CB417" s="1"/>
      <c r="CN417" s="1" t="s">
        <v>490</v>
      </c>
      <c r="CP417" s="8" t="str">
        <f>HYPERLINK("http://www.metmuseum.org/art/collection/search/78638","http://www.metmuseum.org/art/collection/search/78638")</f>
        <v>http://www.metmuseum.org/art/collection/search/78638</v>
      </c>
      <c r="CQ417" s="4">
        <v>42842.333402777775</v>
      </c>
      <c r="CR417" s="1" t="s">
        <v>97</v>
      </c>
    </row>
    <row r="418" spans="1:96" ht="52.5" customHeight="1" x14ac:dyDescent="0.2">
      <c r="A418" s="1">
        <v>2013.7370000000001</v>
      </c>
      <c r="B418" s="1" t="b">
        <v>0</v>
      </c>
      <c r="C418" s="1" t="b">
        <v>1</v>
      </c>
      <c r="D418" s="1">
        <v>78639</v>
      </c>
      <c r="E418" s="1" t="s">
        <v>85</v>
      </c>
      <c r="F418" s="1" t="s">
        <v>482</v>
      </c>
      <c r="N418" s="1" t="s">
        <v>87</v>
      </c>
      <c r="O418" s="1" t="s">
        <v>1798</v>
      </c>
      <c r="P418" s="1">
        <v>1615</v>
      </c>
      <c r="Q418" s="1">
        <v>1868</v>
      </c>
      <c r="U418" s="1" t="s">
        <v>88</v>
      </c>
      <c r="W418" s="1" t="s">
        <v>89</v>
      </c>
      <c r="X418" s="1" t="s">
        <v>1801</v>
      </c>
      <c r="Z418" s="1" t="s">
        <v>89</v>
      </c>
      <c r="AA418" s="1" t="s">
        <v>90</v>
      </c>
      <c r="AB418" s="1">
        <v>1760</v>
      </c>
      <c r="AC418" s="1">
        <v>1849</v>
      </c>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v>1843</v>
      </c>
      <c r="BG418" s="1">
        <v>1843</v>
      </c>
      <c r="BH418" s="1">
        <v>1843</v>
      </c>
      <c r="BI418" s="1">
        <v>1</v>
      </c>
      <c r="BJ418" s="1"/>
      <c r="BK418" s="6" t="s">
        <v>1775</v>
      </c>
      <c r="BL418" s="1" t="s">
        <v>1746</v>
      </c>
      <c r="BM418" s="1"/>
      <c r="BN418" s="1" t="s">
        <v>1656</v>
      </c>
      <c r="BO418" s="12">
        <v>8.75</v>
      </c>
      <c r="BP418" s="12">
        <v>6.125</v>
      </c>
      <c r="BQ418" s="12"/>
      <c r="BR418" s="1">
        <v>22.3</v>
      </c>
      <c r="BS418" s="1">
        <v>15.6</v>
      </c>
      <c r="BT418" s="1"/>
      <c r="BU418" s="1"/>
      <c r="BV418" s="1" t="s">
        <v>1631</v>
      </c>
      <c r="BW418" s="1" t="s">
        <v>94</v>
      </c>
      <c r="BX418" s="1" t="s">
        <v>1632</v>
      </c>
      <c r="BY418" s="1">
        <v>2013</v>
      </c>
      <c r="BZ418" s="1"/>
      <c r="CA418" s="1"/>
      <c r="CB418" s="1"/>
      <c r="CN418" s="1" t="s">
        <v>490</v>
      </c>
      <c r="CP418" s="8" t="str">
        <f>HYPERLINK("http://www.metmuseum.org/art/collection/search/78639","http://www.metmuseum.org/art/collection/search/78639")</f>
        <v>http://www.metmuseum.org/art/collection/search/78639</v>
      </c>
      <c r="CQ418" s="4">
        <v>42842.333402777775</v>
      </c>
      <c r="CR418" s="1" t="s">
        <v>97</v>
      </c>
    </row>
    <row r="419" spans="1:96" ht="52.5" customHeight="1" x14ac:dyDescent="0.2">
      <c r="A419" s="1" t="s">
        <v>1657</v>
      </c>
      <c r="B419" s="1" t="b">
        <v>0</v>
      </c>
      <c r="C419" s="1" t="b">
        <v>1</v>
      </c>
      <c r="D419" s="1">
        <v>78640</v>
      </c>
      <c r="E419" s="1" t="s">
        <v>85</v>
      </c>
      <c r="F419" s="1" t="s">
        <v>1518</v>
      </c>
      <c r="N419" s="1" t="s">
        <v>87</v>
      </c>
      <c r="O419" s="1" t="s">
        <v>1798</v>
      </c>
      <c r="P419" s="1">
        <v>1615</v>
      </c>
      <c r="Q419" s="1">
        <v>1868</v>
      </c>
      <c r="U419" s="1" t="s">
        <v>88</v>
      </c>
      <c r="W419" s="1" t="s">
        <v>89</v>
      </c>
      <c r="X419" s="1" t="s">
        <v>1801</v>
      </c>
      <c r="Z419" s="1" t="s">
        <v>89</v>
      </c>
      <c r="AA419" s="1" t="s">
        <v>90</v>
      </c>
      <c r="AB419" s="1">
        <v>1760</v>
      </c>
      <c r="AC419" s="1">
        <v>1849</v>
      </c>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v>1850</v>
      </c>
      <c r="BG419" s="1">
        <v>1850</v>
      </c>
      <c r="BH419" s="1">
        <v>1850</v>
      </c>
      <c r="BI419" s="1">
        <v>2</v>
      </c>
      <c r="BJ419" s="1"/>
      <c r="BK419" s="6" t="s">
        <v>1787</v>
      </c>
      <c r="BL419" s="6" t="s">
        <v>1748</v>
      </c>
      <c r="BM419" s="1"/>
      <c r="BN419" s="1" t="s">
        <v>1658</v>
      </c>
      <c r="BO419" s="1">
        <v>9</v>
      </c>
      <c r="BP419" s="11">
        <v>6.1875</v>
      </c>
      <c r="BQ419" s="11"/>
      <c r="BR419" s="1">
        <v>22.8</v>
      </c>
      <c r="BS419" s="1">
        <v>15.7</v>
      </c>
      <c r="BT419" s="1"/>
      <c r="BU419" s="1" t="s">
        <v>487</v>
      </c>
      <c r="BV419" s="1" t="s">
        <v>1631</v>
      </c>
      <c r="BW419" s="1" t="s">
        <v>94</v>
      </c>
      <c r="BX419" s="1" t="s">
        <v>1632</v>
      </c>
      <c r="BY419" s="1">
        <v>2013</v>
      </c>
      <c r="BZ419" s="1"/>
      <c r="CA419" s="1"/>
      <c r="CB419" s="1"/>
      <c r="CN419" s="1" t="s">
        <v>490</v>
      </c>
      <c r="CP419" s="8" t="str">
        <f>HYPERLINK("http://www.metmuseum.org/art/collection/search/78640","http://www.metmuseum.org/art/collection/search/78640")</f>
        <v>http://www.metmuseum.org/art/collection/search/78640</v>
      </c>
      <c r="CQ419" s="4">
        <v>42842.333402777775</v>
      </c>
      <c r="CR419" s="1" t="s">
        <v>97</v>
      </c>
    </row>
    <row r="420" spans="1:96" ht="52.5" customHeight="1" x14ac:dyDescent="0.2">
      <c r="A420" s="1" t="s">
        <v>1659</v>
      </c>
      <c r="B420" s="1" t="b">
        <v>0</v>
      </c>
      <c r="C420" s="1" t="b">
        <v>0</v>
      </c>
      <c r="D420" s="1">
        <v>78641</v>
      </c>
      <c r="E420" s="1" t="s">
        <v>85</v>
      </c>
      <c r="F420" s="1" t="s">
        <v>1518</v>
      </c>
      <c r="N420" s="1" t="s">
        <v>87</v>
      </c>
      <c r="U420" s="1" t="s">
        <v>88</v>
      </c>
      <c r="V420" s="1" t="s">
        <v>1660</v>
      </c>
      <c r="W420" s="1" t="s">
        <v>89</v>
      </c>
      <c r="X420" s="1" t="s">
        <v>1801</v>
      </c>
      <c r="Z420" s="1" t="s">
        <v>89</v>
      </c>
      <c r="AA420" s="1" t="s">
        <v>90</v>
      </c>
      <c r="AB420" s="1">
        <v>1760</v>
      </c>
      <c r="AC420" s="1">
        <v>1849</v>
      </c>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t="s">
        <v>1661</v>
      </c>
      <c r="BG420" s="1">
        <v>1900</v>
      </c>
      <c r="BH420" s="1">
        <v>1999</v>
      </c>
      <c r="BI420" s="1">
        <v>2</v>
      </c>
      <c r="BJ420" s="1"/>
      <c r="BK420" s="6" t="s">
        <v>1787</v>
      </c>
      <c r="BL420" s="1" t="s">
        <v>1746</v>
      </c>
      <c r="BM420" s="1"/>
      <c r="BN420" s="1" t="s">
        <v>1662</v>
      </c>
      <c r="BO420" s="12">
        <v>10.25</v>
      </c>
      <c r="BP420" s="11">
        <v>7.3125</v>
      </c>
      <c r="BQ420" s="11"/>
      <c r="BR420" s="1">
        <v>26</v>
      </c>
      <c r="BS420" s="1">
        <v>18.5</v>
      </c>
      <c r="BT420" s="1"/>
      <c r="BU420" s="1" t="s">
        <v>487</v>
      </c>
      <c r="BV420" s="1" t="s">
        <v>1631</v>
      </c>
      <c r="BW420" s="1" t="s">
        <v>94</v>
      </c>
      <c r="BX420" s="1" t="s">
        <v>1632</v>
      </c>
      <c r="BY420" s="1">
        <v>2013</v>
      </c>
      <c r="BZ420" s="1"/>
      <c r="CA420" s="1"/>
      <c r="CB420" s="1"/>
      <c r="CN420" s="1" t="s">
        <v>490</v>
      </c>
      <c r="CP420" s="8" t="str">
        <f>HYPERLINK("http://www.metmuseum.org/art/collection/search/78641","http://www.metmuseum.org/art/collection/search/78641")</f>
        <v>http://www.metmuseum.org/art/collection/search/78641</v>
      </c>
      <c r="CQ420" s="4">
        <v>42842.333402777775</v>
      </c>
      <c r="CR420" s="1" t="s">
        <v>97</v>
      </c>
    </row>
    <row r="421" spans="1:96" ht="105" customHeight="1" x14ac:dyDescent="0.2">
      <c r="A421" s="1">
        <v>2013.87</v>
      </c>
      <c r="B421" s="1" t="b">
        <v>0</v>
      </c>
      <c r="C421" s="1" t="b">
        <v>1</v>
      </c>
      <c r="D421" s="1">
        <v>78760</v>
      </c>
      <c r="E421" s="1" t="s">
        <v>85</v>
      </c>
      <c r="F421" s="1" t="s">
        <v>482</v>
      </c>
      <c r="N421" s="1" t="s">
        <v>87</v>
      </c>
      <c r="O421" s="1" t="s">
        <v>1798</v>
      </c>
      <c r="P421" s="1">
        <v>1615</v>
      </c>
      <c r="Q421" s="1">
        <v>1868</v>
      </c>
      <c r="U421" s="1" t="s">
        <v>88</v>
      </c>
      <c r="W421" s="1" t="s">
        <v>1663</v>
      </c>
      <c r="X421" s="1" t="s">
        <v>1664</v>
      </c>
      <c r="Y421" s="1" t="s">
        <v>1665</v>
      </c>
      <c r="Z421" s="1" t="s">
        <v>1666</v>
      </c>
      <c r="AA421" s="1" t="s">
        <v>90</v>
      </c>
      <c r="AB421" s="1">
        <v>1764</v>
      </c>
      <c r="AC421" s="1">
        <v>1824</v>
      </c>
      <c r="AD421" s="1"/>
      <c r="AE421" s="1" t="s">
        <v>88</v>
      </c>
      <c r="AF421" s="1" t="s">
        <v>1667</v>
      </c>
      <c r="AG421" s="1" t="s">
        <v>1668</v>
      </c>
      <c r="AH421" s="1" t="s">
        <v>90</v>
      </c>
      <c r="AI421" s="1">
        <v>1761</v>
      </c>
      <c r="AJ421" s="1">
        <v>1828</v>
      </c>
      <c r="AK421" s="1"/>
      <c r="AL421" s="1" t="s">
        <v>1598</v>
      </c>
      <c r="AM421" s="1" t="s">
        <v>579</v>
      </c>
      <c r="AN421" s="1" t="s">
        <v>580</v>
      </c>
      <c r="AO421" s="1" t="s">
        <v>90</v>
      </c>
      <c r="AP421" s="1">
        <v>1763</v>
      </c>
      <c r="AQ421" s="1">
        <v>1840</v>
      </c>
      <c r="AR421" s="1"/>
      <c r="AS421" s="1" t="s">
        <v>1598</v>
      </c>
      <c r="AT421" s="1" t="s">
        <v>89</v>
      </c>
      <c r="AU421" s="1" t="s">
        <v>1801</v>
      </c>
      <c r="AV421" s="1" t="s">
        <v>90</v>
      </c>
      <c r="AW421" s="1">
        <v>1760</v>
      </c>
      <c r="AX421" s="1">
        <v>1849</v>
      </c>
      <c r="AY421" s="1"/>
      <c r="AZ421" s="1" t="s">
        <v>1598</v>
      </c>
      <c r="BA421" s="1" t="s">
        <v>1669</v>
      </c>
      <c r="BB421" s="1" t="s">
        <v>1670</v>
      </c>
      <c r="BC421" s="1" t="s">
        <v>90</v>
      </c>
      <c r="BD421" s="1">
        <v>1792</v>
      </c>
      <c r="BE421" s="1">
        <v>1851</v>
      </c>
      <c r="BF421" s="1" t="s">
        <v>1671</v>
      </c>
      <c r="BG421" s="1">
        <v>1822</v>
      </c>
      <c r="BH421" s="1">
        <v>1834</v>
      </c>
      <c r="BI421" s="1">
        <v>1</v>
      </c>
      <c r="BJ421" s="1"/>
      <c r="BK421" s="6" t="s">
        <v>1775</v>
      </c>
      <c r="BL421" s="6" t="s">
        <v>1748</v>
      </c>
      <c r="BM421" s="1"/>
      <c r="BN421" s="1" t="s">
        <v>1672</v>
      </c>
      <c r="BO421" s="12">
        <v>7.375</v>
      </c>
      <c r="BP421" s="12">
        <v>5.125</v>
      </c>
      <c r="BQ421" s="12"/>
      <c r="BR421" s="1">
        <v>18.7</v>
      </c>
      <c r="BS421" s="1">
        <v>13</v>
      </c>
      <c r="BT421" s="1"/>
      <c r="BU421" s="1"/>
      <c r="BV421" s="1" t="s">
        <v>1631</v>
      </c>
      <c r="BW421" s="1" t="s">
        <v>94</v>
      </c>
      <c r="BX421" s="1" t="s">
        <v>1632</v>
      </c>
      <c r="BY421" s="1">
        <v>2013</v>
      </c>
      <c r="BZ421" s="1"/>
      <c r="CA421" s="1"/>
      <c r="CB421" s="1"/>
      <c r="CN421" s="1" t="s">
        <v>490</v>
      </c>
      <c r="CP421" s="8" t="str">
        <f>HYPERLINK("http://www.metmuseum.org/art/collection/search/78760","http://www.metmuseum.org/art/collection/search/78760")</f>
        <v>http://www.metmuseum.org/art/collection/search/78760</v>
      </c>
      <c r="CQ421" s="4">
        <v>42842.333402777775</v>
      </c>
      <c r="CR421" s="1" t="s">
        <v>97</v>
      </c>
    </row>
    <row r="422" spans="1:96" ht="52.5" customHeight="1" x14ac:dyDescent="0.2">
      <c r="A422" s="1">
        <v>2013.875</v>
      </c>
      <c r="B422" s="1" t="b">
        <v>0</v>
      </c>
      <c r="C422" s="1" t="b">
        <v>1</v>
      </c>
      <c r="D422" s="1">
        <v>78765</v>
      </c>
      <c r="E422" s="1" t="s">
        <v>85</v>
      </c>
      <c r="F422" s="1" t="s">
        <v>482</v>
      </c>
      <c r="N422" s="1" t="s">
        <v>87</v>
      </c>
      <c r="O422" s="1" t="s">
        <v>1798</v>
      </c>
      <c r="P422" s="1">
        <v>1615</v>
      </c>
      <c r="Q422" s="1">
        <v>1868</v>
      </c>
      <c r="U422" s="1" t="s">
        <v>88</v>
      </c>
      <c r="W422" s="1" t="s">
        <v>89</v>
      </c>
      <c r="X422" s="1" t="s">
        <v>1801</v>
      </c>
      <c r="Z422" s="1" t="s">
        <v>89</v>
      </c>
      <c r="AA422" s="1" t="s">
        <v>90</v>
      </c>
      <c r="AB422" s="1">
        <v>1760</v>
      </c>
      <c r="AC422" s="1">
        <v>1849</v>
      </c>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v>1843</v>
      </c>
      <c r="BG422" s="1">
        <v>1843</v>
      </c>
      <c r="BH422" s="1">
        <v>1843</v>
      </c>
      <c r="BI422" s="1">
        <v>1</v>
      </c>
      <c r="BJ422" s="1"/>
      <c r="BK422" s="6" t="s">
        <v>1775</v>
      </c>
      <c r="BL422" s="6" t="s">
        <v>1748</v>
      </c>
      <c r="BM422" s="1"/>
      <c r="BN422" s="1" t="s">
        <v>1673</v>
      </c>
      <c r="BO422" s="11">
        <v>8.9375</v>
      </c>
      <c r="BP422" s="12">
        <v>6.125</v>
      </c>
      <c r="BQ422" s="12"/>
      <c r="BR422" s="1">
        <v>22.7</v>
      </c>
      <c r="BS422" s="1">
        <v>15.6</v>
      </c>
      <c r="BT422" s="1"/>
      <c r="BU422" s="1"/>
      <c r="BV422" s="1" t="s">
        <v>1631</v>
      </c>
      <c r="BW422" s="1" t="s">
        <v>94</v>
      </c>
      <c r="BX422" s="1" t="s">
        <v>1632</v>
      </c>
      <c r="BY422" s="1">
        <v>2013</v>
      </c>
      <c r="BZ422" s="1"/>
      <c r="CA422" s="1"/>
      <c r="CB422" s="1"/>
      <c r="CN422" s="1" t="s">
        <v>490</v>
      </c>
      <c r="CP422" s="8" t="str">
        <f>HYPERLINK("http://www.metmuseum.org/art/collection/search/78765","http://www.metmuseum.org/art/collection/search/78765")</f>
        <v>http://www.metmuseum.org/art/collection/search/78765</v>
      </c>
      <c r="CQ422" s="4">
        <v>42842.333402777775</v>
      </c>
      <c r="CR422" s="1" t="s">
        <v>97</v>
      </c>
    </row>
    <row r="423" spans="1:96" ht="52.5" customHeight="1" x14ac:dyDescent="0.2">
      <c r="A423" s="1">
        <v>2013.8779999999999</v>
      </c>
      <c r="B423" s="1" t="b">
        <v>0</v>
      </c>
      <c r="C423" s="1" t="b">
        <v>1</v>
      </c>
      <c r="D423" s="1">
        <v>78768</v>
      </c>
      <c r="E423" s="1" t="s">
        <v>85</v>
      </c>
      <c r="F423" s="1" t="s">
        <v>482</v>
      </c>
      <c r="N423" s="1" t="s">
        <v>87</v>
      </c>
      <c r="O423" s="1" t="s">
        <v>1798</v>
      </c>
      <c r="P423" s="1">
        <v>1615</v>
      </c>
      <c r="Q423" s="1">
        <v>1868</v>
      </c>
      <c r="U423" s="1" t="s">
        <v>88</v>
      </c>
      <c r="W423" s="1" t="s">
        <v>89</v>
      </c>
      <c r="X423" s="1" t="s">
        <v>1801</v>
      </c>
      <c r="Z423" s="1" t="s">
        <v>89</v>
      </c>
      <c r="AA423" s="1" t="s">
        <v>90</v>
      </c>
      <c r="AB423" s="1">
        <v>1760</v>
      </c>
      <c r="AC423" s="1">
        <v>1849</v>
      </c>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v>1815</v>
      </c>
      <c r="BG423" s="1">
        <v>1815</v>
      </c>
      <c r="BH423" s="1">
        <v>1815</v>
      </c>
      <c r="BI423" s="1">
        <v>1</v>
      </c>
      <c r="BJ423" s="1"/>
      <c r="BK423" s="6" t="s">
        <v>1775</v>
      </c>
      <c r="BL423" s="6" t="s">
        <v>1748</v>
      </c>
      <c r="BM423" s="1"/>
      <c r="BN423" s="1" t="s">
        <v>1674</v>
      </c>
      <c r="BO423" s="12">
        <v>8.875</v>
      </c>
      <c r="BP423" s="12">
        <v>6.375</v>
      </c>
      <c r="BQ423" s="12"/>
      <c r="BR423" s="6">
        <v>22.5</v>
      </c>
      <c r="BS423" s="1">
        <v>16.2</v>
      </c>
      <c r="BT423" s="1"/>
      <c r="BU423" s="1"/>
      <c r="BV423" s="1" t="s">
        <v>1631</v>
      </c>
      <c r="BW423" s="1" t="s">
        <v>94</v>
      </c>
      <c r="BX423" s="1" t="s">
        <v>1632</v>
      </c>
      <c r="BY423" s="1">
        <v>2013</v>
      </c>
      <c r="BZ423" s="1"/>
      <c r="CA423" s="1"/>
      <c r="CB423" s="1"/>
      <c r="CN423" s="1" t="s">
        <v>490</v>
      </c>
      <c r="CP423" s="8" t="str">
        <f>HYPERLINK("http://www.metmuseum.org/art/collection/search/78768","http://www.metmuseum.org/art/collection/search/78768")</f>
        <v>http://www.metmuseum.org/art/collection/search/78768</v>
      </c>
      <c r="CQ423" s="4">
        <v>42842.333402777775</v>
      </c>
      <c r="CR423" s="1" t="s">
        <v>97</v>
      </c>
    </row>
    <row r="424" spans="1:96" ht="52.5" customHeight="1" x14ac:dyDescent="0.2">
      <c r="A424" s="1">
        <v>2013.8810000000001</v>
      </c>
      <c r="B424" s="1" t="b">
        <v>0</v>
      </c>
      <c r="C424" s="1" t="b">
        <v>1</v>
      </c>
      <c r="D424" s="1">
        <v>78771</v>
      </c>
      <c r="E424" s="1" t="s">
        <v>85</v>
      </c>
      <c r="F424" s="1" t="s">
        <v>482</v>
      </c>
      <c r="G424" s="1" t="s">
        <v>1675</v>
      </c>
      <c r="H424" s="1" t="s">
        <v>1676</v>
      </c>
      <c r="I424" s="1" t="s">
        <v>1677</v>
      </c>
      <c r="J424" s="1" t="s">
        <v>1678</v>
      </c>
      <c r="K424" s="1"/>
      <c r="L424" s="1"/>
      <c r="M424" s="1"/>
      <c r="N424" s="1" t="s">
        <v>87</v>
      </c>
      <c r="O424" s="1" t="s">
        <v>1798</v>
      </c>
      <c r="P424" s="1">
        <v>1615</v>
      </c>
      <c r="Q424" s="1">
        <v>1868</v>
      </c>
      <c r="U424" s="1" t="s">
        <v>88</v>
      </c>
      <c r="W424" s="1" t="s">
        <v>89</v>
      </c>
      <c r="X424" s="1" t="s">
        <v>1801</v>
      </c>
      <c r="Z424" s="1" t="s">
        <v>89</v>
      </c>
      <c r="AA424" s="1" t="s">
        <v>90</v>
      </c>
      <c r="AB424" s="1">
        <v>1760</v>
      </c>
      <c r="AC424" s="1">
        <v>1849</v>
      </c>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v>1848</v>
      </c>
      <c r="BG424" s="1">
        <v>1848</v>
      </c>
      <c r="BH424" s="1">
        <v>1848</v>
      </c>
      <c r="BI424" s="1">
        <v>1</v>
      </c>
      <c r="BJ424" s="1"/>
      <c r="BK424" s="6" t="s">
        <v>1790</v>
      </c>
      <c r="BL424" s="6" t="s">
        <v>1746</v>
      </c>
      <c r="BM424" s="1"/>
      <c r="BN424" s="1" t="s">
        <v>1679</v>
      </c>
      <c r="BO424" s="11">
        <v>7.1875</v>
      </c>
      <c r="BP424" s="11">
        <v>5.0625</v>
      </c>
      <c r="BQ424" s="11"/>
      <c r="BR424" s="1">
        <v>18.3</v>
      </c>
      <c r="BS424" s="1">
        <v>12.9</v>
      </c>
      <c r="BT424" s="1"/>
      <c r="BU424" s="1"/>
      <c r="BV424" s="1" t="s">
        <v>1631</v>
      </c>
      <c r="BW424" s="1" t="s">
        <v>94</v>
      </c>
      <c r="BX424" s="1" t="s">
        <v>1632</v>
      </c>
      <c r="BY424" s="1">
        <v>2013</v>
      </c>
      <c r="BZ424" s="1"/>
      <c r="CA424" s="1"/>
      <c r="CB424" s="1"/>
      <c r="CN424" s="1" t="s">
        <v>490</v>
      </c>
      <c r="CP424" s="8" t="str">
        <f>HYPERLINK("http://www.metmuseum.org/art/collection/search/78771","http://www.metmuseum.org/art/collection/search/78771")</f>
        <v>http://www.metmuseum.org/art/collection/search/78771</v>
      </c>
      <c r="CQ424" s="4">
        <v>42842.333402777775</v>
      </c>
      <c r="CR424" s="1" t="s">
        <v>97</v>
      </c>
    </row>
    <row r="425" spans="1:96" ht="52.5" customHeight="1" x14ac:dyDescent="0.2">
      <c r="A425" s="1">
        <v>2013.8820000000001</v>
      </c>
      <c r="B425" s="1" t="b">
        <v>0</v>
      </c>
      <c r="C425" s="1" t="b">
        <v>1</v>
      </c>
      <c r="D425" s="1">
        <v>78772</v>
      </c>
      <c r="E425" s="1" t="s">
        <v>85</v>
      </c>
      <c r="F425" s="1" t="s">
        <v>482</v>
      </c>
      <c r="G425" s="1" t="s">
        <v>1680</v>
      </c>
      <c r="H425" s="1" t="s">
        <v>1681</v>
      </c>
      <c r="I425" s="1" t="s">
        <v>1682</v>
      </c>
      <c r="J425" s="1" t="s">
        <v>1683</v>
      </c>
      <c r="K425" s="1"/>
      <c r="L425" s="1"/>
      <c r="M425" s="1"/>
      <c r="N425" s="1" t="s">
        <v>87</v>
      </c>
      <c r="O425" s="1" t="s">
        <v>1798</v>
      </c>
      <c r="P425" s="1">
        <v>1615</v>
      </c>
      <c r="Q425" s="1">
        <v>1868</v>
      </c>
      <c r="U425" s="1" t="s">
        <v>88</v>
      </c>
      <c r="W425" s="1" t="s">
        <v>89</v>
      </c>
      <c r="X425" s="1" t="s">
        <v>1801</v>
      </c>
      <c r="Z425" s="1" t="s">
        <v>89</v>
      </c>
      <c r="AA425" s="1" t="s">
        <v>90</v>
      </c>
      <c r="AB425" s="1">
        <v>1760</v>
      </c>
      <c r="AC425" s="1">
        <v>1849</v>
      </c>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t="s">
        <v>1684</v>
      </c>
      <c r="BG425" s="1">
        <v>1836</v>
      </c>
      <c r="BH425" s="1">
        <v>1850</v>
      </c>
      <c r="BI425" s="1">
        <v>1</v>
      </c>
      <c r="BJ425" s="1"/>
      <c r="BK425" s="6" t="s">
        <v>1775</v>
      </c>
      <c r="BL425" s="6" t="s">
        <v>1748</v>
      </c>
      <c r="BM425" s="1"/>
      <c r="BN425" s="1" t="s">
        <v>1685</v>
      </c>
      <c r="BO425" s="11">
        <v>9.0625</v>
      </c>
      <c r="BP425" s="12">
        <v>6.375</v>
      </c>
      <c r="BQ425" s="12"/>
      <c r="BR425" s="1">
        <v>23</v>
      </c>
      <c r="BS425" s="1">
        <v>16.2</v>
      </c>
      <c r="BT425" s="1"/>
      <c r="BU425" s="1"/>
      <c r="BV425" s="1" t="s">
        <v>1631</v>
      </c>
      <c r="BW425" s="1" t="s">
        <v>94</v>
      </c>
      <c r="BX425" s="1" t="s">
        <v>1632</v>
      </c>
      <c r="BY425" s="1">
        <v>2013</v>
      </c>
      <c r="BZ425" s="1"/>
      <c r="CA425" s="1"/>
      <c r="CB425" s="1"/>
      <c r="CN425" s="1" t="s">
        <v>490</v>
      </c>
      <c r="CP425" s="8" t="str">
        <f>HYPERLINK("http://www.metmuseum.org/art/collection/search/78772","http://www.metmuseum.org/art/collection/search/78772")</f>
        <v>http://www.metmuseum.org/art/collection/search/78772</v>
      </c>
      <c r="CQ425" s="4">
        <v>42842.333402777775</v>
      </c>
      <c r="CR425" s="1" t="s">
        <v>97</v>
      </c>
    </row>
    <row r="426" spans="1:96" ht="52.5" customHeight="1" x14ac:dyDescent="0.2">
      <c r="A426" s="1" t="s">
        <v>1686</v>
      </c>
      <c r="B426" s="1" t="b">
        <v>0</v>
      </c>
      <c r="C426" s="1" t="b">
        <v>1</v>
      </c>
      <c r="D426" s="1">
        <v>78788</v>
      </c>
      <c r="E426" s="1" t="s">
        <v>85</v>
      </c>
      <c r="F426" s="1" t="s">
        <v>1518</v>
      </c>
      <c r="N426" s="1" t="s">
        <v>87</v>
      </c>
      <c r="O426" s="1" t="s">
        <v>1798</v>
      </c>
      <c r="P426" s="1">
        <v>1615</v>
      </c>
      <c r="Q426" s="1">
        <v>1868</v>
      </c>
      <c r="U426" s="1" t="s">
        <v>88</v>
      </c>
      <c r="W426" s="1" t="s">
        <v>89</v>
      </c>
      <c r="X426" s="1" t="s">
        <v>1801</v>
      </c>
      <c r="Z426" s="1" t="s">
        <v>89</v>
      </c>
      <c r="AA426" s="1" t="s">
        <v>90</v>
      </c>
      <c r="AB426" s="1">
        <v>1760</v>
      </c>
      <c r="AC426" s="1">
        <v>1849</v>
      </c>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v>1809</v>
      </c>
      <c r="BG426" s="1">
        <v>1809</v>
      </c>
      <c r="BH426" s="1">
        <v>1809</v>
      </c>
      <c r="BI426" s="1">
        <v>5</v>
      </c>
      <c r="BJ426" s="1"/>
      <c r="BK426" s="6" t="s">
        <v>1791</v>
      </c>
      <c r="BL426" s="6" t="s">
        <v>1748</v>
      </c>
      <c r="BM426" s="1"/>
      <c r="BN426" s="1" t="s">
        <v>1687</v>
      </c>
      <c r="BO426" s="11">
        <v>8.9375</v>
      </c>
      <c r="BP426" s="11">
        <v>6.3125</v>
      </c>
      <c r="BQ426" s="11"/>
      <c r="BR426" s="1">
        <v>22.7</v>
      </c>
      <c r="BS426" s="1">
        <v>16</v>
      </c>
      <c r="BT426" s="1"/>
      <c r="BU426" s="1" t="s">
        <v>487</v>
      </c>
      <c r="BV426" s="1" t="s">
        <v>1631</v>
      </c>
      <c r="BW426" s="1" t="s">
        <v>94</v>
      </c>
      <c r="BX426" s="1" t="s">
        <v>1632</v>
      </c>
      <c r="BY426" s="1">
        <v>2013</v>
      </c>
      <c r="BZ426" s="1"/>
      <c r="CA426" s="1"/>
      <c r="CB426" s="1"/>
      <c r="CN426" s="1" t="s">
        <v>490</v>
      </c>
      <c r="CP426" s="8" t="str">
        <f>HYPERLINK("http://www.metmuseum.org/art/collection/search/78788","http://www.metmuseum.org/art/collection/search/78788")</f>
        <v>http://www.metmuseum.org/art/collection/search/78788</v>
      </c>
      <c r="CQ426" s="4">
        <v>42842.333402777775</v>
      </c>
      <c r="CR426" s="1" t="s">
        <v>97</v>
      </c>
    </row>
    <row r="427" spans="1:96" ht="52.5" customHeight="1" x14ac:dyDescent="0.2">
      <c r="A427" s="1" t="s">
        <v>1688</v>
      </c>
      <c r="B427" s="1" t="b">
        <v>0</v>
      </c>
      <c r="C427" s="1" t="b">
        <v>1</v>
      </c>
      <c r="D427" s="1">
        <v>78789</v>
      </c>
      <c r="E427" s="1" t="s">
        <v>85</v>
      </c>
      <c r="F427" s="1" t="s">
        <v>1518</v>
      </c>
      <c r="N427" s="1" t="s">
        <v>87</v>
      </c>
      <c r="O427" s="1" t="s">
        <v>1798</v>
      </c>
      <c r="P427" s="1">
        <v>1615</v>
      </c>
      <c r="Q427" s="1">
        <v>1868</v>
      </c>
      <c r="U427" s="1" t="s">
        <v>88</v>
      </c>
      <c r="W427" s="1" t="s">
        <v>89</v>
      </c>
      <c r="X427" s="1" t="s">
        <v>1801</v>
      </c>
      <c r="Z427" s="1" t="s">
        <v>89</v>
      </c>
      <c r="AA427" s="1" t="s">
        <v>90</v>
      </c>
      <c r="AB427" s="1">
        <v>1760</v>
      </c>
      <c r="AC427" s="1">
        <v>1849</v>
      </c>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v>1810</v>
      </c>
      <c r="BG427" s="1">
        <v>1810</v>
      </c>
      <c r="BH427" s="1">
        <v>1810</v>
      </c>
      <c r="BI427" s="1">
        <v>6</v>
      </c>
      <c r="BJ427" s="1"/>
      <c r="BK427" s="6" t="s">
        <v>1789</v>
      </c>
      <c r="BL427" s="6" t="s">
        <v>1748</v>
      </c>
      <c r="BM427" s="1"/>
      <c r="BN427" s="1" t="s">
        <v>1689</v>
      </c>
      <c r="BO427" s="1">
        <v>9</v>
      </c>
      <c r="BP427" s="12">
        <v>6.25</v>
      </c>
      <c r="BQ427" s="12"/>
      <c r="BR427" s="1">
        <v>22.8</v>
      </c>
      <c r="BS427" s="1">
        <v>15.8</v>
      </c>
      <c r="BT427" s="1"/>
      <c r="BU427" s="1" t="s">
        <v>1690</v>
      </c>
      <c r="BV427" s="1" t="s">
        <v>1631</v>
      </c>
      <c r="BW427" s="1" t="s">
        <v>94</v>
      </c>
      <c r="BX427" s="1" t="s">
        <v>1632</v>
      </c>
      <c r="BY427" s="1">
        <v>2013</v>
      </c>
      <c r="BZ427" s="1"/>
      <c r="CA427" s="1"/>
      <c r="CB427" s="1"/>
      <c r="CN427" s="1" t="s">
        <v>490</v>
      </c>
      <c r="CP427" s="8" t="str">
        <f>HYPERLINK("http://www.metmuseum.org/art/collection/search/78789","http://www.metmuseum.org/art/collection/search/78789")</f>
        <v>http://www.metmuseum.org/art/collection/search/78789</v>
      </c>
      <c r="CQ427" s="4">
        <v>42842.333402777775</v>
      </c>
      <c r="CR427" s="1" t="s">
        <v>97</v>
      </c>
    </row>
    <row r="428" spans="1:96" ht="66" customHeight="1" x14ac:dyDescent="0.2">
      <c r="A428" s="1">
        <v>2013.7190000000001</v>
      </c>
      <c r="B428" s="1" t="b">
        <v>0</v>
      </c>
      <c r="C428" s="1" t="b">
        <v>1</v>
      </c>
      <c r="D428" s="1">
        <v>78790</v>
      </c>
      <c r="E428" s="1" t="s">
        <v>85</v>
      </c>
      <c r="F428" s="1" t="s">
        <v>482</v>
      </c>
      <c r="N428" s="1" t="s">
        <v>87</v>
      </c>
      <c r="O428" s="1" t="s">
        <v>1798</v>
      </c>
      <c r="P428" s="1">
        <v>1615</v>
      </c>
      <c r="Q428" s="1">
        <v>1868</v>
      </c>
      <c r="U428" s="1" t="s">
        <v>88</v>
      </c>
      <c r="W428" s="1" t="s">
        <v>89</v>
      </c>
      <c r="X428" s="1" t="s">
        <v>1801</v>
      </c>
      <c r="Z428" s="1" t="s">
        <v>89</v>
      </c>
      <c r="AA428" s="1" t="s">
        <v>90</v>
      </c>
      <c r="AB428" s="1">
        <v>1760</v>
      </c>
      <c r="AC428" s="1">
        <v>1849</v>
      </c>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v>1814</v>
      </c>
      <c r="BG428" s="1">
        <v>1814</v>
      </c>
      <c r="BH428" s="1">
        <v>1814</v>
      </c>
      <c r="BI428" s="1">
        <v>1</v>
      </c>
      <c r="BJ428" s="6" t="s">
        <v>1759</v>
      </c>
      <c r="BK428" s="6" t="s">
        <v>1792</v>
      </c>
      <c r="BL428" s="1" t="s">
        <v>1746</v>
      </c>
      <c r="BM428" s="1"/>
      <c r="BN428" s="1" t="s">
        <v>1691</v>
      </c>
      <c r="BO428" s="12">
        <v>10.25</v>
      </c>
      <c r="BP428" s="11">
        <v>6.8125</v>
      </c>
      <c r="BQ428" s="11"/>
      <c r="BR428" s="1">
        <v>22.8</v>
      </c>
      <c r="BS428" s="1">
        <v>17.3</v>
      </c>
      <c r="BT428" s="1"/>
      <c r="BU428" s="1"/>
      <c r="BV428" s="1" t="s">
        <v>1640</v>
      </c>
      <c r="BW428" s="1" t="s">
        <v>94</v>
      </c>
      <c r="BX428" s="1" t="s">
        <v>1632</v>
      </c>
      <c r="BY428" s="1">
        <v>2013</v>
      </c>
      <c r="BZ428" s="1"/>
      <c r="CA428" s="1"/>
      <c r="CB428" s="1" t="s">
        <v>1641</v>
      </c>
      <c r="CN428" s="1" t="s">
        <v>490</v>
      </c>
      <c r="CP428" s="8" t="str">
        <f>HYPERLINK("http://www.metmuseum.org/art/collection/search/78790","http://www.metmuseum.org/art/collection/search/78790")</f>
        <v>http://www.metmuseum.org/art/collection/search/78790</v>
      </c>
      <c r="CQ428" s="4">
        <v>42842.333402777775</v>
      </c>
      <c r="CR428" s="1" t="s">
        <v>97</v>
      </c>
    </row>
    <row r="429" spans="1:96" ht="52.5" customHeight="1" x14ac:dyDescent="0.2">
      <c r="A429" s="1" t="s">
        <v>1692</v>
      </c>
      <c r="B429" s="1" t="b">
        <v>0</v>
      </c>
      <c r="C429" s="1" t="b">
        <v>1</v>
      </c>
      <c r="D429" s="1">
        <v>78791</v>
      </c>
      <c r="E429" s="1" t="s">
        <v>85</v>
      </c>
      <c r="F429" s="1" t="s">
        <v>482</v>
      </c>
      <c r="N429" s="1" t="s">
        <v>87</v>
      </c>
      <c r="O429" s="1" t="s">
        <v>1798</v>
      </c>
      <c r="P429" s="1">
        <v>1615</v>
      </c>
      <c r="Q429" s="1">
        <v>1868</v>
      </c>
      <c r="U429" s="1" t="s">
        <v>88</v>
      </c>
      <c r="W429" s="1" t="s">
        <v>89</v>
      </c>
      <c r="X429" s="1" t="s">
        <v>1801</v>
      </c>
      <c r="Z429" s="1" t="s">
        <v>89</v>
      </c>
      <c r="AA429" s="1" t="s">
        <v>90</v>
      </c>
      <c r="AB429" s="1">
        <v>1760</v>
      </c>
      <c r="AC429" s="1">
        <v>1849</v>
      </c>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t="s">
        <v>1693</v>
      </c>
      <c r="BG429" s="1">
        <v>1814</v>
      </c>
      <c r="BH429" s="1">
        <v>1878</v>
      </c>
      <c r="BI429" s="1">
        <v>19</v>
      </c>
      <c r="BJ429" s="1"/>
      <c r="BK429" s="6" t="s">
        <v>1793</v>
      </c>
      <c r="BL429" s="1" t="s">
        <v>1746</v>
      </c>
      <c r="BM429" s="1"/>
      <c r="BN429" s="1" t="s">
        <v>1689</v>
      </c>
      <c r="BO429" s="1">
        <v>9</v>
      </c>
      <c r="BP429" s="12">
        <v>6.25</v>
      </c>
      <c r="BQ429" s="12"/>
      <c r="BR429" s="1">
        <v>22.8</v>
      </c>
      <c r="BS429" s="1">
        <v>15.8</v>
      </c>
      <c r="BT429" s="1"/>
      <c r="BU429" s="1" t="s">
        <v>1694</v>
      </c>
      <c r="BV429" s="1" t="s">
        <v>1631</v>
      </c>
      <c r="BW429" s="1" t="s">
        <v>94</v>
      </c>
      <c r="BX429" s="1" t="s">
        <v>1632</v>
      </c>
      <c r="BY429" s="1">
        <v>2013</v>
      </c>
      <c r="BZ429" s="1"/>
      <c r="CA429" s="1"/>
      <c r="CB429" s="1"/>
      <c r="CN429" s="1" t="s">
        <v>490</v>
      </c>
      <c r="CP429" s="8" t="str">
        <f>HYPERLINK("http://www.metmuseum.org/art/collection/search/78791","http://www.metmuseum.org/art/collection/search/78791")</f>
        <v>http://www.metmuseum.org/art/collection/search/78791</v>
      </c>
      <c r="CQ429" s="4">
        <v>42842.333402777775</v>
      </c>
      <c r="CR429" s="1" t="s">
        <v>97</v>
      </c>
    </row>
    <row r="430" spans="1:96" ht="52.5" customHeight="1" x14ac:dyDescent="0.2">
      <c r="A430" s="1">
        <v>2013.721</v>
      </c>
      <c r="B430" s="1" t="b">
        <v>0</v>
      </c>
      <c r="C430" s="1" t="b">
        <v>1</v>
      </c>
      <c r="D430" s="1">
        <v>78792</v>
      </c>
      <c r="E430" s="1" t="s">
        <v>85</v>
      </c>
      <c r="F430" s="1" t="s">
        <v>482</v>
      </c>
      <c r="N430" s="1" t="s">
        <v>87</v>
      </c>
      <c r="O430" s="1" t="s">
        <v>1798</v>
      </c>
      <c r="P430" s="1">
        <v>1615</v>
      </c>
      <c r="Q430" s="1">
        <v>1868</v>
      </c>
      <c r="U430" s="1" t="s">
        <v>88</v>
      </c>
      <c r="W430" s="1" t="s">
        <v>89</v>
      </c>
      <c r="X430" s="1" t="s">
        <v>1801</v>
      </c>
      <c r="Z430" s="1" t="s">
        <v>89</v>
      </c>
      <c r="AA430" s="1" t="s">
        <v>90</v>
      </c>
      <c r="AB430" s="1">
        <v>1760</v>
      </c>
      <c r="AC430" s="1">
        <v>1849</v>
      </c>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v>1815</v>
      </c>
      <c r="BG430" s="1">
        <v>1815</v>
      </c>
      <c r="BH430" s="1">
        <v>1815</v>
      </c>
      <c r="BI430" s="1">
        <v>1</v>
      </c>
      <c r="BJ430" s="1"/>
      <c r="BK430" s="6" t="s">
        <v>1775</v>
      </c>
      <c r="BL430" s="1" t="s">
        <v>1746</v>
      </c>
      <c r="BM430" s="1"/>
      <c r="BN430" s="1" t="s">
        <v>1695</v>
      </c>
      <c r="BO430" s="12">
        <v>10.25</v>
      </c>
      <c r="BP430" s="12">
        <v>6.875</v>
      </c>
      <c r="BQ430" s="12"/>
      <c r="BR430" s="1">
        <v>26</v>
      </c>
      <c r="BS430" s="1">
        <v>17.5</v>
      </c>
      <c r="BT430" s="1"/>
      <c r="BU430" s="1"/>
      <c r="BV430" s="1" t="s">
        <v>1631</v>
      </c>
      <c r="BW430" s="1" t="s">
        <v>94</v>
      </c>
      <c r="BX430" s="1" t="s">
        <v>1632</v>
      </c>
      <c r="BY430" s="1">
        <v>2013</v>
      </c>
      <c r="BZ430" s="1"/>
      <c r="CA430" s="1"/>
      <c r="CB430" s="1"/>
      <c r="CN430" s="1" t="s">
        <v>490</v>
      </c>
      <c r="CP430" s="8" t="str">
        <f>HYPERLINK("http://www.metmuseum.org/art/collection/search/78792","http://www.metmuseum.org/art/collection/search/78792")</f>
        <v>http://www.metmuseum.org/art/collection/search/78792</v>
      </c>
      <c r="CQ430" s="4">
        <v>42842.333402777775</v>
      </c>
      <c r="CR430" s="1" t="s">
        <v>97</v>
      </c>
    </row>
    <row r="431" spans="1:96" ht="52.5" customHeight="1" x14ac:dyDescent="0.2">
      <c r="A431" s="1" t="s">
        <v>1696</v>
      </c>
      <c r="B431" s="1" t="b">
        <v>0</v>
      </c>
      <c r="C431" s="1" t="b">
        <v>1</v>
      </c>
      <c r="D431" s="1">
        <v>78793</v>
      </c>
      <c r="E431" s="1" t="s">
        <v>85</v>
      </c>
      <c r="F431" s="1" t="s">
        <v>1518</v>
      </c>
      <c r="N431" s="1" t="s">
        <v>87</v>
      </c>
      <c r="O431" s="1" t="s">
        <v>1798</v>
      </c>
      <c r="P431" s="1">
        <v>1615</v>
      </c>
      <c r="Q431" s="1">
        <v>1868</v>
      </c>
      <c r="U431" s="1" t="s">
        <v>88</v>
      </c>
      <c r="W431" s="1" t="s">
        <v>89</v>
      </c>
      <c r="X431" s="1" t="s">
        <v>1801</v>
      </c>
      <c r="Z431" s="1" t="s">
        <v>89</v>
      </c>
      <c r="AA431" s="1" t="s">
        <v>90</v>
      </c>
      <c r="AB431" s="1">
        <v>1760</v>
      </c>
      <c r="AC431" s="1">
        <v>1849</v>
      </c>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t="s">
        <v>1697</v>
      </c>
      <c r="BG431" s="1">
        <v>1817</v>
      </c>
      <c r="BH431" s="1">
        <v>1819</v>
      </c>
      <c r="BI431" s="1">
        <v>1</v>
      </c>
      <c r="BJ431" s="1"/>
      <c r="BK431" s="6" t="s">
        <v>1794</v>
      </c>
      <c r="BL431" s="6" t="s">
        <v>1748</v>
      </c>
      <c r="BM431" s="1"/>
      <c r="BN431" s="1" t="s">
        <v>1698</v>
      </c>
      <c r="BO431" s="14" t="s">
        <v>1810</v>
      </c>
      <c r="BP431" s="14" t="s">
        <v>1811</v>
      </c>
      <c r="BQ431" s="14"/>
      <c r="BR431" s="6" t="s">
        <v>1808</v>
      </c>
      <c r="BS431" s="6" t="s">
        <v>1809</v>
      </c>
      <c r="BT431" s="6"/>
      <c r="BU431" s="1" t="s">
        <v>1699</v>
      </c>
      <c r="BV431" s="1" t="s">
        <v>1631</v>
      </c>
      <c r="BW431" s="1" t="s">
        <v>94</v>
      </c>
      <c r="BX431" s="1" t="s">
        <v>1632</v>
      </c>
      <c r="BY431" s="1">
        <v>2013</v>
      </c>
      <c r="BZ431" s="1"/>
      <c r="CA431" s="1"/>
      <c r="CB431" s="1"/>
      <c r="CN431" s="1" t="s">
        <v>490</v>
      </c>
      <c r="CP431" s="8" t="str">
        <f>HYPERLINK("http://www.metmuseum.org/art/collection/search/78793","http://www.metmuseum.org/art/collection/search/78793")</f>
        <v>http://www.metmuseum.org/art/collection/search/78793</v>
      </c>
      <c r="CQ431" s="4">
        <v>42842.333402777775</v>
      </c>
      <c r="CR431" s="1" t="s">
        <v>97</v>
      </c>
    </row>
    <row r="432" spans="1:96" ht="52.5" customHeight="1" x14ac:dyDescent="0.2">
      <c r="A432" s="1">
        <v>2013.723</v>
      </c>
      <c r="B432" s="1" t="b">
        <v>0</v>
      </c>
      <c r="C432" s="1" t="b">
        <v>0</v>
      </c>
      <c r="D432" s="1">
        <v>78794</v>
      </c>
      <c r="E432" s="1" t="s">
        <v>85</v>
      </c>
      <c r="F432" s="1" t="s">
        <v>482</v>
      </c>
      <c r="N432" s="1" t="s">
        <v>87</v>
      </c>
      <c r="O432" s="1" t="s">
        <v>1798</v>
      </c>
      <c r="P432" s="1">
        <v>1615</v>
      </c>
      <c r="Q432" s="1">
        <v>1868</v>
      </c>
      <c r="U432" s="1" t="s">
        <v>88</v>
      </c>
      <c r="W432" s="1" t="s">
        <v>89</v>
      </c>
      <c r="X432" s="1" t="s">
        <v>1801</v>
      </c>
      <c r="Z432" s="1" t="s">
        <v>89</v>
      </c>
      <c r="AA432" s="1" t="s">
        <v>90</v>
      </c>
      <c r="AB432" s="1">
        <v>1760</v>
      </c>
      <c r="AC432" s="1">
        <v>1849</v>
      </c>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v>1818</v>
      </c>
      <c r="BG432" s="1">
        <v>1818</v>
      </c>
      <c r="BH432" s="1">
        <v>1818</v>
      </c>
      <c r="BI432" s="1">
        <v>1</v>
      </c>
      <c r="BJ432" s="1"/>
      <c r="BK432" s="6" t="s">
        <v>1775</v>
      </c>
      <c r="BL432" s="6" t="s">
        <v>1753</v>
      </c>
      <c r="BM432" s="1"/>
      <c r="BN432" s="1" t="s">
        <v>1700</v>
      </c>
      <c r="BO432" s="12">
        <v>10.25</v>
      </c>
      <c r="BP432" s="11">
        <v>6.6875</v>
      </c>
      <c r="BQ432" s="11"/>
      <c r="BR432" s="1">
        <v>26</v>
      </c>
      <c r="BS432" s="1">
        <v>17</v>
      </c>
      <c r="BT432" s="1"/>
      <c r="BU432" s="1"/>
      <c r="BV432" s="1" t="s">
        <v>1631</v>
      </c>
      <c r="BW432" s="1" t="s">
        <v>94</v>
      </c>
      <c r="BX432" s="1" t="s">
        <v>1632</v>
      </c>
      <c r="BY432" s="1">
        <v>2013</v>
      </c>
      <c r="BZ432" s="1"/>
      <c r="CA432" s="1"/>
      <c r="CB432" s="1"/>
      <c r="CN432" s="1" t="s">
        <v>490</v>
      </c>
      <c r="CP432" s="8" t="str">
        <f>HYPERLINK("http://www.metmuseum.org/art/collection/search/78794","http://www.metmuseum.org/art/collection/search/78794")</f>
        <v>http://www.metmuseum.org/art/collection/search/78794</v>
      </c>
      <c r="CQ432" s="4">
        <v>42842.333402777775</v>
      </c>
      <c r="CR432" s="1" t="s">
        <v>97</v>
      </c>
    </row>
    <row r="433" spans="1:96" ht="52.5" customHeight="1" x14ac:dyDescent="0.2">
      <c r="A433" s="1">
        <v>2013.7239999999999</v>
      </c>
      <c r="B433" s="1" t="b">
        <v>0</v>
      </c>
      <c r="C433" s="1" t="b">
        <v>0</v>
      </c>
      <c r="D433" s="1">
        <v>78795</v>
      </c>
      <c r="E433" s="1" t="s">
        <v>85</v>
      </c>
      <c r="F433" s="1" t="s">
        <v>482</v>
      </c>
      <c r="N433" s="1" t="s">
        <v>87</v>
      </c>
      <c r="O433" s="1" t="s">
        <v>1798</v>
      </c>
      <c r="P433" s="1">
        <v>1615</v>
      </c>
      <c r="Q433" s="1">
        <v>1868</v>
      </c>
      <c r="U433" s="1" t="s">
        <v>88</v>
      </c>
      <c r="W433" s="1" t="s">
        <v>89</v>
      </c>
      <c r="X433" s="1" t="s">
        <v>1801</v>
      </c>
      <c r="Z433" s="1" t="s">
        <v>89</v>
      </c>
      <c r="AA433" s="1" t="s">
        <v>90</v>
      </c>
      <c r="AB433" s="1">
        <v>1760</v>
      </c>
      <c r="AC433" s="1">
        <v>1849</v>
      </c>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v>1819</v>
      </c>
      <c r="BG433" s="1">
        <v>1819</v>
      </c>
      <c r="BH433" s="1">
        <v>1819</v>
      </c>
      <c r="BI433" s="1">
        <v>1</v>
      </c>
      <c r="BJ433" s="1"/>
      <c r="BK433" s="6" t="s">
        <v>1775</v>
      </c>
      <c r="BL433" s="6" t="s">
        <v>1748</v>
      </c>
      <c r="BM433" s="1"/>
      <c r="BN433" s="1" t="s">
        <v>1701</v>
      </c>
      <c r="BO433" s="12">
        <v>10.25</v>
      </c>
      <c r="BP433" s="12">
        <v>6.75</v>
      </c>
      <c r="BQ433" s="12"/>
      <c r="BR433" s="1">
        <v>26</v>
      </c>
      <c r="BS433" s="1">
        <v>17.2</v>
      </c>
      <c r="BT433" s="1"/>
      <c r="BU433" s="1"/>
      <c r="BV433" s="1" t="s">
        <v>1631</v>
      </c>
      <c r="BW433" s="1" t="s">
        <v>94</v>
      </c>
      <c r="BX433" s="1" t="s">
        <v>1632</v>
      </c>
      <c r="BY433" s="1">
        <v>2013</v>
      </c>
      <c r="BZ433" s="1"/>
      <c r="CA433" s="1"/>
      <c r="CB433" s="1"/>
      <c r="CN433" s="1" t="s">
        <v>490</v>
      </c>
      <c r="CP433" s="8" t="str">
        <f>HYPERLINK("http://www.metmuseum.org/art/collection/search/78795","http://www.metmuseum.org/art/collection/search/78795")</f>
        <v>http://www.metmuseum.org/art/collection/search/78795</v>
      </c>
      <c r="CQ433" s="4">
        <v>42842.333402777775</v>
      </c>
      <c r="CR433" s="1" t="s">
        <v>97</v>
      </c>
    </row>
    <row r="434" spans="1:96" ht="52.5" customHeight="1" x14ac:dyDescent="0.2">
      <c r="A434" s="1" t="s">
        <v>1702</v>
      </c>
      <c r="B434" s="1" t="b">
        <v>0</v>
      </c>
      <c r="C434" s="1" t="b">
        <v>0</v>
      </c>
      <c r="D434" s="1">
        <v>78796</v>
      </c>
      <c r="E434" s="1" t="s">
        <v>85</v>
      </c>
      <c r="F434" s="1" t="s">
        <v>1518</v>
      </c>
      <c r="N434" s="1" t="s">
        <v>87</v>
      </c>
      <c r="O434" s="1" t="s">
        <v>1798</v>
      </c>
      <c r="P434" s="1">
        <v>1615</v>
      </c>
      <c r="Q434" s="1">
        <v>1868</v>
      </c>
      <c r="U434" s="1" t="s">
        <v>88</v>
      </c>
      <c r="W434" s="1" t="s">
        <v>89</v>
      </c>
      <c r="X434" s="1" t="s">
        <v>1801</v>
      </c>
      <c r="Z434" s="1" t="s">
        <v>89</v>
      </c>
      <c r="AA434" s="1" t="s">
        <v>90</v>
      </c>
      <c r="AB434" s="1">
        <v>1760</v>
      </c>
      <c r="AC434" s="1">
        <v>1849</v>
      </c>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v>1819</v>
      </c>
      <c r="BG434" s="1">
        <v>1819</v>
      </c>
      <c r="BH434" s="1">
        <v>1819</v>
      </c>
      <c r="BI434" s="1">
        <v>3</v>
      </c>
      <c r="BJ434" s="1"/>
      <c r="BK434" s="6" t="s">
        <v>1795</v>
      </c>
      <c r="BL434" s="6" t="s">
        <v>1748</v>
      </c>
      <c r="BM434" s="1"/>
      <c r="BN434" s="1" t="s">
        <v>1704</v>
      </c>
      <c r="BO434" s="11">
        <v>10.0625</v>
      </c>
      <c r="BP434" s="11">
        <v>7.1875</v>
      </c>
      <c r="BQ434" s="11"/>
      <c r="BR434" s="1">
        <v>25.5</v>
      </c>
      <c r="BS434" s="1">
        <v>18.2</v>
      </c>
      <c r="BT434" s="1"/>
      <c r="BU434" s="1" t="s">
        <v>1705</v>
      </c>
      <c r="BV434" s="1" t="s">
        <v>1631</v>
      </c>
      <c r="BW434" s="1" t="s">
        <v>94</v>
      </c>
      <c r="BX434" s="1" t="s">
        <v>1632</v>
      </c>
      <c r="BY434" s="1">
        <v>2013</v>
      </c>
      <c r="BZ434" s="1"/>
      <c r="CA434" s="1"/>
      <c r="CB434" s="1"/>
      <c r="CN434" s="1" t="s">
        <v>490</v>
      </c>
      <c r="CP434" s="8" t="str">
        <f>HYPERLINK("http://www.metmuseum.org/art/collection/search/78796","http://www.metmuseum.org/art/collection/search/78796")</f>
        <v>http://www.metmuseum.org/art/collection/search/78796</v>
      </c>
      <c r="CQ434" s="4">
        <v>42842.333402777775</v>
      </c>
      <c r="CR434" s="1" t="s">
        <v>97</v>
      </c>
    </row>
    <row r="435" spans="1:96" ht="52.5" customHeight="1" x14ac:dyDescent="0.2">
      <c r="A435" s="1">
        <v>2013.7260000000001</v>
      </c>
      <c r="B435" s="1" t="b">
        <v>0</v>
      </c>
      <c r="C435" s="1" t="b">
        <v>1</v>
      </c>
      <c r="D435" s="1">
        <v>78797</v>
      </c>
      <c r="E435" s="1" t="s">
        <v>85</v>
      </c>
      <c r="F435" s="1" t="s">
        <v>482</v>
      </c>
      <c r="N435" s="1" t="s">
        <v>87</v>
      </c>
      <c r="O435" s="1" t="s">
        <v>1798</v>
      </c>
      <c r="P435" s="1">
        <v>1615</v>
      </c>
      <c r="Q435" s="1">
        <v>1868</v>
      </c>
      <c r="U435" s="1" t="s">
        <v>88</v>
      </c>
      <c r="W435" s="1" t="s">
        <v>89</v>
      </c>
      <c r="X435" s="1" t="s">
        <v>1801</v>
      </c>
      <c r="Z435" s="1" t="s">
        <v>89</v>
      </c>
      <c r="AA435" s="1" t="s">
        <v>90</v>
      </c>
      <c r="AB435" s="1">
        <v>1760</v>
      </c>
      <c r="AC435" s="1">
        <v>1849</v>
      </c>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v>1820</v>
      </c>
      <c r="BG435" s="1">
        <v>1820</v>
      </c>
      <c r="BH435" s="1">
        <v>1820</v>
      </c>
      <c r="BI435" s="1">
        <v>1</v>
      </c>
      <c r="BJ435" s="1"/>
      <c r="BK435" s="6" t="s">
        <v>1775</v>
      </c>
      <c r="BL435" s="6" t="s">
        <v>1746</v>
      </c>
      <c r="BM435" s="1"/>
      <c r="BN435" s="1" t="s">
        <v>1706</v>
      </c>
      <c r="BO435" s="12">
        <v>10.375</v>
      </c>
      <c r="BP435" s="12">
        <v>6.75</v>
      </c>
      <c r="BQ435" s="12"/>
      <c r="BR435" s="1">
        <v>26.4</v>
      </c>
      <c r="BS435" s="1">
        <v>17.2</v>
      </c>
      <c r="BT435" s="1"/>
      <c r="BU435" s="1"/>
      <c r="BV435" s="1" t="s">
        <v>1631</v>
      </c>
      <c r="BW435" s="1" t="s">
        <v>94</v>
      </c>
      <c r="BX435" s="1" t="s">
        <v>1632</v>
      </c>
      <c r="BY435" s="1">
        <v>2013</v>
      </c>
      <c r="BZ435" s="1"/>
      <c r="CA435" s="1"/>
      <c r="CB435" s="1"/>
      <c r="CN435" s="1" t="s">
        <v>490</v>
      </c>
      <c r="CP435" s="8" t="str">
        <f>HYPERLINK("http://www.metmuseum.org/art/collection/search/78797","http://www.metmuseum.org/art/collection/search/78797")</f>
        <v>http://www.metmuseum.org/art/collection/search/78797</v>
      </c>
      <c r="CQ435" s="4">
        <v>42842.333402777775</v>
      </c>
      <c r="CR435" s="1" t="s">
        <v>97</v>
      </c>
    </row>
    <row r="436" spans="1:96" ht="52.5" customHeight="1" x14ac:dyDescent="0.2">
      <c r="A436" s="1">
        <v>2013.7270000000001</v>
      </c>
      <c r="B436" s="1" t="b">
        <v>0</v>
      </c>
      <c r="C436" s="1" t="b">
        <v>0</v>
      </c>
      <c r="D436" s="1">
        <v>78798</v>
      </c>
      <c r="E436" s="1" t="s">
        <v>85</v>
      </c>
      <c r="F436" s="1" t="s">
        <v>482</v>
      </c>
      <c r="N436" s="1" t="s">
        <v>87</v>
      </c>
      <c r="O436" s="1" t="s">
        <v>1798</v>
      </c>
      <c r="P436" s="1">
        <v>1615</v>
      </c>
      <c r="Q436" s="1">
        <v>1868</v>
      </c>
      <c r="U436" s="1" t="s">
        <v>88</v>
      </c>
      <c r="W436" s="1" t="s">
        <v>89</v>
      </c>
      <c r="X436" s="1" t="s">
        <v>1801</v>
      </c>
      <c r="Z436" s="1" t="s">
        <v>89</v>
      </c>
      <c r="AA436" s="1" t="s">
        <v>90</v>
      </c>
      <c r="AB436" s="1">
        <v>1760</v>
      </c>
      <c r="AC436" s="1">
        <v>1849</v>
      </c>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v>1820</v>
      </c>
      <c r="BG436" s="1">
        <v>1820</v>
      </c>
      <c r="BH436" s="1">
        <v>1820</v>
      </c>
      <c r="BI436" s="1">
        <v>1</v>
      </c>
      <c r="BJ436" s="1"/>
      <c r="BK436" s="6" t="s">
        <v>1775</v>
      </c>
      <c r="BL436" s="6" t="s">
        <v>1748</v>
      </c>
      <c r="BM436" s="1"/>
      <c r="BN436" s="1" t="s">
        <v>1707</v>
      </c>
      <c r="BO436" s="12">
        <v>10.375</v>
      </c>
      <c r="BP436" s="11">
        <v>7.0625</v>
      </c>
      <c r="BQ436" s="11"/>
      <c r="BR436" s="1">
        <v>26.4</v>
      </c>
      <c r="BS436" s="1">
        <v>18</v>
      </c>
      <c r="BT436" s="1"/>
      <c r="BU436" s="1"/>
      <c r="BV436" s="1" t="s">
        <v>1631</v>
      </c>
      <c r="BW436" s="1" t="s">
        <v>94</v>
      </c>
      <c r="BX436" s="1" t="s">
        <v>1632</v>
      </c>
      <c r="BY436" s="1">
        <v>2013</v>
      </c>
      <c r="BZ436" s="1"/>
      <c r="CA436" s="1"/>
      <c r="CB436" s="1"/>
      <c r="CN436" s="1" t="s">
        <v>490</v>
      </c>
      <c r="CP436" s="8" t="str">
        <f>HYPERLINK("http://www.metmuseum.org/art/collection/search/78798","http://www.metmuseum.org/art/collection/search/78798")</f>
        <v>http://www.metmuseum.org/art/collection/search/78798</v>
      </c>
      <c r="CQ436" s="4">
        <v>42842.333402777775</v>
      </c>
      <c r="CR436" s="1" t="s">
        <v>97</v>
      </c>
    </row>
    <row r="437" spans="1:96" ht="52.5" customHeight="1" x14ac:dyDescent="0.2">
      <c r="A437" s="1">
        <v>2013.7280000000001</v>
      </c>
      <c r="B437" s="1" t="b">
        <v>0</v>
      </c>
      <c r="C437" s="1" t="b">
        <v>1</v>
      </c>
      <c r="D437" s="1">
        <v>78799</v>
      </c>
      <c r="E437" s="1" t="s">
        <v>85</v>
      </c>
      <c r="F437" s="1" t="s">
        <v>482</v>
      </c>
      <c r="N437" s="1" t="s">
        <v>87</v>
      </c>
      <c r="O437" s="1" t="s">
        <v>1798</v>
      </c>
      <c r="P437" s="1">
        <v>1615</v>
      </c>
      <c r="Q437" s="1">
        <v>1868</v>
      </c>
      <c r="U437" s="1" t="s">
        <v>88</v>
      </c>
      <c r="W437" s="1" t="s">
        <v>89</v>
      </c>
      <c r="X437" s="1" t="s">
        <v>1801</v>
      </c>
      <c r="Z437" s="1" t="s">
        <v>89</v>
      </c>
      <c r="AA437" s="1" t="s">
        <v>90</v>
      </c>
      <c r="AB437" s="1">
        <v>1760</v>
      </c>
      <c r="AC437" s="1">
        <v>1849</v>
      </c>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v>1823</v>
      </c>
      <c r="BG437" s="1">
        <v>1823</v>
      </c>
      <c r="BH437" s="1">
        <v>1823</v>
      </c>
      <c r="BI437" s="1">
        <v>1</v>
      </c>
      <c r="BJ437" s="1"/>
      <c r="BK437" s="6" t="s">
        <v>1775</v>
      </c>
      <c r="BL437" s="6" t="s">
        <v>1746</v>
      </c>
      <c r="BM437" s="1"/>
      <c r="BN437" s="1" t="s">
        <v>1689</v>
      </c>
      <c r="BO437" s="1">
        <v>9</v>
      </c>
      <c r="BP437" s="12">
        <v>6.25</v>
      </c>
      <c r="BQ437" s="12"/>
      <c r="BR437" s="1">
        <v>22.8</v>
      </c>
      <c r="BS437" s="1">
        <v>15.8</v>
      </c>
      <c r="BT437" s="1"/>
      <c r="BU437" s="1"/>
      <c r="BV437" s="1" t="s">
        <v>1631</v>
      </c>
      <c r="BW437" s="1" t="s">
        <v>94</v>
      </c>
      <c r="BX437" s="1" t="s">
        <v>1632</v>
      </c>
      <c r="BY437" s="1">
        <v>2013</v>
      </c>
      <c r="BZ437" s="1"/>
      <c r="CA437" s="1"/>
      <c r="CB437" s="1"/>
      <c r="CN437" s="1" t="s">
        <v>490</v>
      </c>
      <c r="CP437" s="8" t="str">
        <f>HYPERLINK("http://www.metmuseum.org/art/collection/search/78799","http://www.metmuseum.org/art/collection/search/78799")</f>
        <v>http://www.metmuseum.org/art/collection/search/78799</v>
      </c>
      <c r="CQ437" s="4">
        <v>42842.333402777775</v>
      </c>
      <c r="CR437" s="1" t="s">
        <v>97</v>
      </c>
    </row>
    <row r="438" spans="1:96" ht="52.5" customHeight="1" x14ac:dyDescent="0.2">
      <c r="A438" s="1" t="s">
        <v>1708</v>
      </c>
      <c r="B438" s="1" t="b">
        <v>0</v>
      </c>
      <c r="C438" s="1" t="b">
        <v>1</v>
      </c>
      <c r="D438" s="1">
        <v>78800</v>
      </c>
      <c r="E438" s="1" t="s">
        <v>85</v>
      </c>
      <c r="F438" s="1" t="s">
        <v>1518</v>
      </c>
      <c r="N438" s="1" t="s">
        <v>87</v>
      </c>
      <c r="O438" s="1" t="s">
        <v>1798</v>
      </c>
      <c r="P438" s="1">
        <v>1615</v>
      </c>
      <c r="Q438" s="1">
        <v>1868</v>
      </c>
      <c r="U438" s="1" t="s">
        <v>88</v>
      </c>
      <c r="W438" s="1" t="s">
        <v>89</v>
      </c>
      <c r="X438" s="1" t="s">
        <v>1801</v>
      </c>
      <c r="Z438" s="1" t="s">
        <v>89</v>
      </c>
      <c r="AA438" s="1" t="s">
        <v>90</v>
      </c>
      <c r="AB438" s="1">
        <v>1760</v>
      </c>
      <c r="AC438" s="1">
        <v>1849</v>
      </c>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t="s">
        <v>1709</v>
      </c>
      <c r="BG438" s="1">
        <v>1828</v>
      </c>
      <c r="BH438" s="1">
        <v>1848</v>
      </c>
      <c r="BI438" s="1">
        <v>3</v>
      </c>
      <c r="BJ438" s="1"/>
      <c r="BK438" s="6" t="s">
        <v>1795</v>
      </c>
      <c r="BL438" s="6" t="s">
        <v>1748</v>
      </c>
      <c r="BM438" s="1"/>
      <c r="BN438" s="1" t="s">
        <v>1710</v>
      </c>
      <c r="BO438" s="12">
        <v>8.875</v>
      </c>
      <c r="BP438" s="11">
        <v>6.0625</v>
      </c>
      <c r="BQ438" s="11"/>
      <c r="BR438" s="1">
        <v>22.5</v>
      </c>
      <c r="BS438" s="1">
        <v>15.4</v>
      </c>
      <c r="BT438" s="1"/>
      <c r="BU438" s="1" t="s">
        <v>1694</v>
      </c>
      <c r="BV438" s="1" t="s">
        <v>1631</v>
      </c>
      <c r="BW438" s="1" t="s">
        <v>94</v>
      </c>
      <c r="BX438" s="1" t="s">
        <v>1632</v>
      </c>
      <c r="BY438" s="1">
        <v>2013</v>
      </c>
      <c r="BZ438" s="1"/>
      <c r="CA438" s="1"/>
      <c r="CB438" s="1"/>
      <c r="CN438" s="1" t="s">
        <v>490</v>
      </c>
      <c r="CP438" s="8" t="str">
        <f>HYPERLINK("http://www.metmuseum.org/art/collection/search/78800","http://www.metmuseum.org/art/collection/search/78800")</f>
        <v>http://www.metmuseum.org/art/collection/search/78800</v>
      </c>
      <c r="CQ438" s="4">
        <v>42842.333402777775</v>
      </c>
      <c r="CR438" s="1" t="s">
        <v>97</v>
      </c>
    </row>
    <row r="439" spans="1:96" ht="52.5" customHeight="1" x14ac:dyDescent="0.2">
      <c r="A439" s="1">
        <v>2013.73</v>
      </c>
      <c r="B439" s="1" t="b">
        <v>0</v>
      </c>
      <c r="C439" s="1" t="b">
        <v>1</v>
      </c>
      <c r="D439" s="1">
        <v>78801</v>
      </c>
      <c r="E439" s="1" t="s">
        <v>85</v>
      </c>
      <c r="F439" s="1" t="s">
        <v>482</v>
      </c>
      <c r="N439" s="1" t="s">
        <v>87</v>
      </c>
      <c r="O439" s="1" t="s">
        <v>1798</v>
      </c>
      <c r="P439" s="1">
        <v>1615</v>
      </c>
      <c r="Q439" s="1">
        <v>1868</v>
      </c>
      <c r="U439" s="1" t="s">
        <v>88</v>
      </c>
      <c r="W439" s="1" t="s">
        <v>89</v>
      </c>
      <c r="X439" s="1" t="s">
        <v>1801</v>
      </c>
      <c r="Z439" s="1" t="s">
        <v>89</v>
      </c>
      <c r="AA439" s="1" t="s">
        <v>90</v>
      </c>
      <c r="AB439" s="1">
        <v>1760</v>
      </c>
      <c r="AC439" s="1">
        <v>1849</v>
      </c>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v>1829</v>
      </c>
      <c r="BG439" s="1">
        <v>1829</v>
      </c>
      <c r="BH439" s="1">
        <v>1829</v>
      </c>
      <c r="BI439" s="1">
        <v>1</v>
      </c>
      <c r="BJ439" s="1"/>
      <c r="BK439" s="6" t="s">
        <v>1775</v>
      </c>
      <c r="BL439" s="6" t="s">
        <v>1748</v>
      </c>
      <c r="BM439" s="1"/>
      <c r="BN439" s="1" t="s">
        <v>1711</v>
      </c>
      <c r="BO439" s="11">
        <v>8.9375</v>
      </c>
      <c r="BP439" s="12">
        <v>6.25</v>
      </c>
      <c r="BQ439" s="12"/>
      <c r="BR439" s="1">
        <v>22.7</v>
      </c>
      <c r="BS439" s="1">
        <v>15.8</v>
      </c>
      <c r="BT439" s="1"/>
      <c r="BU439" s="1"/>
      <c r="BV439" s="1" t="s">
        <v>1631</v>
      </c>
      <c r="BW439" s="1" t="s">
        <v>94</v>
      </c>
      <c r="BX439" s="1" t="s">
        <v>1632</v>
      </c>
      <c r="BY439" s="1">
        <v>2013</v>
      </c>
      <c r="BZ439" s="1"/>
      <c r="CA439" s="1"/>
      <c r="CB439" s="1"/>
      <c r="CN439" s="1" t="s">
        <v>490</v>
      </c>
      <c r="CP439" s="8" t="str">
        <f>HYPERLINK("http://www.metmuseum.org/art/collection/search/78801","http://www.metmuseum.org/art/collection/search/78801")</f>
        <v>http://www.metmuseum.org/art/collection/search/78801</v>
      </c>
      <c r="CQ439" s="4">
        <v>42842.333402777775</v>
      </c>
      <c r="CR439" s="1" t="s">
        <v>97</v>
      </c>
    </row>
    <row r="440" spans="1:96" ht="52.5" customHeight="1" x14ac:dyDescent="0.2">
      <c r="A440" s="1" t="s">
        <v>1712</v>
      </c>
      <c r="B440" s="1" t="b">
        <v>0</v>
      </c>
      <c r="C440" s="1" t="b">
        <v>0</v>
      </c>
      <c r="D440" s="1">
        <v>78802</v>
      </c>
      <c r="E440" s="1" t="s">
        <v>85</v>
      </c>
      <c r="F440" s="1" t="s">
        <v>1518</v>
      </c>
      <c r="N440" s="1" t="s">
        <v>87</v>
      </c>
      <c r="O440" s="1" t="s">
        <v>1798</v>
      </c>
      <c r="P440" s="1">
        <v>1615</v>
      </c>
      <c r="Q440" s="1">
        <v>1868</v>
      </c>
      <c r="U440" s="1" t="s">
        <v>88</v>
      </c>
      <c r="W440" s="1" t="s">
        <v>89</v>
      </c>
      <c r="X440" s="1" t="s">
        <v>1801</v>
      </c>
      <c r="Z440" s="1" t="s">
        <v>89</v>
      </c>
      <c r="AA440" s="1" t="s">
        <v>90</v>
      </c>
      <c r="AB440" s="1">
        <v>1760</v>
      </c>
      <c r="AC440" s="1">
        <v>1849</v>
      </c>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v>1833</v>
      </c>
      <c r="BG440" s="1">
        <v>1833</v>
      </c>
      <c r="BH440" s="1">
        <v>1833</v>
      </c>
      <c r="BI440" s="1">
        <v>5</v>
      </c>
      <c r="BJ440" s="1"/>
      <c r="BK440" s="6" t="s">
        <v>1791</v>
      </c>
      <c r="BL440" s="6" t="s">
        <v>1748</v>
      </c>
      <c r="BM440" s="1"/>
      <c r="BN440" s="1" t="s">
        <v>1713</v>
      </c>
      <c r="BO440" s="1">
        <v>9</v>
      </c>
      <c r="BP440" s="11">
        <v>6.1875</v>
      </c>
      <c r="BQ440" s="11"/>
      <c r="BR440" s="1">
        <v>22.8</v>
      </c>
      <c r="BS440" s="1">
        <v>15.7</v>
      </c>
      <c r="BT440" s="1"/>
      <c r="BU440" s="1" t="s">
        <v>487</v>
      </c>
      <c r="BV440" s="1" t="s">
        <v>1631</v>
      </c>
      <c r="BW440" s="1" t="s">
        <v>94</v>
      </c>
      <c r="BX440" s="1" t="s">
        <v>1632</v>
      </c>
      <c r="BY440" s="1">
        <v>2013</v>
      </c>
      <c r="BZ440" s="1"/>
      <c r="CA440" s="1"/>
      <c r="CB440" s="1"/>
      <c r="CN440" s="1" t="s">
        <v>490</v>
      </c>
      <c r="CP440" s="8" t="str">
        <f>HYPERLINK("http://www.metmuseum.org/art/collection/search/78802","http://www.metmuseum.org/art/collection/search/78802")</f>
        <v>http://www.metmuseum.org/art/collection/search/78802</v>
      </c>
      <c r="CQ440" s="4">
        <v>42842.333402777775</v>
      </c>
      <c r="CR440" s="1" t="s">
        <v>97</v>
      </c>
    </row>
    <row r="441" spans="1:96" ht="52.5" customHeight="1" x14ac:dyDescent="0.2">
      <c r="A441" s="1" t="s">
        <v>1714</v>
      </c>
      <c r="B441" s="1" t="b">
        <v>0</v>
      </c>
      <c r="C441" s="1" t="b">
        <v>1</v>
      </c>
      <c r="D441" s="1">
        <v>78803</v>
      </c>
      <c r="E441" s="1" t="s">
        <v>85</v>
      </c>
      <c r="F441" s="1" t="s">
        <v>1518</v>
      </c>
      <c r="N441" s="1" t="s">
        <v>87</v>
      </c>
      <c r="O441" s="1" t="s">
        <v>1798</v>
      </c>
      <c r="P441" s="1">
        <v>1615</v>
      </c>
      <c r="Q441" s="1">
        <v>1868</v>
      </c>
      <c r="U441" s="1" t="s">
        <v>88</v>
      </c>
      <c r="W441" s="1" t="s">
        <v>89</v>
      </c>
      <c r="X441" s="1" t="s">
        <v>1801</v>
      </c>
      <c r="Z441" s="1" t="s">
        <v>89</v>
      </c>
      <c r="AA441" s="1" t="s">
        <v>90</v>
      </c>
      <c r="AB441" s="1">
        <v>1760</v>
      </c>
      <c r="AC441" s="1">
        <v>1849</v>
      </c>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t="s">
        <v>1715</v>
      </c>
      <c r="BG441" s="1">
        <v>1834</v>
      </c>
      <c r="BH441" s="1">
        <v>1849</v>
      </c>
      <c r="BI441" s="1">
        <v>3</v>
      </c>
      <c r="BJ441" s="1"/>
      <c r="BK441" s="6" t="s">
        <v>1795</v>
      </c>
      <c r="BL441" s="6" t="s">
        <v>1748</v>
      </c>
      <c r="BM441" s="1"/>
      <c r="BN441" s="1" t="s">
        <v>1711</v>
      </c>
      <c r="BO441" s="11">
        <v>8.9375</v>
      </c>
      <c r="BP441" s="12">
        <v>6.25</v>
      </c>
      <c r="BQ441" s="12"/>
      <c r="BR441" s="1">
        <v>22.7</v>
      </c>
      <c r="BS441" s="1">
        <v>15.8</v>
      </c>
      <c r="BT441" s="1"/>
      <c r="BU441" s="1" t="s">
        <v>487</v>
      </c>
      <c r="BV441" s="1" t="s">
        <v>1631</v>
      </c>
      <c r="BW441" s="1" t="s">
        <v>94</v>
      </c>
      <c r="BX441" s="1" t="s">
        <v>1632</v>
      </c>
      <c r="BY441" s="1">
        <v>2013</v>
      </c>
      <c r="BZ441" s="1"/>
      <c r="CA441" s="1"/>
      <c r="CB441" s="1"/>
      <c r="CN441" s="1" t="s">
        <v>490</v>
      </c>
      <c r="CP441" s="8" t="str">
        <f>HYPERLINK("http://www.metmuseum.org/art/collection/search/78803","http://www.metmuseum.org/art/collection/search/78803")</f>
        <v>http://www.metmuseum.org/art/collection/search/78803</v>
      </c>
      <c r="CQ441" s="4">
        <v>42842.333402777775</v>
      </c>
      <c r="CR441" s="1" t="s">
        <v>97</v>
      </c>
    </row>
    <row r="442" spans="1:96" ht="52.5" customHeight="1" x14ac:dyDescent="0.2">
      <c r="A442" s="1">
        <v>2013.7329999999999</v>
      </c>
      <c r="B442" s="1" t="b">
        <v>0</v>
      </c>
      <c r="C442" s="1" t="b">
        <v>1</v>
      </c>
      <c r="D442" s="1">
        <v>78804</v>
      </c>
      <c r="E442" s="1" t="s">
        <v>85</v>
      </c>
      <c r="F442" s="1" t="s">
        <v>482</v>
      </c>
      <c r="N442" s="1" t="s">
        <v>87</v>
      </c>
      <c r="O442" s="1" t="s">
        <v>1798</v>
      </c>
      <c r="P442" s="1">
        <v>1615</v>
      </c>
      <c r="Q442" s="1">
        <v>1868</v>
      </c>
      <c r="U442" s="1" t="s">
        <v>88</v>
      </c>
      <c r="W442" s="1" t="s">
        <v>89</v>
      </c>
      <c r="X442" s="1" t="s">
        <v>1801</v>
      </c>
      <c r="Z442" s="1" t="s">
        <v>89</v>
      </c>
      <c r="AA442" s="1" t="s">
        <v>90</v>
      </c>
      <c r="AB442" s="1">
        <v>1760</v>
      </c>
      <c r="AC442" s="1">
        <v>1849</v>
      </c>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v>1836</v>
      </c>
      <c r="BG442" s="1">
        <v>1836</v>
      </c>
      <c r="BH442" s="1">
        <v>1836</v>
      </c>
      <c r="BI442" s="1">
        <v>1</v>
      </c>
      <c r="BJ442" s="1"/>
      <c r="BK442" s="6" t="s">
        <v>1775</v>
      </c>
      <c r="BL442" s="6" t="s">
        <v>1748</v>
      </c>
      <c r="BM442" s="1"/>
      <c r="BN442" s="1" t="s">
        <v>1716</v>
      </c>
      <c r="BO442" s="11">
        <v>8.8125</v>
      </c>
      <c r="BP442" s="12">
        <v>6.125</v>
      </c>
      <c r="BQ442" s="12"/>
      <c r="BR442" s="1">
        <v>22.4</v>
      </c>
      <c r="BS442" s="1">
        <v>15.6</v>
      </c>
      <c r="BT442" s="1"/>
      <c r="BU442" s="1"/>
      <c r="BV442" s="1" t="s">
        <v>1631</v>
      </c>
      <c r="BW442" s="1" t="s">
        <v>94</v>
      </c>
      <c r="BX442" s="1" t="s">
        <v>1632</v>
      </c>
      <c r="BY442" s="1">
        <v>2013</v>
      </c>
      <c r="BZ442" s="1"/>
      <c r="CA442" s="1"/>
      <c r="CB442" s="1"/>
      <c r="CN442" s="1" t="s">
        <v>490</v>
      </c>
      <c r="CP442" s="8" t="str">
        <f>HYPERLINK("http://www.metmuseum.org/art/collection/search/78804","http://www.metmuseum.org/art/collection/search/78804")</f>
        <v>http://www.metmuseum.org/art/collection/search/78804</v>
      </c>
      <c r="CQ442" s="4">
        <v>42842.333402777775</v>
      </c>
      <c r="CR442" s="1" t="s">
        <v>97</v>
      </c>
    </row>
    <row r="443" spans="1:96" ht="52.5" customHeight="1" x14ac:dyDescent="0.2">
      <c r="A443" s="1">
        <v>2013.7339999999999</v>
      </c>
      <c r="B443" s="1" t="b">
        <v>0</v>
      </c>
      <c r="C443" s="1" t="b">
        <v>1</v>
      </c>
      <c r="D443" s="1">
        <v>78805</v>
      </c>
      <c r="E443" s="1" t="s">
        <v>85</v>
      </c>
      <c r="F443" s="1" t="s">
        <v>482</v>
      </c>
      <c r="N443" s="1" t="s">
        <v>87</v>
      </c>
      <c r="O443" s="1" t="s">
        <v>1799</v>
      </c>
      <c r="P443" s="1">
        <v>1615</v>
      </c>
      <c r="Q443" s="1">
        <v>1868</v>
      </c>
      <c r="U443" s="1" t="s">
        <v>88</v>
      </c>
      <c r="W443" s="1" t="s">
        <v>89</v>
      </c>
      <c r="X443" s="1" t="s">
        <v>1801</v>
      </c>
      <c r="Z443" s="1" t="s">
        <v>89</v>
      </c>
      <c r="AA443" s="1" t="s">
        <v>90</v>
      </c>
      <c r="AB443" s="1">
        <v>1760</v>
      </c>
      <c r="AC443" s="1">
        <v>1849</v>
      </c>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t="s">
        <v>1717</v>
      </c>
      <c r="BG443" s="1">
        <v>1840</v>
      </c>
      <c r="BH443" s="1">
        <v>1849</v>
      </c>
      <c r="BI443" s="1">
        <v>1</v>
      </c>
      <c r="BJ443" s="1"/>
      <c r="BK443" s="6" t="s">
        <v>1775</v>
      </c>
      <c r="BL443" s="6" t="s">
        <v>1748</v>
      </c>
      <c r="BM443" s="1"/>
      <c r="BN443" s="1" t="s">
        <v>1718</v>
      </c>
      <c r="BO443" s="12">
        <v>8.875</v>
      </c>
      <c r="BP443" s="11">
        <v>6.3125</v>
      </c>
      <c r="BQ443" s="11"/>
      <c r="BR443" s="1">
        <v>22.5</v>
      </c>
      <c r="BS443" s="1">
        <v>16</v>
      </c>
      <c r="BT443" s="1"/>
      <c r="BU443" s="1"/>
      <c r="BV443" s="1" t="s">
        <v>1631</v>
      </c>
      <c r="BW443" s="1" t="s">
        <v>94</v>
      </c>
      <c r="BX443" s="1" t="s">
        <v>1632</v>
      </c>
      <c r="BY443" s="1">
        <v>2013</v>
      </c>
      <c r="BZ443" s="1"/>
      <c r="CA443" s="1"/>
      <c r="CB443" s="1"/>
      <c r="CN443" s="1" t="s">
        <v>490</v>
      </c>
      <c r="CP443" s="8" t="str">
        <f>HYPERLINK("http://www.metmuseum.org/art/collection/search/78805","http://www.metmuseum.org/art/collection/search/78805")</f>
        <v>http://www.metmuseum.org/art/collection/search/78805</v>
      </c>
      <c r="CQ443" s="4">
        <v>42842.333402777775</v>
      </c>
      <c r="CR443" s="1" t="s">
        <v>97</v>
      </c>
    </row>
    <row r="444" spans="1:96" ht="52.5" customHeight="1" x14ac:dyDescent="0.2">
      <c r="A444" s="1" t="s">
        <v>1719</v>
      </c>
      <c r="B444" s="1" t="b">
        <v>0</v>
      </c>
      <c r="C444" s="1" t="b">
        <v>1</v>
      </c>
      <c r="D444" s="1">
        <v>78806</v>
      </c>
      <c r="E444" s="1" t="s">
        <v>85</v>
      </c>
      <c r="F444" s="1" t="s">
        <v>1518</v>
      </c>
      <c r="N444" s="1" t="s">
        <v>87</v>
      </c>
      <c r="O444" s="1" t="s">
        <v>1798</v>
      </c>
      <c r="P444" s="1">
        <v>1615</v>
      </c>
      <c r="Q444" s="1">
        <v>1868</v>
      </c>
      <c r="U444" s="1" t="s">
        <v>88</v>
      </c>
      <c r="W444" s="1" t="s">
        <v>89</v>
      </c>
      <c r="X444" s="1" t="s">
        <v>1801</v>
      </c>
      <c r="Z444" s="1" t="s">
        <v>89</v>
      </c>
      <c r="AA444" s="1" t="s">
        <v>90</v>
      </c>
      <c r="AB444" s="1">
        <v>1760</v>
      </c>
      <c r="AC444" s="1">
        <v>1849</v>
      </c>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v>1833</v>
      </c>
      <c r="BG444" s="1">
        <v>1833</v>
      </c>
      <c r="BH444" s="1">
        <v>1833</v>
      </c>
      <c r="BI444" s="1">
        <v>5</v>
      </c>
      <c r="BJ444" s="1"/>
      <c r="BK444" s="6" t="s">
        <v>1791</v>
      </c>
      <c r="BL444" s="6" t="s">
        <v>1748</v>
      </c>
      <c r="BM444" s="1"/>
      <c r="BN444" s="1" t="s">
        <v>1720</v>
      </c>
      <c r="BO444" s="1">
        <v>9</v>
      </c>
      <c r="BP444" s="12">
        <v>6.125</v>
      </c>
      <c r="BQ444" s="12"/>
      <c r="BR444" s="1">
        <v>22.8</v>
      </c>
      <c r="BS444" s="1">
        <v>15.6</v>
      </c>
      <c r="BT444" s="1"/>
      <c r="BU444" s="1" t="s">
        <v>487</v>
      </c>
      <c r="BV444" s="1" t="s">
        <v>1631</v>
      </c>
      <c r="BW444" s="1" t="s">
        <v>94</v>
      </c>
      <c r="BX444" s="1" t="s">
        <v>1632</v>
      </c>
      <c r="BY444" s="1">
        <v>2013</v>
      </c>
      <c r="BZ444" s="1"/>
      <c r="CA444" s="1"/>
      <c r="CB444" s="1"/>
      <c r="CN444" s="1" t="s">
        <v>490</v>
      </c>
      <c r="CP444" s="8" t="str">
        <f>HYPERLINK("http://www.metmuseum.org/art/collection/search/78806","http://www.metmuseum.org/art/collection/search/78806")</f>
        <v>http://www.metmuseum.org/art/collection/search/78806</v>
      </c>
      <c r="CQ444" s="4">
        <v>42842.333402777775</v>
      </c>
      <c r="CR444" s="1" t="s">
        <v>97</v>
      </c>
    </row>
    <row r="445" spans="1:96" ht="105" customHeight="1" x14ac:dyDescent="0.2">
      <c r="A445" s="1">
        <v>2013.7929999999999</v>
      </c>
      <c r="B445" s="1" t="b">
        <v>0</v>
      </c>
      <c r="C445" s="1" t="b">
        <v>1</v>
      </c>
      <c r="D445" s="1">
        <v>78809</v>
      </c>
      <c r="E445" s="1" t="s">
        <v>85</v>
      </c>
      <c r="F445" s="1" t="s">
        <v>482</v>
      </c>
      <c r="G445" s="1" t="s">
        <v>1721</v>
      </c>
      <c r="H445" s="1" t="s">
        <v>1722</v>
      </c>
      <c r="I445" s="1" t="s">
        <v>1723</v>
      </c>
      <c r="J445" s="1" t="s">
        <v>1724</v>
      </c>
      <c r="K445" s="1"/>
      <c r="L445" s="1"/>
      <c r="M445" s="1"/>
      <c r="N445" s="1" t="s">
        <v>87</v>
      </c>
      <c r="O445" s="1" t="s">
        <v>1798</v>
      </c>
      <c r="P445" s="1">
        <v>1615</v>
      </c>
      <c r="Q445" s="1">
        <v>1868</v>
      </c>
      <c r="U445" s="1" t="s">
        <v>88</v>
      </c>
      <c r="W445" s="1" t="s">
        <v>1725</v>
      </c>
      <c r="X445" s="1" t="s">
        <v>1726</v>
      </c>
      <c r="Z445" s="1" t="s">
        <v>1727</v>
      </c>
      <c r="AA445" s="1" t="s">
        <v>90</v>
      </c>
      <c r="AB445" s="1">
        <v>1753</v>
      </c>
      <c r="AC445" s="1">
        <v>1806</v>
      </c>
      <c r="AD445" s="1"/>
      <c r="AE445" s="1" t="s">
        <v>1598</v>
      </c>
      <c r="AF445" s="1" t="s">
        <v>1728</v>
      </c>
      <c r="AG445" s="1" t="s">
        <v>1729</v>
      </c>
      <c r="AH445" s="1" t="s">
        <v>90</v>
      </c>
      <c r="AI445" s="1">
        <v>1789</v>
      </c>
      <c r="AJ445" s="1">
        <v>1801</v>
      </c>
      <c r="AK445" s="1"/>
      <c r="AL445" s="1" t="s">
        <v>1598</v>
      </c>
      <c r="AM445" s="1" t="s">
        <v>89</v>
      </c>
      <c r="AN445" s="1" t="s">
        <v>1801</v>
      </c>
      <c r="AO445" s="1" t="s">
        <v>90</v>
      </c>
      <c r="AP445" s="1">
        <v>1760</v>
      </c>
      <c r="AQ445" s="1">
        <v>1849</v>
      </c>
      <c r="AR445" s="1"/>
      <c r="AS445" s="1" t="s">
        <v>1598</v>
      </c>
      <c r="AT445" s="1" t="s">
        <v>1730</v>
      </c>
      <c r="AU445" s="1" t="s">
        <v>1731</v>
      </c>
      <c r="AV445" s="1" t="s">
        <v>90</v>
      </c>
      <c r="AW445" s="1">
        <v>1756</v>
      </c>
      <c r="AX445" s="1">
        <v>1829</v>
      </c>
      <c r="AY445" s="1"/>
      <c r="AZ445" s="1"/>
      <c r="BA445" s="1"/>
      <c r="BB445" s="1"/>
      <c r="BC445" s="1"/>
      <c r="BD445" s="1"/>
      <c r="BE445" s="1"/>
      <c r="BF445" s="1">
        <v>1798</v>
      </c>
      <c r="BG445" s="1">
        <v>1798</v>
      </c>
      <c r="BH445" s="1">
        <v>1798</v>
      </c>
      <c r="BI445" s="1">
        <v>1</v>
      </c>
      <c r="BJ445" s="1"/>
      <c r="BK445" s="6" t="s">
        <v>1775</v>
      </c>
      <c r="BL445" s="1" t="s">
        <v>1746</v>
      </c>
      <c r="BM445" s="1"/>
      <c r="BN445" s="1" t="s">
        <v>1732</v>
      </c>
      <c r="BO445" s="11">
        <v>10.0625</v>
      </c>
      <c r="BP445" s="12">
        <v>7.5</v>
      </c>
      <c r="BQ445" s="12"/>
      <c r="BR445" s="1">
        <v>25.5</v>
      </c>
      <c r="BS445" s="1">
        <v>19</v>
      </c>
      <c r="BT445" s="1"/>
      <c r="BU445" s="1"/>
      <c r="BV445" s="1" t="s">
        <v>1640</v>
      </c>
      <c r="BW445" s="1" t="s">
        <v>94</v>
      </c>
      <c r="BX445" s="1" t="s">
        <v>1632</v>
      </c>
      <c r="BY445" s="1">
        <v>2013</v>
      </c>
      <c r="BZ445" s="1"/>
      <c r="CA445" s="1"/>
      <c r="CB445" s="1" t="s">
        <v>1733</v>
      </c>
      <c r="CN445" s="1" t="s">
        <v>490</v>
      </c>
      <c r="CP445" s="8" t="str">
        <f>HYPERLINK("http://www.metmuseum.org/art/collection/search/78809","http://www.metmuseum.org/art/collection/search/78809")</f>
        <v>http://www.metmuseum.org/art/collection/search/78809</v>
      </c>
      <c r="CQ445" s="4">
        <v>42842.333402777775</v>
      </c>
      <c r="CR445" s="1" t="s">
        <v>97</v>
      </c>
    </row>
    <row r="446" spans="1:96" ht="52.5" customHeight="1" x14ac:dyDescent="0.2">
      <c r="A446" s="1">
        <v>2013.8979999999999</v>
      </c>
      <c r="B446" s="1" t="b">
        <v>0</v>
      </c>
      <c r="C446" s="1" t="b">
        <v>0</v>
      </c>
      <c r="D446" s="1">
        <v>78912</v>
      </c>
      <c r="E446" s="1" t="s">
        <v>85</v>
      </c>
      <c r="F446" s="1" t="s">
        <v>482</v>
      </c>
      <c r="N446" s="1" t="s">
        <v>87</v>
      </c>
      <c r="O446" s="1" t="s">
        <v>1498</v>
      </c>
      <c r="P446" s="1">
        <v>1868</v>
      </c>
      <c r="Q446" s="1">
        <v>1912</v>
      </c>
      <c r="U446" s="1" t="s">
        <v>88</v>
      </c>
      <c r="W446" s="1" t="s">
        <v>89</v>
      </c>
      <c r="X446" s="1" t="s">
        <v>1801</v>
      </c>
      <c r="Z446" s="1" t="s">
        <v>89</v>
      </c>
      <c r="AA446" s="1" t="s">
        <v>90</v>
      </c>
      <c r="AB446" s="1">
        <v>1760</v>
      </c>
      <c r="AC446" s="1">
        <v>1849</v>
      </c>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t="s">
        <v>383</v>
      </c>
      <c r="BG446" s="1">
        <v>1868</v>
      </c>
      <c r="BH446" s="1">
        <v>1899</v>
      </c>
      <c r="BI446" s="1">
        <v>1</v>
      </c>
      <c r="BJ446" s="1"/>
      <c r="BK446" s="6" t="s">
        <v>1775</v>
      </c>
      <c r="BL446" s="6" t="s">
        <v>1746</v>
      </c>
      <c r="BM446" s="1"/>
      <c r="BN446" s="1" t="s">
        <v>1734</v>
      </c>
      <c r="BO446" s="12">
        <v>8.875</v>
      </c>
      <c r="BP446" s="12">
        <v>6.25</v>
      </c>
      <c r="BQ446" s="12"/>
      <c r="BR446" s="1">
        <v>22.6</v>
      </c>
      <c r="BS446" s="1">
        <v>15.8</v>
      </c>
      <c r="BT446" s="1"/>
      <c r="BU446" s="1"/>
      <c r="BV446" s="1" t="s">
        <v>1631</v>
      </c>
      <c r="BW446" s="1" t="s">
        <v>94</v>
      </c>
      <c r="BX446" s="1" t="s">
        <v>1632</v>
      </c>
      <c r="BY446" s="1">
        <v>2013</v>
      </c>
      <c r="BZ446" s="1"/>
      <c r="CA446" s="1"/>
      <c r="CB446" s="1"/>
      <c r="CN446" s="1" t="s">
        <v>490</v>
      </c>
      <c r="CP446" s="8" t="str">
        <f>HYPERLINK("http://www.metmuseum.org/art/collection/search/78912","http://www.metmuseum.org/art/collection/search/78912")</f>
        <v>http://www.metmuseum.org/art/collection/search/78912</v>
      </c>
      <c r="CQ446" s="4">
        <v>42842.333402777775</v>
      </c>
      <c r="CR446" s="1" t="s">
        <v>97</v>
      </c>
    </row>
    <row r="447" spans="1:96" ht="52.5" customHeight="1" x14ac:dyDescent="0.2">
      <c r="A447" s="1" t="s">
        <v>1735</v>
      </c>
      <c r="B447" s="1" t="b">
        <v>0</v>
      </c>
      <c r="C447" s="1" t="b">
        <v>1</v>
      </c>
      <c r="D447" s="1">
        <v>399806</v>
      </c>
      <c r="E447" s="1" t="s">
        <v>1736</v>
      </c>
      <c r="F447" s="1" t="s">
        <v>86</v>
      </c>
      <c r="G447" s="1" t="s">
        <v>1737</v>
      </c>
      <c r="H447" s="1"/>
      <c r="I447" s="1"/>
      <c r="J447" s="1"/>
      <c r="K447" s="1"/>
      <c r="L447" s="1"/>
      <c r="M447" s="1"/>
      <c r="U447" s="1" t="s">
        <v>88</v>
      </c>
      <c r="W447" s="1" t="s">
        <v>89</v>
      </c>
      <c r="X447" s="1" t="s">
        <v>1801</v>
      </c>
      <c r="Z447" s="1" t="s">
        <v>89</v>
      </c>
      <c r="AA447" s="1" t="s">
        <v>90</v>
      </c>
      <c r="AB447" s="1">
        <v>1760</v>
      </c>
      <c r="AC447" s="1">
        <v>1849</v>
      </c>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t="s">
        <v>1738</v>
      </c>
      <c r="BG447" s="1">
        <v>1815</v>
      </c>
      <c r="BH447" s="1">
        <v>1825</v>
      </c>
      <c r="BI447" s="1">
        <v>1</v>
      </c>
      <c r="BJ447" s="1"/>
      <c r="BK447" s="1" t="s">
        <v>1739</v>
      </c>
      <c r="BL447" s="1"/>
      <c r="BM447" s="1"/>
      <c r="BN447" s="1" t="s">
        <v>1740</v>
      </c>
      <c r="BO447" s="11">
        <v>6.9375</v>
      </c>
      <c r="BP447" s="11">
        <v>9.5625</v>
      </c>
      <c r="BQ447" s="11"/>
      <c r="BR447" s="1">
        <v>17.600000000000001</v>
      </c>
      <c r="BS447" s="1">
        <v>24.3</v>
      </c>
      <c r="BT447" s="1"/>
      <c r="BU447" s="1" t="s">
        <v>1741</v>
      </c>
      <c r="BV447" s="1" t="s">
        <v>1742</v>
      </c>
      <c r="BW447" s="1" t="s">
        <v>346</v>
      </c>
      <c r="BX447" s="1"/>
      <c r="BY447" s="1">
        <v>2011</v>
      </c>
      <c r="BZ447" s="1"/>
      <c r="CA447" s="1" t="s">
        <v>1743</v>
      </c>
      <c r="CB447" s="1"/>
      <c r="CN447" s="1" t="s">
        <v>96</v>
      </c>
      <c r="CP447" s="8" t="str">
        <f>HYPERLINK("http://www.metmuseum.org/art/collection/search/399806","http://www.metmuseum.org/art/collection/search/399806")</f>
        <v>http://www.metmuseum.org/art/collection/search/399806</v>
      </c>
      <c r="CQ447" s="4">
        <v>42842.333402777775</v>
      </c>
      <c r="CR447" s="1" t="s">
        <v>97</v>
      </c>
    </row>
    <row r="448" spans="1:96"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HokusaiMetObjects.csv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Santschi</dc:creator>
  <cp:lastModifiedBy>Stephanie Santschi</cp:lastModifiedBy>
  <dcterms:created xsi:type="dcterms:W3CDTF">2017-04-24T07:22:06Z</dcterms:created>
  <dcterms:modified xsi:type="dcterms:W3CDTF">2017-04-25T12:25:28Z</dcterms:modified>
</cp:coreProperties>
</file>