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minicbuettiker/Documents/GitHub/Parametric-LCA-Urban-Densification/input_data/"/>
    </mc:Choice>
  </mc:AlternateContent>
  <xr:revisionPtr revIDLastSave="0" documentId="13_ncr:1_{057AD368-2F8D-2946-B885-4ED1C36AD419}" xr6:coauthVersionLast="47" xr6:coauthVersionMax="47" xr10:uidLastSave="{00000000-0000-0000-0000-000000000000}"/>
  <bookViews>
    <workbookView xWindow="0" yWindow="760" windowWidth="30240" windowHeight="17920" xr2:uid="{0DFB4B67-A07C-8E4A-A5E8-D29EBD8DD478}"/>
  </bookViews>
  <sheets>
    <sheet name="Input_data_casestudy_examples" sheetId="1" r:id="rId1"/>
    <sheet name="Geometry_casestudy_examples" sheetId="2" r:id="rId2"/>
    <sheet name="mat_composition_casestudy_4" sheetId="7" r:id="rId3"/>
    <sheet name="mat_composition_old_generic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7" i="5" l="1"/>
  <c r="O170" i="5"/>
  <c r="O165" i="5"/>
  <c r="O158" i="5"/>
  <c r="O150" i="5"/>
  <c r="O145" i="5"/>
  <c r="O14" i="5"/>
  <c r="O8" i="5"/>
  <c r="P8" i="5"/>
  <c r="P27" i="5"/>
  <c r="O27" i="5"/>
  <c r="I27" i="5"/>
  <c r="Q26" i="5"/>
  <c r="Q27" i="5" s="1"/>
  <c r="P26" i="5"/>
  <c r="O26" i="5"/>
  <c r="N26" i="5"/>
  <c r="I26" i="5"/>
  <c r="G34" i="5" l="1"/>
  <c r="G33" i="5"/>
  <c r="G40" i="5" l="1"/>
  <c r="P40" i="5" s="1"/>
  <c r="P41" i="5" s="1"/>
  <c r="N35" i="5"/>
  <c r="Q35" i="5" s="1"/>
  <c r="I35" i="5"/>
  <c r="P34" i="5"/>
  <c r="O34" i="5"/>
  <c r="N34" i="5"/>
  <c r="Q34" i="5" s="1"/>
  <c r="I34" i="5"/>
  <c r="P33" i="5"/>
  <c r="O33" i="5"/>
  <c r="N33" i="5"/>
  <c r="Q33" i="5" s="1"/>
  <c r="I33" i="5"/>
  <c r="I46" i="5"/>
  <c r="I47" i="5" s="1" a="1"/>
  <c r="I47" i="5" s="1"/>
  <c r="N46" i="5"/>
  <c r="Q46" i="5" s="1"/>
  <c r="O46" i="5"/>
  <c r="P46" i="5"/>
  <c r="Q40" i="5" l="1"/>
  <c r="Q41" i="5" s="1"/>
  <c r="O40" i="5"/>
  <c r="O41" i="5" s="1"/>
  <c r="O35" i="5"/>
  <c r="Q36" i="5"/>
  <c r="P35" i="5"/>
  <c r="P36" i="5" s="1"/>
  <c r="P47" i="5"/>
  <c r="Q47" i="5"/>
  <c r="I133" i="5"/>
  <c r="I135" i="5"/>
  <c r="P136" i="5"/>
  <c r="O136" i="5"/>
  <c r="N136" i="5"/>
  <c r="Q136" i="5" s="1"/>
  <c r="I136" i="5"/>
  <c r="P135" i="5"/>
  <c r="O135" i="5"/>
  <c r="N135" i="5"/>
  <c r="Q135" i="5" s="1"/>
  <c r="I134" i="5"/>
  <c r="N134" i="5"/>
  <c r="G134" i="5"/>
  <c r="P133" i="5"/>
  <c r="O133" i="5"/>
  <c r="N133" i="5"/>
  <c r="Q133" i="5" s="1"/>
  <c r="P132" i="5"/>
  <c r="O132" i="5"/>
  <c r="N132" i="5"/>
  <c r="Q132" i="5" s="1"/>
  <c r="I132" i="5"/>
  <c r="P131" i="5"/>
  <c r="O131" i="5"/>
  <c r="N131" i="5"/>
  <c r="Q131" i="5" s="1"/>
  <c r="I131" i="5"/>
  <c r="I64" i="5"/>
  <c r="P149" i="5"/>
  <c r="O149" i="5"/>
  <c r="N149" i="5"/>
  <c r="Q149" i="5" s="1"/>
  <c r="I149" i="5"/>
  <c r="I150" i="5" s="1"/>
  <c r="P176" i="5"/>
  <c r="O176" i="5"/>
  <c r="N176" i="5"/>
  <c r="Q176" i="5" s="1"/>
  <c r="I176" i="5"/>
  <c r="N175" i="5"/>
  <c r="G175" i="5"/>
  <c r="P175" i="5" s="1"/>
  <c r="P174" i="5"/>
  <c r="O174" i="5"/>
  <c r="N174" i="5"/>
  <c r="Q174" i="5" s="1"/>
  <c r="I174" i="5"/>
  <c r="P144" i="5"/>
  <c r="O144" i="5"/>
  <c r="N144" i="5"/>
  <c r="Q144" i="5" s="1"/>
  <c r="I144" i="5"/>
  <c r="P143" i="5"/>
  <c r="O143" i="5"/>
  <c r="N143" i="5"/>
  <c r="Q143" i="5" s="1"/>
  <c r="I143" i="5"/>
  <c r="P142" i="5"/>
  <c r="O142" i="5"/>
  <c r="N142" i="5"/>
  <c r="Q142" i="5" s="1"/>
  <c r="I142" i="5"/>
  <c r="P141" i="5"/>
  <c r="O141" i="5"/>
  <c r="N141" i="5"/>
  <c r="Q141" i="5" s="1"/>
  <c r="I141" i="5"/>
  <c r="Q134" i="5" l="1"/>
  <c r="Q137" i="5" s="1"/>
  <c r="I137" i="5" a="1"/>
  <c r="I137" i="5" s="1"/>
  <c r="P134" i="5"/>
  <c r="P137" i="5" s="1"/>
  <c r="O134" i="5"/>
  <c r="I145" i="5" a="1"/>
  <c r="I145" i="5" s="1"/>
  <c r="P145" i="5"/>
  <c r="Q150" i="5"/>
  <c r="I175" i="5"/>
  <c r="I177" i="5" s="1" a="1"/>
  <c r="I177" i="5" s="1"/>
  <c r="P150" i="5"/>
  <c r="Q175" i="5"/>
  <c r="Q177" i="5" s="1"/>
  <c r="Q145" i="5"/>
  <c r="O175" i="5"/>
  <c r="P177" i="5"/>
  <c r="P126" i="5" l="1"/>
  <c r="O126" i="5"/>
  <c r="N126" i="5"/>
  <c r="Q126" i="5" s="1"/>
  <c r="I126" i="5"/>
  <c r="P125" i="5"/>
  <c r="O125" i="5"/>
  <c r="N125" i="5"/>
  <c r="Q125" i="5" s="1"/>
  <c r="I125" i="5"/>
  <c r="D27" i="2"/>
  <c r="P169" i="5"/>
  <c r="O169" i="5"/>
  <c r="N169" i="5"/>
  <c r="Q169" i="5" s="1"/>
  <c r="I169" i="5"/>
  <c r="I170" i="5" s="1"/>
  <c r="P164" i="5"/>
  <c r="O164" i="5"/>
  <c r="N164" i="5"/>
  <c r="Q164" i="5" s="1"/>
  <c r="N163" i="5"/>
  <c r="G163" i="5"/>
  <c r="P163" i="5" s="1"/>
  <c r="N162" i="5"/>
  <c r="G162" i="5"/>
  <c r="P162" i="5" s="1"/>
  <c r="N157" i="5"/>
  <c r="G157" i="5"/>
  <c r="P157" i="5" s="1"/>
  <c r="P156" i="5"/>
  <c r="O156" i="5"/>
  <c r="N156" i="5"/>
  <c r="Q156" i="5" s="1"/>
  <c r="I156" i="5"/>
  <c r="I158" i="5" s="1"/>
  <c r="I127" i="5" l="1" a="1"/>
  <c r="I127" i="5" s="1"/>
  <c r="P158" i="5"/>
  <c r="Q127" i="5"/>
  <c r="P127" i="5"/>
  <c r="O157" i="5"/>
  <c r="P165" i="5"/>
  <c r="Q157" i="5"/>
  <c r="Q158" i="5" s="1"/>
  <c r="Q163" i="5"/>
  <c r="Q162" i="5"/>
  <c r="O162" i="5"/>
  <c r="P170" i="5"/>
  <c r="Q170" i="5"/>
  <c r="O163" i="5"/>
  <c r="Q165" i="5" l="1"/>
  <c r="P120" i="5"/>
  <c r="O120" i="5"/>
  <c r="N120" i="5"/>
  <c r="Q120" i="5" s="1"/>
  <c r="I120" i="5"/>
  <c r="N119" i="5"/>
  <c r="P119" i="5"/>
  <c r="Q119" i="5" l="1"/>
  <c r="Q121" i="5" s="1"/>
  <c r="I119" i="5"/>
  <c r="I121" i="5" s="1" a="1"/>
  <c r="I121" i="5" s="1"/>
  <c r="P121" i="5"/>
  <c r="O119" i="5"/>
  <c r="P112" i="5"/>
  <c r="O112" i="5"/>
  <c r="N112" i="5"/>
  <c r="Q112" i="5" s="1"/>
  <c r="I112" i="5"/>
  <c r="P111" i="5"/>
  <c r="O111" i="5"/>
  <c r="N111" i="5"/>
  <c r="Q111" i="5" s="1"/>
  <c r="I111" i="5"/>
  <c r="P106" i="5"/>
  <c r="O106" i="5"/>
  <c r="N106" i="5"/>
  <c r="Q106" i="5" s="1"/>
  <c r="I106" i="5"/>
  <c r="P105" i="5"/>
  <c r="O105" i="5"/>
  <c r="N105" i="5"/>
  <c r="Q105" i="5" s="1"/>
  <c r="I105" i="5"/>
  <c r="G58" i="5"/>
  <c r="G57" i="5"/>
  <c r="G71" i="5"/>
  <c r="G70" i="5"/>
  <c r="G19" i="7"/>
  <c r="G20" i="7"/>
  <c r="P100" i="5"/>
  <c r="O100" i="5"/>
  <c r="N100" i="5"/>
  <c r="Q100" i="5" s="1"/>
  <c r="I100" i="5"/>
  <c r="P99" i="5"/>
  <c r="O99" i="5"/>
  <c r="N99" i="5"/>
  <c r="Q99" i="5" s="1"/>
  <c r="I99" i="5"/>
  <c r="P98" i="5"/>
  <c r="O98" i="5"/>
  <c r="N98" i="5"/>
  <c r="Q98" i="5" s="1"/>
  <c r="I98" i="5"/>
  <c r="P97" i="5"/>
  <c r="O97" i="5"/>
  <c r="N97" i="5"/>
  <c r="Q97" i="5" s="1"/>
  <c r="I97" i="5"/>
  <c r="P92" i="5"/>
  <c r="O92" i="5"/>
  <c r="N92" i="5"/>
  <c r="Q92" i="5" s="1"/>
  <c r="I92" i="5"/>
  <c r="P90" i="5"/>
  <c r="O90" i="5"/>
  <c r="N90" i="5"/>
  <c r="Q90" i="5" s="1"/>
  <c r="I90" i="5"/>
  <c r="P91" i="5"/>
  <c r="O91" i="5"/>
  <c r="N91" i="5"/>
  <c r="Q91" i="5" s="1"/>
  <c r="I91" i="5"/>
  <c r="I88" i="5"/>
  <c r="P89" i="5"/>
  <c r="O89" i="5"/>
  <c r="N89" i="5"/>
  <c r="Q89" i="5" s="1"/>
  <c r="I89" i="5"/>
  <c r="P88" i="5"/>
  <c r="O88" i="5"/>
  <c r="N88" i="5"/>
  <c r="Q88" i="5" s="1"/>
  <c r="P83" i="5"/>
  <c r="O83" i="5"/>
  <c r="N83" i="5"/>
  <c r="Q83" i="5" s="1"/>
  <c r="I83" i="5"/>
  <c r="P82" i="5"/>
  <c r="O82" i="5"/>
  <c r="N82" i="5"/>
  <c r="Q82" i="5" s="1"/>
  <c r="I82" i="5"/>
  <c r="P81" i="5"/>
  <c r="O81" i="5"/>
  <c r="N81" i="5"/>
  <c r="Q81" i="5" s="1"/>
  <c r="I81" i="5"/>
  <c r="P107" i="5" l="1"/>
  <c r="P101" i="5"/>
  <c r="I101" i="5" a="1"/>
  <c r="I101" i="5" s="1"/>
  <c r="Q101" i="5"/>
  <c r="Q113" i="5"/>
  <c r="I113" i="5" a="1"/>
  <c r="I113" i="5" s="1"/>
  <c r="P113" i="5"/>
  <c r="I93" i="5" a="1"/>
  <c r="I93" i="5" s="1"/>
  <c r="I107" i="5" a="1"/>
  <c r="I107" i="5" s="1"/>
  <c r="Q107" i="5"/>
  <c r="P93" i="5"/>
  <c r="Q93" i="5"/>
  <c r="I80" i="5" l="1"/>
  <c r="N80" i="5"/>
  <c r="Q80" i="5" s="1"/>
  <c r="O80" i="5"/>
  <c r="P80" i="5"/>
  <c r="I18" i="7"/>
  <c r="P18" i="7"/>
  <c r="O18" i="7"/>
  <c r="N18" i="7"/>
  <c r="Q18" i="7" s="1"/>
  <c r="P30" i="7"/>
  <c r="O30" i="7"/>
  <c r="N30" i="7"/>
  <c r="Q30" i="7" s="1"/>
  <c r="I30" i="7"/>
  <c r="P29" i="7"/>
  <c r="O29" i="7"/>
  <c r="N29" i="7"/>
  <c r="Q29" i="7" s="1"/>
  <c r="I29" i="7"/>
  <c r="P28" i="7"/>
  <c r="O28" i="7"/>
  <c r="N28" i="7"/>
  <c r="Q28" i="7" s="1"/>
  <c r="I28" i="7"/>
  <c r="P25" i="7"/>
  <c r="O25" i="7"/>
  <c r="N25" i="7"/>
  <c r="Q25" i="7" s="1"/>
  <c r="I25" i="7"/>
  <c r="P24" i="7"/>
  <c r="O24" i="7"/>
  <c r="N24" i="7"/>
  <c r="Q24" i="7" s="1"/>
  <c r="I24" i="7"/>
  <c r="P23" i="7"/>
  <c r="O23" i="7"/>
  <c r="N23" i="7"/>
  <c r="Q23" i="7" s="1"/>
  <c r="I23" i="7"/>
  <c r="P20" i="7"/>
  <c r="O20" i="7"/>
  <c r="N20" i="7"/>
  <c r="Q20" i="7" s="1"/>
  <c r="I20" i="7"/>
  <c r="P19" i="7"/>
  <c r="O19" i="7"/>
  <c r="N19" i="7"/>
  <c r="Q19" i="7" s="1"/>
  <c r="I19" i="7"/>
  <c r="U16" i="7"/>
  <c r="P15" i="7"/>
  <c r="O15" i="7"/>
  <c r="N15" i="7"/>
  <c r="Q15" i="7" s="1"/>
  <c r="I15" i="7"/>
  <c r="P14" i="7"/>
  <c r="O14" i="7"/>
  <c r="N14" i="7"/>
  <c r="Q14" i="7" s="1"/>
  <c r="I14" i="7"/>
  <c r="U12" i="7"/>
  <c r="P11" i="7"/>
  <c r="O11" i="7"/>
  <c r="O12" i="7" s="1"/>
  <c r="N11" i="7"/>
  <c r="Q11" i="7" s="1"/>
  <c r="I11" i="7"/>
  <c r="I12" i="7" s="1" a="1"/>
  <c r="I12" i="7" s="1"/>
  <c r="U9" i="7"/>
  <c r="P8" i="7"/>
  <c r="O8" i="7"/>
  <c r="N8" i="7"/>
  <c r="Q8" i="7" s="1"/>
  <c r="I8" i="7"/>
  <c r="P7" i="7"/>
  <c r="O7" i="7"/>
  <c r="N7" i="7"/>
  <c r="Q7" i="7" s="1"/>
  <c r="I7" i="7"/>
  <c r="P6" i="7"/>
  <c r="O6" i="7"/>
  <c r="N6" i="7"/>
  <c r="Q6" i="7" s="1"/>
  <c r="I6" i="7"/>
  <c r="N12" i="5"/>
  <c r="Q12" i="5"/>
  <c r="N13" i="5"/>
  <c r="Q13" i="5"/>
  <c r="I14" i="5"/>
  <c r="P14" i="5"/>
  <c r="I8" i="5"/>
  <c r="Q7" i="5"/>
  <c r="N7" i="5"/>
  <c r="Q6" i="5"/>
  <c r="N6" i="5"/>
  <c r="U72" i="5"/>
  <c r="P71" i="5"/>
  <c r="O71" i="5"/>
  <c r="N71" i="5"/>
  <c r="Q71" i="5" s="1"/>
  <c r="I71" i="5"/>
  <c r="P70" i="5"/>
  <c r="O70" i="5"/>
  <c r="N70" i="5"/>
  <c r="Q70" i="5" s="1"/>
  <c r="I70" i="5"/>
  <c r="P65" i="5"/>
  <c r="O65" i="5"/>
  <c r="N65" i="5"/>
  <c r="Q65" i="5" s="1"/>
  <c r="I65" i="5"/>
  <c r="P64" i="5"/>
  <c r="O64" i="5"/>
  <c r="N64" i="5"/>
  <c r="Q64" i="5" s="1"/>
  <c r="P51" i="5"/>
  <c r="O51" i="5"/>
  <c r="N51" i="5"/>
  <c r="Q51" i="5" s="1"/>
  <c r="I51" i="5"/>
  <c r="P52" i="5"/>
  <c r="O52" i="5"/>
  <c r="N52" i="5"/>
  <c r="Q52" i="5" s="1"/>
  <c r="I52" i="5"/>
  <c r="P58" i="5"/>
  <c r="O58" i="5"/>
  <c r="N58" i="5"/>
  <c r="Q58" i="5" s="1"/>
  <c r="I58" i="5"/>
  <c r="I57" i="5"/>
  <c r="N57" i="5"/>
  <c r="Q57" i="5" s="1"/>
  <c r="O57" i="5"/>
  <c r="P57" i="5"/>
  <c r="P9" i="7" l="1"/>
  <c r="I21" i="7" a="1"/>
  <c r="I21" i="7" s="1"/>
  <c r="P16" i="7"/>
  <c r="P21" i="7"/>
  <c r="P26" i="7"/>
  <c r="Q21" i="7"/>
  <c r="P31" i="7"/>
  <c r="Q84" i="5"/>
  <c r="P84" i="5"/>
  <c r="I84" i="5" a="1"/>
  <c r="I84" i="5" s="1"/>
  <c r="Q16" i="7"/>
  <c r="I26" i="7" a="1"/>
  <c r="I26" i="7" s="1"/>
  <c r="I16" i="7" a="1"/>
  <c r="I16" i="7" s="1"/>
  <c r="I9" i="7" a="1"/>
  <c r="I9" i="7" s="1"/>
  <c r="Q26" i="7"/>
  <c r="P12" i="7"/>
  <c r="I31" i="7" a="1"/>
  <c r="I31" i="7" s="1"/>
  <c r="Q9" i="7"/>
  <c r="Q12" i="7"/>
  <c r="Q31" i="7"/>
  <c r="Q14" i="5"/>
  <c r="P66" i="5"/>
  <c r="Q8" i="5"/>
  <c r="I72" i="5" a="1"/>
  <c r="I72" i="5" s="1"/>
  <c r="P72" i="5"/>
  <c r="Q72" i="5"/>
  <c r="I66" i="5" a="1"/>
  <c r="I66" i="5" s="1"/>
  <c r="P53" i="5"/>
  <c r="I53" i="5" a="1"/>
  <c r="I53" i="5" s="1"/>
  <c r="Q66" i="5"/>
  <c r="Q53" i="5"/>
  <c r="P59" i="5" l="1"/>
  <c r="P60" i="5" s="1"/>
  <c r="O59" i="5"/>
  <c r="N59" i="5"/>
  <c r="Q59" i="5" s="1"/>
  <c r="Q60" i="5" s="1"/>
  <c r="I59" i="5"/>
  <c r="I60" i="5" s="1" a="1"/>
  <c r="I60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<sst xmlns="http://schemas.openxmlformats.org/spreadsheetml/2006/main" count="1699" uniqueCount="335">
  <si>
    <t>window_to_wall_ratio_old</t>
  </si>
  <si>
    <t>floors_ag_old</t>
  </si>
  <si>
    <t>floors_bg_old</t>
  </si>
  <si>
    <t>heated_fraction_ag_old</t>
  </si>
  <si>
    <t>Casestudy</t>
  </si>
  <si>
    <t>wall_type_bg_old</t>
  </si>
  <si>
    <t>window_type_old</t>
  </si>
  <si>
    <t>ceiling_type_old</t>
  </si>
  <si>
    <t>slab_basement_type_old</t>
  </si>
  <si>
    <t>heat_capacity_per_energyreferencearea_old</t>
  </si>
  <si>
    <t>roof_type_old</t>
  </si>
  <si>
    <t>partitions_type_old</t>
  </si>
  <si>
    <t>heating_system_old</t>
  </si>
  <si>
    <t>heating_system_dhw_old</t>
  </si>
  <si>
    <t>heat_emission_system_old</t>
  </si>
  <si>
    <t>heat_distribution_old</t>
  </si>
  <si>
    <t>window_orientations</t>
  </si>
  <si>
    <t>["NE", "SE", "SW", "NW"]</t>
  </si>
  <si>
    <t xml:space="preserve">Orientation </t>
  </si>
  <si>
    <t>WWR</t>
  </si>
  <si>
    <t>height_floors</t>
  </si>
  <si>
    <t xml:space="preserve">width  </t>
  </si>
  <si>
    <t>length</t>
  </si>
  <si>
    <t>(NE / SW)</t>
  </si>
  <si>
    <t>(NW/SE)</t>
  </si>
  <si>
    <t xml:space="preserve">EBF_Uilizain_factor </t>
  </si>
  <si>
    <t>m2</t>
  </si>
  <si>
    <t>m</t>
  </si>
  <si>
    <t>ID_Construction</t>
  </si>
  <si>
    <t>group</t>
  </si>
  <si>
    <t>Material</t>
  </si>
  <si>
    <t>ID_EPD</t>
  </si>
  <si>
    <t>density</t>
  </si>
  <si>
    <t>thickness</t>
  </si>
  <si>
    <t>lamda_value</t>
  </si>
  <si>
    <t>u-value</t>
  </si>
  <si>
    <t>GWP_prod</t>
  </si>
  <si>
    <t>GWP_disp</t>
  </si>
  <si>
    <t>GWP_Bio</t>
  </si>
  <si>
    <t>RSL</t>
  </si>
  <si>
    <t>Rotation_time</t>
  </si>
  <si>
    <t>Cost</t>
  </si>
  <si>
    <t>Literature</t>
  </si>
  <si>
    <t>Note</t>
  </si>
  <si>
    <t>Literature_Biogenic</t>
  </si>
  <si>
    <t>Kg/m3</t>
  </si>
  <si>
    <t>W/mK</t>
  </si>
  <si>
    <t>W/m2K</t>
  </si>
  <si>
    <t>KgCO2eq/kg</t>
  </si>
  <si>
    <t>KgC/kg</t>
  </si>
  <si>
    <t>KgCO/kg</t>
  </si>
  <si>
    <t>CHF/ref</t>
  </si>
  <si>
    <t>Hohlziegel eRen 4</t>
  </si>
  <si>
    <t>Air Layer stationary</t>
  </si>
  <si>
    <t>Zementputz</t>
  </si>
  <si>
    <t>Exterior:Wall:eRen4</t>
  </si>
  <si>
    <t>04.009</t>
  </si>
  <si>
    <t>02.001</t>
  </si>
  <si>
    <t>Roof:insulation:eRen4</t>
  </si>
  <si>
    <t>Steinwolle  60kg/m3</t>
  </si>
  <si>
    <t>07.009</t>
  </si>
  <si>
    <t>Holzbretter  (Tanne)</t>
  </si>
  <si>
    <t>10.008</t>
  </si>
  <si>
    <t>Roof:ceiling:eRen4</t>
  </si>
  <si>
    <t>roof_insulaion_eREN4</t>
  </si>
  <si>
    <t>eRen/ KBOB</t>
  </si>
  <si>
    <t>roof_ceiling_eREN4</t>
  </si>
  <si>
    <t>01.042</t>
  </si>
  <si>
    <t>Beton Träger (für Hourdis Decke )</t>
  </si>
  <si>
    <t>ceiling_core_eREN_4</t>
  </si>
  <si>
    <t>Hourdis Decke</t>
  </si>
  <si>
    <t>ceiling:core:eRen4</t>
  </si>
  <si>
    <t>Backstein SIA 381/1 (für Hourdis Decke )</t>
  </si>
  <si>
    <t>functional_unit</t>
  </si>
  <si>
    <t>fu</t>
  </si>
  <si>
    <t>KgCO2/fu</t>
  </si>
  <si>
    <t>KgCO2eq/fu</t>
  </si>
  <si>
    <t>GWP_prod_kg</t>
  </si>
  <si>
    <t>GWP_disp_kg</t>
  </si>
  <si>
    <t>C_BIO_kg</t>
  </si>
  <si>
    <t>CO2_Bio_kg</t>
  </si>
  <si>
    <t>years</t>
  </si>
  <si>
    <t>g-value</t>
  </si>
  <si>
    <t>CO2_Bio_stored</t>
  </si>
  <si>
    <t>exterior_wall_ag_core_eREN_4</t>
  </si>
  <si>
    <t>Double layer maisonary wall (hollow bricks) 30cm with air gap (3cm)</t>
  </si>
  <si>
    <t>Cold roof:10 cm rockwool insulation with wooden cover</t>
  </si>
  <si>
    <t>Cold roof:  20cm Hourdis ceiling to cold roof: concrete /bricks</t>
  </si>
  <si>
    <t>RSP</t>
  </si>
  <si>
    <t>NE,SE,SW,NW</t>
  </si>
  <si>
    <t>wall_type_ag_old</t>
  </si>
  <si>
    <t>infiltration_volume_flow_old</t>
  </si>
  <si>
    <t>thermal_bridge_add_on_old</t>
  </si>
  <si>
    <t>width_old</t>
  </si>
  <si>
    <t>length_old</t>
  </si>
  <si>
    <t>ceiling_to_basement_type_old</t>
  </si>
  <si>
    <t>Rotation_time_bio</t>
  </si>
  <si>
    <t>Category</t>
  </si>
  <si>
    <t>CO2_bio_stored</t>
  </si>
  <si>
    <t>u_value</t>
  </si>
  <si>
    <t>g_value</t>
  </si>
  <si>
    <t>same</t>
  </si>
  <si>
    <t>Natural Gas old</t>
  </si>
  <si>
    <t>radiator old</t>
  </si>
  <si>
    <t>hydronic old</t>
  </si>
  <si>
    <t>fraction_partitions_old</t>
  </si>
  <si>
    <t>tilted_roof_type_old</t>
  </si>
  <si>
    <t>per glass area</t>
  </si>
  <si>
    <t>per area of the total window ("Maueröffnung"))</t>
  </si>
  <si>
    <t>window</t>
  </si>
  <si>
    <t>KBOB, SIA 380/1 TAB 19, Standart Uf values according to "Merkblat Fenster" 2021 of Konforenz Kantonale Energiedirektoren EnDK,https://www.fensterbuenter.ch/__/frontend/handler/document.php?id=115&amp;type=42</t>
  </si>
  <si>
    <t>Jürgen Zell et. al. 2020, SwissStandSim: ein klimasensitives, einzelbaum- basiertes Waldwachstumsmodell</t>
  </si>
  <si>
    <t xml:space="preserve">insulation </t>
  </si>
  <si>
    <t>wall_ag</t>
  </si>
  <si>
    <t>Fensterrahmen Holz</t>
  </si>
  <si>
    <t>05.005</t>
  </si>
  <si>
    <t>wall_bg_eREN_4</t>
  </si>
  <si>
    <t>slab_basement_eREN_4</t>
  </si>
  <si>
    <t>04.005</t>
  </si>
  <si>
    <t>01.002</t>
  </si>
  <si>
    <t>06.003</t>
  </si>
  <si>
    <t>Beton armé CEM</t>
  </si>
  <si>
    <t>Armierungsstahl</t>
  </si>
  <si>
    <t>Assumption 60kg Fe/m2, since a non loadbearing ceiling, it's a stripe foundation</t>
  </si>
  <si>
    <t xml:space="preserve">Backstein </t>
  </si>
  <si>
    <t xml:space="preserve">Assumption, 12cm maisonary </t>
  </si>
  <si>
    <t>empty_layer,wall_bg_eREN_4,empty_layer,empty_layer</t>
  </si>
  <si>
    <t>Old_component</t>
  </si>
  <si>
    <t>True</t>
  </si>
  <si>
    <t>cold_roof_core</t>
  </si>
  <si>
    <t>ceiling_ag</t>
  </si>
  <si>
    <t>wall_bg</t>
  </si>
  <si>
    <t>slab_basement</t>
  </si>
  <si>
    <t>partitions_core</t>
  </si>
  <si>
    <t>exterior_wall_ag_core_eREN_3</t>
  </si>
  <si>
    <t>KBOB, eREN</t>
  </si>
  <si>
    <t>BJ 1920-1940</t>
  </si>
  <si>
    <t>BJ 1940-1970</t>
  </si>
  <si>
    <t>Hohlziegel (Zementstein) eRen 3</t>
  </si>
  <si>
    <t xml:space="preserve">Gross Hohlziegel (Zementstein) eRen 3 </t>
  </si>
  <si>
    <t>ceiling_core_eREN_3</t>
  </si>
  <si>
    <t>Backstein (für Hourdis Decke )</t>
  </si>
  <si>
    <t>04.006</t>
  </si>
  <si>
    <t>Unterlagsboden Zement, 50 mm</t>
  </si>
  <si>
    <t>exterior_wall_bg_core_eREN_3</t>
  </si>
  <si>
    <t>Rundkies (Sickerbett)</t>
  </si>
  <si>
    <t>03.012</t>
  </si>
  <si>
    <t>Streifenfundament eRen 3</t>
  </si>
  <si>
    <t>slab_basement_eREN_3</t>
  </si>
  <si>
    <t>Non loadbearing, minimal</t>
  </si>
  <si>
    <t>roof_ceiling_eREN3</t>
  </si>
  <si>
    <t>Cold roof:  16cm Hourdis ceiling to cold roof: concrete /bricks</t>
  </si>
  <si>
    <t>KBOB, eRen, E. Klöti 1944, Sozialer Siedlungs und Wohnungsbau</t>
  </si>
  <si>
    <t xml:space="preserve"> Verglasung 2-fach, Ug-Wert 3 W/m2K</t>
  </si>
  <si>
    <t>90% glass fraction, total U-value calculated on areal decomposition, data acording to Merkblatt Fenster: Das Fenster in der Energieberechnung EnFK</t>
  </si>
  <si>
    <t>2-IV-IR ab 1990</t>
  </si>
  <si>
    <t xml:space="preserve"> Verglasung 2-fach, Ug-Wert 1.4 W/m2K</t>
  </si>
  <si>
    <t>window_dbl_1.4_wood_0.95_as_of_1990</t>
  </si>
  <si>
    <t>Windows</t>
  </si>
  <si>
    <t>eRen3, typical for 1920-1940</t>
  </si>
  <si>
    <t>DV bis 1980</t>
  </si>
  <si>
    <t>core_partitions_20_70</t>
  </si>
  <si>
    <t>BJ 1920-1970</t>
  </si>
  <si>
    <t>int_finishing_plaster_conventional,core_partitions_20_70,empty_layer,int_finishing_plaster_conventional</t>
  </si>
  <si>
    <t>Partitions</t>
  </si>
  <si>
    <t>window_dbl_3.0_wood_0.9_prior_to_1980</t>
  </si>
  <si>
    <t>(Original)</t>
  </si>
  <si>
    <t>(Already renovated once)</t>
  </si>
  <si>
    <t>90% glass fraction, total U-value calculated on areal decomposition, data acording to Merkblatt Fenster: Das Fenster in der Energieberechnung EnFK and eREN4</t>
  </si>
  <si>
    <t>Assumption 80kg Fe/m2</t>
  </si>
  <si>
    <t>Assumption 60kg Fe/m2, stripe foundation</t>
  </si>
  <si>
    <t>Unterlagsboden Anhydrit, 50 mm</t>
  </si>
  <si>
    <t>Kalksandstein</t>
  </si>
  <si>
    <t>02.002</t>
  </si>
  <si>
    <t>Assumption, kalksandstein stripe foundation</t>
  </si>
  <si>
    <t>exterior_wall_ag_core_eREN_6</t>
  </si>
  <si>
    <t>Dampfbremse Polyethylen (PE)</t>
  </si>
  <si>
    <t>09.002</t>
  </si>
  <si>
    <t>Steinwolle 50 [Kg/m3]</t>
  </si>
  <si>
    <t>Steinwolle 30 [Kg/m3]</t>
  </si>
  <si>
    <t>Backstein,  Loadbearing, inside</t>
  </si>
  <si>
    <t>exterior_wall_bg_core_eREN_6</t>
  </si>
  <si>
    <t>Double layer maisonary with 4cm insulation</t>
  </si>
  <si>
    <t>Hochbaubeton NPK C, CEMII/B CH mix</t>
  </si>
  <si>
    <t>60Kg per m3 beton</t>
  </si>
  <si>
    <t>Hochbaubeton</t>
  </si>
  <si>
    <t>ceiling_core_eREN_6</t>
  </si>
  <si>
    <t>ceiling_ag_bg</t>
  </si>
  <si>
    <t>Double layer maisonary/concrete with 4cm insulation</t>
  </si>
  <si>
    <t>Unterlagsboden Zement</t>
  </si>
  <si>
    <t>Kork ϼ 120 [kg/m3] (Trittschalldämmung)</t>
  </si>
  <si>
    <t>10.002</t>
  </si>
  <si>
    <t>90Kg per m3 beton</t>
  </si>
  <si>
    <t>Assumption 1/4 of volume is concrete</t>
  </si>
  <si>
    <t>Horudis Decke 25cm with screed</t>
  </si>
  <si>
    <t>Assumtpion 1/4 of cieling are concrete beams</t>
  </si>
  <si>
    <t>roof_ceiling_eREN_6</t>
  </si>
  <si>
    <t>ATTENTION, INSULATION OF EREN 4 MUST BE TAKEN (6CM GALSSWOOL)</t>
  </si>
  <si>
    <t xml:space="preserve">eRen6, typical for 1970-1980 -&gt; Similar like eRen4, except ceiling consturctions and exterior walls </t>
  </si>
  <si>
    <t>Attention Roof insulation in eREN4, they are the same</t>
  </si>
  <si>
    <t>slab_basement_eREN_6</t>
  </si>
  <si>
    <t>Stampflehm unterboden</t>
  </si>
  <si>
    <t>BJ 1970-1980</t>
  </si>
  <si>
    <t>Backstein, Loadbearing outside</t>
  </si>
  <si>
    <t>wall_ag_single_masonary_40_50</t>
  </si>
  <si>
    <t>Hohlbackstein</t>
  </si>
  <si>
    <t>BJ 1940-1950</t>
  </si>
  <si>
    <t>Hohlbackstein massivmauerwerk</t>
  </si>
  <si>
    <t>KBOB, eREN,  E. Klöti 1944, Sozialer Siedlungs und Wohnungsbau</t>
  </si>
  <si>
    <t>Other old Material compositions</t>
  </si>
  <si>
    <t>1x Holzlatte 40/60mm (Latte, 1  linear meter per m2)</t>
  </si>
  <si>
    <t>Massivholz Fichte / Tanne / Lärche, luftgetrocknet, rau, assumtion no contributino to u value</t>
  </si>
  <si>
    <t>insulation</t>
  </si>
  <si>
    <t xml:space="preserve"> Spacer elements (Aluminium/Plastic) to fix crossbar  on the wall are not taken into account!</t>
  </si>
  <si>
    <t>Faserzement-Wellplatte</t>
  </si>
  <si>
    <t>03.004</t>
  </si>
  <si>
    <t>Eternit Profil 5, 16 Kg/m2</t>
  </si>
  <si>
    <t>Holzlatte 40/60mm (for ventilated facade, 1.5 linear meter per m2)</t>
  </si>
  <si>
    <t>Massivholz Fichte / Tanne / Lärche, luftgetrocknet, rau</t>
  </si>
  <si>
    <t>Kraftpapier (wind blockage)</t>
  </si>
  <si>
    <t>09.006</t>
  </si>
  <si>
    <t>Assumption same rotation time, since wood</t>
  </si>
  <si>
    <t>facade_ventilated</t>
  </si>
  <si>
    <t>KBOB, https://www.bauteilkatalog.ch/kataloge/bauteil.aspx/ubt-52/</t>
  </si>
  <si>
    <t>no contribution to the u value, since ventilated</t>
  </si>
  <si>
    <t>insulation_rockwool_10_old</t>
  </si>
  <si>
    <t>facade_rockwool_cementfiber_panel_old</t>
  </si>
  <si>
    <t>flat_roof_ext_surface</t>
  </si>
  <si>
    <t>roof_ext_finishing_to_attic_cold</t>
  </si>
  <si>
    <t>KBOB, Siedlng Luchsweisenstrasse  https://www.bauteilkatalog.ch/kataloge/bauteil.aspx/ubt-52/</t>
  </si>
  <si>
    <t>KBOB, Siedlung Luchswiesenstrasse, https://www.bauteilkatalog.ch/kataloge/bauteil.aspx/ubt-52/, https://www.flumroc.ch/produkte/bauprodukte/detail/flumroc-daemmplatte-duo</t>
  </si>
  <si>
    <t>Old thermal Renovations -&gt; 10 cm rockwool</t>
  </si>
  <si>
    <t>roof_type</t>
  </si>
  <si>
    <t>Garden_city_herrlig</t>
  </si>
  <si>
    <t xml:space="preserve">BASE AREA </t>
  </si>
  <si>
    <t>["N", "E", "S", "W"]</t>
  </si>
  <si>
    <t>N/S</t>
  </si>
  <si>
    <t>W/E</t>
  </si>
  <si>
    <t>floor_ag</t>
  </si>
  <si>
    <t>floor_bg</t>
  </si>
  <si>
    <t>ceiling_heigt</t>
  </si>
  <si>
    <t>infiltratino rate  old</t>
  </si>
  <si>
    <t>N,E,S,W</t>
  </si>
  <si>
    <t>empty_layer,slab_basement_eREN_3,empty_layer,empty_layer</t>
  </si>
  <si>
    <t>wall_bg_concrete_40_60</t>
  </si>
  <si>
    <t>BJ 1940-1960</t>
  </si>
  <si>
    <t>Stripe Foundation concrete</t>
  </si>
  <si>
    <t>empty_layer,wall_bg_concrete_40_60,empty_layer,empty_layer</t>
  </si>
  <si>
    <t xml:space="preserve">thermal bridge factor </t>
  </si>
  <si>
    <t>according Streicher et.al 2018, Analysis of space heating demand in the Swiss residential building stock: Element-based bottom-up model of archetype buildings</t>
  </si>
  <si>
    <t xml:space="preserve">eRen / </t>
  </si>
  <si>
    <t>30s_Kanzleistrasse</t>
  </si>
  <si>
    <t>30s_kanzeistrasse</t>
  </si>
  <si>
    <t>like eRen3</t>
  </si>
  <si>
    <t>int_finishing_plaster_conventional,roof_ceiling_eREN3,empty_layer,empty_layer</t>
  </si>
  <si>
    <t>int_finishing_plaster_conventional,ceiling_core_eREN_3,empty_layer,flooring_parquet_glued</t>
  </si>
  <si>
    <t>empty_layer,exterior_wall_bg_core_eREN_3,empty_layer,empty_layer</t>
  </si>
  <si>
    <t>flooring_parquet_glued,ceiling_core_eREN_3,empty_layer,empty_layer</t>
  </si>
  <si>
    <t>Mix between eren4 and acc. Klöti et. al 1944</t>
  </si>
  <si>
    <t>60s_Salzweg</t>
  </si>
  <si>
    <t>accoring to Streicher et. al 2018, Assessment of the current thermal performance level of the Swiss residential building stock: Statistical analysis of energy performance certificates</t>
  </si>
  <si>
    <t>like eRen4, but with massive concrete ceilings and flat roof</t>
  </si>
  <si>
    <t>flooring_parquet_glued,ceiling_core_eREN_6,empty_layer,empty_layer</t>
  </si>
  <si>
    <t>int_finishing_plaster_conventional,ceiling_core_eREN_6,empty_layer,flooring_parquet_glued</t>
  </si>
  <si>
    <t>empty_layer,slab_basement_eREN_6,empty_layer,empty_layer</t>
  </si>
  <si>
    <t>Kies gebrochen</t>
  </si>
  <si>
    <t>03.011</t>
  </si>
  <si>
    <t>Polyethylenvlies (PE) 2x 0.003</t>
  </si>
  <si>
    <t>09.008</t>
  </si>
  <si>
    <t>Dichtungsbahn Polyolefin (FPO)</t>
  </si>
  <si>
    <t>09.005</t>
  </si>
  <si>
    <t>This assembly is used for all beam roof constructions (wood/steel) and load bearing insulation on slab roof constructions</t>
  </si>
  <si>
    <t>flat_roof_exterior_surface_old</t>
  </si>
  <si>
    <t>60s_Salzweg_ren</t>
  </si>
  <si>
    <t>int_finishing_plaster_conventional,roof_ceiling_eREN_6,insulation_rockwool_10_old,flat_roof_exterior_surface_old</t>
  </si>
  <si>
    <t>int_finishing_plaster_conventional,exterior_wall_ag_core_eREN_4,insulation_rockwool_10_old,facade_rockwool_cementfiber_panel_old</t>
  </si>
  <si>
    <t>Gipsfaserplatte</t>
  </si>
  <si>
    <t>03.007</t>
  </si>
  <si>
    <t>Fermacell is a producer</t>
  </si>
  <si>
    <t>Holzlatte 40/60mm (to mount gypsium plates, 1.5 linear meter per m2)</t>
  </si>
  <si>
    <t>Kraftpapier</t>
  </si>
  <si>
    <t>ceiling_to_basement_rockwool_old</t>
  </si>
  <si>
    <t>flooring_parquet_glued,ceiling_core_eREN_6,insulation_rockwool_10_old,ceiling_to_basement_rockwool_old</t>
  </si>
  <si>
    <t>generic_minimal_insulation</t>
  </si>
  <si>
    <t>Kork ϼ 120 [kg/m3]  2cm</t>
  </si>
  <si>
    <t>Diagonal Boarding:  Massivholz Bretter Fichte / Tanne / Lärche, kammergetr., gehobelt</t>
  </si>
  <si>
    <t>07.011</t>
  </si>
  <si>
    <t>Balken Massiv 120x200mm, spacing 650mm,  Massivholz Fichte / Tanne / Lärche, kammergetr., gehobelt</t>
  </si>
  <si>
    <t>10.015</t>
  </si>
  <si>
    <t>Lattung 30x60, spacing 650mm,  Massivholz Fichte / Tanne / Lärche, kammergetr., gehobelt</t>
  </si>
  <si>
    <t xml:space="preserve">Rotation time of wood (and not straw) is choosen, since wood dominant </t>
  </si>
  <si>
    <t>Jürgen Zell et. al. 2020, SwissStandSim: ein klimasensitives, einzelbaum- basiertes Waldwachstumsmodell, minimla amounts of straw are conted like wood (= conservative)</t>
  </si>
  <si>
    <t>ceiling_to_attic_woodbeams_old</t>
  </si>
  <si>
    <t>Stroh (Schüttung zwischen Balken)</t>
  </si>
  <si>
    <t>Gips-/Weissputz</t>
  </si>
  <si>
    <t>04.001</t>
  </si>
  <si>
    <t>Schilfgewebe(assumptino self emissions like straw!)</t>
  </si>
  <si>
    <t>int_finishing_plaster_conventional,ceiling_to_attic_woodbeams_old,empty_layer,roof_ext_finishing_to_attic_cold</t>
  </si>
  <si>
    <t xml:space="preserve">typically used in flat roof constructions </t>
  </si>
  <si>
    <t>KBOB, Siedlung Luchswiesenstrasse</t>
  </si>
  <si>
    <t>int_finishing_plaster_conventional,roof_ceiling_eREN_6,generic_minimal_insulation,flat_roof_exterior_surface_old</t>
  </si>
  <si>
    <t>Cold Tilted Roof Generic</t>
  </si>
  <si>
    <t>generic_tilted_roof_cold_core</t>
  </si>
  <si>
    <t>tilted_roof_core</t>
  </si>
  <si>
    <t>generic_tilted_roof_tiles</t>
  </si>
  <si>
    <t>tilted_roof_exterior</t>
  </si>
  <si>
    <t>Assumption  40° tilt (scale of areas)</t>
  </si>
  <si>
    <t>Falzziegel, 48kg/m2</t>
  </si>
  <si>
    <t>factor</t>
  </si>
  <si>
    <t>load per m2</t>
  </si>
  <si>
    <t>Kg/m2</t>
  </si>
  <si>
    <t>Ziegel</t>
  </si>
  <si>
    <t>KBOB, Planung Tonziegeldach: Ziegelindustrie Schweiz, https://ziegelindustrie.ch/wp-content/uploads/2024/02/Fachinfo_ZICH-Tonziegeldach.pdf</t>
  </si>
  <si>
    <t>Kreuz Lattung 24x48, spacing 650mm and 360mm,  Massivholz Fichte / Tanne / Lärche, kammergetr., gehobelt</t>
  </si>
  <si>
    <t>KBOB, Josef Kolb: Bois sytemes constrictives  Planung Tonziegeldach: Ziegelindustrie Schweiz, https://ziegelindustrie.ch/wp-content/uploads/2024/02/Fachinfo_ZICH-Tonziegeldach.pdf,  E. Klöti 1944, Sozialer Siedlungs und Wohnungsbau</t>
  </si>
  <si>
    <t>Balken Massiv Tragkonstruktion (Assumption)</t>
  </si>
  <si>
    <t xml:space="preserve">Assumtion </t>
  </si>
  <si>
    <t>empty_layer,generic_tilted_roof_cold_core,empty_layer,generic_tilted_roof_tiles</t>
  </si>
  <si>
    <t>70s_Lerchenweg</t>
  </si>
  <si>
    <t>70_s_Lerchenberg</t>
  </si>
  <si>
    <t>int_finishing_plaster_conventional,roof_ceiling_eREN_6,roof_insulaion_eREN4,flat_roof_exterior_surface_old</t>
  </si>
  <si>
    <t>empty_layer,exterior_wall_bg_core_eREN_6,empty_layer,empty_layer</t>
  </si>
  <si>
    <t>flooring_parquet_glued,ceiling_core_eREN_6,generic_minimal_insulation,empty_layer</t>
  </si>
  <si>
    <t>Plasterd Exterior Finishing</t>
  </si>
  <si>
    <t>facade_plasterd</t>
  </si>
  <si>
    <t>cement_plasterd_facade_20_70</t>
  </si>
  <si>
    <t>int_finishing_plaster_conventional,exterior_wall_ag_core_eREN_4,empty_layer,cement_plasterd_facade_20_70</t>
  </si>
  <si>
    <t>int_finishing_plaster_conventional,wall_ag_single_masonary_40_50,empty_layer,cement_plasterd_facade_20_70</t>
  </si>
  <si>
    <t>int_finishing_plaster_conventional,exterior_wall_ag_core_eREN_3,empty_layer,cement_plasterd_facade_20_70</t>
  </si>
  <si>
    <t>int_finishing_plaster_conventional,exterior_wall_ag_core_eREN_6,empty_layer,cement_plasterd_facade_20_70</t>
  </si>
  <si>
    <t>eRen4</t>
  </si>
  <si>
    <t>int_finishing_plaster_conventional,roof_ceiling_eREN4,roof_insulaion_eREN4,roof_ext_finishing_to_attic_cold</t>
  </si>
  <si>
    <t>flooring_parquet_glued,ceiling_core_eREN_4,empty_layer,empty_layer</t>
  </si>
  <si>
    <t>int_finishing_plaster_conventional,ceiling_core_eREN_4,empty_layer,flooring_parquet_glued</t>
  </si>
  <si>
    <t>empty_layer,slab_basement_eREN_4,empty_layer,empty_layer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</si>
</sst>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0"/>
    <numFmt numFmtId="166" formatCode="00.000"/>
    <numFmt numFmtId="167" formatCode="0.0000"/>
    <numFmt numFmtId="168" formatCode="0.0"/>
  </numFmts>
  <fonts count="12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20"/>
      <color theme="1"/>
      <name val="Aptos Narrow (Textkörper)"/>
    </font>
    <font>
      <b/>
      <sz val="20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6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B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BFBFBF"/>
        <bgColor rgb="FF000000"/>
      </patternFill>
    </fill>
  </fills>
  <borders count="1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/>
      <top style="thin">
        <color indexed="64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66" fontId="1" fillId="3" borderId="1" xfId="1" applyNumberFormat="1" applyFill="1" applyBorder="1" applyAlignment="1">
      <alignment horizontal="left" vertical="center"/>
    </xf>
    <xf numFmtId="164" fontId="1" fillId="3" borderId="1" xfId="1" applyNumberFormat="1" applyFill="1" applyBorder="1" applyAlignment="1">
      <alignment horizontal="center" vertical="center" wrapText="1"/>
    </xf>
    <xf numFmtId="165" fontId="3" fillId="3" borderId="1" xfId="1" applyNumberFormat="1" applyFont="1" applyFill="1" applyBorder="1" applyAlignment="1">
      <alignment horizontal="center" vertical="center" wrapText="1"/>
    </xf>
    <xf numFmtId="1" fontId="3" fillId="3" borderId="1" xfId="1" applyNumberFormat="1" applyFont="1" applyFill="1" applyBorder="1" applyAlignment="1">
      <alignment horizontal="center" vertical="center" wrapText="1"/>
    </xf>
    <xf numFmtId="165" fontId="2" fillId="3" borderId="1" xfId="1" applyNumberFormat="1" applyFont="1" applyFill="1" applyBorder="1" applyAlignment="1">
      <alignment horizontal="center" vertical="center" wrapText="1"/>
    </xf>
    <xf numFmtId="2" fontId="1" fillId="3" borderId="1" xfId="1" applyNumberFormat="1" applyFill="1" applyBorder="1" applyAlignment="1">
      <alignment horizontal="center" vertical="center" wrapText="1"/>
    </xf>
    <xf numFmtId="167" fontId="3" fillId="3" borderId="1" xfId="1" applyNumberFormat="1" applyFont="1" applyFill="1" applyBorder="1" applyAlignment="1">
      <alignment horizontal="center" vertical="center" wrapText="1"/>
    </xf>
    <xf numFmtId="167" fontId="1" fillId="3" borderId="1" xfId="1" applyNumberFormat="1" applyFill="1" applyBorder="1" applyAlignment="1">
      <alignment horizontal="center" vertical="center" wrapText="1"/>
    </xf>
    <xf numFmtId="0" fontId="1" fillId="3" borderId="1" xfId="1" quotePrefix="1" applyFill="1" applyBorder="1" applyAlignment="1">
      <alignment horizontal="left" vertical="center" wrapText="1"/>
    </xf>
    <xf numFmtId="0" fontId="0" fillId="7" borderId="0" xfId="0" applyFill="1"/>
    <xf numFmtId="0" fontId="4" fillId="0" borderId="0" xfId="0" applyFont="1"/>
    <xf numFmtId="165" fontId="3" fillId="3" borderId="3" xfId="1" applyNumberFormat="1" applyFont="1" applyFill="1" applyBorder="1" applyAlignment="1">
      <alignment horizontal="center" vertical="center" wrapText="1"/>
    </xf>
    <xf numFmtId="1" fontId="3" fillId="3" borderId="3" xfId="1" applyNumberFormat="1" applyFont="1" applyFill="1" applyBorder="1" applyAlignment="1">
      <alignment horizontal="center" vertical="center" wrapText="1"/>
    </xf>
    <xf numFmtId="165" fontId="2" fillId="3" borderId="3" xfId="1" applyNumberFormat="1" applyFont="1" applyFill="1" applyBorder="1" applyAlignment="1">
      <alignment horizontal="center" vertical="center" wrapText="1"/>
    </xf>
    <xf numFmtId="0" fontId="4" fillId="6" borderId="2" xfId="0" applyFont="1" applyFill="1" applyBorder="1"/>
    <xf numFmtId="2" fontId="4" fillId="6" borderId="2" xfId="0" applyNumberFormat="1" applyFont="1" applyFill="1" applyBorder="1"/>
    <xf numFmtId="165" fontId="4" fillId="6" borderId="2" xfId="0" applyNumberFormat="1" applyFont="1" applyFill="1" applyBorder="1"/>
    <xf numFmtId="167" fontId="1" fillId="3" borderId="3" xfId="1" applyNumberFormat="1" applyFill="1" applyBorder="1" applyAlignment="1">
      <alignment horizontal="center" vertical="center" wrapText="1"/>
    </xf>
    <xf numFmtId="0" fontId="1" fillId="3" borderId="3" xfId="1" quotePrefix="1" applyFill="1" applyBorder="1" applyAlignment="1">
      <alignment horizontal="left" vertical="center" wrapText="1"/>
    </xf>
    <xf numFmtId="0" fontId="0" fillId="3" borderId="4" xfId="0" applyFill="1" applyBorder="1"/>
    <xf numFmtId="166" fontId="1" fillId="3" borderId="5" xfId="1" applyNumberFormat="1" applyFill="1" applyBorder="1" applyAlignment="1">
      <alignment horizontal="left" vertical="center"/>
    </xf>
    <xf numFmtId="164" fontId="1" fillId="3" borderId="5" xfId="1" applyNumberFormat="1" applyFill="1" applyBorder="1" applyAlignment="1">
      <alignment horizontal="center" vertical="center" wrapText="1"/>
    </xf>
    <xf numFmtId="165" fontId="3" fillId="3" borderId="5" xfId="1" applyNumberFormat="1" applyFont="1" applyFill="1" applyBorder="1" applyAlignment="1">
      <alignment horizontal="center" vertical="center" wrapText="1"/>
    </xf>
    <xf numFmtId="1" fontId="3" fillId="3" borderId="5" xfId="1" applyNumberFormat="1" applyFont="1" applyFill="1" applyBorder="1" applyAlignment="1">
      <alignment horizontal="center" vertical="center" wrapText="1"/>
    </xf>
    <xf numFmtId="165" fontId="2" fillId="3" borderId="5" xfId="1" applyNumberFormat="1" applyFont="1" applyFill="1" applyBorder="1" applyAlignment="1">
      <alignment horizontal="center" vertical="center" wrapText="1"/>
    </xf>
    <xf numFmtId="0" fontId="4" fillId="7" borderId="0" xfId="0" applyFont="1" applyFill="1"/>
    <xf numFmtId="2" fontId="4" fillId="4" borderId="0" xfId="0" applyNumberFormat="1" applyFont="1" applyFill="1"/>
    <xf numFmtId="0" fontId="0" fillId="3" borderId="6" xfId="0" applyFill="1" applyBorder="1"/>
    <xf numFmtId="0" fontId="0" fillId="3" borderId="7" xfId="0" applyFill="1" applyBorder="1"/>
    <xf numFmtId="0" fontId="0" fillId="8" borderId="4" xfId="0" applyFill="1" applyBorder="1"/>
    <xf numFmtId="2" fontId="0" fillId="8" borderId="4" xfId="0" applyNumberFormat="1" applyFill="1" applyBorder="1"/>
    <xf numFmtId="0" fontId="0" fillId="5" borderId="0" xfId="0" applyFill="1"/>
    <xf numFmtId="2" fontId="0" fillId="5" borderId="0" xfId="0" applyNumberFormat="1" applyFill="1"/>
    <xf numFmtId="2" fontId="4" fillId="0" borderId="0" xfId="0" applyNumberFormat="1" applyFont="1"/>
    <xf numFmtId="0" fontId="4" fillId="2" borderId="0" xfId="0" applyFont="1" applyFill="1"/>
    <xf numFmtId="2" fontId="3" fillId="5" borderId="1" xfId="1" applyNumberFormat="1" applyFont="1" applyFill="1" applyBorder="1" applyAlignment="1">
      <alignment horizontal="center" vertical="center" wrapText="1"/>
    </xf>
    <xf numFmtId="1" fontId="3" fillId="0" borderId="1" xfId="1" applyNumberFormat="1" applyFont="1" applyBorder="1" applyAlignment="1">
      <alignment horizontal="center" vertical="center" wrapText="1"/>
    </xf>
    <xf numFmtId="166" fontId="1" fillId="9" borderId="8" xfId="0" applyNumberFormat="1" applyFont="1" applyFill="1" applyBorder="1" applyAlignment="1">
      <alignment horizontal="left" vertical="center"/>
    </xf>
    <xf numFmtId="168" fontId="1" fillId="5" borderId="1" xfId="1" applyNumberFormat="1" applyFill="1" applyBorder="1" applyAlignment="1">
      <alignment horizontal="center" vertical="center" wrapText="1"/>
    </xf>
    <xf numFmtId="166" fontId="1" fillId="5" borderId="1" xfId="1" applyNumberFormat="1" applyFill="1" applyBorder="1" applyAlignment="1">
      <alignment horizontal="left" vertical="center"/>
    </xf>
    <xf numFmtId="1" fontId="3" fillId="5" borderId="1" xfId="1" applyNumberFormat="1" applyFont="1" applyFill="1" applyBorder="1" applyAlignment="1">
      <alignment horizontal="center" vertical="center" wrapText="1"/>
    </xf>
    <xf numFmtId="168" fontId="3" fillId="5" borderId="1" xfId="1" applyNumberFormat="1" applyFont="1" applyFill="1" applyBorder="1" applyAlignment="1">
      <alignment horizontal="center" vertical="center" wrapText="1"/>
    </xf>
    <xf numFmtId="0" fontId="0" fillId="7" borderId="4" xfId="0" applyFill="1" applyBorder="1"/>
    <xf numFmtId="2" fontId="0" fillId="4" borderId="4" xfId="0" applyNumberFormat="1" applyFill="1" applyBorder="1"/>
    <xf numFmtId="0" fontId="0" fillId="2" borderId="4" xfId="0" applyFill="1" applyBorder="1"/>
    <xf numFmtId="164" fontId="1" fillId="5" borderId="1" xfId="1" applyNumberFormat="1" applyFill="1" applyBorder="1" applyAlignment="1">
      <alignment horizontal="center" vertical="center" wrapText="1"/>
    </xf>
    <xf numFmtId="167" fontId="3" fillId="5" borderId="1" xfId="1" applyNumberFormat="1" applyFont="1" applyFill="1" applyBorder="1" applyAlignment="1">
      <alignment horizontal="center" vertical="center" wrapText="1"/>
    </xf>
    <xf numFmtId="164" fontId="3" fillId="5" borderId="1" xfId="1" applyNumberFormat="1" applyFont="1" applyFill="1" applyBorder="1" applyAlignment="1">
      <alignment horizontal="center" vertical="center" wrapText="1"/>
    </xf>
    <xf numFmtId="0" fontId="4" fillId="7" borderId="2" xfId="0" applyFont="1" applyFill="1" applyBorder="1"/>
    <xf numFmtId="0" fontId="4" fillId="4" borderId="2" xfId="0" applyFont="1" applyFill="1" applyBorder="1"/>
    <xf numFmtId="0" fontId="4" fillId="2" borderId="2" xfId="0" applyFont="1" applyFill="1" applyBorder="1"/>
    <xf numFmtId="167" fontId="1" fillId="5" borderId="1" xfId="1" applyNumberFormat="1" applyFill="1" applyBorder="1" applyAlignment="1">
      <alignment horizontal="center" vertical="center" wrapText="1"/>
    </xf>
    <xf numFmtId="0" fontId="1" fillId="5" borderId="1" xfId="1" quotePrefix="1" applyFill="1" applyBorder="1" applyAlignment="1">
      <alignment horizontal="left" vertical="center" wrapText="1"/>
    </xf>
    <xf numFmtId="166" fontId="1" fillId="5" borderId="1" xfId="1" quotePrefix="1" applyNumberFormat="1" applyFill="1" applyBorder="1" applyAlignment="1">
      <alignment horizontal="left" vertical="center"/>
    </xf>
    <xf numFmtId="0" fontId="5" fillId="10" borderId="0" xfId="0" applyFont="1" applyFill="1"/>
    <xf numFmtId="0" fontId="3" fillId="5" borderId="1" xfId="1" applyFont="1" applyFill="1" applyBorder="1" applyAlignment="1">
      <alignment horizontal="center" vertical="center" wrapText="1"/>
    </xf>
    <xf numFmtId="165" fontId="3" fillId="5" borderId="1" xfId="1" applyNumberFormat="1" applyFont="1" applyFill="1" applyBorder="1" applyAlignment="1">
      <alignment horizontal="center" vertical="center" wrapText="1"/>
    </xf>
    <xf numFmtId="3" fontId="0" fillId="3" borderId="0" xfId="0" applyNumberFormat="1" applyFill="1"/>
    <xf numFmtId="165" fontId="1" fillId="5" borderId="1" xfId="1" applyNumberForma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8" fillId="11" borderId="2" xfId="0" applyFont="1" applyFill="1" applyBorder="1"/>
    <xf numFmtId="166" fontId="1" fillId="3" borderId="9" xfId="1" applyNumberFormat="1" applyFill="1" applyBorder="1" applyAlignment="1">
      <alignment horizontal="left" vertical="center"/>
    </xf>
    <xf numFmtId="164" fontId="1" fillId="3" borderId="9" xfId="1" applyNumberFormat="1" applyFill="1" applyBorder="1" applyAlignment="1">
      <alignment horizontal="center" vertical="center" wrapText="1"/>
    </xf>
    <xf numFmtId="165" fontId="3" fillId="3" borderId="9" xfId="1" applyNumberFormat="1" applyFont="1" applyFill="1" applyBorder="1" applyAlignment="1">
      <alignment horizontal="center" vertical="center" wrapText="1"/>
    </xf>
    <xf numFmtId="1" fontId="3" fillId="3" borderId="9" xfId="1" applyNumberFormat="1" applyFont="1" applyFill="1" applyBorder="1" applyAlignment="1">
      <alignment horizontal="center" vertical="center" wrapText="1"/>
    </xf>
    <xf numFmtId="165" fontId="2" fillId="3" borderId="9" xfId="1" applyNumberFormat="1" applyFont="1" applyFill="1" applyBorder="1" applyAlignment="1">
      <alignment horizontal="center" vertical="center" wrapText="1"/>
    </xf>
    <xf numFmtId="2" fontId="1" fillId="5" borderId="1" xfId="1" applyNumberFormat="1" applyFill="1" applyBorder="1" applyAlignment="1">
      <alignment horizontal="center" vertical="center" wrapText="1"/>
    </xf>
    <xf numFmtId="11" fontId="4" fillId="6" borderId="2" xfId="0" applyNumberFormat="1" applyFont="1" applyFill="1" applyBorder="1"/>
    <xf numFmtId="0" fontId="10" fillId="0" borderId="0" xfId="0" applyFont="1"/>
    <xf numFmtId="0" fontId="11" fillId="0" borderId="0" xfId="0" applyFont="1"/>
    <xf numFmtId="0" fontId="9" fillId="0" borderId="0" xfId="0" applyFont="1"/>
  </cellXfs>
  <cellStyles count="2">
    <cellStyle name="Standard" xfId="0" builtinId="0"/>
    <cellStyle name="Standard 2 2" xfId="1" xr:uid="{E66BF68F-3FAB-D340-8DD3-0BC00DE3E71A}"/>
  </cellStyles>
  <dxfs count="281">
    <dxf>
      <numFmt numFmtId="2" formatCode="0.00"/>
    </dxf>
    <dxf>
      <numFmt numFmtId="168" formatCode="0.0"/>
    </dxf>
    <dxf>
      <numFmt numFmtId="3" formatCode="#,##0"/>
    </dxf>
    <dxf>
      <numFmt numFmtId="1" formatCode="0"/>
    </dxf>
    <dxf>
      <numFmt numFmtId="164" formatCode="0.000"/>
    </dxf>
    <dxf>
      <numFmt numFmtId="2" formatCode="0.00"/>
    </dxf>
    <dxf>
      <numFmt numFmtId="168" formatCode="0.0"/>
    </dxf>
    <dxf>
      <numFmt numFmtId="3" formatCode="#,##0"/>
    </dxf>
    <dxf>
      <numFmt numFmtId="1" formatCode="0"/>
    </dxf>
    <dxf>
      <numFmt numFmtId="164" formatCode="0.000"/>
    </dxf>
    <dxf>
      <numFmt numFmtId="164" formatCode="0.000"/>
    </dxf>
    <dxf>
      <numFmt numFmtId="2" formatCode="0.00"/>
    </dxf>
    <dxf>
      <numFmt numFmtId="168" formatCode="0.0"/>
    </dxf>
    <dxf>
      <numFmt numFmtId="3" formatCode="#,##0"/>
    </dxf>
    <dxf>
      <numFmt numFmtId="1" formatCode="0"/>
    </dxf>
    <dxf>
      <numFmt numFmtId="164" formatCode="0.000"/>
    </dxf>
    <dxf>
      <numFmt numFmtId="2" formatCode="0.00"/>
    </dxf>
    <dxf>
      <numFmt numFmtId="168" formatCode="0.0"/>
    </dxf>
    <dxf>
      <numFmt numFmtId="3" formatCode="#,##0"/>
    </dxf>
    <dxf>
      <numFmt numFmtId="1" formatCode="0"/>
    </dxf>
    <dxf>
      <numFmt numFmtId="1" formatCode="0"/>
    </dxf>
    <dxf>
      <numFmt numFmtId="3" formatCode="#,##0"/>
    </dxf>
    <dxf>
      <numFmt numFmtId="168" formatCode="0.0"/>
    </dxf>
    <dxf>
      <numFmt numFmtId="2" formatCode="0.00"/>
    </dxf>
    <dxf>
      <numFmt numFmtId="164" formatCode="0.000"/>
    </dxf>
    <dxf>
      <numFmt numFmtId="2" formatCode="0.00"/>
    </dxf>
    <dxf>
      <numFmt numFmtId="164" formatCode="0.000"/>
    </dxf>
    <dxf>
      <numFmt numFmtId="1" formatCode="0"/>
    </dxf>
    <dxf>
      <numFmt numFmtId="3" formatCode="#,##0"/>
    </dxf>
    <dxf>
      <numFmt numFmtId="168" formatCode="0.0"/>
    </dxf>
    <dxf>
      <numFmt numFmtId="1" formatCode="0"/>
    </dxf>
    <dxf>
      <numFmt numFmtId="3" formatCode="#,##0"/>
    </dxf>
    <dxf>
      <numFmt numFmtId="168" formatCode="0.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3" formatCode="#,##0"/>
    </dxf>
    <dxf>
      <numFmt numFmtId="1" formatCode="0"/>
    </dxf>
    <dxf>
      <numFmt numFmtId="168" formatCode="0.0"/>
    </dxf>
    <dxf>
      <numFmt numFmtId="1" formatCode="0"/>
    </dxf>
    <dxf>
      <numFmt numFmtId="3" formatCode="#,##0"/>
    </dxf>
    <dxf>
      <numFmt numFmtId="168" formatCode="0.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168" formatCode="0.0"/>
    </dxf>
    <dxf>
      <numFmt numFmtId="3" formatCode="#,##0"/>
    </dxf>
    <dxf>
      <numFmt numFmtId="1" formatCode="0"/>
    </dxf>
    <dxf>
      <numFmt numFmtId="164" formatCode="0.000"/>
    </dxf>
    <dxf>
      <numFmt numFmtId="168" formatCode="0.0"/>
    </dxf>
    <dxf>
      <numFmt numFmtId="2" formatCode="0.00"/>
    </dxf>
    <dxf>
      <numFmt numFmtId="1" formatCode="0"/>
    </dxf>
    <dxf>
      <numFmt numFmtId="3" formatCode="#,##0"/>
    </dxf>
    <dxf>
      <numFmt numFmtId="164" formatCode="0.000"/>
    </dxf>
    <dxf>
      <numFmt numFmtId="2" formatCode="0.00"/>
    </dxf>
    <dxf>
      <numFmt numFmtId="1" formatCode="0"/>
    </dxf>
    <dxf>
      <numFmt numFmtId="168" formatCode="0.0"/>
    </dxf>
    <dxf>
      <numFmt numFmtId="3" formatCode="#,##0"/>
    </dxf>
    <dxf>
      <numFmt numFmtId="1" formatCode="0"/>
    </dxf>
    <dxf>
      <numFmt numFmtId="164" formatCode="0.000"/>
    </dxf>
    <dxf>
      <numFmt numFmtId="2" formatCode="0.00"/>
    </dxf>
    <dxf>
      <numFmt numFmtId="168" formatCode="0.0"/>
    </dxf>
    <dxf>
      <numFmt numFmtId="3" formatCode="#,##0"/>
    </dxf>
    <dxf>
      <numFmt numFmtId="1" formatCode="0"/>
    </dxf>
    <dxf>
      <numFmt numFmtId="3" formatCode="#,##0"/>
    </dxf>
    <dxf>
      <numFmt numFmtId="164" formatCode="0.000"/>
    </dxf>
    <dxf>
      <numFmt numFmtId="2" formatCode="0.00"/>
    </dxf>
    <dxf>
      <numFmt numFmtId="168" formatCode="0.0"/>
    </dxf>
    <dxf>
      <numFmt numFmtId="1" formatCode="0"/>
    </dxf>
    <dxf>
      <numFmt numFmtId="164" formatCode="0.000"/>
    </dxf>
    <dxf>
      <numFmt numFmtId="2" formatCode="0.00"/>
    </dxf>
    <dxf>
      <numFmt numFmtId="168" formatCode="0.0"/>
    </dxf>
    <dxf>
      <numFmt numFmtId="3" formatCode="#,##0"/>
    </dxf>
    <dxf>
      <numFmt numFmtId="1" formatCode="0"/>
    </dxf>
    <dxf>
      <numFmt numFmtId="2" formatCode="0.00"/>
    </dxf>
    <dxf>
      <numFmt numFmtId="168" formatCode="0.0"/>
    </dxf>
    <dxf>
      <numFmt numFmtId="3" formatCode="#,##0"/>
    </dxf>
    <dxf>
      <numFmt numFmtId="1" formatCode="0"/>
    </dxf>
    <dxf>
      <numFmt numFmtId="164" formatCode="0.000"/>
    </dxf>
    <dxf>
      <numFmt numFmtId="1" formatCode="0"/>
    </dxf>
    <dxf>
      <numFmt numFmtId="164" formatCode="0.000"/>
    </dxf>
    <dxf>
      <numFmt numFmtId="3" formatCode="#,##0"/>
    </dxf>
    <dxf>
      <numFmt numFmtId="2" formatCode="0.00"/>
    </dxf>
    <dxf>
      <numFmt numFmtId="168" formatCode="0.0"/>
    </dxf>
    <dxf>
      <numFmt numFmtId="1" formatCode="0"/>
    </dxf>
    <dxf>
      <numFmt numFmtId="3" formatCode="#,##0"/>
    </dxf>
    <dxf>
      <numFmt numFmtId="168" formatCode="0.0"/>
    </dxf>
    <dxf>
      <numFmt numFmtId="2" formatCode="0.00"/>
    </dxf>
    <dxf>
      <numFmt numFmtId="164" formatCode="0.000"/>
    </dxf>
    <dxf>
      <numFmt numFmtId="2" formatCode="0.00"/>
    </dxf>
    <dxf>
      <numFmt numFmtId="1" formatCode="0"/>
    </dxf>
    <dxf>
      <numFmt numFmtId="164" formatCode="0.000"/>
    </dxf>
    <dxf>
      <numFmt numFmtId="168" formatCode="0.0"/>
    </dxf>
    <dxf>
      <numFmt numFmtId="3" formatCode="#,##0"/>
    </dxf>
    <dxf>
      <numFmt numFmtId="164" formatCode="0.000"/>
    </dxf>
    <dxf>
      <numFmt numFmtId="1" formatCode="0"/>
    </dxf>
    <dxf>
      <numFmt numFmtId="3" formatCode="#,##0"/>
    </dxf>
    <dxf>
      <numFmt numFmtId="168" formatCode="0.0"/>
    </dxf>
    <dxf>
      <numFmt numFmtId="2" formatCode="0.00"/>
    </dxf>
    <dxf>
      <numFmt numFmtId="168" formatCode="0.0"/>
    </dxf>
    <dxf>
      <numFmt numFmtId="3" formatCode="#,##0"/>
    </dxf>
    <dxf>
      <numFmt numFmtId="164" formatCode="0.000"/>
    </dxf>
    <dxf>
      <numFmt numFmtId="1" formatCode="0"/>
    </dxf>
    <dxf>
      <numFmt numFmtId="2" formatCode="0.00"/>
    </dxf>
    <dxf>
      <numFmt numFmtId="2" formatCode="0.00"/>
    </dxf>
    <dxf>
      <numFmt numFmtId="168" formatCode="0.0"/>
    </dxf>
    <dxf>
      <numFmt numFmtId="1" formatCode="0"/>
    </dxf>
    <dxf>
      <numFmt numFmtId="164" formatCode="0.000"/>
    </dxf>
    <dxf>
      <numFmt numFmtId="3" formatCode="#,##0"/>
    </dxf>
    <dxf>
      <numFmt numFmtId="3" formatCode="#,##0"/>
    </dxf>
    <dxf>
      <numFmt numFmtId="168" formatCode="0.0"/>
    </dxf>
    <dxf>
      <numFmt numFmtId="2" formatCode="0.00"/>
    </dxf>
    <dxf>
      <numFmt numFmtId="1" formatCode="0"/>
    </dxf>
    <dxf>
      <numFmt numFmtId="164" formatCode="0.000"/>
    </dxf>
    <dxf>
      <numFmt numFmtId="3" formatCode="#,##0"/>
    </dxf>
    <dxf>
      <numFmt numFmtId="168" formatCode="0.0"/>
    </dxf>
    <dxf>
      <numFmt numFmtId="2" formatCode="0.00"/>
    </dxf>
    <dxf>
      <numFmt numFmtId="1" formatCode="0"/>
    </dxf>
    <dxf>
      <numFmt numFmtId="164" formatCode="0.000"/>
    </dxf>
    <dxf>
      <numFmt numFmtId="1" formatCode="0"/>
    </dxf>
    <dxf>
      <numFmt numFmtId="3" formatCode="#,##0"/>
    </dxf>
    <dxf>
      <numFmt numFmtId="168" formatCode="0.0"/>
    </dxf>
    <dxf>
      <numFmt numFmtId="2" formatCode="0.00"/>
    </dxf>
    <dxf>
      <numFmt numFmtId="164" formatCode="0.000"/>
    </dxf>
    <dxf>
      <numFmt numFmtId="1" formatCode="0"/>
    </dxf>
    <dxf>
      <numFmt numFmtId="3" formatCode="#,##0"/>
    </dxf>
    <dxf>
      <numFmt numFmtId="168" formatCode="0.0"/>
    </dxf>
    <dxf>
      <numFmt numFmtId="164" formatCode="0.000"/>
    </dxf>
    <dxf>
      <numFmt numFmtId="2" formatCode="0.00"/>
    </dxf>
    <dxf>
      <numFmt numFmtId="164" formatCode="0.000"/>
    </dxf>
    <dxf>
      <numFmt numFmtId="2" formatCode="0.00"/>
    </dxf>
    <dxf>
      <numFmt numFmtId="168" formatCode="0.0"/>
    </dxf>
    <dxf>
      <numFmt numFmtId="3" formatCode="#,##0"/>
    </dxf>
    <dxf>
      <numFmt numFmtId="1" formatCode="0"/>
    </dxf>
    <dxf>
      <numFmt numFmtId="164" formatCode="0.000"/>
    </dxf>
    <dxf>
      <numFmt numFmtId="2" formatCode="0.00"/>
    </dxf>
    <dxf>
      <numFmt numFmtId="168" formatCode="0.0"/>
    </dxf>
    <dxf>
      <numFmt numFmtId="3" formatCode="#,##0"/>
    </dxf>
    <dxf>
      <numFmt numFmtId="1" formatCode="0"/>
    </dxf>
    <dxf>
      <numFmt numFmtId="3" formatCode="#,##0"/>
    </dxf>
    <dxf>
      <numFmt numFmtId="168" formatCode="0.0"/>
    </dxf>
    <dxf>
      <numFmt numFmtId="2" formatCode="0.00"/>
    </dxf>
    <dxf>
      <numFmt numFmtId="164" formatCode="0.000"/>
    </dxf>
    <dxf>
      <numFmt numFmtId="1" formatCode="0"/>
    </dxf>
    <dxf>
      <numFmt numFmtId="164" formatCode="0.000"/>
    </dxf>
    <dxf>
      <numFmt numFmtId="168" formatCode="0.0"/>
    </dxf>
    <dxf>
      <numFmt numFmtId="2" formatCode="0.00"/>
    </dxf>
    <dxf>
      <numFmt numFmtId="1" formatCode="0"/>
    </dxf>
    <dxf>
      <numFmt numFmtId="3" formatCode="#,##0"/>
    </dxf>
    <dxf>
      <numFmt numFmtId="3" formatCode="#,##0"/>
    </dxf>
    <dxf>
      <numFmt numFmtId="168" formatCode="0.0"/>
    </dxf>
    <dxf>
      <numFmt numFmtId="2" formatCode="0.00"/>
    </dxf>
    <dxf>
      <numFmt numFmtId="164" formatCode="0.000"/>
    </dxf>
    <dxf>
      <numFmt numFmtId="1" formatCode="0"/>
    </dxf>
    <dxf>
      <numFmt numFmtId="1" formatCode="0"/>
    </dxf>
    <dxf>
      <numFmt numFmtId="168" formatCode="0.0"/>
    </dxf>
    <dxf>
      <numFmt numFmtId="2" formatCode="0.00"/>
    </dxf>
    <dxf>
      <numFmt numFmtId="164" formatCode="0.000"/>
    </dxf>
    <dxf>
      <numFmt numFmtId="3" formatCode="#,##0"/>
    </dxf>
    <dxf>
      <numFmt numFmtId="1" formatCode="0"/>
    </dxf>
    <dxf>
      <numFmt numFmtId="3" formatCode="#,##0"/>
    </dxf>
    <dxf>
      <numFmt numFmtId="168" formatCode="0.0"/>
    </dxf>
    <dxf>
      <numFmt numFmtId="2" formatCode="0.00"/>
    </dxf>
    <dxf>
      <numFmt numFmtId="164" formatCode="0.000"/>
    </dxf>
    <dxf>
      <numFmt numFmtId="1" formatCode="0"/>
    </dxf>
    <dxf>
      <numFmt numFmtId="3" formatCode="#,##0"/>
    </dxf>
    <dxf>
      <numFmt numFmtId="168" formatCode="0.0"/>
    </dxf>
    <dxf>
      <numFmt numFmtId="2" formatCode="0.00"/>
    </dxf>
    <dxf>
      <numFmt numFmtId="164" formatCode="0.000"/>
    </dxf>
    <dxf>
      <numFmt numFmtId="1" formatCode="0"/>
    </dxf>
    <dxf>
      <numFmt numFmtId="3" formatCode="#,##0"/>
    </dxf>
    <dxf>
      <numFmt numFmtId="168" formatCode="0.0"/>
    </dxf>
    <dxf>
      <numFmt numFmtId="2" formatCode="0.00"/>
    </dxf>
    <dxf>
      <numFmt numFmtId="164" formatCode="0.000"/>
    </dxf>
    <dxf>
      <numFmt numFmtId="1" formatCode="0"/>
    </dxf>
    <dxf>
      <numFmt numFmtId="164" formatCode="0.000"/>
    </dxf>
    <dxf>
      <numFmt numFmtId="168" formatCode="0.0"/>
    </dxf>
    <dxf>
      <numFmt numFmtId="2" formatCode="0.00"/>
    </dxf>
    <dxf>
      <numFmt numFmtId="3" formatCode="#,##0"/>
    </dxf>
    <dxf>
      <numFmt numFmtId="164" formatCode="0.000"/>
    </dxf>
    <dxf>
      <numFmt numFmtId="1" formatCode="0"/>
    </dxf>
    <dxf>
      <numFmt numFmtId="3" formatCode="#,##0"/>
    </dxf>
    <dxf>
      <numFmt numFmtId="168" formatCode="0.0"/>
    </dxf>
    <dxf>
      <numFmt numFmtId="2" formatCode="0.00"/>
    </dxf>
    <dxf>
      <numFmt numFmtId="164" formatCode="0.000"/>
    </dxf>
    <dxf>
      <numFmt numFmtId="2" formatCode="0.00"/>
    </dxf>
    <dxf>
      <numFmt numFmtId="168" formatCode="0.0"/>
    </dxf>
    <dxf>
      <numFmt numFmtId="3" formatCode="#,##0"/>
    </dxf>
    <dxf>
      <numFmt numFmtId="1" formatCode="0"/>
    </dxf>
    <dxf>
      <numFmt numFmtId="3" formatCode="#,##0"/>
    </dxf>
    <dxf>
      <numFmt numFmtId="168" formatCode="0.0"/>
    </dxf>
    <dxf>
      <numFmt numFmtId="2" formatCode="0.00"/>
    </dxf>
    <dxf>
      <numFmt numFmtId="164" formatCode="0.000"/>
    </dxf>
    <dxf>
      <numFmt numFmtId="1" formatCode="0"/>
    </dxf>
    <dxf>
      <numFmt numFmtId="164" formatCode="0.000"/>
    </dxf>
    <dxf>
      <numFmt numFmtId="2" formatCode="0.00"/>
    </dxf>
    <dxf>
      <numFmt numFmtId="168" formatCode="0.0"/>
    </dxf>
    <dxf>
      <numFmt numFmtId="3" formatCode="#,##0"/>
    </dxf>
    <dxf>
      <numFmt numFmtId="1" formatCode="0"/>
    </dxf>
    <dxf>
      <numFmt numFmtId="1" formatCode="0"/>
    </dxf>
    <dxf>
      <numFmt numFmtId="3" formatCode="#,##0"/>
    </dxf>
    <dxf>
      <numFmt numFmtId="168" formatCode="0.0"/>
    </dxf>
    <dxf>
      <numFmt numFmtId="164" formatCode="0.000"/>
    </dxf>
    <dxf>
      <numFmt numFmtId="2" formatCode="0.00"/>
    </dxf>
    <dxf>
      <numFmt numFmtId="3" formatCode="#,##0"/>
    </dxf>
    <dxf>
      <numFmt numFmtId="168" formatCode="0.0"/>
    </dxf>
    <dxf>
      <numFmt numFmtId="2" formatCode="0.00"/>
    </dxf>
    <dxf>
      <numFmt numFmtId="164" formatCode="0.000"/>
    </dxf>
    <dxf>
      <numFmt numFmtId="1" formatCode="0"/>
    </dxf>
    <dxf>
      <numFmt numFmtId="164" formatCode="0.000"/>
    </dxf>
    <dxf>
      <numFmt numFmtId="2" formatCode="0.00"/>
    </dxf>
    <dxf>
      <numFmt numFmtId="168" formatCode="0.0"/>
    </dxf>
    <dxf>
      <numFmt numFmtId="3" formatCode="#,##0"/>
    </dxf>
    <dxf>
      <numFmt numFmtId="1" formatCode="0"/>
    </dxf>
    <dxf>
      <numFmt numFmtId="2" formatCode="0.00"/>
    </dxf>
    <dxf>
      <numFmt numFmtId="168" formatCode="0.0"/>
    </dxf>
    <dxf>
      <numFmt numFmtId="3" formatCode="#,##0"/>
    </dxf>
    <dxf>
      <numFmt numFmtId="1" formatCode="0"/>
    </dxf>
    <dxf>
      <numFmt numFmtId="164" formatCode="0.000"/>
    </dxf>
    <dxf>
      <numFmt numFmtId="3" formatCode="#,##0"/>
    </dxf>
    <dxf>
      <numFmt numFmtId="1" formatCode="0"/>
    </dxf>
    <dxf>
      <numFmt numFmtId="168" formatCode="0.0"/>
    </dxf>
    <dxf>
      <numFmt numFmtId="2" formatCode="0.00"/>
    </dxf>
    <dxf>
      <numFmt numFmtId="164" formatCode="0.000"/>
    </dxf>
    <dxf>
      <numFmt numFmtId="1" formatCode="0"/>
    </dxf>
    <dxf>
      <numFmt numFmtId="3" formatCode="#,##0"/>
    </dxf>
    <dxf>
      <numFmt numFmtId="168" formatCode="0.0"/>
    </dxf>
    <dxf>
      <numFmt numFmtId="2" formatCode="0.00"/>
    </dxf>
    <dxf>
      <numFmt numFmtId="164" formatCode="0.000"/>
    </dxf>
    <dxf>
      <numFmt numFmtId="1" formatCode="0"/>
    </dxf>
    <dxf>
      <numFmt numFmtId="3" formatCode="#,##0"/>
    </dxf>
    <dxf>
      <numFmt numFmtId="168" formatCode="0.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168" formatCode="0.0"/>
    </dxf>
    <dxf>
      <numFmt numFmtId="3" formatCode="#,##0"/>
    </dxf>
    <dxf>
      <numFmt numFmtId="1" formatCode="0"/>
    </dxf>
    <dxf>
      <numFmt numFmtId="168" formatCode="0.0"/>
    </dxf>
    <dxf>
      <numFmt numFmtId="2" formatCode="0.00"/>
    </dxf>
    <dxf>
      <numFmt numFmtId="164" formatCode="0.000"/>
    </dxf>
    <dxf>
      <numFmt numFmtId="3" formatCode="#,##0"/>
    </dxf>
    <dxf>
      <numFmt numFmtId="1" formatCode="0"/>
    </dxf>
    <dxf>
      <numFmt numFmtId="2" formatCode="0.00"/>
    </dxf>
    <dxf>
      <numFmt numFmtId="168" formatCode="0.0"/>
    </dxf>
    <dxf>
      <numFmt numFmtId="3" formatCode="#,##0"/>
    </dxf>
    <dxf>
      <numFmt numFmtId="1" formatCode="0"/>
    </dxf>
    <dxf>
      <numFmt numFmtId="164" formatCode="0.000"/>
    </dxf>
    <dxf>
      <numFmt numFmtId="1" formatCode="0"/>
    </dxf>
    <dxf>
      <numFmt numFmtId="3" formatCode="#,##0"/>
    </dxf>
    <dxf>
      <numFmt numFmtId="164" formatCode="0.000"/>
    </dxf>
    <dxf>
      <numFmt numFmtId="2" formatCode="0.00"/>
    </dxf>
    <dxf>
      <numFmt numFmtId="168" formatCode="0.0"/>
    </dxf>
    <dxf>
      <numFmt numFmtId="164" formatCode="0.000"/>
    </dxf>
    <dxf>
      <numFmt numFmtId="2" formatCode="0.00"/>
    </dxf>
    <dxf>
      <numFmt numFmtId="168" formatCode="0.0"/>
    </dxf>
    <dxf>
      <numFmt numFmtId="3" formatCode="#,##0"/>
    </dxf>
    <dxf>
      <numFmt numFmtId="1" formatCode="0"/>
    </dxf>
    <dxf>
      <numFmt numFmtId="1" formatCode="0"/>
    </dxf>
    <dxf>
      <numFmt numFmtId="3" formatCode="#,##0"/>
    </dxf>
    <dxf>
      <numFmt numFmtId="168" formatCode="0.0"/>
    </dxf>
    <dxf>
      <numFmt numFmtId="2" formatCode="0.00"/>
    </dxf>
    <dxf>
      <numFmt numFmtId="164" formatCode="0.000"/>
    </dxf>
    <dxf>
      <numFmt numFmtId="1" formatCode="0"/>
    </dxf>
    <dxf>
      <numFmt numFmtId="3" formatCode="#,##0"/>
    </dxf>
    <dxf>
      <numFmt numFmtId="168" formatCode="0.0"/>
    </dxf>
    <dxf>
      <numFmt numFmtId="2" formatCode="0.00"/>
    </dxf>
    <dxf>
      <numFmt numFmtId="164" formatCode="0.000"/>
    </dxf>
    <dxf>
      <numFmt numFmtId="1" formatCode="0"/>
    </dxf>
    <dxf>
      <numFmt numFmtId="3" formatCode="#,##0"/>
    </dxf>
    <dxf>
      <numFmt numFmtId="168" formatCode="0.0"/>
    </dxf>
    <dxf>
      <numFmt numFmtId="2" formatCode="0.00"/>
    </dxf>
    <dxf>
      <numFmt numFmtId="164" formatCode="0.000"/>
    </dxf>
    <dxf>
      <numFmt numFmtId="1" formatCode="0"/>
    </dxf>
    <dxf>
      <numFmt numFmtId="3" formatCode="#,##0"/>
    </dxf>
    <dxf>
      <numFmt numFmtId="168" formatCode="0.0"/>
    </dxf>
    <dxf>
      <numFmt numFmtId="2" formatCode="0.00"/>
    </dxf>
    <dxf>
      <numFmt numFmtId="164" formatCode="0.000"/>
    </dxf>
  </dxfs>
  <tableStyles count="0" defaultTableStyle="TableStyleMedium2" defaultPivotStyle="PivotStyleLight16"/>
  <colors>
    <mruColors>
      <color rgb="FFF7FFE0"/>
      <color rgb="FFFFF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13" Type="http://schemas.openxmlformats.org/officeDocument/2006/relationships/image" Target="../media/image23.png"/><Relationship Id="rId3" Type="http://schemas.openxmlformats.org/officeDocument/2006/relationships/image" Target="../media/image13.png"/><Relationship Id="rId7" Type="http://schemas.openxmlformats.org/officeDocument/2006/relationships/image" Target="../media/image17.png"/><Relationship Id="rId12" Type="http://schemas.openxmlformats.org/officeDocument/2006/relationships/image" Target="../media/image22.png"/><Relationship Id="rId2" Type="http://schemas.openxmlformats.org/officeDocument/2006/relationships/image" Target="../media/image12.png"/><Relationship Id="rId1" Type="http://schemas.openxmlformats.org/officeDocument/2006/relationships/image" Target="../media/image11.jpeg"/><Relationship Id="rId6" Type="http://schemas.openxmlformats.org/officeDocument/2006/relationships/image" Target="../media/image16.png"/><Relationship Id="rId11" Type="http://schemas.openxmlformats.org/officeDocument/2006/relationships/image" Target="../media/image21.png"/><Relationship Id="rId5" Type="http://schemas.openxmlformats.org/officeDocument/2006/relationships/image" Target="../media/image15.png"/><Relationship Id="rId15" Type="http://schemas.openxmlformats.org/officeDocument/2006/relationships/image" Target="../media/image25.png"/><Relationship Id="rId10" Type="http://schemas.openxmlformats.org/officeDocument/2006/relationships/image" Target="../media/image20.png"/><Relationship Id="rId4" Type="http://schemas.openxmlformats.org/officeDocument/2006/relationships/image" Target="../media/image14.png"/><Relationship Id="rId9" Type="http://schemas.openxmlformats.org/officeDocument/2006/relationships/image" Target="../media/image19.png"/><Relationship Id="rId14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139560</xdr:colOff>
      <xdr:row>8</xdr:row>
      <xdr:rowOff>82950</xdr:rowOff>
    </xdr:from>
    <xdr:to>
      <xdr:col>8</xdr:col>
      <xdr:colOff>656501</xdr:colOff>
      <xdr:row>25</xdr:row>
      <xdr:rowOff>181428</xdr:rowOff>
    </xdr:to>
    <xdr:sp macro="" textlink="">
      <xdr:nvSpPr>
        <xdr:cNvPr id="2" name="Rechteck 1">
          <a:extLst>
            <a:ext uri="{FF2B5EF4-FFF2-40B4-BE49-F238E27FC236}">
              <a16:creationId xmlns:a16="http://schemas.microsoft.com/office/drawing/2014/main" id="{67D14EC4-47F7-6A49-BAA6-F5BE42206371}"/>
            </a:ext>
          </a:extLst>
        </xdr:cNvPr>
        <xdr:cNvSpPr/>
      </xdr:nvSpPr>
      <xdr:spPr>
        <a:xfrm>
          <a:off x="2223663" y="1732865"/>
          <a:ext cx="10883180" cy="360454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 baseline="0"/>
            <a:t>GENERAL COMMENT: </a:t>
          </a:r>
        </a:p>
        <a:p>
          <a:pPr algn="l"/>
          <a:r>
            <a:rPr lang="de-DE" sz="1100" baseline="0"/>
            <a:t>NAMING ARCHETYPES: </a:t>
          </a:r>
        </a:p>
        <a:p>
          <a:pPr algn="l"/>
          <a:endParaRPr lang="de-DE" sz="1100" baseline="0"/>
        </a:p>
        <a:p>
          <a:pPr algn="l"/>
          <a:r>
            <a:rPr lang="de-DE" sz="1100" baseline="0"/>
            <a:t>INTERWAR PERIOD:	30s_Kanzleistrasse</a:t>
          </a:r>
        </a:p>
        <a:p>
          <a:pPr algn="l"/>
          <a:r>
            <a:rPr lang="de-DE" sz="1100" baseline="0"/>
            <a:t>POSTWAR PERIOD:	 Garden_city_herrlig</a:t>
          </a:r>
        </a:p>
        <a:p>
          <a:pPr algn="l"/>
          <a:r>
            <a:rPr lang="de-DE" sz="1100" baseline="0"/>
            <a:t>BOOM PERIOD:		60s_Salzweg</a:t>
          </a:r>
        </a:p>
        <a:p>
          <a:pPr algn="l"/>
          <a:r>
            <a:rPr lang="de-DE" sz="1100" baseline="0"/>
            <a:t>BOOM PERIOD REN:	60s_Salzweg_ren	</a:t>
          </a:r>
        </a:p>
        <a:p>
          <a:pPr algn="l"/>
          <a:r>
            <a:rPr lang="de-DE" sz="1100" baseline="0"/>
            <a:t>POST-BOOM PERIOD: 	70_s_Lerchenberg</a:t>
          </a:r>
        </a:p>
        <a:p>
          <a:pPr algn="l"/>
          <a:endParaRPr lang="de-DE" sz="1100" baseline="0"/>
        </a:p>
        <a:p>
          <a:pPr algn="l"/>
          <a:r>
            <a:rPr lang="de-DE" sz="1100" baseline="0"/>
            <a:t>case study for validation: 	eRen4</a:t>
          </a:r>
        </a:p>
        <a:p>
          <a:pPr algn="l"/>
          <a:endParaRPr lang="de-DE" sz="1100" baseline="0"/>
        </a:p>
        <a:p>
          <a:pPr algn="l"/>
          <a:r>
            <a:rPr lang="de-DE" sz="1100" baseline="0"/>
            <a:t>IMPORTANT: FOR THE INTERNAL FINISHINGS ONLY MATERIALS WITH ENTRIES "old_component" != True ARE ALLOUDED! (for correctly counting the number of replacements. </a:t>
          </a:r>
          <a:br>
            <a:rPr lang="de-DE" sz="1100" baseline="0"/>
          </a:br>
          <a:r>
            <a:rPr lang="de-DE" sz="1100" baseline="0"/>
            <a:t>All "old_components"  which are not changed are reused for one RSL. That the option " interior_renovation_at_intervention" properly works in case of 'interior_renovation_at_intervention'==True</a:t>
          </a:r>
        </a:p>
        <a:p>
          <a:pPr algn="l"/>
          <a:r>
            <a:rPr lang="de-DE" sz="1100" baseline="0"/>
            <a:t>no "old_component" is allound to be assigend for a interior finishing layer.)</a:t>
          </a:r>
        </a:p>
        <a:p>
          <a:pPr algn="l"/>
          <a:endParaRPr lang="de-D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41056</xdr:colOff>
      <xdr:row>22</xdr:row>
      <xdr:rowOff>56444</xdr:rowOff>
    </xdr:from>
    <xdr:to>
      <xdr:col>14</xdr:col>
      <xdr:colOff>143130</xdr:colOff>
      <xdr:row>43</xdr:row>
      <xdr:rowOff>183444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D830EA85-E258-B947-1DC9-3130AD504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3723" y="4445000"/>
          <a:ext cx="4264851" cy="4360333"/>
        </a:xfrm>
        <a:prstGeom prst="rect">
          <a:avLst/>
        </a:prstGeom>
      </xdr:spPr>
    </xdr:pic>
    <xdr:clientData/>
  </xdr:twoCellAnchor>
  <xdr:twoCellAnchor editAs="oneCell">
    <xdr:from>
      <xdr:col>9</xdr:col>
      <xdr:colOff>14111</xdr:colOff>
      <xdr:row>47</xdr:row>
      <xdr:rowOff>56445</xdr:rowOff>
    </xdr:from>
    <xdr:to>
      <xdr:col>14</xdr:col>
      <xdr:colOff>420772</xdr:colOff>
      <xdr:row>63</xdr:row>
      <xdr:rowOff>14111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E8D0EA1F-EDE4-9C2F-8ECF-1A14950ED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96778" y="9383889"/>
          <a:ext cx="4569438" cy="3203222"/>
        </a:xfrm>
        <a:prstGeom prst="rect">
          <a:avLst/>
        </a:prstGeom>
      </xdr:spPr>
    </xdr:pic>
    <xdr:clientData/>
  </xdr:twoCellAnchor>
  <xdr:twoCellAnchor editAs="oneCell">
    <xdr:from>
      <xdr:col>9</xdr:col>
      <xdr:colOff>98778</xdr:colOff>
      <xdr:row>64</xdr:row>
      <xdr:rowOff>169334</xdr:rowOff>
    </xdr:from>
    <xdr:to>
      <xdr:col>14</xdr:col>
      <xdr:colOff>691445</xdr:colOff>
      <xdr:row>92</xdr:row>
      <xdr:rowOff>183351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A4876A9A-117C-9116-02D5-6BDAAAB63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81445" y="13024556"/>
          <a:ext cx="4755444" cy="5587906"/>
        </a:xfrm>
        <a:prstGeom prst="rect">
          <a:avLst/>
        </a:prstGeom>
      </xdr:spPr>
    </xdr:pic>
    <xdr:clientData/>
  </xdr:twoCellAnchor>
  <xdr:twoCellAnchor editAs="oneCell">
    <xdr:from>
      <xdr:col>9</xdr:col>
      <xdr:colOff>56029</xdr:colOff>
      <xdr:row>96</xdr:row>
      <xdr:rowOff>186765</xdr:rowOff>
    </xdr:from>
    <xdr:to>
      <xdr:col>14</xdr:col>
      <xdr:colOff>411065</xdr:colOff>
      <xdr:row>116</xdr:row>
      <xdr:rowOff>186765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7EE055C4-D8D5-8BA9-F2CF-067A3F22A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50294" y="20133236"/>
          <a:ext cx="4463859" cy="4146176"/>
        </a:xfrm>
        <a:prstGeom prst="rect">
          <a:avLst/>
        </a:prstGeom>
      </xdr:spPr>
    </xdr:pic>
    <xdr:clientData/>
  </xdr:twoCellAnchor>
  <xdr:twoCellAnchor>
    <xdr:from>
      <xdr:col>12</xdr:col>
      <xdr:colOff>558800</xdr:colOff>
      <xdr:row>71</xdr:row>
      <xdr:rowOff>0</xdr:rowOff>
    </xdr:from>
    <xdr:to>
      <xdr:col>14</xdr:col>
      <xdr:colOff>270933</xdr:colOff>
      <xdr:row>80</xdr:row>
      <xdr:rowOff>135466</xdr:rowOff>
    </xdr:to>
    <xdr:cxnSp macro="">
      <xdr:nvCxnSpPr>
        <xdr:cNvPr id="8" name="Gerade Verbindung 7">
          <a:extLst>
            <a:ext uri="{FF2B5EF4-FFF2-40B4-BE49-F238E27FC236}">
              <a16:creationId xmlns:a16="http://schemas.microsoft.com/office/drawing/2014/main" id="{2F2D0E06-1F7E-BBB8-3AEA-409A4D7CBFCE}"/>
            </a:ext>
          </a:extLst>
        </xdr:cNvPr>
        <xdr:cNvCxnSpPr/>
      </xdr:nvCxnSpPr>
      <xdr:spPr>
        <a:xfrm>
          <a:off x="12513733" y="14664267"/>
          <a:ext cx="1371600" cy="1964266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812800</xdr:colOff>
      <xdr:row>72</xdr:row>
      <xdr:rowOff>101600</xdr:rowOff>
    </xdr:from>
    <xdr:to>
      <xdr:col>14</xdr:col>
      <xdr:colOff>84667</xdr:colOff>
      <xdr:row>81</xdr:row>
      <xdr:rowOff>67733</xdr:rowOff>
    </xdr:to>
    <xdr:cxnSp macro="">
      <xdr:nvCxnSpPr>
        <xdr:cNvPr id="9" name="Gerade Verbindung 8">
          <a:extLst>
            <a:ext uri="{FF2B5EF4-FFF2-40B4-BE49-F238E27FC236}">
              <a16:creationId xmlns:a16="http://schemas.microsoft.com/office/drawing/2014/main" id="{4AD3916E-FE10-1446-9E8D-D4ADC4698A92}"/>
            </a:ext>
          </a:extLst>
        </xdr:cNvPr>
        <xdr:cNvCxnSpPr/>
      </xdr:nvCxnSpPr>
      <xdr:spPr>
        <a:xfrm flipH="1">
          <a:off x="12767733" y="14969067"/>
          <a:ext cx="931334" cy="1794933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205442</xdr:colOff>
      <xdr:row>34</xdr:row>
      <xdr:rowOff>56029</xdr:rowOff>
    </xdr:from>
    <xdr:to>
      <xdr:col>11</xdr:col>
      <xdr:colOff>386830</xdr:colOff>
      <xdr:row>38</xdr:row>
      <xdr:rowOff>205279</xdr:rowOff>
    </xdr:to>
    <xdr:sp macro="" textlink="">
      <xdr:nvSpPr>
        <xdr:cNvPr id="2" name="Rechteck 1">
          <a:extLst>
            <a:ext uri="{FF2B5EF4-FFF2-40B4-BE49-F238E27FC236}">
              <a16:creationId xmlns:a16="http://schemas.microsoft.com/office/drawing/2014/main" id="{A75B529E-4404-8C49-8A34-8B72613F0CB8}"/>
            </a:ext>
          </a:extLst>
        </xdr:cNvPr>
        <xdr:cNvSpPr/>
      </xdr:nvSpPr>
      <xdr:spPr>
        <a:xfrm>
          <a:off x="1027207" y="7470588"/>
          <a:ext cx="8399035" cy="97101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Comment: Since</a:t>
          </a:r>
          <a:r>
            <a:rPr lang="de-DE" sz="1100" baseline="0"/>
            <a:t> this is the original Consturction, only GWP disposal and C_BIO are caluclated.</a:t>
          </a:r>
        </a:p>
        <a:p>
          <a:pPr algn="l"/>
          <a:endParaRPr lang="de-DE" sz="1100" baseline="0"/>
        </a:p>
        <a:p>
          <a:pPr algn="l"/>
          <a:r>
            <a:rPr lang="de-DE" sz="1100" baseline="0"/>
            <a:t>Threrfore the most similar material of KBOB (ID_EPD) was choosen. </a:t>
          </a:r>
        </a:p>
        <a:p>
          <a:pPr algn="l"/>
          <a:r>
            <a:rPr lang="de-DE" sz="1100" baseline="0"/>
            <a:t>Denstiy, thickness and lamda values are according to the report of e-Ren </a:t>
          </a:r>
        </a:p>
        <a:p>
          <a:pPr algn="l"/>
          <a:endParaRPr lang="de-DE" sz="1100" baseline="0"/>
        </a:p>
        <a:p>
          <a:pPr algn="l"/>
          <a:endParaRPr lang="de-DE" sz="1100"/>
        </a:p>
      </xdr:txBody>
    </xdr:sp>
    <xdr:clientData/>
  </xdr:twoCellAnchor>
  <xdr:twoCellAnchor editAs="oneCell">
    <xdr:from>
      <xdr:col>28</xdr:col>
      <xdr:colOff>741875</xdr:colOff>
      <xdr:row>6</xdr:row>
      <xdr:rowOff>200630</xdr:rowOff>
    </xdr:from>
    <xdr:to>
      <xdr:col>31</xdr:col>
      <xdr:colOff>292941</xdr:colOff>
      <xdr:row>14</xdr:row>
      <xdr:rowOff>182429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AC8DFA24-2E6C-0A4E-8DB8-2447B283A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51287" y="1433277"/>
          <a:ext cx="2016359" cy="1698291"/>
        </a:xfrm>
        <a:prstGeom prst="rect">
          <a:avLst/>
        </a:prstGeom>
      </xdr:spPr>
    </xdr:pic>
    <xdr:clientData/>
  </xdr:twoCellAnchor>
  <xdr:twoCellAnchor editAs="oneCell">
    <xdr:from>
      <xdr:col>26</xdr:col>
      <xdr:colOff>448236</xdr:colOff>
      <xdr:row>3</xdr:row>
      <xdr:rowOff>93382</xdr:rowOff>
    </xdr:from>
    <xdr:to>
      <xdr:col>28</xdr:col>
      <xdr:colOff>812838</xdr:colOff>
      <xdr:row>11</xdr:row>
      <xdr:rowOff>25008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331E8166-C178-9B46-A979-EF6FDC508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814118" y="709706"/>
          <a:ext cx="2008131" cy="1612508"/>
        </a:xfrm>
        <a:prstGeom prst="rect">
          <a:avLst/>
        </a:prstGeom>
      </xdr:spPr>
    </xdr:pic>
    <xdr:clientData/>
  </xdr:twoCellAnchor>
  <xdr:twoCellAnchor editAs="oneCell">
    <xdr:from>
      <xdr:col>26</xdr:col>
      <xdr:colOff>358272</xdr:colOff>
      <xdr:row>11</xdr:row>
      <xdr:rowOff>191766</xdr:rowOff>
    </xdr:from>
    <xdr:to>
      <xdr:col>29</xdr:col>
      <xdr:colOff>461997</xdr:colOff>
      <xdr:row>21</xdr:row>
      <xdr:rowOff>136347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268B2F3F-5C6F-934A-953C-0D1B9604F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525854" y="2913195"/>
          <a:ext cx="2573945" cy="2037987"/>
        </a:xfrm>
        <a:prstGeom prst="rect">
          <a:avLst/>
        </a:prstGeom>
      </xdr:spPr>
    </xdr:pic>
    <xdr:clientData/>
  </xdr:twoCellAnchor>
  <xdr:twoCellAnchor editAs="oneCell">
    <xdr:from>
      <xdr:col>26</xdr:col>
      <xdr:colOff>229898</xdr:colOff>
      <xdr:row>22</xdr:row>
      <xdr:rowOff>172253</xdr:rowOff>
    </xdr:from>
    <xdr:to>
      <xdr:col>30</xdr:col>
      <xdr:colOff>126622</xdr:colOff>
      <xdr:row>35</xdr:row>
      <xdr:rowOff>70974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7625CB85-D5D5-4245-821D-CCFA48ADC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397480" y="5196429"/>
          <a:ext cx="3190350" cy="2620149"/>
        </a:xfrm>
        <a:prstGeom prst="rect">
          <a:avLst/>
        </a:prstGeom>
      </xdr:spPr>
    </xdr:pic>
    <xdr:clientData/>
  </xdr:twoCellAnchor>
  <xdr:twoCellAnchor editAs="oneCell">
    <xdr:from>
      <xdr:col>30</xdr:col>
      <xdr:colOff>499654</xdr:colOff>
      <xdr:row>17</xdr:row>
      <xdr:rowOff>30673</xdr:rowOff>
    </xdr:from>
    <xdr:to>
      <xdr:col>34</xdr:col>
      <xdr:colOff>140809</xdr:colOff>
      <xdr:row>27</xdr:row>
      <xdr:rowOff>14726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B745FBC4-D4B4-CF46-8225-7EEE43223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960863" y="4008146"/>
          <a:ext cx="2934781" cy="2077459"/>
        </a:xfrm>
        <a:prstGeom prst="rect">
          <a:avLst/>
        </a:prstGeom>
      </xdr:spPr>
    </xdr:pic>
    <xdr:clientData/>
  </xdr:twoCellAnchor>
  <xdr:twoCellAnchor editAs="oneCell">
    <xdr:from>
      <xdr:col>35</xdr:col>
      <xdr:colOff>516838</xdr:colOff>
      <xdr:row>6</xdr:row>
      <xdr:rowOff>42334</xdr:rowOff>
    </xdr:from>
    <xdr:to>
      <xdr:col>41</xdr:col>
      <xdr:colOff>783399</xdr:colOff>
      <xdr:row>28</xdr:row>
      <xdr:rowOff>157007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ADD3F065-F7DB-3D7D-4489-0A1BEFBAF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397616" y="1227667"/>
          <a:ext cx="5261894" cy="46048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287105</xdr:colOff>
      <xdr:row>187</xdr:row>
      <xdr:rowOff>132099</xdr:rowOff>
    </xdr:from>
    <xdr:to>
      <xdr:col>8</xdr:col>
      <xdr:colOff>422177</xdr:colOff>
      <xdr:row>191</xdr:row>
      <xdr:rowOff>53814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8C2E684B-9171-5E42-A796-5C5365D1D803}"/>
            </a:ext>
          </a:extLst>
        </xdr:cNvPr>
        <xdr:cNvSpPr/>
      </xdr:nvSpPr>
      <xdr:spPr>
        <a:xfrm>
          <a:off x="287105" y="40029472"/>
          <a:ext cx="11317530" cy="73968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aseline="0"/>
            <a:t>Denstiy, thickness and lamda values are according to the report of e-Ren  or other  plans/sections </a:t>
          </a:r>
        </a:p>
        <a:p>
          <a:pPr algn="l"/>
          <a:r>
            <a:rPr lang="de-DE" sz="1100" baseline="0"/>
            <a:t>Threrfore the most similar material of KBOB (ID_EPD) was choosen. </a:t>
          </a:r>
        </a:p>
        <a:p>
          <a:pPr algn="l"/>
          <a:endParaRPr lang="de-DE" sz="1100" baseline="0"/>
        </a:p>
      </xdr:txBody>
    </xdr:sp>
    <xdr:clientData/>
  </xdr:twoCellAnchor>
  <xdr:twoCellAnchor editAs="oneCell">
    <xdr:from>
      <xdr:col>30</xdr:col>
      <xdr:colOff>278121</xdr:colOff>
      <xdr:row>46</xdr:row>
      <xdr:rowOff>40533</xdr:rowOff>
    </xdr:from>
    <xdr:to>
      <xdr:col>32</xdr:col>
      <xdr:colOff>555191</xdr:colOff>
      <xdr:row>58</xdr:row>
      <xdr:rowOff>90725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E1B96BAD-2ADE-71ED-CE80-FEF0714DC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83367" y="7146981"/>
          <a:ext cx="1928764" cy="2520792"/>
        </a:xfrm>
        <a:prstGeom prst="rect">
          <a:avLst/>
        </a:prstGeom>
      </xdr:spPr>
    </xdr:pic>
    <xdr:clientData/>
  </xdr:twoCellAnchor>
  <xdr:twoCellAnchor editAs="oneCell">
    <xdr:from>
      <xdr:col>25</xdr:col>
      <xdr:colOff>728793</xdr:colOff>
      <xdr:row>52</xdr:row>
      <xdr:rowOff>63825</xdr:rowOff>
    </xdr:from>
    <xdr:to>
      <xdr:col>28</xdr:col>
      <xdr:colOff>756597</xdr:colOff>
      <xdr:row>61</xdr:row>
      <xdr:rowOff>92237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8EBFD1B6-AF59-8CF6-4F73-FDF519017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223580" y="2725421"/>
          <a:ext cx="2500250" cy="1906389"/>
        </a:xfrm>
        <a:prstGeom prst="rect">
          <a:avLst/>
        </a:prstGeom>
      </xdr:spPr>
    </xdr:pic>
    <xdr:clientData/>
  </xdr:twoCellAnchor>
  <xdr:twoCellAnchor editAs="oneCell">
    <xdr:from>
      <xdr:col>26</xdr:col>
      <xdr:colOff>437772</xdr:colOff>
      <xdr:row>42</xdr:row>
      <xdr:rowOff>16934</xdr:rowOff>
    </xdr:from>
    <xdr:to>
      <xdr:col>29</xdr:col>
      <xdr:colOff>21258</xdr:colOff>
      <xdr:row>50</xdr:row>
      <xdr:rowOff>46800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EDDA8A49-59D6-5F27-1939-14F44BFC9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344839" y="6248401"/>
          <a:ext cx="2072686" cy="1824798"/>
        </a:xfrm>
        <a:prstGeom prst="rect">
          <a:avLst/>
        </a:prstGeom>
      </xdr:spPr>
    </xdr:pic>
    <xdr:clientData/>
  </xdr:twoCellAnchor>
  <xdr:twoCellAnchor editAs="oneCell">
    <xdr:from>
      <xdr:col>29</xdr:col>
      <xdr:colOff>64130</xdr:colOff>
      <xdr:row>62</xdr:row>
      <xdr:rowOff>169332</xdr:rowOff>
    </xdr:from>
    <xdr:to>
      <xdr:col>31</xdr:col>
      <xdr:colOff>502969</xdr:colOff>
      <xdr:row>74</xdr:row>
      <xdr:rowOff>75750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0F8BE75A-9330-CFA5-3D8B-8358151E9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460397" y="11108265"/>
          <a:ext cx="2098305" cy="2412553"/>
        </a:xfrm>
        <a:prstGeom prst="rect">
          <a:avLst/>
        </a:prstGeom>
      </xdr:spPr>
    </xdr:pic>
    <xdr:clientData/>
  </xdr:twoCellAnchor>
  <xdr:twoCellAnchor editAs="oneCell">
    <xdr:from>
      <xdr:col>33</xdr:col>
      <xdr:colOff>508001</xdr:colOff>
      <xdr:row>42</xdr:row>
      <xdr:rowOff>203200</xdr:rowOff>
    </xdr:from>
    <xdr:to>
      <xdr:col>39</xdr:col>
      <xdr:colOff>12701</xdr:colOff>
      <xdr:row>75</xdr:row>
      <xdr:rowOff>58514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BC8D3970-3B3C-2DFB-42E4-18D20BCCD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223201" y="6434667"/>
          <a:ext cx="4483100" cy="6998621"/>
        </a:xfrm>
        <a:prstGeom prst="rect">
          <a:avLst/>
        </a:prstGeom>
      </xdr:spPr>
    </xdr:pic>
    <xdr:clientData/>
  </xdr:twoCellAnchor>
  <xdr:twoCellAnchor editAs="oneCell">
    <xdr:from>
      <xdr:col>28</xdr:col>
      <xdr:colOff>544186</xdr:colOff>
      <xdr:row>75</xdr:row>
      <xdr:rowOff>9402</xdr:rowOff>
    </xdr:from>
    <xdr:to>
      <xdr:col>32</xdr:col>
      <xdr:colOff>89590</xdr:colOff>
      <xdr:row>86</xdr:row>
      <xdr:rowOff>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D5061E2F-B3AB-8C67-D370-3ED854ED1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931572" y="13315538"/>
          <a:ext cx="2835859" cy="2241964"/>
        </a:xfrm>
        <a:prstGeom prst="rect">
          <a:avLst/>
        </a:prstGeom>
      </xdr:spPr>
    </xdr:pic>
    <xdr:clientData/>
  </xdr:twoCellAnchor>
  <xdr:twoCellAnchor editAs="oneCell">
    <xdr:from>
      <xdr:col>31</xdr:col>
      <xdr:colOff>754320</xdr:colOff>
      <xdr:row>84</xdr:row>
      <xdr:rowOff>14431</xdr:rowOff>
    </xdr:from>
    <xdr:to>
      <xdr:col>35</xdr:col>
      <xdr:colOff>758536</xdr:colOff>
      <xdr:row>96</xdr:row>
      <xdr:rowOff>86591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58F1077F-045B-7C3A-3654-E8CBC9C89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609547" y="15355454"/>
          <a:ext cx="3294671" cy="2540001"/>
        </a:xfrm>
        <a:prstGeom prst="rect">
          <a:avLst/>
        </a:prstGeom>
      </xdr:spPr>
    </xdr:pic>
    <xdr:clientData/>
  </xdr:twoCellAnchor>
  <xdr:twoCellAnchor editAs="oneCell">
    <xdr:from>
      <xdr:col>27</xdr:col>
      <xdr:colOff>380971</xdr:colOff>
      <xdr:row>87</xdr:row>
      <xdr:rowOff>188148</xdr:rowOff>
    </xdr:from>
    <xdr:to>
      <xdr:col>31</xdr:col>
      <xdr:colOff>642840</xdr:colOff>
      <xdr:row>103</xdr:row>
      <xdr:rowOff>45327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A15A8CBE-C823-6709-87DE-7E4789550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117144" y="16290494"/>
          <a:ext cx="3585819" cy="3181127"/>
        </a:xfrm>
        <a:prstGeom prst="rect">
          <a:avLst/>
        </a:prstGeom>
      </xdr:spPr>
    </xdr:pic>
    <xdr:clientData/>
  </xdr:twoCellAnchor>
  <xdr:twoCellAnchor editAs="oneCell">
    <xdr:from>
      <xdr:col>32</xdr:col>
      <xdr:colOff>39077</xdr:colOff>
      <xdr:row>96</xdr:row>
      <xdr:rowOff>51137</xdr:rowOff>
    </xdr:from>
    <xdr:to>
      <xdr:col>36</xdr:col>
      <xdr:colOff>512535</xdr:colOff>
      <xdr:row>109</xdr:row>
      <xdr:rowOff>139731</xdr:rowOff>
    </xdr:to>
    <xdr:pic>
      <xdr:nvPicPr>
        <xdr:cNvPr id="12" name="Grafik 11">
          <a:extLst>
            <a:ext uri="{FF2B5EF4-FFF2-40B4-BE49-F238E27FC236}">
              <a16:creationId xmlns:a16="http://schemas.microsoft.com/office/drawing/2014/main" id="{0A655D3B-D42D-090E-21E0-F6B9CCAD8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1652308" y="17479445"/>
          <a:ext cx="3755919" cy="2706747"/>
        </a:xfrm>
        <a:prstGeom prst="rect">
          <a:avLst/>
        </a:prstGeom>
      </xdr:spPr>
    </xdr:pic>
    <xdr:clientData/>
  </xdr:twoCellAnchor>
  <xdr:twoCellAnchor editAs="oneCell">
    <xdr:from>
      <xdr:col>27</xdr:col>
      <xdr:colOff>312617</xdr:colOff>
      <xdr:row>104</xdr:row>
      <xdr:rowOff>1</xdr:rowOff>
    </xdr:from>
    <xdr:to>
      <xdr:col>32</xdr:col>
      <xdr:colOff>136770</xdr:colOff>
      <xdr:row>117</xdr:row>
      <xdr:rowOff>109019</xdr:rowOff>
    </xdr:to>
    <xdr:pic>
      <xdr:nvPicPr>
        <xdr:cNvPr id="13" name="Grafik 12">
          <a:extLst>
            <a:ext uri="{FF2B5EF4-FFF2-40B4-BE49-F238E27FC236}">
              <a16:creationId xmlns:a16="http://schemas.microsoft.com/office/drawing/2014/main" id="{E74D79D9-C303-FFC5-E50E-252C5CE8D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822771" y="19030463"/>
          <a:ext cx="3927230" cy="2877200"/>
        </a:xfrm>
        <a:prstGeom prst="rect">
          <a:avLst/>
        </a:prstGeom>
      </xdr:spPr>
    </xdr:pic>
    <xdr:clientData/>
  </xdr:twoCellAnchor>
  <xdr:twoCellAnchor editAs="oneCell">
    <xdr:from>
      <xdr:col>38</xdr:col>
      <xdr:colOff>371230</xdr:colOff>
      <xdr:row>76</xdr:row>
      <xdr:rowOff>175846</xdr:rowOff>
    </xdr:from>
    <xdr:to>
      <xdr:col>47</xdr:col>
      <xdr:colOff>580291</xdr:colOff>
      <xdr:row>115</xdr:row>
      <xdr:rowOff>220422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7B0548FE-C987-8D45-533B-1514B923A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6908153" y="13422923"/>
          <a:ext cx="7594600" cy="7848600"/>
        </a:xfrm>
        <a:prstGeom prst="rect">
          <a:avLst/>
        </a:prstGeom>
      </xdr:spPr>
    </xdr:pic>
    <xdr:clientData/>
  </xdr:twoCellAnchor>
  <xdr:twoCellAnchor editAs="oneCell">
    <xdr:from>
      <xdr:col>39</xdr:col>
      <xdr:colOff>415924</xdr:colOff>
      <xdr:row>41</xdr:row>
      <xdr:rowOff>0</xdr:rowOff>
    </xdr:from>
    <xdr:to>
      <xdr:col>46</xdr:col>
      <xdr:colOff>211110</xdr:colOff>
      <xdr:row>76</xdr:row>
      <xdr:rowOff>108894</xdr:rowOff>
    </xdr:to>
    <xdr:pic>
      <xdr:nvPicPr>
        <xdr:cNvPr id="15" name="Grafik 14">
          <a:extLst>
            <a:ext uri="{FF2B5EF4-FFF2-40B4-BE49-F238E27FC236}">
              <a16:creationId xmlns:a16="http://schemas.microsoft.com/office/drawing/2014/main" id="{C6CFA04A-833E-431D-8BC5-52B8E11B7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836206" y="8263944"/>
          <a:ext cx="5554904" cy="7478470"/>
        </a:xfrm>
        <a:prstGeom prst="rect">
          <a:avLst/>
        </a:prstGeom>
      </xdr:spPr>
    </xdr:pic>
    <xdr:clientData/>
  </xdr:twoCellAnchor>
  <xdr:twoCellAnchor editAs="oneCell">
    <xdr:from>
      <xdr:col>32</xdr:col>
      <xdr:colOff>151192</xdr:colOff>
      <xdr:row>113</xdr:row>
      <xdr:rowOff>15119</xdr:rowOff>
    </xdr:from>
    <xdr:to>
      <xdr:col>34</xdr:col>
      <xdr:colOff>428261</xdr:colOff>
      <xdr:row>124</xdr:row>
      <xdr:rowOff>125784</xdr:rowOff>
    </xdr:to>
    <xdr:pic>
      <xdr:nvPicPr>
        <xdr:cNvPr id="16" name="Grafik 15">
          <a:extLst>
            <a:ext uri="{FF2B5EF4-FFF2-40B4-BE49-F238E27FC236}">
              <a16:creationId xmlns:a16="http://schemas.microsoft.com/office/drawing/2014/main" id="{DFC1C0BB-C5C8-1843-8464-9E3AF9D53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52382" y="20834048"/>
          <a:ext cx="1940165" cy="2469239"/>
        </a:xfrm>
        <a:prstGeom prst="rect">
          <a:avLst/>
        </a:prstGeom>
      </xdr:spPr>
    </xdr:pic>
    <xdr:clientData/>
  </xdr:twoCellAnchor>
  <xdr:twoCellAnchor editAs="oneCell">
    <xdr:from>
      <xdr:col>33</xdr:col>
      <xdr:colOff>441740</xdr:colOff>
      <xdr:row>127</xdr:row>
      <xdr:rowOff>92028</xdr:rowOff>
    </xdr:from>
    <xdr:to>
      <xdr:col>35</xdr:col>
      <xdr:colOff>718809</xdr:colOff>
      <xdr:row>139</xdr:row>
      <xdr:rowOff>147482</xdr:rowOff>
    </xdr:to>
    <xdr:pic>
      <xdr:nvPicPr>
        <xdr:cNvPr id="20" name="Grafik 19">
          <a:extLst>
            <a:ext uri="{FF2B5EF4-FFF2-40B4-BE49-F238E27FC236}">
              <a16:creationId xmlns:a16="http://schemas.microsoft.com/office/drawing/2014/main" id="{3D18A203-5148-B446-AE11-665CC3F5F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75218" y="24626956"/>
          <a:ext cx="1933591" cy="2540233"/>
        </a:xfrm>
        <a:prstGeom prst="rect">
          <a:avLst/>
        </a:prstGeom>
      </xdr:spPr>
    </xdr:pic>
    <xdr:clientData/>
  </xdr:twoCellAnchor>
  <xdr:twoCellAnchor editAs="oneCell">
    <xdr:from>
      <xdr:col>33</xdr:col>
      <xdr:colOff>375368</xdr:colOff>
      <xdr:row>140</xdr:row>
      <xdr:rowOff>134454</xdr:rowOff>
    </xdr:from>
    <xdr:to>
      <xdr:col>36</xdr:col>
      <xdr:colOff>372307</xdr:colOff>
      <xdr:row>154</xdr:row>
      <xdr:rowOff>52000</xdr:rowOff>
    </xdr:to>
    <xdr:pic>
      <xdr:nvPicPr>
        <xdr:cNvPr id="21" name="Grafik 20">
          <a:extLst>
            <a:ext uri="{FF2B5EF4-FFF2-40B4-BE49-F238E27FC236}">
              <a16:creationId xmlns:a16="http://schemas.microsoft.com/office/drawing/2014/main" id="{49758F66-2A75-F073-70D8-1B4F602C0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2858748" y="29183468"/>
          <a:ext cx="2465390" cy="2886841"/>
        </a:xfrm>
        <a:prstGeom prst="rect">
          <a:avLst/>
        </a:prstGeom>
      </xdr:spPr>
    </xdr:pic>
    <xdr:clientData/>
  </xdr:twoCellAnchor>
  <xdr:twoCellAnchor editAs="oneCell">
    <xdr:from>
      <xdr:col>25</xdr:col>
      <xdr:colOff>446382</xdr:colOff>
      <xdr:row>28</xdr:row>
      <xdr:rowOff>90532</xdr:rowOff>
    </xdr:from>
    <xdr:to>
      <xdr:col>29</xdr:col>
      <xdr:colOff>577115</xdr:colOff>
      <xdr:row>33</xdr:row>
      <xdr:rowOff>102440</xdr:rowOff>
    </xdr:to>
    <xdr:pic>
      <xdr:nvPicPr>
        <xdr:cNvPr id="22" name="Grafik 21">
          <a:extLst>
            <a:ext uri="{FF2B5EF4-FFF2-40B4-BE49-F238E27FC236}">
              <a16:creationId xmlns:a16="http://schemas.microsoft.com/office/drawing/2014/main" id="{A0394536-0621-2E87-71BD-63B9B0858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6398977" y="5306257"/>
          <a:ext cx="3426917" cy="1165572"/>
        </a:xfrm>
        <a:prstGeom prst="rect">
          <a:avLst/>
        </a:prstGeom>
      </xdr:spPr>
    </xdr:pic>
    <xdr:clientData/>
  </xdr:twoCellAnchor>
  <xdr:twoCellAnchor editAs="oneCell">
    <xdr:from>
      <xdr:col>33</xdr:col>
      <xdr:colOff>199265</xdr:colOff>
      <xdr:row>158</xdr:row>
      <xdr:rowOff>23611</xdr:rowOff>
    </xdr:from>
    <xdr:to>
      <xdr:col>42</xdr:col>
      <xdr:colOff>551646</xdr:colOff>
      <xdr:row>174</xdr:row>
      <xdr:rowOff>109516</xdr:rowOff>
    </xdr:to>
    <xdr:pic>
      <xdr:nvPicPr>
        <xdr:cNvPr id="23" name="Grafik 22">
          <a:extLst>
            <a:ext uri="{FF2B5EF4-FFF2-40B4-BE49-F238E27FC236}">
              <a16:creationId xmlns:a16="http://schemas.microsoft.com/office/drawing/2014/main" id="{0AD9CA10-B74B-C336-A229-85D572EF5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3143065" y="34237411"/>
          <a:ext cx="7896181" cy="34641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AC9BE-5456-D540-AEEB-4BAC3761C0B9}">
  <dimension ref="A1:Z7"/>
  <sheetViews>
    <sheetView tabSelected="1" zoomScale="117" zoomScaleNormal="136" workbookViewId="0">
      <pane xSplit="1" topLeftCell="B1" activePane="topRight" state="frozen"/>
      <selection pane="topRight" activeCell="A7" sqref="A7:Z7"/>
    </sheetView>
  </sheetViews>
  <sheetFormatPr baseColWidth="10" defaultRowHeight="16" x14ac:dyDescent="0.2"/>
  <cols>
    <col min="1" max="3" width="27.33203125" customWidth="1"/>
    <col min="4" max="4" width="25.5" customWidth="1"/>
    <col min="5" max="5" width="16" customWidth="1"/>
    <col min="6" max="6" width="18.1640625" customWidth="1"/>
    <col min="9" max="10" width="20.83203125" customWidth="1"/>
    <col min="11" max="11" width="31.33203125" customWidth="1"/>
    <col min="12" max="12" width="55.83203125" customWidth="1"/>
    <col min="13" max="13" width="91.6640625" customWidth="1"/>
    <col min="14" max="14" width="71.33203125" customWidth="1"/>
    <col min="15" max="15" width="69.1640625" customWidth="1"/>
    <col min="16" max="16" width="55.5" customWidth="1"/>
    <col min="17" max="17" width="49.83203125" customWidth="1"/>
    <col min="18" max="19" width="21.5" customWidth="1"/>
    <col min="20" max="20" width="34.33203125" customWidth="1"/>
    <col min="21" max="21" width="29.5" customWidth="1"/>
    <col min="22" max="22" width="44.33203125" customWidth="1"/>
    <col min="23" max="23" width="21.5" customWidth="1"/>
    <col min="24" max="24" width="21" customWidth="1"/>
    <col min="25" max="25" width="25.1640625" customWidth="1"/>
    <col min="26" max="26" width="20.5" customWidth="1"/>
  </cols>
  <sheetData>
    <row r="1" spans="1:26" x14ac:dyDescent="0.2">
      <c r="A1" t="s">
        <v>4</v>
      </c>
      <c r="B1" t="s">
        <v>16</v>
      </c>
      <c r="C1" t="s">
        <v>20</v>
      </c>
      <c r="D1" t="s">
        <v>0</v>
      </c>
      <c r="E1" t="s">
        <v>1</v>
      </c>
      <c r="F1" t="s">
        <v>2</v>
      </c>
      <c r="G1" t="s">
        <v>93</v>
      </c>
      <c r="H1" t="s">
        <v>94</v>
      </c>
      <c r="I1" t="s">
        <v>3</v>
      </c>
      <c r="J1" t="s">
        <v>105</v>
      </c>
      <c r="K1" t="s">
        <v>6</v>
      </c>
      <c r="L1" t="s">
        <v>90</v>
      </c>
      <c r="M1" t="s">
        <v>10</v>
      </c>
      <c r="N1" t="s">
        <v>95</v>
      </c>
      <c r="O1" t="s">
        <v>7</v>
      </c>
      <c r="P1" t="s">
        <v>5</v>
      </c>
      <c r="Q1" t="s">
        <v>8</v>
      </c>
      <c r="R1" t="s">
        <v>11</v>
      </c>
      <c r="S1" t="s">
        <v>106</v>
      </c>
      <c r="T1" t="s">
        <v>91</v>
      </c>
      <c r="U1" t="s">
        <v>92</v>
      </c>
      <c r="V1" t="s">
        <v>9</v>
      </c>
      <c r="W1" t="s">
        <v>12</v>
      </c>
      <c r="X1" t="s">
        <v>13</v>
      </c>
      <c r="Y1" t="s">
        <v>14</v>
      </c>
      <c r="Z1" t="s">
        <v>15</v>
      </c>
    </row>
    <row r="2" spans="1:26" x14ac:dyDescent="0.2">
      <c r="A2" s="75" t="s">
        <v>233</v>
      </c>
      <c r="B2" t="s">
        <v>242</v>
      </c>
      <c r="C2">
        <v>2.85</v>
      </c>
      <c r="D2">
        <v>0.2</v>
      </c>
      <c r="E2">
        <v>3</v>
      </c>
      <c r="F2">
        <v>1</v>
      </c>
      <c r="G2">
        <v>10</v>
      </c>
      <c r="H2">
        <v>30</v>
      </c>
      <c r="I2">
        <v>0.95</v>
      </c>
      <c r="J2">
        <v>0.03</v>
      </c>
      <c r="K2" t="s">
        <v>157</v>
      </c>
      <c r="L2" t="s">
        <v>327</v>
      </c>
      <c r="M2" t="s">
        <v>297</v>
      </c>
      <c r="N2" t="s">
        <v>262</v>
      </c>
      <c r="O2" t="s">
        <v>263</v>
      </c>
      <c r="P2" t="s">
        <v>247</v>
      </c>
      <c r="Q2" t="s">
        <v>243</v>
      </c>
      <c r="R2" t="s">
        <v>163</v>
      </c>
      <c r="S2" t="s">
        <v>317</v>
      </c>
      <c r="T2">
        <v>0.3</v>
      </c>
      <c r="U2">
        <v>15</v>
      </c>
      <c r="V2">
        <v>0.15</v>
      </c>
      <c r="W2" t="s">
        <v>102</v>
      </c>
      <c r="X2" t="s">
        <v>101</v>
      </c>
      <c r="Y2" t="s">
        <v>103</v>
      </c>
      <c r="Z2" t="s">
        <v>104</v>
      </c>
    </row>
    <row r="3" spans="1:26" x14ac:dyDescent="0.2">
      <c r="A3" t="s">
        <v>251</v>
      </c>
      <c r="B3" t="s">
        <v>89</v>
      </c>
      <c r="C3">
        <v>2.85</v>
      </c>
      <c r="D3">
        <v>0.2</v>
      </c>
      <c r="E3">
        <v>4</v>
      </c>
      <c r="F3">
        <v>1</v>
      </c>
      <c r="G3">
        <v>46</v>
      </c>
      <c r="H3">
        <v>10</v>
      </c>
      <c r="I3">
        <v>0.95</v>
      </c>
      <c r="J3">
        <v>0.03</v>
      </c>
      <c r="K3" t="s">
        <v>165</v>
      </c>
      <c r="L3" t="s">
        <v>328</v>
      </c>
      <c r="M3" t="s">
        <v>254</v>
      </c>
      <c r="N3" t="s">
        <v>257</v>
      </c>
      <c r="O3" t="s">
        <v>255</v>
      </c>
      <c r="P3" t="s">
        <v>256</v>
      </c>
      <c r="Q3" t="s">
        <v>243</v>
      </c>
      <c r="R3" t="s">
        <v>163</v>
      </c>
      <c r="S3" t="s">
        <v>317</v>
      </c>
      <c r="T3">
        <v>0.3</v>
      </c>
      <c r="U3">
        <v>15</v>
      </c>
      <c r="V3">
        <v>0.15</v>
      </c>
      <c r="W3" t="s">
        <v>102</v>
      </c>
      <c r="X3" t="s">
        <v>101</v>
      </c>
      <c r="Y3" t="s">
        <v>103</v>
      </c>
      <c r="Z3" t="s">
        <v>104</v>
      </c>
    </row>
    <row r="4" spans="1:26" x14ac:dyDescent="0.2">
      <c r="A4" t="s">
        <v>259</v>
      </c>
      <c r="B4" t="s">
        <v>242</v>
      </c>
      <c r="C4">
        <v>2.85</v>
      </c>
      <c r="D4">
        <v>0.23</v>
      </c>
      <c r="E4">
        <v>4</v>
      </c>
      <c r="F4">
        <v>1</v>
      </c>
      <c r="G4">
        <v>13.8</v>
      </c>
      <c r="H4">
        <v>75</v>
      </c>
      <c r="I4">
        <v>0.95</v>
      </c>
      <c r="J4">
        <v>0.03</v>
      </c>
      <c r="K4" t="s">
        <v>165</v>
      </c>
      <c r="L4" t="s">
        <v>326</v>
      </c>
      <c r="M4" t="s">
        <v>300</v>
      </c>
      <c r="N4" t="s">
        <v>262</v>
      </c>
      <c r="O4" t="s">
        <v>263</v>
      </c>
      <c r="P4" t="s">
        <v>126</v>
      </c>
      <c r="Q4" t="s">
        <v>264</v>
      </c>
      <c r="R4" t="s">
        <v>163</v>
      </c>
      <c r="T4">
        <v>0.3</v>
      </c>
      <c r="U4">
        <v>15</v>
      </c>
      <c r="V4">
        <v>0.15</v>
      </c>
      <c r="W4" t="s">
        <v>102</v>
      </c>
      <c r="X4" t="s">
        <v>101</v>
      </c>
      <c r="Y4" t="s">
        <v>103</v>
      </c>
      <c r="Z4" t="s">
        <v>104</v>
      </c>
    </row>
    <row r="5" spans="1:26" x14ac:dyDescent="0.2">
      <c r="A5" t="s">
        <v>273</v>
      </c>
      <c r="B5" t="s">
        <v>242</v>
      </c>
      <c r="C5">
        <v>2.85</v>
      </c>
      <c r="D5">
        <v>0.23</v>
      </c>
      <c r="E5">
        <v>4</v>
      </c>
      <c r="F5">
        <v>1</v>
      </c>
      <c r="G5">
        <v>13.8</v>
      </c>
      <c r="H5">
        <v>75</v>
      </c>
      <c r="I5">
        <v>0.95</v>
      </c>
      <c r="J5">
        <v>0.03</v>
      </c>
      <c r="K5" t="s">
        <v>157</v>
      </c>
      <c r="L5" t="s">
        <v>275</v>
      </c>
      <c r="M5" t="s">
        <v>274</v>
      </c>
      <c r="N5" t="s">
        <v>282</v>
      </c>
      <c r="O5" t="s">
        <v>263</v>
      </c>
      <c r="P5" t="s">
        <v>126</v>
      </c>
      <c r="Q5" t="s">
        <v>264</v>
      </c>
      <c r="R5" t="s">
        <v>163</v>
      </c>
      <c r="T5">
        <v>0.3</v>
      </c>
      <c r="U5">
        <v>15</v>
      </c>
      <c r="V5">
        <v>0.15</v>
      </c>
      <c r="W5" t="s">
        <v>102</v>
      </c>
      <c r="X5" t="s">
        <v>101</v>
      </c>
      <c r="Y5" t="s">
        <v>103</v>
      </c>
      <c r="Z5" t="s">
        <v>104</v>
      </c>
    </row>
    <row r="6" spans="1:26" x14ac:dyDescent="0.2">
      <c r="A6" t="s">
        <v>319</v>
      </c>
      <c r="B6" t="s">
        <v>89</v>
      </c>
      <c r="C6">
        <v>2.85</v>
      </c>
      <c r="D6">
        <v>0.23</v>
      </c>
      <c r="E6">
        <v>4</v>
      </c>
      <c r="F6">
        <v>1</v>
      </c>
      <c r="G6">
        <v>63</v>
      </c>
      <c r="H6">
        <v>9.6</v>
      </c>
      <c r="I6">
        <v>0.95</v>
      </c>
      <c r="J6">
        <v>0.03</v>
      </c>
      <c r="K6" t="s">
        <v>165</v>
      </c>
      <c r="L6" t="s">
        <v>329</v>
      </c>
      <c r="M6" t="s">
        <v>320</v>
      </c>
      <c r="N6" t="s">
        <v>322</v>
      </c>
      <c r="O6" t="s">
        <v>263</v>
      </c>
      <c r="P6" t="s">
        <v>321</v>
      </c>
      <c r="Q6" t="s">
        <v>264</v>
      </c>
      <c r="R6" t="s">
        <v>163</v>
      </c>
      <c r="T6">
        <v>0.3</v>
      </c>
      <c r="U6">
        <v>15</v>
      </c>
      <c r="V6">
        <v>0.15</v>
      </c>
      <c r="W6" t="s">
        <v>102</v>
      </c>
      <c r="X6" t="s">
        <v>101</v>
      </c>
      <c r="Y6" t="s">
        <v>103</v>
      </c>
      <c r="Z6" t="s">
        <v>104</v>
      </c>
    </row>
    <row r="7" spans="1:26" x14ac:dyDescent="0.2">
      <c r="A7" s="75" t="s">
        <v>330</v>
      </c>
      <c r="B7" s="75" t="s">
        <v>89</v>
      </c>
      <c r="C7" s="75">
        <v>2.85</v>
      </c>
      <c r="D7" s="75">
        <v>0.18</v>
      </c>
      <c r="E7" s="75">
        <v>4</v>
      </c>
      <c r="F7" s="75">
        <v>1</v>
      </c>
      <c r="G7" s="75">
        <v>12.7</v>
      </c>
      <c r="H7" s="75">
        <v>25.5</v>
      </c>
      <c r="I7" s="75">
        <v>0.95</v>
      </c>
      <c r="J7" s="75">
        <v>0.03</v>
      </c>
      <c r="K7" s="75" t="s">
        <v>165</v>
      </c>
      <c r="L7" s="75" t="s">
        <v>326</v>
      </c>
      <c r="M7" s="75" t="s">
        <v>331</v>
      </c>
      <c r="N7" s="75" t="s">
        <v>332</v>
      </c>
      <c r="O7" s="75" t="s">
        <v>333</v>
      </c>
      <c r="P7" s="75" t="s">
        <v>126</v>
      </c>
      <c r="Q7" s="75" t="s">
        <v>334</v>
      </c>
      <c r="R7" s="75" t="s">
        <v>163</v>
      </c>
      <c r="S7" s="75" t="s">
        <v>317</v>
      </c>
      <c r="T7" s="75">
        <v>0.3</v>
      </c>
      <c r="U7" s="75">
        <v>15</v>
      </c>
      <c r="V7" s="75">
        <v>0.18</v>
      </c>
      <c r="W7" s="75" t="s">
        <v>102</v>
      </c>
      <c r="X7" s="75" t="s">
        <v>101</v>
      </c>
      <c r="Y7" s="75" t="s">
        <v>103</v>
      </c>
      <c r="Z7" s="75" t="s">
        <v>104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B1D42-984B-AC4D-9748-8233E81ADD6D}">
  <dimension ref="C2:E112"/>
  <sheetViews>
    <sheetView topLeftCell="A46" zoomScale="75" workbookViewId="0">
      <selection activeCell="S76" sqref="S76"/>
    </sheetView>
  </sheetViews>
  <sheetFormatPr baseColWidth="10" defaultRowHeight="16" x14ac:dyDescent="0.2"/>
  <cols>
    <col min="3" max="3" width="37" customWidth="1"/>
  </cols>
  <sheetData>
    <row r="2" spans="3:3" ht="19" x14ac:dyDescent="0.25">
      <c r="C2" s="73"/>
    </row>
    <row r="25" spans="3:5" ht="22" x14ac:dyDescent="0.3">
      <c r="C25" s="74" t="s">
        <v>233</v>
      </c>
      <c r="D25" t="s">
        <v>258</v>
      </c>
    </row>
    <row r="27" spans="3:5" x14ac:dyDescent="0.2">
      <c r="C27" t="s">
        <v>234</v>
      </c>
      <c r="D27">
        <f>D30*D31</f>
        <v>300</v>
      </c>
    </row>
    <row r="28" spans="3:5" x14ac:dyDescent="0.2">
      <c r="C28" t="s">
        <v>18</v>
      </c>
      <c r="D28" t="s">
        <v>235</v>
      </c>
    </row>
    <row r="29" spans="3:5" x14ac:dyDescent="0.2">
      <c r="C29" t="s">
        <v>19</v>
      </c>
      <c r="D29">
        <v>0.2</v>
      </c>
      <c r="E29" t="s">
        <v>250</v>
      </c>
    </row>
    <row r="30" spans="3:5" x14ac:dyDescent="0.2">
      <c r="C30" t="s">
        <v>21</v>
      </c>
      <c r="D30">
        <v>10</v>
      </c>
      <c r="E30" t="s">
        <v>236</v>
      </c>
    </row>
    <row r="31" spans="3:5" x14ac:dyDescent="0.2">
      <c r="C31" t="s">
        <v>22</v>
      </c>
      <c r="D31">
        <v>30</v>
      </c>
      <c r="E31" t="s">
        <v>237</v>
      </c>
    </row>
    <row r="32" spans="3:5" x14ac:dyDescent="0.2">
      <c r="C32" t="s">
        <v>238</v>
      </c>
      <c r="D32">
        <v>3</v>
      </c>
    </row>
    <row r="33" spans="3:5" x14ac:dyDescent="0.2">
      <c r="C33" t="s">
        <v>239</v>
      </c>
      <c r="D33">
        <v>1</v>
      </c>
    </row>
    <row r="34" spans="3:5" x14ac:dyDescent="0.2">
      <c r="C34" t="s">
        <v>240</v>
      </c>
      <c r="D34">
        <v>2.85</v>
      </c>
    </row>
    <row r="35" spans="3:5" x14ac:dyDescent="0.2">
      <c r="C35" t="s">
        <v>25</v>
      </c>
      <c r="D35">
        <v>0.95</v>
      </c>
    </row>
    <row r="36" spans="3:5" x14ac:dyDescent="0.2">
      <c r="C36" t="s">
        <v>9</v>
      </c>
      <c r="D36">
        <v>0.15</v>
      </c>
    </row>
    <row r="37" spans="3:5" x14ac:dyDescent="0.2">
      <c r="C37" t="s">
        <v>241</v>
      </c>
      <c r="D37">
        <v>0.3</v>
      </c>
    </row>
    <row r="38" spans="3:5" x14ac:dyDescent="0.2">
      <c r="C38" t="s">
        <v>248</v>
      </c>
      <c r="D38">
        <v>15</v>
      </c>
      <c r="E38" t="s">
        <v>249</v>
      </c>
    </row>
    <row r="50" spans="3:5" ht="22" x14ac:dyDescent="0.3">
      <c r="C50" s="74" t="s">
        <v>252</v>
      </c>
      <c r="D50" s="74" t="s">
        <v>253</v>
      </c>
    </row>
    <row r="52" spans="3:5" x14ac:dyDescent="0.2">
      <c r="C52" t="s">
        <v>234</v>
      </c>
      <c r="D52">
        <v>460</v>
      </c>
    </row>
    <row r="53" spans="3:5" x14ac:dyDescent="0.2">
      <c r="C53" t="s">
        <v>18</v>
      </c>
      <c r="D53" t="s">
        <v>17</v>
      </c>
    </row>
    <row r="54" spans="3:5" x14ac:dyDescent="0.2">
      <c r="C54" t="s">
        <v>19</v>
      </c>
      <c r="D54">
        <v>0.2</v>
      </c>
    </row>
    <row r="55" spans="3:5" x14ac:dyDescent="0.2">
      <c r="C55" t="s">
        <v>21</v>
      </c>
      <c r="D55">
        <v>46</v>
      </c>
      <c r="E55" t="s">
        <v>23</v>
      </c>
    </row>
    <row r="56" spans="3:5" x14ac:dyDescent="0.2">
      <c r="C56" t="s">
        <v>22</v>
      </c>
      <c r="D56">
        <v>10</v>
      </c>
      <c r="E56" t="s">
        <v>24</v>
      </c>
    </row>
    <row r="57" spans="3:5" x14ac:dyDescent="0.2">
      <c r="C57" t="s">
        <v>238</v>
      </c>
      <c r="D57">
        <v>4</v>
      </c>
    </row>
    <row r="58" spans="3:5" x14ac:dyDescent="0.2">
      <c r="C58" t="s">
        <v>239</v>
      </c>
      <c r="D58">
        <v>1</v>
      </c>
    </row>
    <row r="59" spans="3:5" x14ac:dyDescent="0.2">
      <c r="C59" t="s">
        <v>240</v>
      </c>
      <c r="D59">
        <v>2.85</v>
      </c>
    </row>
    <row r="60" spans="3:5" x14ac:dyDescent="0.2">
      <c r="C60" t="s">
        <v>25</v>
      </c>
      <c r="D60">
        <v>0.95</v>
      </c>
    </row>
    <row r="61" spans="3:5" x14ac:dyDescent="0.2">
      <c r="C61" t="s">
        <v>9</v>
      </c>
      <c r="D61">
        <v>0.15</v>
      </c>
    </row>
    <row r="62" spans="3:5" x14ac:dyDescent="0.2">
      <c r="C62" t="s">
        <v>241</v>
      </c>
      <c r="D62">
        <v>0.3</v>
      </c>
    </row>
    <row r="63" spans="3:5" x14ac:dyDescent="0.2">
      <c r="C63" t="s">
        <v>248</v>
      </c>
      <c r="D63">
        <v>15</v>
      </c>
      <c r="E63" t="s">
        <v>249</v>
      </c>
    </row>
    <row r="66" spans="3:5" ht="19" x14ac:dyDescent="0.25">
      <c r="C66" s="73" t="s">
        <v>259</v>
      </c>
      <c r="D66" s="73" t="s">
        <v>261</v>
      </c>
    </row>
    <row r="68" spans="3:5" x14ac:dyDescent="0.2">
      <c r="C68" t="s">
        <v>234</v>
      </c>
    </row>
    <row r="69" spans="3:5" x14ac:dyDescent="0.2">
      <c r="C69" t="s">
        <v>18</v>
      </c>
      <c r="D69" t="s">
        <v>235</v>
      </c>
    </row>
    <row r="70" spans="3:5" x14ac:dyDescent="0.2">
      <c r="C70" t="s">
        <v>19</v>
      </c>
      <c r="D70">
        <v>0.23</v>
      </c>
      <c r="E70" t="s">
        <v>260</v>
      </c>
    </row>
    <row r="71" spans="3:5" x14ac:dyDescent="0.2">
      <c r="C71" t="s">
        <v>21</v>
      </c>
      <c r="D71">
        <v>13.8</v>
      </c>
      <c r="E71" t="s">
        <v>236</v>
      </c>
    </row>
    <row r="72" spans="3:5" x14ac:dyDescent="0.2">
      <c r="C72" t="s">
        <v>22</v>
      </c>
      <c r="D72">
        <v>75</v>
      </c>
      <c r="E72" t="s">
        <v>237</v>
      </c>
    </row>
    <row r="73" spans="3:5" x14ac:dyDescent="0.2">
      <c r="C73" t="s">
        <v>238</v>
      </c>
      <c r="D73">
        <v>4</v>
      </c>
    </row>
    <row r="74" spans="3:5" x14ac:dyDescent="0.2">
      <c r="C74" t="s">
        <v>239</v>
      </c>
      <c r="D74">
        <v>1</v>
      </c>
    </row>
    <row r="75" spans="3:5" x14ac:dyDescent="0.2">
      <c r="C75" t="s">
        <v>240</v>
      </c>
      <c r="D75">
        <v>2.85</v>
      </c>
    </row>
    <row r="76" spans="3:5" x14ac:dyDescent="0.2">
      <c r="C76" t="s">
        <v>25</v>
      </c>
      <c r="D76">
        <v>0.95</v>
      </c>
    </row>
    <row r="77" spans="3:5" x14ac:dyDescent="0.2">
      <c r="C77" t="s">
        <v>9</v>
      </c>
      <c r="D77">
        <v>0.15</v>
      </c>
    </row>
    <row r="78" spans="3:5" x14ac:dyDescent="0.2">
      <c r="C78" t="s">
        <v>241</v>
      </c>
      <c r="D78">
        <v>0.3</v>
      </c>
    </row>
    <row r="79" spans="3:5" x14ac:dyDescent="0.2">
      <c r="C79" t="s">
        <v>248</v>
      </c>
      <c r="D79">
        <v>15</v>
      </c>
      <c r="E79" t="s">
        <v>249</v>
      </c>
    </row>
    <row r="99" spans="3:5" ht="19" x14ac:dyDescent="0.25">
      <c r="C99" s="73" t="s">
        <v>318</v>
      </c>
      <c r="D99" s="73" t="s">
        <v>261</v>
      </c>
    </row>
    <row r="101" spans="3:5" x14ac:dyDescent="0.2">
      <c r="C101" t="s">
        <v>234</v>
      </c>
      <c r="D101">
        <v>622</v>
      </c>
    </row>
    <row r="102" spans="3:5" x14ac:dyDescent="0.2">
      <c r="C102" t="s">
        <v>18</v>
      </c>
      <c r="D102" t="s">
        <v>17</v>
      </c>
    </row>
    <row r="103" spans="3:5" x14ac:dyDescent="0.2">
      <c r="C103" t="s">
        <v>19</v>
      </c>
      <c r="D103">
        <v>0.23</v>
      </c>
      <c r="E103" t="s">
        <v>260</v>
      </c>
    </row>
    <row r="104" spans="3:5" x14ac:dyDescent="0.2">
      <c r="C104" t="s">
        <v>21</v>
      </c>
      <c r="D104">
        <v>63</v>
      </c>
      <c r="E104" t="s">
        <v>23</v>
      </c>
    </row>
    <row r="105" spans="3:5" x14ac:dyDescent="0.2">
      <c r="C105" t="s">
        <v>22</v>
      </c>
      <c r="D105">
        <v>9.6</v>
      </c>
      <c r="E105" t="s">
        <v>24</v>
      </c>
    </row>
    <row r="106" spans="3:5" x14ac:dyDescent="0.2">
      <c r="C106" t="s">
        <v>238</v>
      </c>
      <c r="D106">
        <v>4</v>
      </c>
    </row>
    <row r="107" spans="3:5" x14ac:dyDescent="0.2">
      <c r="C107" t="s">
        <v>239</v>
      </c>
      <c r="D107">
        <v>1</v>
      </c>
    </row>
    <row r="108" spans="3:5" x14ac:dyDescent="0.2">
      <c r="C108" t="s">
        <v>240</v>
      </c>
      <c r="D108">
        <v>2.85</v>
      </c>
    </row>
    <row r="109" spans="3:5" x14ac:dyDescent="0.2">
      <c r="C109" t="s">
        <v>25</v>
      </c>
      <c r="D109">
        <v>0.95</v>
      </c>
    </row>
    <row r="110" spans="3:5" x14ac:dyDescent="0.2">
      <c r="C110" t="s">
        <v>9</v>
      </c>
      <c r="D110">
        <v>0.15</v>
      </c>
    </row>
    <row r="111" spans="3:5" x14ac:dyDescent="0.2">
      <c r="C111" t="s">
        <v>241</v>
      </c>
      <c r="D111">
        <v>0.3</v>
      </c>
    </row>
    <row r="112" spans="3:5" x14ac:dyDescent="0.2">
      <c r="C112" t="s">
        <v>248</v>
      </c>
      <c r="D112">
        <v>15</v>
      </c>
      <c r="E112" t="s">
        <v>249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097FE-5B76-8B45-8E4E-B0C967417BF6}">
  <dimension ref="A1:Z32"/>
  <sheetViews>
    <sheetView topLeftCell="A7" zoomScale="106" zoomScaleNormal="92" workbookViewId="0">
      <selection activeCell="B10" sqref="B10"/>
    </sheetView>
  </sheetViews>
  <sheetFormatPr baseColWidth="10" defaultRowHeight="16" x14ac:dyDescent="0.2"/>
  <cols>
    <col min="1" max="1" width="40.5" customWidth="1"/>
    <col min="2" max="2" width="28.33203125" customWidth="1"/>
    <col min="3" max="3" width="21.5" customWidth="1"/>
    <col min="4" max="4" width="33" customWidth="1"/>
  </cols>
  <sheetData>
    <row r="1" spans="1:26" s="14" customFormat="1" x14ac:dyDescent="0.2">
      <c r="A1" s="14" t="s">
        <v>28</v>
      </c>
      <c r="B1" s="14" t="s">
        <v>97</v>
      </c>
      <c r="C1" s="14" t="s">
        <v>29</v>
      </c>
      <c r="D1" s="14" t="s">
        <v>30</v>
      </c>
      <c r="E1" s="14" t="s">
        <v>31</v>
      </c>
      <c r="F1" s="14" t="s">
        <v>32</v>
      </c>
      <c r="G1" s="29" t="s">
        <v>33</v>
      </c>
      <c r="H1" s="14" t="s">
        <v>34</v>
      </c>
      <c r="I1" s="14" t="s">
        <v>99</v>
      </c>
      <c r="J1" s="14" t="s">
        <v>100</v>
      </c>
      <c r="K1" s="37" t="s">
        <v>77</v>
      </c>
      <c r="L1" s="37" t="s">
        <v>78</v>
      </c>
      <c r="M1" s="37" t="s">
        <v>79</v>
      </c>
      <c r="N1" s="37" t="s">
        <v>80</v>
      </c>
      <c r="O1" s="30" t="s">
        <v>36</v>
      </c>
      <c r="P1" s="30" t="s">
        <v>37</v>
      </c>
      <c r="Q1" s="30" t="s">
        <v>98</v>
      </c>
      <c r="R1" s="37" t="s">
        <v>38</v>
      </c>
      <c r="S1" s="14" t="s">
        <v>39</v>
      </c>
      <c r="T1" s="14" t="s">
        <v>96</v>
      </c>
      <c r="U1" s="38" t="s">
        <v>41</v>
      </c>
      <c r="V1" s="14" t="s">
        <v>73</v>
      </c>
      <c r="W1" s="14" t="s">
        <v>42</v>
      </c>
      <c r="X1" s="14" t="s">
        <v>43</v>
      </c>
      <c r="Y1" s="14" t="s">
        <v>44</v>
      </c>
      <c r="Z1" s="14" t="s">
        <v>127</v>
      </c>
    </row>
    <row r="3" spans="1:26" s="33" customFormat="1" x14ac:dyDescent="0.2">
      <c r="D3" s="33" t="s">
        <v>30</v>
      </c>
      <c r="E3" s="33" t="s">
        <v>31</v>
      </c>
      <c r="F3" s="33" t="s">
        <v>32</v>
      </c>
      <c r="G3" s="33" t="s">
        <v>33</v>
      </c>
      <c r="H3" s="33" t="s">
        <v>34</v>
      </c>
      <c r="I3" s="33" t="s">
        <v>35</v>
      </c>
      <c r="J3" s="33" t="s">
        <v>82</v>
      </c>
      <c r="K3" s="34" t="s">
        <v>77</v>
      </c>
      <c r="L3" s="34" t="s">
        <v>78</v>
      </c>
      <c r="M3" s="34" t="s">
        <v>79</v>
      </c>
      <c r="N3" s="34" t="s">
        <v>80</v>
      </c>
      <c r="O3" s="34" t="s">
        <v>36</v>
      </c>
      <c r="P3" s="34" t="s">
        <v>37</v>
      </c>
      <c r="Q3" s="34" t="s">
        <v>83</v>
      </c>
      <c r="R3" s="34" t="s">
        <v>38</v>
      </c>
      <c r="S3" s="33" t="s">
        <v>39</v>
      </c>
      <c r="T3" s="33" t="s">
        <v>40</v>
      </c>
      <c r="U3" s="33" t="s">
        <v>41</v>
      </c>
      <c r="V3" s="33" t="s">
        <v>73</v>
      </c>
      <c r="W3" s="33" t="s">
        <v>42</v>
      </c>
      <c r="X3" s="33" t="s">
        <v>43</v>
      </c>
      <c r="Y3" s="33" t="s">
        <v>44</v>
      </c>
    </row>
    <row r="4" spans="1:26" s="35" customFormat="1" x14ac:dyDescent="0.2">
      <c r="F4" s="35" t="s">
        <v>45</v>
      </c>
      <c r="G4" s="35" t="s">
        <v>27</v>
      </c>
      <c r="H4" s="35" t="s">
        <v>46</v>
      </c>
      <c r="I4" s="35" t="s">
        <v>47</v>
      </c>
      <c r="K4" s="35" t="s">
        <v>48</v>
      </c>
      <c r="L4" s="35" t="s">
        <v>48</v>
      </c>
      <c r="M4" s="36" t="s">
        <v>49</v>
      </c>
      <c r="N4" s="36" t="s">
        <v>50</v>
      </c>
      <c r="O4" s="35" t="s">
        <v>76</v>
      </c>
      <c r="P4" s="35" t="s">
        <v>76</v>
      </c>
      <c r="Q4" s="35" t="s">
        <v>75</v>
      </c>
      <c r="R4" s="36" t="s">
        <v>76</v>
      </c>
      <c r="S4" s="35" t="s">
        <v>81</v>
      </c>
      <c r="T4" s="35" t="s">
        <v>81</v>
      </c>
      <c r="U4" s="35" t="s">
        <v>51</v>
      </c>
      <c r="V4" s="35" t="s">
        <v>74</v>
      </c>
    </row>
    <row r="6" spans="1:26" s="2" customFormat="1" x14ac:dyDescent="0.2">
      <c r="C6" s="2" t="s">
        <v>55</v>
      </c>
      <c r="D6" s="2" t="s">
        <v>52</v>
      </c>
      <c r="E6" s="4" t="s">
        <v>57</v>
      </c>
      <c r="F6" s="2">
        <v>1100</v>
      </c>
      <c r="G6" s="2">
        <v>0.06</v>
      </c>
      <c r="H6" s="2">
        <v>0.22</v>
      </c>
      <c r="I6" s="2">
        <f t="shared" ref="I6:I8" si="0">H6/G6</f>
        <v>3.666666666666667</v>
      </c>
      <c r="K6" s="5">
        <v>0.254</v>
      </c>
      <c r="L6" s="6">
        <v>1.2699999999999999E-2</v>
      </c>
      <c r="M6" s="7">
        <v>0</v>
      </c>
      <c r="N6" s="2">
        <f t="shared" ref="N6:N8" si="1">M6*3.66</f>
        <v>0</v>
      </c>
      <c r="O6" s="8">
        <f t="shared" ref="O6:O8" si="2">F6*G6*K6</f>
        <v>16.763999999999999</v>
      </c>
      <c r="P6" s="8">
        <f t="shared" ref="P6:P8" si="3">F6*G6*L6</f>
        <v>0.83819999999999995</v>
      </c>
      <c r="Q6" s="2">
        <f>F6*G6*N6</f>
        <v>0</v>
      </c>
      <c r="U6" s="2">
        <v>0</v>
      </c>
      <c r="W6" s="2" t="s">
        <v>65</v>
      </c>
    </row>
    <row r="7" spans="1:26" s="2" customFormat="1" x14ac:dyDescent="0.2">
      <c r="C7" s="2" t="s">
        <v>55</v>
      </c>
      <c r="D7" s="2" t="s">
        <v>53</v>
      </c>
      <c r="E7" s="4"/>
      <c r="F7" s="2">
        <v>0</v>
      </c>
      <c r="G7" s="2">
        <v>0.03</v>
      </c>
      <c r="H7" s="2">
        <v>0.17199999999999999</v>
      </c>
      <c r="I7" s="2">
        <f t="shared" si="0"/>
        <v>5.7333333333333334</v>
      </c>
      <c r="K7" s="2">
        <v>0</v>
      </c>
      <c r="M7" s="2">
        <v>0</v>
      </c>
      <c r="N7" s="2">
        <f t="shared" si="1"/>
        <v>0</v>
      </c>
      <c r="O7" s="8">
        <f t="shared" si="2"/>
        <v>0</v>
      </c>
      <c r="P7" s="8">
        <f t="shared" si="3"/>
        <v>0</v>
      </c>
      <c r="Q7" s="2">
        <f>F7*G7*N7</f>
        <v>0</v>
      </c>
      <c r="U7" s="2">
        <v>0</v>
      </c>
      <c r="W7" s="2" t="s">
        <v>65</v>
      </c>
    </row>
    <row r="8" spans="1:26" s="2" customFormat="1" x14ac:dyDescent="0.2">
      <c r="C8" s="2" t="s">
        <v>55</v>
      </c>
      <c r="D8" s="2" t="s">
        <v>52</v>
      </c>
      <c r="E8" s="4" t="s">
        <v>57</v>
      </c>
      <c r="F8" s="2">
        <v>1100</v>
      </c>
      <c r="G8" s="2">
        <v>0.2</v>
      </c>
      <c r="H8" s="2">
        <v>0.22</v>
      </c>
      <c r="I8" s="2">
        <f t="shared" si="0"/>
        <v>1.0999999999999999</v>
      </c>
      <c r="K8" s="5">
        <v>0.254</v>
      </c>
      <c r="L8" s="6">
        <v>1.2699999999999999E-2</v>
      </c>
      <c r="M8" s="7">
        <v>0</v>
      </c>
      <c r="N8" s="2">
        <f t="shared" si="1"/>
        <v>0</v>
      </c>
      <c r="O8" s="8">
        <f t="shared" si="2"/>
        <v>55.88</v>
      </c>
      <c r="P8" s="8">
        <f t="shared" si="3"/>
        <v>2.794</v>
      </c>
      <c r="Q8" s="2">
        <f>F8*G8*N8</f>
        <v>0</v>
      </c>
      <c r="U8" s="2">
        <v>0</v>
      </c>
      <c r="W8" s="2" t="s">
        <v>65</v>
      </c>
    </row>
    <row r="9" spans="1:26" s="18" customFormat="1" ht="17" thickBot="1" x14ac:dyDescent="0.25">
      <c r="A9" s="18" t="s">
        <v>84</v>
      </c>
      <c r="B9" s="18" t="s">
        <v>113</v>
      </c>
      <c r="C9" s="18" t="s">
        <v>137</v>
      </c>
      <c r="D9" s="18" t="s">
        <v>85</v>
      </c>
      <c r="I9" s="18" cm="1">
        <f t="array" ref="I9">1/(SUM(1/I6:I8))</f>
        <v>0.73733437256430234</v>
      </c>
      <c r="O9" s="19">
        <v>0</v>
      </c>
      <c r="P9" s="20">
        <f>SUM(P6:P8)</f>
        <v>3.6322000000000001</v>
      </c>
      <c r="Q9" s="18">
        <f>SUM(Q6:Q8)</f>
        <v>0</v>
      </c>
      <c r="S9" s="18" t="s">
        <v>88</v>
      </c>
      <c r="U9" s="18">
        <f>SUM(U6:U8)</f>
        <v>0</v>
      </c>
      <c r="V9" s="18" t="s">
        <v>26</v>
      </c>
      <c r="W9" s="18" t="s">
        <v>65</v>
      </c>
      <c r="Z9" s="18" t="s">
        <v>128</v>
      </c>
    </row>
    <row r="10" spans="1:26" ht="17" thickTop="1" x14ac:dyDescent="0.2"/>
    <row r="11" spans="1:26" s="2" customFormat="1" x14ac:dyDescent="0.2">
      <c r="C11" s="2" t="s">
        <v>58</v>
      </c>
      <c r="D11" s="2" t="s">
        <v>59</v>
      </c>
      <c r="E11" s="4" t="s">
        <v>62</v>
      </c>
      <c r="F11" s="2">
        <v>60</v>
      </c>
      <c r="G11" s="2">
        <v>0.1</v>
      </c>
      <c r="H11" s="2">
        <v>0.04</v>
      </c>
      <c r="I11" s="2">
        <f t="shared" ref="I11" si="4">H11/G11</f>
        <v>0.39999999999999997</v>
      </c>
      <c r="K11" s="9">
        <v>1.1299999999999999</v>
      </c>
      <c r="L11" s="10">
        <v>5.9200000000000003E-2</v>
      </c>
      <c r="M11" s="10">
        <v>0</v>
      </c>
      <c r="N11" s="31">
        <f t="shared" ref="N11" si="5">M11*3.66</f>
        <v>0</v>
      </c>
      <c r="O11" s="8">
        <f>F11*G11*K11</f>
        <v>6.7799999999999994</v>
      </c>
      <c r="P11" s="8">
        <f>F11*G11*L11</f>
        <v>0.35520000000000002</v>
      </c>
      <c r="Q11" s="32">
        <f>F11*G11*N11</f>
        <v>0</v>
      </c>
      <c r="U11" s="2">
        <v>0</v>
      </c>
      <c r="W11" s="2" t="s">
        <v>65</v>
      </c>
    </row>
    <row r="12" spans="1:26" s="18" customFormat="1" ht="17" thickBot="1" x14ac:dyDescent="0.25">
      <c r="A12" s="18" t="s">
        <v>64</v>
      </c>
      <c r="B12" s="18" t="s">
        <v>112</v>
      </c>
      <c r="C12" s="18" t="s">
        <v>137</v>
      </c>
      <c r="D12" s="18" t="s">
        <v>86</v>
      </c>
      <c r="I12" s="18" cm="1">
        <f t="array" ref="I12">1/SUM(1/I11:I11)</f>
        <v>0.4</v>
      </c>
      <c r="O12" s="19">
        <f>SUM(O11:O11)</f>
        <v>6.7799999999999994</v>
      </c>
      <c r="P12" s="19">
        <f>SUM(P11:P11)</f>
        <v>0.35520000000000002</v>
      </c>
      <c r="Q12" s="18">
        <f>SUM(Q11:Q11)</f>
        <v>0</v>
      </c>
      <c r="S12" s="18">
        <v>30</v>
      </c>
      <c r="T12" s="18">
        <v>80</v>
      </c>
      <c r="U12" s="18">
        <f>SUM(U11:U11)</f>
        <v>0</v>
      </c>
      <c r="V12" s="18" t="s">
        <v>26</v>
      </c>
      <c r="W12" s="18" t="s">
        <v>65</v>
      </c>
      <c r="Z12" s="18" t="s">
        <v>128</v>
      </c>
    </row>
    <row r="13" spans="1:26" ht="17" thickTop="1" x14ac:dyDescent="0.2"/>
    <row r="14" spans="1:26" s="23" customFormat="1" x14ac:dyDescent="0.2">
      <c r="C14" s="23" t="s">
        <v>63</v>
      </c>
      <c r="D14" s="23" t="s">
        <v>72</v>
      </c>
      <c r="E14" s="24" t="s">
        <v>57</v>
      </c>
      <c r="F14" s="23">
        <v>1100</v>
      </c>
      <c r="G14" s="23">
        <v>0.15</v>
      </c>
      <c r="H14" s="23">
        <v>0.35</v>
      </c>
      <c r="I14" s="23">
        <f t="shared" ref="I14:I15" si="6">H14/G14</f>
        <v>2.3333333333333335</v>
      </c>
      <c r="K14" s="25">
        <v>0.254</v>
      </c>
      <c r="L14" s="26">
        <v>1.2699999999999999E-2</v>
      </c>
      <c r="M14" s="27">
        <v>0</v>
      </c>
      <c r="N14" s="23">
        <f>M14*3.66</f>
        <v>0</v>
      </c>
      <c r="O14" s="8">
        <f>F14*G14*K14</f>
        <v>41.910000000000004</v>
      </c>
      <c r="P14" s="28">
        <f>F14*G14*L14</f>
        <v>2.0954999999999999</v>
      </c>
      <c r="Q14" s="23">
        <f>F14*G14*N14</f>
        <v>0</v>
      </c>
      <c r="U14" s="23">
        <v>0</v>
      </c>
      <c r="W14" s="23" t="s">
        <v>65</v>
      </c>
      <c r="X14" s="23" t="s">
        <v>70</v>
      </c>
    </row>
    <row r="15" spans="1:26" s="2" customFormat="1" x14ac:dyDescent="0.2">
      <c r="C15" s="2" t="s">
        <v>63</v>
      </c>
      <c r="D15" s="2" t="s">
        <v>68</v>
      </c>
      <c r="E15" s="12" t="s">
        <v>67</v>
      </c>
      <c r="F15" s="2">
        <v>2400</v>
      </c>
      <c r="G15" s="2">
        <v>0.05</v>
      </c>
      <c r="H15" s="2">
        <v>1.8</v>
      </c>
      <c r="I15" s="2">
        <f t="shared" si="6"/>
        <v>36</v>
      </c>
      <c r="K15" s="11">
        <v>0.16500000000000001</v>
      </c>
      <c r="L15" s="6">
        <v>1.21E-2</v>
      </c>
      <c r="M15" s="7">
        <v>0</v>
      </c>
      <c r="N15" s="2">
        <f t="shared" ref="N15" si="7">M15*3.66</f>
        <v>0</v>
      </c>
      <c r="O15" s="8">
        <f t="shared" ref="O15" si="8">F15*G15*K15</f>
        <v>19.8</v>
      </c>
      <c r="P15" s="8">
        <f>F15*G15*L15</f>
        <v>1.452</v>
      </c>
      <c r="Q15" s="2">
        <f>F15*G15*N15</f>
        <v>0</v>
      </c>
      <c r="U15" s="2">
        <v>0</v>
      </c>
      <c r="W15" s="2" t="s">
        <v>65</v>
      </c>
      <c r="X15" s="2" t="s">
        <v>70</v>
      </c>
    </row>
    <row r="16" spans="1:26" s="18" customFormat="1" ht="17" thickBot="1" x14ac:dyDescent="0.25">
      <c r="A16" s="18" t="s">
        <v>66</v>
      </c>
      <c r="B16" s="18" t="s">
        <v>232</v>
      </c>
      <c r="C16" s="18" t="s">
        <v>137</v>
      </c>
      <c r="D16" s="18" t="s">
        <v>87</v>
      </c>
      <c r="I16" s="18" cm="1">
        <f t="array" ref="I16">1/SUM(1/I14:I15)</f>
        <v>2.1913043478260872</v>
      </c>
      <c r="O16" s="19">
        <v>0</v>
      </c>
      <c r="P16" s="20">
        <f>SUM(P14:P15)</f>
        <v>3.5474999999999999</v>
      </c>
      <c r="Q16" s="19">
        <f>SUM(Q14:Q15)</f>
        <v>0</v>
      </c>
      <c r="S16" s="18" t="s">
        <v>88</v>
      </c>
      <c r="U16" s="18">
        <f>SUM(U14:U15)</f>
        <v>0</v>
      </c>
      <c r="V16" s="18" t="s">
        <v>26</v>
      </c>
      <c r="W16" s="18" t="s">
        <v>65</v>
      </c>
      <c r="X16" s="18" t="s">
        <v>193</v>
      </c>
      <c r="Z16" s="18" t="s">
        <v>128</v>
      </c>
    </row>
    <row r="17" spans="1:26" ht="17" thickTop="1" x14ac:dyDescent="0.2"/>
    <row r="18" spans="1:26" s="23" customFormat="1" x14ac:dyDescent="0.2">
      <c r="C18" s="23" t="s">
        <v>71</v>
      </c>
      <c r="D18" s="2" t="s">
        <v>171</v>
      </c>
      <c r="E18" s="43" t="s">
        <v>118</v>
      </c>
      <c r="F18" s="2">
        <v>2000</v>
      </c>
      <c r="G18" s="2">
        <v>0.05</v>
      </c>
      <c r="H18" s="2">
        <v>0.8</v>
      </c>
      <c r="I18" s="2">
        <f>H18/G18</f>
        <v>16</v>
      </c>
      <c r="J18" s="2"/>
      <c r="K18" s="55">
        <v>7.8399999999999997E-2</v>
      </c>
      <c r="L18" s="50">
        <v>1.2699999999999999E-2</v>
      </c>
      <c r="M18" s="40">
        <v>0</v>
      </c>
      <c r="N18" s="23">
        <f>M18*3.66</f>
        <v>0</v>
      </c>
      <c r="O18" s="70">
        <f>F18*G18*K18</f>
        <v>7.84</v>
      </c>
      <c r="P18" s="70">
        <f>F18*G18*L18</f>
        <v>1.27</v>
      </c>
      <c r="Q18" s="2">
        <f>F18*G18*N18</f>
        <v>0</v>
      </c>
      <c r="U18" s="48"/>
      <c r="W18" s="23" t="s">
        <v>65</v>
      </c>
      <c r="X18" s="23" t="s">
        <v>70</v>
      </c>
    </row>
    <row r="19" spans="1:26" s="2" customFormat="1" x14ac:dyDescent="0.2">
      <c r="C19" s="2" t="s">
        <v>71</v>
      </c>
      <c r="D19" s="2" t="s">
        <v>72</v>
      </c>
      <c r="E19" s="66" t="s">
        <v>57</v>
      </c>
      <c r="F19" s="2">
        <v>1100</v>
      </c>
      <c r="G19" s="2">
        <f>0.25*0.75</f>
        <v>0.1875</v>
      </c>
      <c r="H19" s="2">
        <v>0.35</v>
      </c>
      <c r="I19" s="2">
        <f t="shared" ref="I19:I20" si="9">H19/G19</f>
        <v>1.8666666666666665</v>
      </c>
      <c r="K19" s="67">
        <v>0.254</v>
      </c>
      <c r="L19" s="68">
        <v>1.2699999999999999E-2</v>
      </c>
      <c r="M19" s="69">
        <v>0</v>
      </c>
      <c r="N19" s="2">
        <f t="shared" ref="N19:N20" si="10">M19*3.66</f>
        <v>0</v>
      </c>
      <c r="O19" s="70">
        <f t="shared" ref="O19:O20" si="11">F19*G19*K19</f>
        <v>52.387500000000003</v>
      </c>
      <c r="P19" s="70">
        <f>F19*G19*L19</f>
        <v>2.6193749999999998</v>
      </c>
      <c r="Q19" s="2">
        <f>F19*G19*N19</f>
        <v>0</v>
      </c>
      <c r="U19" s="2">
        <v>0</v>
      </c>
      <c r="W19" s="2" t="s">
        <v>65</v>
      </c>
      <c r="X19" s="2" t="s">
        <v>70</v>
      </c>
    </row>
    <row r="20" spans="1:26" s="2" customFormat="1" x14ac:dyDescent="0.2">
      <c r="C20" s="2" t="s">
        <v>71</v>
      </c>
      <c r="D20" s="2" t="s">
        <v>68</v>
      </c>
      <c r="E20" s="22" t="s">
        <v>67</v>
      </c>
      <c r="F20" s="2">
        <v>2400</v>
      </c>
      <c r="G20" s="2">
        <f>0.25*0.25</f>
        <v>6.25E-2</v>
      </c>
      <c r="H20" s="2">
        <v>1.8</v>
      </c>
      <c r="I20" s="2">
        <f t="shared" si="9"/>
        <v>28.8</v>
      </c>
      <c r="K20" s="21">
        <v>0.16500000000000001</v>
      </c>
      <c r="L20" s="15">
        <v>1.21E-2</v>
      </c>
      <c r="M20" s="16">
        <v>0</v>
      </c>
      <c r="N20" s="2">
        <f t="shared" si="10"/>
        <v>0</v>
      </c>
      <c r="O20" s="8">
        <f t="shared" si="11"/>
        <v>24.75</v>
      </c>
      <c r="P20" s="17">
        <f>F20*G20*L20</f>
        <v>1.8149999999999999</v>
      </c>
      <c r="Q20" s="2">
        <f>F20*G20*N20</f>
        <v>0</v>
      </c>
      <c r="U20" s="2">
        <v>0</v>
      </c>
      <c r="W20" s="2" t="s">
        <v>65</v>
      </c>
      <c r="X20" s="2" t="s">
        <v>70</v>
      </c>
    </row>
    <row r="21" spans="1:26" s="18" customFormat="1" ht="17" thickBot="1" x14ac:dyDescent="0.25">
      <c r="A21" s="18" t="s">
        <v>69</v>
      </c>
      <c r="B21" s="18" t="s">
        <v>130</v>
      </c>
      <c r="C21" s="18" t="s">
        <v>137</v>
      </c>
      <c r="I21" s="18" cm="1">
        <f t="array" ref="I21">1/SUM(1/I19:I20)</f>
        <v>1.7530434782608693</v>
      </c>
      <c r="O21" s="19">
        <v>0</v>
      </c>
      <c r="P21" s="19">
        <f>SUM(P18:P20)</f>
        <v>5.7043749999999998</v>
      </c>
      <c r="Q21" s="19">
        <f>SUM(Q18:Q20)</f>
        <v>0</v>
      </c>
      <c r="S21" s="18" t="s">
        <v>88</v>
      </c>
      <c r="V21" s="18" t="s">
        <v>26</v>
      </c>
      <c r="W21" s="18" t="s">
        <v>65</v>
      </c>
      <c r="X21" s="18" t="s">
        <v>193</v>
      </c>
      <c r="Z21" s="18" t="s">
        <v>128</v>
      </c>
    </row>
    <row r="22" spans="1:26" ht="17" thickTop="1" x14ac:dyDescent="0.2"/>
    <row r="23" spans="1:26" s="23" customFormat="1" x14ac:dyDescent="0.2">
      <c r="D23" s="23" t="s">
        <v>124</v>
      </c>
      <c r="E23" s="24" t="s">
        <v>57</v>
      </c>
      <c r="F23" s="23">
        <v>1100</v>
      </c>
      <c r="G23" s="23">
        <v>0.06</v>
      </c>
      <c r="H23" s="23">
        <v>0.35</v>
      </c>
      <c r="I23" s="23">
        <f t="shared" ref="I23:I24" si="12">H23/G23</f>
        <v>5.833333333333333</v>
      </c>
      <c r="K23" s="25">
        <v>0.254</v>
      </c>
      <c r="L23" s="26">
        <v>1.2699999999999999E-2</v>
      </c>
      <c r="M23" s="27">
        <v>0</v>
      </c>
      <c r="N23" s="23">
        <f t="shared" ref="N23:N25" si="13">M23*3.66</f>
        <v>0</v>
      </c>
      <c r="O23" s="8">
        <f t="shared" ref="O23:O25" si="14">F23*G23*K23</f>
        <v>16.763999999999999</v>
      </c>
      <c r="P23" s="28">
        <f>F23*G23*L23</f>
        <v>0.83819999999999995</v>
      </c>
      <c r="Q23" s="23">
        <f>F23*G23*N23</f>
        <v>0</v>
      </c>
      <c r="U23" s="23">
        <v>0</v>
      </c>
      <c r="W23" s="23" t="s">
        <v>65</v>
      </c>
    </row>
    <row r="24" spans="1:26" s="2" customFormat="1" x14ac:dyDescent="0.2">
      <c r="D24" s="2" t="s">
        <v>121</v>
      </c>
      <c r="E24" s="56" t="s">
        <v>119</v>
      </c>
      <c r="F24" s="2">
        <v>2300</v>
      </c>
      <c r="G24" s="2">
        <v>0.25</v>
      </c>
      <c r="H24" s="2">
        <v>2.2999999999999998</v>
      </c>
      <c r="I24" s="2">
        <f t="shared" si="12"/>
        <v>9.1999999999999993</v>
      </c>
      <c r="K24" s="55">
        <v>8.8700000000000001E-2</v>
      </c>
      <c r="L24" s="50">
        <v>1.26E-2</v>
      </c>
      <c r="M24" s="40">
        <v>0</v>
      </c>
      <c r="N24" s="2">
        <f t="shared" si="13"/>
        <v>0</v>
      </c>
      <c r="O24" s="8">
        <f t="shared" si="14"/>
        <v>51.002499999999998</v>
      </c>
      <c r="P24" s="17">
        <f>F24*G24*L24</f>
        <v>7.2450000000000001</v>
      </c>
      <c r="Q24" s="2">
        <f>F24*G24*N24</f>
        <v>0</v>
      </c>
      <c r="U24" s="2">
        <v>0</v>
      </c>
      <c r="W24" s="2" t="s">
        <v>65</v>
      </c>
      <c r="X24" s="2" t="s">
        <v>170</v>
      </c>
    </row>
    <row r="25" spans="1:26" s="2" customFormat="1" x14ac:dyDescent="0.2">
      <c r="D25" s="58" t="s">
        <v>122</v>
      </c>
      <c r="E25" s="57" t="s">
        <v>120</v>
      </c>
      <c r="F25" s="2">
        <v>60</v>
      </c>
      <c r="G25" s="2">
        <v>0.25</v>
      </c>
      <c r="I25" s="2">
        <f>10^100</f>
        <v>1E+100</v>
      </c>
      <c r="K25" s="51">
        <v>0.77300000000000002</v>
      </c>
      <c r="L25" s="59">
        <v>1.2200000000000001E-2</v>
      </c>
      <c r="M25" s="40">
        <v>0</v>
      </c>
      <c r="N25" s="2">
        <f t="shared" si="13"/>
        <v>0</v>
      </c>
      <c r="O25" s="8">
        <f t="shared" si="14"/>
        <v>11.595000000000001</v>
      </c>
      <c r="P25" s="17">
        <f>F25*G25*L25</f>
        <v>0.18300000000000002</v>
      </c>
      <c r="Q25" s="2">
        <f>F25*G25*N25</f>
        <v>0</v>
      </c>
      <c r="U25" s="2">
        <v>0</v>
      </c>
      <c r="W25" s="2" t="s">
        <v>65</v>
      </c>
    </row>
    <row r="26" spans="1:26" s="18" customFormat="1" ht="17" thickBot="1" x14ac:dyDescent="0.25">
      <c r="A26" s="18" t="s">
        <v>116</v>
      </c>
      <c r="B26" s="18" t="s">
        <v>131</v>
      </c>
      <c r="C26" s="18" t="s">
        <v>137</v>
      </c>
      <c r="I26" s="18" cm="1">
        <f t="array" ref="I26">1/SUM(1/I23:I25)</f>
        <v>3.5698447893569845</v>
      </c>
      <c r="O26" s="19">
        <v>0</v>
      </c>
      <c r="P26" s="19">
        <f>SUM(P23:P25)</f>
        <v>8.2661999999999995</v>
      </c>
      <c r="Q26" s="19">
        <f>SUM(Q23:Q25)</f>
        <v>0</v>
      </c>
      <c r="S26" s="18" t="s">
        <v>88</v>
      </c>
      <c r="V26" s="18" t="s">
        <v>26</v>
      </c>
      <c r="W26" s="18" t="s">
        <v>65</v>
      </c>
      <c r="Z26" s="18" t="s">
        <v>128</v>
      </c>
    </row>
    <row r="27" spans="1:26" ht="17" thickTop="1" x14ac:dyDescent="0.2"/>
    <row r="28" spans="1:26" s="2" customFormat="1" x14ac:dyDescent="0.2">
      <c r="D28" s="2" t="s">
        <v>171</v>
      </c>
      <c r="E28" s="43" t="s">
        <v>118</v>
      </c>
      <c r="F28" s="2">
        <v>2000</v>
      </c>
      <c r="G28" s="2">
        <v>0.05</v>
      </c>
      <c r="H28" s="2">
        <v>0.8</v>
      </c>
      <c r="I28" s="2">
        <f>H28/G28</f>
        <v>16</v>
      </c>
      <c r="K28" s="55">
        <v>7.8399999999999997E-2</v>
      </c>
      <c r="L28" s="50">
        <v>1.2699999999999999E-2</v>
      </c>
      <c r="M28" s="40">
        <v>0</v>
      </c>
      <c r="N28" s="2">
        <f t="shared" ref="N28:N30" si="15">M28*3.66</f>
        <v>0</v>
      </c>
      <c r="O28" s="8">
        <f t="shared" ref="O28" si="16">K28*G28*F28</f>
        <v>7.84</v>
      </c>
      <c r="P28" s="17">
        <f t="shared" ref="P28" si="17">F28*G28*L28</f>
        <v>1.27</v>
      </c>
      <c r="Q28" s="2">
        <f t="shared" ref="Q28" si="18">F28*G28*N28</f>
        <v>0</v>
      </c>
      <c r="U28" s="1"/>
    </row>
    <row r="29" spans="1:26" s="2" customFormat="1" x14ac:dyDescent="0.2">
      <c r="D29" s="2" t="s">
        <v>121</v>
      </c>
      <c r="E29" s="56" t="s">
        <v>119</v>
      </c>
      <c r="F29" s="2">
        <v>2300</v>
      </c>
      <c r="G29" s="2">
        <v>0.15</v>
      </c>
      <c r="H29" s="2">
        <v>2.2999999999999998</v>
      </c>
      <c r="I29" s="2">
        <f t="shared" ref="I29" si="19">H29/G29</f>
        <v>15.333333333333332</v>
      </c>
      <c r="K29" s="55">
        <v>8.8700000000000001E-2</v>
      </c>
      <c r="L29" s="50">
        <v>1.26E-2</v>
      </c>
      <c r="M29" s="40">
        <v>0</v>
      </c>
      <c r="N29" s="2">
        <f t="shared" si="15"/>
        <v>0</v>
      </c>
      <c r="O29" s="8">
        <f t="shared" ref="O29:O30" si="20">F29*G29*K29</f>
        <v>30.601500000000001</v>
      </c>
      <c r="P29" s="17">
        <f>F29*G29*L29</f>
        <v>4.3470000000000004</v>
      </c>
      <c r="Q29" s="2">
        <f>F29*G29*N29</f>
        <v>0</v>
      </c>
      <c r="U29" s="2">
        <v>0</v>
      </c>
      <c r="W29" s="2" t="s">
        <v>65</v>
      </c>
      <c r="X29" s="2" t="s">
        <v>169</v>
      </c>
    </row>
    <row r="30" spans="1:26" s="2" customFormat="1" x14ac:dyDescent="0.2">
      <c r="D30" s="58" t="s">
        <v>122</v>
      </c>
      <c r="E30" s="57" t="s">
        <v>120</v>
      </c>
      <c r="F30" s="2">
        <v>80</v>
      </c>
      <c r="G30" s="2">
        <v>0.15</v>
      </c>
      <c r="I30" s="2">
        <f>10^100</f>
        <v>1E+100</v>
      </c>
      <c r="K30" s="51">
        <v>0.77300000000000002</v>
      </c>
      <c r="L30" s="59">
        <v>1.2200000000000001E-2</v>
      </c>
      <c r="M30" s="40">
        <v>0</v>
      </c>
      <c r="N30" s="2">
        <f t="shared" si="15"/>
        <v>0</v>
      </c>
      <c r="O30" s="8">
        <f t="shared" si="20"/>
        <v>9.2759999999999998</v>
      </c>
      <c r="P30" s="17">
        <f>F30*G30*L30</f>
        <v>0.1464</v>
      </c>
      <c r="Q30" s="2">
        <f>F30*G30*N30</f>
        <v>0</v>
      </c>
      <c r="U30" s="2">
        <v>0</v>
      </c>
      <c r="W30" s="2" t="s">
        <v>65</v>
      </c>
    </row>
    <row r="31" spans="1:26" s="18" customFormat="1" ht="17" thickBot="1" x14ac:dyDescent="0.25">
      <c r="A31" s="18" t="s">
        <v>117</v>
      </c>
      <c r="B31" s="18" t="s">
        <v>132</v>
      </c>
      <c r="C31" s="18" t="s">
        <v>137</v>
      </c>
      <c r="I31" s="18" cm="1">
        <f t="array" ref="I31">1/SUM(1/I28:I30)</f>
        <v>7.8297872340425521</v>
      </c>
      <c r="O31" s="19">
        <v>0</v>
      </c>
      <c r="P31" s="19">
        <f>SUM(P28:P30)</f>
        <v>5.7634000000000007</v>
      </c>
      <c r="Q31" s="19">
        <f>SUM(Q28:Q30)</f>
        <v>0</v>
      </c>
      <c r="S31" s="18" t="s">
        <v>88</v>
      </c>
      <c r="V31" s="18" t="s">
        <v>26</v>
      </c>
      <c r="W31" s="18" t="s">
        <v>65</v>
      </c>
      <c r="Z31" s="18" t="s">
        <v>128</v>
      </c>
    </row>
    <row r="32" spans="1:26" ht="17" thickTop="1" x14ac:dyDescent="0.2"/>
  </sheetData>
  <conditionalFormatting sqref="K6:M6 O6:Q8">
    <cfRule type="cellIs" dxfId="280" priority="80" operator="between">
      <formula>0.00000001</formula>
      <formula>1</formula>
    </cfRule>
    <cfRule type="cellIs" dxfId="279" priority="79" operator="between">
      <formula>1</formula>
      <formula>10</formula>
    </cfRule>
    <cfRule type="cellIs" dxfId="278" priority="78" operator="between">
      <formula>10</formula>
      <formula>100</formula>
    </cfRule>
    <cfRule type="cellIs" dxfId="277" priority="77" operator="greaterThan">
      <formula>100</formula>
    </cfRule>
    <cfRule type="cellIs" dxfId="276" priority="76" operator="equal">
      <formula>0</formula>
    </cfRule>
  </conditionalFormatting>
  <conditionalFormatting sqref="K8:M8">
    <cfRule type="cellIs" dxfId="275" priority="75" operator="between">
      <formula>0.00000001</formula>
      <formula>1</formula>
    </cfRule>
    <cfRule type="cellIs" dxfId="274" priority="74" operator="between">
      <formula>1</formula>
      <formula>10</formula>
    </cfRule>
    <cfRule type="cellIs" dxfId="273" priority="73" operator="between">
      <formula>10</formula>
      <formula>100</formula>
    </cfRule>
    <cfRule type="cellIs" dxfId="272" priority="72" operator="greaterThan">
      <formula>100</formula>
    </cfRule>
    <cfRule type="cellIs" dxfId="271" priority="71" operator="equal">
      <formula>0</formula>
    </cfRule>
  </conditionalFormatting>
  <conditionalFormatting sqref="K11:M11">
    <cfRule type="cellIs" dxfId="270" priority="70" operator="between">
      <formula>0.00000001</formula>
      <formula>1</formula>
    </cfRule>
    <cfRule type="cellIs" dxfId="269" priority="69" operator="between">
      <formula>1</formula>
      <formula>10</formula>
    </cfRule>
    <cfRule type="cellIs" dxfId="268" priority="68" operator="between">
      <formula>10</formula>
      <formula>100</formula>
    </cfRule>
    <cfRule type="cellIs" dxfId="267" priority="67" operator="greaterThan">
      <formula>100</formula>
    </cfRule>
    <cfRule type="cellIs" dxfId="266" priority="66" operator="equal">
      <formula>0</formula>
    </cfRule>
  </conditionalFormatting>
  <conditionalFormatting sqref="K14:M15">
    <cfRule type="cellIs" dxfId="265" priority="60" operator="between">
      <formula>0.00000001</formula>
      <formula>1</formula>
    </cfRule>
    <cfRule type="cellIs" dxfId="264" priority="59" operator="between">
      <formula>1</formula>
      <formula>10</formula>
    </cfRule>
    <cfRule type="cellIs" dxfId="263" priority="58" operator="between">
      <formula>10</formula>
      <formula>100</formula>
    </cfRule>
    <cfRule type="cellIs" dxfId="262" priority="57" operator="greaterThan">
      <formula>100</formula>
    </cfRule>
    <cfRule type="cellIs" dxfId="261" priority="56" operator="equal">
      <formula>0</formula>
    </cfRule>
  </conditionalFormatting>
  <conditionalFormatting sqref="K18:M20">
    <cfRule type="cellIs" dxfId="260" priority="1" operator="equal">
      <formula>0</formula>
    </cfRule>
    <cfRule type="cellIs" dxfId="259" priority="2" operator="greaterThan">
      <formula>100</formula>
    </cfRule>
    <cfRule type="cellIs" dxfId="258" priority="3" operator="between">
      <formula>10</formula>
      <formula>100</formula>
    </cfRule>
    <cfRule type="cellIs" dxfId="257" priority="4" operator="between">
      <formula>1</formula>
      <formula>10</formula>
    </cfRule>
    <cfRule type="cellIs" dxfId="256" priority="5" operator="between">
      <formula>0.00000001</formula>
      <formula>1</formula>
    </cfRule>
  </conditionalFormatting>
  <conditionalFormatting sqref="K23:M25">
    <cfRule type="cellIs" dxfId="255" priority="33" operator="between">
      <formula>10</formula>
      <formula>100</formula>
    </cfRule>
    <cfRule type="cellIs" dxfId="254" priority="34" operator="between">
      <formula>1</formula>
      <formula>10</formula>
    </cfRule>
    <cfRule type="cellIs" dxfId="253" priority="35" operator="between">
      <formula>0.00000001</formula>
      <formula>1</formula>
    </cfRule>
    <cfRule type="cellIs" dxfId="252" priority="32" operator="greaterThan">
      <formula>100</formula>
    </cfRule>
    <cfRule type="cellIs" dxfId="251" priority="31" operator="equal">
      <formula>0</formula>
    </cfRule>
  </conditionalFormatting>
  <conditionalFormatting sqref="K28:M30">
    <cfRule type="cellIs" dxfId="250" priority="30" operator="between">
      <formula>0.00000001</formula>
      <formula>1</formula>
    </cfRule>
    <cfRule type="cellIs" dxfId="249" priority="26" operator="equal">
      <formula>0</formula>
    </cfRule>
    <cfRule type="cellIs" dxfId="248" priority="27" operator="greaterThan">
      <formula>100</formula>
    </cfRule>
    <cfRule type="cellIs" dxfId="247" priority="28" operator="between">
      <formula>10</formula>
      <formula>100</formula>
    </cfRule>
    <cfRule type="cellIs" dxfId="246" priority="29" operator="between">
      <formula>1</formula>
      <formula>10</formula>
    </cfRule>
  </conditionalFormatting>
  <conditionalFormatting sqref="O11:Q11">
    <cfRule type="cellIs" dxfId="245" priority="61" operator="equal">
      <formula>0</formula>
    </cfRule>
    <cfRule type="cellIs" dxfId="244" priority="62" operator="greaterThan">
      <formula>100</formula>
    </cfRule>
    <cfRule type="cellIs" dxfId="243" priority="65" operator="between">
      <formula>0.00000001</formula>
      <formula>1</formula>
    </cfRule>
    <cfRule type="cellIs" dxfId="242" priority="64" operator="between">
      <formula>1</formula>
      <formula>10</formula>
    </cfRule>
    <cfRule type="cellIs" dxfId="241" priority="63" operator="between">
      <formula>10</formula>
      <formula>100</formula>
    </cfRule>
  </conditionalFormatting>
  <conditionalFormatting sqref="O14:Q15">
    <cfRule type="cellIs" dxfId="240" priority="51" operator="equal">
      <formula>0</formula>
    </cfRule>
    <cfRule type="cellIs" dxfId="239" priority="52" operator="greaterThan">
      <formula>100</formula>
    </cfRule>
    <cfRule type="cellIs" dxfId="238" priority="53" operator="between">
      <formula>10</formula>
      <formula>100</formula>
    </cfRule>
    <cfRule type="cellIs" dxfId="237" priority="54" operator="between">
      <formula>1</formula>
      <formula>10</formula>
    </cfRule>
    <cfRule type="cellIs" dxfId="236" priority="55" operator="between">
      <formula>0.00000001</formula>
      <formula>1</formula>
    </cfRule>
  </conditionalFormatting>
  <conditionalFormatting sqref="O18:Q20">
    <cfRule type="cellIs" dxfId="235" priority="10" operator="between">
      <formula>0.00000001</formula>
      <formula>1</formula>
    </cfRule>
    <cfRule type="cellIs" dxfId="234" priority="9" operator="between">
      <formula>1</formula>
      <formula>10</formula>
    </cfRule>
    <cfRule type="cellIs" dxfId="233" priority="8" operator="between">
      <formula>10</formula>
      <formula>100</formula>
    </cfRule>
    <cfRule type="cellIs" dxfId="232" priority="7" operator="greaterThan">
      <formula>100</formula>
    </cfRule>
    <cfRule type="cellIs" dxfId="231" priority="6" operator="equal">
      <formula>0</formula>
    </cfRule>
  </conditionalFormatting>
  <conditionalFormatting sqref="O23:Q25">
    <cfRule type="cellIs" dxfId="230" priority="40" operator="between">
      <formula>0.00000001</formula>
      <formula>1</formula>
    </cfRule>
    <cfRule type="cellIs" dxfId="229" priority="39" operator="between">
      <formula>1</formula>
      <formula>10</formula>
    </cfRule>
    <cfRule type="cellIs" dxfId="228" priority="38" operator="between">
      <formula>10</formula>
      <formula>100</formula>
    </cfRule>
    <cfRule type="cellIs" dxfId="227" priority="37" operator="greaterThan">
      <formula>100</formula>
    </cfRule>
    <cfRule type="cellIs" dxfId="226" priority="36" operator="equal">
      <formula>0</formula>
    </cfRule>
  </conditionalFormatting>
  <conditionalFormatting sqref="O28:Q30">
    <cfRule type="cellIs" dxfId="225" priority="25" operator="between">
      <formula>0.00000001</formula>
      <formula>1</formula>
    </cfRule>
    <cfRule type="cellIs" dxfId="224" priority="24" operator="between">
      <formula>1</formula>
      <formula>10</formula>
    </cfRule>
    <cfRule type="cellIs" dxfId="223" priority="23" operator="between">
      <formula>10</formula>
      <formula>100</formula>
    </cfRule>
    <cfRule type="cellIs" dxfId="222" priority="21" operator="equal">
      <formula>0</formula>
    </cfRule>
    <cfRule type="cellIs" dxfId="221" priority="22" operator="greaterThan">
      <formula>100</formula>
    </cfRule>
  </conditionalFormatting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4A389-1C82-EB4A-A631-61D064338829}">
  <dimension ref="A1:Z178"/>
  <sheetViews>
    <sheetView zoomScale="50" zoomScaleNormal="88" workbookViewId="0">
      <selection activeCell="D183" sqref="D183"/>
    </sheetView>
  </sheetViews>
  <sheetFormatPr baseColWidth="10" defaultRowHeight="16" x14ac:dyDescent="0.2"/>
  <cols>
    <col min="1" max="1" width="40.1640625" customWidth="1"/>
    <col min="2" max="2" width="16.5" customWidth="1"/>
    <col min="3" max="3" width="15.6640625" customWidth="1"/>
    <col min="4" max="4" width="31" customWidth="1"/>
    <col min="23" max="23" width="14.6640625" customWidth="1"/>
    <col min="25" max="25" width="17" customWidth="1"/>
  </cols>
  <sheetData>
    <row r="1" spans="1:26" s="14" customFormat="1" x14ac:dyDescent="0.2">
      <c r="A1" s="14" t="s">
        <v>28</v>
      </c>
      <c r="B1" s="14" t="s">
        <v>97</v>
      </c>
      <c r="C1" s="14" t="s">
        <v>29</v>
      </c>
      <c r="D1" s="14" t="s">
        <v>30</v>
      </c>
      <c r="E1" s="14" t="s">
        <v>31</v>
      </c>
      <c r="F1" s="14" t="s">
        <v>32</v>
      </c>
      <c r="G1" s="29" t="s">
        <v>33</v>
      </c>
      <c r="H1" s="14" t="s">
        <v>34</v>
      </c>
      <c r="I1" s="14" t="s">
        <v>99</v>
      </c>
      <c r="J1" s="14" t="s">
        <v>100</v>
      </c>
      <c r="K1" s="37" t="s">
        <v>77</v>
      </c>
      <c r="L1" s="37" t="s">
        <v>78</v>
      </c>
      <c r="M1" s="37" t="s">
        <v>79</v>
      </c>
      <c r="N1" s="37" t="s">
        <v>80</v>
      </c>
      <c r="O1" s="30" t="s">
        <v>36</v>
      </c>
      <c r="P1" s="30" t="s">
        <v>37</v>
      </c>
      <c r="Q1" s="30" t="s">
        <v>98</v>
      </c>
      <c r="R1" s="37" t="s">
        <v>38</v>
      </c>
      <c r="S1" s="14" t="s">
        <v>39</v>
      </c>
      <c r="T1" s="14" t="s">
        <v>96</v>
      </c>
      <c r="U1" s="38" t="s">
        <v>41</v>
      </c>
      <c r="V1" s="14" t="s">
        <v>73</v>
      </c>
      <c r="W1" s="14" t="s">
        <v>42</v>
      </c>
      <c r="X1" s="14" t="s">
        <v>43</v>
      </c>
      <c r="Y1" s="14" t="s">
        <v>44</v>
      </c>
      <c r="Z1" s="14" t="s">
        <v>127</v>
      </c>
    </row>
    <row r="2" spans="1:26" s="14" customFormat="1" x14ac:dyDescent="0.2">
      <c r="G2" s="29"/>
      <c r="K2" s="37"/>
      <c r="L2" s="37"/>
      <c r="M2" s="37"/>
      <c r="N2" s="37"/>
      <c r="O2" s="30"/>
      <c r="P2" s="30"/>
      <c r="Q2" s="30"/>
      <c r="R2" s="37"/>
      <c r="U2" s="38"/>
    </row>
    <row r="3" spans="1:26" ht="27" x14ac:dyDescent="0.35">
      <c r="B3" s="63" t="s">
        <v>158</v>
      </c>
    </row>
    <row r="4" spans="1:26" s="33" customFormat="1" x14ac:dyDescent="0.2">
      <c r="D4" s="33" t="s">
        <v>30</v>
      </c>
      <c r="E4" s="33" t="s">
        <v>31</v>
      </c>
      <c r="F4" s="33" t="s">
        <v>32</v>
      </c>
      <c r="G4" s="33" t="s">
        <v>33</v>
      </c>
      <c r="H4" s="33" t="s">
        <v>34</v>
      </c>
      <c r="I4" s="33" t="s">
        <v>35</v>
      </c>
      <c r="J4" s="33" t="s">
        <v>82</v>
      </c>
      <c r="K4" s="34" t="s">
        <v>77</v>
      </c>
      <c r="L4" s="34" t="s">
        <v>78</v>
      </c>
      <c r="M4" s="34" t="s">
        <v>79</v>
      </c>
      <c r="N4" s="34" t="s">
        <v>80</v>
      </c>
      <c r="O4" s="34" t="s">
        <v>36</v>
      </c>
      <c r="P4" s="34" t="s">
        <v>37</v>
      </c>
      <c r="Q4" s="34" t="s">
        <v>83</v>
      </c>
      <c r="R4" s="34" t="s">
        <v>38</v>
      </c>
      <c r="S4" s="33" t="s">
        <v>39</v>
      </c>
      <c r="T4" s="33" t="s">
        <v>40</v>
      </c>
      <c r="U4" s="48" t="s">
        <v>41</v>
      </c>
      <c r="V4" s="33" t="s">
        <v>73</v>
      </c>
      <c r="W4" s="33" t="s">
        <v>42</v>
      </c>
      <c r="X4" s="33" t="s">
        <v>43</v>
      </c>
      <c r="Y4" s="33" t="s">
        <v>44</v>
      </c>
    </row>
    <row r="5" spans="1:26" s="35" customFormat="1" x14ac:dyDescent="0.2">
      <c r="F5" s="35" t="s">
        <v>45</v>
      </c>
      <c r="G5" s="35" t="s">
        <v>27</v>
      </c>
      <c r="H5" s="35" t="s">
        <v>46</v>
      </c>
      <c r="I5" s="35" t="s">
        <v>47</v>
      </c>
      <c r="K5" s="35" t="s">
        <v>48</v>
      </c>
      <c r="L5" s="35" t="s">
        <v>48</v>
      </c>
      <c r="M5" s="36" t="s">
        <v>49</v>
      </c>
      <c r="N5" s="36" t="s">
        <v>50</v>
      </c>
      <c r="O5" s="35" t="s">
        <v>76</v>
      </c>
      <c r="P5" s="35" t="s">
        <v>76</v>
      </c>
      <c r="Q5" s="35" t="s">
        <v>75</v>
      </c>
      <c r="R5" s="36" t="s">
        <v>76</v>
      </c>
      <c r="S5" s="35" t="s">
        <v>81</v>
      </c>
      <c r="T5" s="35" t="s">
        <v>81</v>
      </c>
      <c r="U5" s="1" t="s">
        <v>51</v>
      </c>
      <c r="V5" s="35" t="s">
        <v>74</v>
      </c>
    </row>
    <row r="6" spans="1:26" s="23" customFormat="1" x14ac:dyDescent="0.2">
      <c r="D6" s="23" t="s">
        <v>156</v>
      </c>
      <c r="E6" s="41">
        <v>5.0010000000000003</v>
      </c>
      <c r="I6" s="23">
        <v>1.4</v>
      </c>
      <c r="N6" s="23">
        <f>M6*3.66</f>
        <v>0</v>
      </c>
      <c r="O6" s="42">
        <v>40.700000000000003</v>
      </c>
      <c r="P6" s="39">
        <v>3.6</v>
      </c>
      <c r="Q6" s="40">
        <f>0*3.66</f>
        <v>0</v>
      </c>
      <c r="U6" s="1"/>
      <c r="V6" s="23" t="s">
        <v>26</v>
      </c>
      <c r="X6" s="23" t="s">
        <v>107</v>
      </c>
    </row>
    <row r="7" spans="1:26" s="2" customFormat="1" x14ac:dyDescent="0.2">
      <c r="D7" s="2" t="s">
        <v>114</v>
      </c>
      <c r="E7" s="43" t="s">
        <v>115</v>
      </c>
      <c r="I7" s="2">
        <v>1.9</v>
      </c>
      <c r="N7" s="2">
        <f>M7*3.66</f>
        <v>0</v>
      </c>
      <c r="O7" s="44">
        <v>30.3</v>
      </c>
      <c r="P7" s="45">
        <v>5.89</v>
      </c>
      <c r="Q7" s="40">
        <f>7.5*3.66</f>
        <v>27.450000000000003</v>
      </c>
      <c r="U7" s="1"/>
      <c r="V7" s="2" t="s">
        <v>26</v>
      </c>
      <c r="X7" s="2" t="s">
        <v>108</v>
      </c>
    </row>
    <row r="8" spans="1:26" s="18" customFormat="1" ht="17" thickBot="1" x14ac:dyDescent="0.25">
      <c r="A8" s="18" t="s">
        <v>157</v>
      </c>
      <c r="B8" s="18" t="s">
        <v>109</v>
      </c>
      <c r="C8" s="18" t="s">
        <v>155</v>
      </c>
      <c r="D8" s="18" t="s">
        <v>167</v>
      </c>
      <c r="I8" s="18">
        <f>I6*0.9+I7*0.1</f>
        <v>1.45</v>
      </c>
      <c r="J8" s="18">
        <v>0.62</v>
      </c>
      <c r="O8" s="18">
        <f>O7+O6*0.9</f>
        <v>66.930000000000007</v>
      </c>
      <c r="P8" s="18">
        <f>P7+P6*0.9</f>
        <v>9.129999999999999</v>
      </c>
      <c r="Q8" s="18">
        <f>Q7+Q6*90</f>
        <v>27.450000000000003</v>
      </c>
      <c r="S8" s="18">
        <v>30</v>
      </c>
      <c r="T8" s="18">
        <v>80</v>
      </c>
      <c r="U8" s="54"/>
      <c r="V8" s="18" t="s">
        <v>26</v>
      </c>
      <c r="W8" s="18" t="s">
        <v>110</v>
      </c>
      <c r="X8" s="18" t="s">
        <v>154</v>
      </c>
      <c r="Y8" s="18" t="s">
        <v>111</v>
      </c>
      <c r="Z8" s="18" t="s">
        <v>128</v>
      </c>
    </row>
    <row r="9" spans="1:26" ht="17" thickTop="1" x14ac:dyDescent="0.2"/>
    <row r="10" spans="1:26" s="33" customFormat="1" x14ac:dyDescent="0.2">
      <c r="D10" s="33" t="s">
        <v>30</v>
      </c>
      <c r="E10" s="33" t="s">
        <v>31</v>
      </c>
      <c r="F10" s="33" t="s">
        <v>32</v>
      </c>
      <c r="G10" s="33" t="s">
        <v>33</v>
      </c>
      <c r="H10" s="33" t="s">
        <v>34</v>
      </c>
      <c r="I10" s="33" t="s">
        <v>35</v>
      </c>
      <c r="J10" s="33" t="s">
        <v>82</v>
      </c>
      <c r="K10" s="34" t="s">
        <v>77</v>
      </c>
      <c r="L10" s="34" t="s">
        <v>78</v>
      </c>
      <c r="M10" s="34" t="s">
        <v>79</v>
      </c>
      <c r="N10" s="34" t="s">
        <v>80</v>
      </c>
      <c r="O10" s="34" t="s">
        <v>36</v>
      </c>
      <c r="P10" s="34" t="s">
        <v>37</v>
      </c>
      <c r="Q10" s="34" t="s">
        <v>83</v>
      </c>
      <c r="R10" s="34" t="s">
        <v>38</v>
      </c>
      <c r="S10" s="33" t="s">
        <v>39</v>
      </c>
      <c r="T10" s="33" t="s">
        <v>40</v>
      </c>
      <c r="U10" s="48" t="s">
        <v>41</v>
      </c>
      <c r="V10" s="33" t="s">
        <v>73</v>
      </c>
      <c r="W10" s="33" t="s">
        <v>42</v>
      </c>
      <c r="X10" s="33" t="s">
        <v>43</v>
      </c>
      <c r="Y10" s="33" t="s">
        <v>44</v>
      </c>
    </row>
    <row r="11" spans="1:26" s="35" customFormat="1" x14ac:dyDescent="0.2">
      <c r="F11" s="35" t="s">
        <v>45</v>
      </c>
      <c r="G11" s="35" t="s">
        <v>27</v>
      </c>
      <c r="H11" s="35" t="s">
        <v>46</v>
      </c>
      <c r="I11" s="35" t="s">
        <v>47</v>
      </c>
      <c r="K11" s="35" t="s">
        <v>48</v>
      </c>
      <c r="L11" s="35" t="s">
        <v>48</v>
      </c>
      <c r="M11" s="36" t="s">
        <v>49</v>
      </c>
      <c r="N11" s="36" t="s">
        <v>50</v>
      </c>
      <c r="O11" s="35" t="s">
        <v>76</v>
      </c>
      <c r="P11" s="35" t="s">
        <v>76</v>
      </c>
      <c r="Q11" s="35" t="s">
        <v>75</v>
      </c>
      <c r="R11" s="36" t="s">
        <v>76</v>
      </c>
      <c r="S11" s="35" t="s">
        <v>81</v>
      </c>
      <c r="T11" s="35" t="s">
        <v>81</v>
      </c>
      <c r="U11" s="1" t="s">
        <v>51</v>
      </c>
      <c r="V11" s="35" t="s">
        <v>74</v>
      </c>
    </row>
    <row r="12" spans="1:26" s="23" customFormat="1" x14ac:dyDescent="0.2">
      <c r="D12" s="23" t="s">
        <v>153</v>
      </c>
      <c r="E12" s="41">
        <v>5.0010000000000003</v>
      </c>
      <c r="I12" s="23">
        <v>3</v>
      </c>
      <c r="N12" s="23">
        <f>M12*3.66</f>
        <v>0</v>
      </c>
      <c r="O12" s="42">
        <v>40.700000000000003</v>
      </c>
      <c r="P12" s="39">
        <v>3.6</v>
      </c>
      <c r="Q12" s="40">
        <f>0*3.66</f>
        <v>0</v>
      </c>
      <c r="U12" s="1"/>
      <c r="V12" s="23" t="s">
        <v>26</v>
      </c>
      <c r="X12" s="23" t="s">
        <v>107</v>
      </c>
    </row>
    <row r="13" spans="1:26" s="2" customFormat="1" x14ac:dyDescent="0.2">
      <c r="D13" s="2" t="s">
        <v>114</v>
      </c>
      <c r="E13" s="43" t="s">
        <v>115</v>
      </c>
      <c r="I13" s="2">
        <v>1.9</v>
      </c>
      <c r="N13" s="2">
        <f>M13*3.66</f>
        <v>0</v>
      </c>
      <c r="O13" s="44">
        <v>30.3</v>
      </c>
      <c r="P13" s="45">
        <v>5.89</v>
      </c>
      <c r="Q13" s="40">
        <f>7.5*3.66</f>
        <v>27.450000000000003</v>
      </c>
      <c r="U13" s="1"/>
      <c r="V13" s="2" t="s">
        <v>26</v>
      </c>
      <c r="X13" s="2" t="s">
        <v>108</v>
      </c>
    </row>
    <row r="14" spans="1:26" s="18" customFormat="1" ht="17" thickBot="1" x14ac:dyDescent="0.25">
      <c r="A14" s="18" t="s">
        <v>165</v>
      </c>
      <c r="B14" s="18" t="s">
        <v>109</v>
      </c>
      <c r="C14" s="18" t="s">
        <v>160</v>
      </c>
      <c r="D14" s="18" t="s">
        <v>166</v>
      </c>
      <c r="I14" s="18">
        <f>I12*0.9+I13*0.1</f>
        <v>2.89</v>
      </c>
      <c r="J14" s="18">
        <v>0.75</v>
      </c>
      <c r="O14" s="18">
        <f>O13+O12*0.9</f>
        <v>66.930000000000007</v>
      </c>
      <c r="P14" s="18">
        <f>P13+P12*0.9</f>
        <v>9.129999999999999</v>
      </c>
      <c r="Q14" s="18">
        <f>Q13+Q12*9</f>
        <v>27.450000000000003</v>
      </c>
      <c r="S14" s="18">
        <v>30</v>
      </c>
      <c r="T14" s="18">
        <v>80</v>
      </c>
      <c r="U14" s="54"/>
      <c r="V14" s="18" t="s">
        <v>26</v>
      </c>
      <c r="W14" s="18" t="s">
        <v>110</v>
      </c>
      <c r="X14" s="18" t="s">
        <v>168</v>
      </c>
      <c r="Y14" s="18" t="s">
        <v>111</v>
      </c>
      <c r="Z14" s="18" t="s">
        <v>128</v>
      </c>
    </row>
    <row r="15" spans="1:26" ht="17" thickTop="1" x14ac:dyDescent="0.2"/>
    <row r="17" spans="1:26" ht="27" x14ac:dyDescent="0.35">
      <c r="B17" s="64" t="s">
        <v>164</v>
      </c>
    </row>
    <row r="18" spans="1:26" s="33" customFormat="1" x14ac:dyDescent="0.2">
      <c r="D18" s="33" t="s">
        <v>30</v>
      </c>
      <c r="E18" s="33" t="s">
        <v>31</v>
      </c>
      <c r="F18" s="33" t="s">
        <v>32</v>
      </c>
      <c r="G18" s="33" t="s">
        <v>33</v>
      </c>
      <c r="H18" s="33" t="s">
        <v>34</v>
      </c>
      <c r="I18" s="33" t="s">
        <v>35</v>
      </c>
      <c r="J18" s="33" t="s">
        <v>82</v>
      </c>
      <c r="K18" s="34" t="s">
        <v>77</v>
      </c>
      <c r="L18" s="34" t="s">
        <v>78</v>
      </c>
      <c r="M18" s="34" t="s">
        <v>79</v>
      </c>
      <c r="N18" s="34" t="s">
        <v>80</v>
      </c>
      <c r="O18" s="34" t="s">
        <v>36</v>
      </c>
      <c r="P18" s="34" t="s">
        <v>37</v>
      </c>
      <c r="Q18" s="34" t="s">
        <v>83</v>
      </c>
      <c r="R18" s="34" t="s">
        <v>38</v>
      </c>
      <c r="S18" s="33" t="s">
        <v>39</v>
      </c>
      <c r="T18" s="33" t="s">
        <v>40</v>
      </c>
      <c r="U18" s="33" t="s">
        <v>41</v>
      </c>
      <c r="V18" s="33" t="s">
        <v>73</v>
      </c>
      <c r="W18" s="33" t="s">
        <v>42</v>
      </c>
      <c r="X18" s="33" t="s">
        <v>43</v>
      </c>
      <c r="Y18" s="33" t="s">
        <v>44</v>
      </c>
    </row>
    <row r="19" spans="1:26" s="35" customFormat="1" x14ac:dyDescent="0.2">
      <c r="F19" s="35" t="s">
        <v>45</v>
      </c>
      <c r="G19" s="35" t="s">
        <v>27</v>
      </c>
      <c r="H19" s="35" t="s">
        <v>46</v>
      </c>
      <c r="I19" s="35" t="s">
        <v>47</v>
      </c>
      <c r="K19" s="35" t="s">
        <v>48</v>
      </c>
      <c r="L19" s="35" t="s">
        <v>48</v>
      </c>
      <c r="M19" s="36" t="s">
        <v>49</v>
      </c>
      <c r="N19" s="36" t="s">
        <v>50</v>
      </c>
      <c r="O19" s="35" t="s">
        <v>76</v>
      </c>
      <c r="P19" s="35" t="s">
        <v>76</v>
      </c>
      <c r="Q19" s="35" t="s">
        <v>75</v>
      </c>
      <c r="R19" s="36" t="s">
        <v>76</v>
      </c>
      <c r="S19" s="35" t="s">
        <v>81</v>
      </c>
      <c r="T19" s="35" t="s">
        <v>81</v>
      </c>
      <c r="U19" s="35" t="s">
        <v>51</v>
      </c>
      <c r="V19" s="35" t="s">
        <v>74</v>
      </c>
    </row>
    <row r="20" spans="1:26" s="2" customFormat="1" x14ac:dyDescent="0.2">
      <c r="D20" s="2" t="s">
        <v>124</v>
      </c>
      <c r="E20" s="43">
        <v>2.0009999999999999</v>
      </c>
      <c r="F20" s="2">
        <v>1100</v>
      </c>
      <c r="G20" s="13">
        <v>0.12</v>
      </c>
      <c r="H20" s="2">
        <v>0.35</v>
      </c>
      <c r="I20" s="2">
        <v>2.9166666700000001</v>
      </c>
      <c r="K20" s="49">
        <v>0.254</v>
      </c>
      <c r="L20" s="60">
        <v>1.2699999999999999E-2</v>
      </c>
      <c r="M20" s="40">
        <v>0</v>
      </c>
      <c r="N20" s="2">
        <v>0</v>
      </c>
      <c r="O20" s="3">
        <v>33.527999999999999</v>
      </c>
      <c r="P20" s="3">
        <v>1.6763999999999999</v>
      </c>
      <c r="Q20" s="3">
        <v>0</v>
      </c>
      <c r="U20" s="1">
        <v>0</v>
      </c>
      <c r="W20" s="2" t="s">
        <v>65</v>
      </c>
      <c r="X20" s="2" t="s">
        <v>125</v>
      </c>
    </row>
    <row r="21" spans="1:26" s="18" customFormat="1" ht="17" thickBot="1" x14ac:dyDescent="0.25">
      <c r="A21" s="18" t="s">
        <v>161</v>
      </c>
      <c r="B21" s="18" t="s">
        <v>133</v>
      </c>
      <c r="C21" s="18" t="s">
        <v>162</v>
      </c>
      <c r="G21" s="52"/>
      <c r="I21" s="18">
        <v>2.9166666700000001</v>
      </c>
      <c r="O21" s="53">
        <v>0</v>
      </c>
      <c r="P21" s="53">
        <v>1.68</v>
      </c>
      <c r="Q21" s="53">
        <v>0</v>
      </c>
      <c r="S21" s="18" t="s">
        <v>88</v>
      </c>
      <c r="U21" s="54"/>
      <c r="V21" s="18" t="s">
        <v>26</v>
      </c>
      <c r="W21" s="18" t="s">
        <v>65</v>
      </c>
      <c r="Z21" s="18" t="s">
        <v>128</v>
      </c>
    </row>
    <row r="22" spans="1:26" ht="17" thickTop="1" x14ac:dyDescent="0.2"/>
    <row r="23" spans="1:26" ht="27" x14ac:dyDescent="0.35">
      <c r="B23" s="64" t="s">
        <v>323</v>
      </c>
    </row>
    <row r="24" spans="1:26" s="33" customFormat="1" x14ac:dyDescent="0.2">
      <c r="D24" s="33" t="s">
        <v>30</v>
      </c>
      <c r="E24" s="33" t="s">
        <v>31</v>
      </c>
      <c r="F24" s="33" t="s">
        <v>32</v>
      </c>
      <c r="G24" s="33" t="s">
        <v>33</v>
      </c>
      <c r="H24" s="33" t="s">
        <v>34</v>
      </c>
      <c r="I24" s="33" t="s">
        <v>35</v>
      </c>
      <c r="J24" s="33" t="s">
        <v>82</v>
      </c>
      <c r="K24" s="34" t="s">
        <v>77</v>
      </c>
      <c r="L24" s="34" t="s">
        <v>78</v>
      </c>
      <c r="M24" s="34" t="s">
        <v>79</v>
      </c>
      <c r="N24" s="34" t="s">
        <v>80</v>
      </c>
      <c r="O24" s="34" t="s">
        <v>36</v>
      </c>
      <c r="P24" s="34" t="s">
        <v>37</v>
      </c>
      <c r="Q24" s="34" t="s">
        <v>83</v>
      </c>
      <c r="R24" s="34" t="s">
        <v>38</v>
      </c>
      <c r="S24" s="33" t="s">
        <v>39</v>
      </c>
      <c r="T24" s="33" t="s">
        <v>40</v>
      </c>
      <c r="U24" s="33" t="s">
        <v>41</v>
      </c>
      <c r="V24" s="33" t="s">
        <v>73</v>
      </c>
      <c r="W24" s="33" t="s">
        <v>42</v>
      </c>
      <c r="X24" s="33" t="s">
        <v>43</v>
      </c>
      <c r="Y24" s="33" t="s">
        <v>44</v>
      </c>
    </row>
    <row r="25" spans="1:26" s="35" customFormat="1" x14ac:dyDescent="0.2">
      <c r="F25" s="35" t="s">
        <v>45</v>
      </c>
      <c r="G25" s="35" t="s">
        <v>27</v>
      </c>
      <c r="H25" s="35" t="s">
        <v>46</v>
      </c>
      <c r="I25" s="35" t="s">
        <v>47</v>
      </c>
      <c r="K25" s="35" t="s">
        <v>48</v>
      </c>
      <c r="L25" s="35" t="s">
        <v>48</v>
      </c>
      <c r="M25" s="36" t="s">
        <v>49</v>
      </c>
      <c r="N25" s="36" t="s">
        <v>50</v>
      </c>
      <c r="O25" s="35" t="s">
        <v>76</v>
      </c>
      <c r="P25" s="35" t="s">
        <v>76</v>
      </c>
      <c r="Q25" s="35" t="s">
        <v>75</v>
      </c>
      <c r="R25" s="36" t="s">
        <v>76</v>
      </c>
      <c r="S25" s="35" t="s">
        <v>81</v>
      </c>
      <c r="T25" s="35" t="s">
        <v>81</v>
      </c>
      <c r="U25" s="35" t="s">
        <v>51</v>
      </c>
      <c r="V25" s="35" t="s">
        <v>74</v>
      </c>
    </row>
    <row r="26" spans="1:26" s="2" customFormat="1" x14ac:dyDescent="0.2">
      <c r="D26" s="2" t="s">
        <v>54</v>
      </c>
      <c r="E26" s="43" t="s">
        <v>56</v>
      </c>
      <c r="F26" s="2">
        <v>1800</v>
      </c>
      <c r="G26" s="13">
        <v>1.4999999999999999E-2</v>
      </c>
      <c r="H26" s="2">
        <v>0.8</v>
      </c>
      <c r="I26" s="2">
        <f t="shared" ref="I26" si="0">H26/G26</f>
        <v>53.333333333333336</v>
      </c>
      <c r="K26" s="49">
        <v>0.248</v>
      </c>
      <c r="L26" s="51">
        <v>1.2699999999999999E-2</v>
      </c>
      <c r="M26" s="40">
        <v>0</v>
      </c>
      <c r="N26" s="2">
        <f>M26*3.66</f>
        <v>0</v>
      </c>
      <c r="O26" s="3">
        <f t="shared" ref="O26" si="1">F26*G26*K26</f>
        <v>6.6959999999999997</v>
      </c>
      <c r="P26" s="3">
        <f t="shared" ref="P26" si="2">F26*G26*L26</f>
        <v>0.34289999999999998</v>
      </c>
      <c r="Q26" s="3">
        <f>F26*G26*N26</f>
        <v>0</v>
      </c>
      <c r="U26" s="1"/>
      <c r="W26" s="2" t="s">
        <v>65</v>
      </c>
    </row>
    <row r="27" spans="1:26" s="18" customFormat="1" ht="17" thickBot="1" x14ac:dyDescent="0.25">
      <c r="A27" s="18" t="s">
        <v>325</v>
      </c>
      <c r="B27" s="18" t="s">
        <v>324</v>
      </c>
      <c r="C27" s="18" t="s">
        <v>162</v>
      </c>
      <c r="G27" s="52"/>
      <c r="I27" s="18">
        <f>I26</f>
        <v>53.333333333333336</v>
      </c>
      <c r="O27" s="53">
        <f>O26</f>
        <v>6.6959999999999997</v>
      </c>
      <c r="P27" s="53">
        <f>P26</f>
        <v>0.34289999999999998</v>
      </c>
      <c r="Q27" s="53">
        <f>Q26</f>
        <v>0</v>
      </c>
      <c r="S27" s="18" t="s">
        <v>88</v>
      </c>
      <c r="U27" s="54"/>
      <c r="V27" s="18" t="s">
        <v>26</v>
      </c>
      <c r="W27" s="18" t="s">
        <v>65</v>
      </c>
      <c r="Z27" s="18" t="s">
        <v>128</v>
      </c>
    </row>
    <row r="28" spans="1:26" ht="17" thickTop="1" x14ac:dyDescent="0.2"/>
    <row r="29" spans="1:26" ht="27" x14ac:dyDescent="0.35">
      <c r="B29" s="64" t="s">
        <v>301</v>
      </c>
    </row>
    <row r="31" spans="1:26" s="33" customFormat="1" x14ac:dyDescent="0.2">
      <c r="D31" s="33" t="s">
        <v>30</v>
      </c>
      <c r="E31" s="33" t="s">
        <v>31</v>
      </c>
      <c r="F31" s="33" t="s">
        <v>32</v>
      </c>
      <c r="G31" s="46" t="s">
        <v>33</v>
      </c>
      <c r="H31" s="33" t="s">
        <v>34</v>
      </c>
      <c r="I31" s="33" t="s">
        <v>35</v>
      </c>
      <c r="J31" s="33" t="s">
        <v>82</v>
      </c>
      <c r="K31" s="34" t="s">
        <v>77</v>
      </c>
      <c r="L31" s="34" t="s">
        <v>78</v>
      </c>
      <c r="M31" s="34" t="s">
        <v>79</v>
      </c>
      <c r="N31" s="34" t="s">
        <v>80</v>
      </c>
      <c r="O31" s="47" t="s">
        <v>36</v>
      </c>
      <c r="P31" s="47" t="s">
        <v>37</v>
      </c>
      <c r="Q31" s="47" t="s">
        <v>83</v>
      </c>
      <c r="R31" s="34" t="s">
        <v>38</v>
      </c>
      <c r="S31" s="33" t="s">
        <v>39</v>
      </c>
      <c r="T31" s="33" t="s">
        <v>40</v>
      </c>
      <c r="U31" s="48" t="s">
        <v>41</v>
      </c>
      <c r="V31" s="33" t="s">
        <v>73</v>
      </c>
      <c r="W31" s="33" t="s">
        <v>42</v>
      </c>
      <c r="X31" s="33" t="s">
        <v>43</v>
      </c>
      <c r="Y31" s="33" t="s">
        <v>44</v>
      </c>
    </row>
    <row r="32" spans="1:26" s="35" customFormat="1" x14ac:dyDescent="0.2">
      <c r="F32" s="35" t="s">
        <v>45</v>
      </c>
      <c r="G32" s="13" t="s">
        <v>27</v>
      </c>
      <c r="H32" s="35" t="s">
        <v>46</v>
      </c>
      <c r="I32" s="35" t="s">
        <v>47</v>
      </c>
      <c r="K32" s="35" t="s">
        <v>48</v>
      </c>
      <c r="L32" s="35" t="s">
        <v>48</v>
      </c>
      <c r="M32" s="36" t="s">
        <v>49</v>
      </c>
      <c r="N32" s="36" t="s">
        <v>50</v>
      </c>
      <c r="O32" s="3" t="s">
        <v>76</v>
      </c>
      <c r="P32" s="3" t="s">
        <v>76</v>
      </c>
      <c r="Q32" s="3" t="s">
        <v>75</v>
      </c>
      <c r="R32" s="36" t="s">
        <v>76</v>
      </c>
      <c r="S32" s="35" t="s">
        <v>81</v>
      </c>
      <c r="T32" s="35" t="s">
        <v>81</v>
      </c>
      <c r="U32" s="1" t="s">
        <v>51</v>
      </c>
      <c r="V32" s="35" t="s">
        <v>74</v>
      </c>
    </row>
    <row r="33" spans="1:26" s="2" customFormat="1" x14ac:dyDescent="0.2">
      <c r="D33" s="2" t="s">
        <v>313</v>
      </c>
      <c r="E33" s="43" t="s">
        <v>286</v>
      </c>
      <c r="F33" s="2">
        <v>465</v>
      </c>
      <c r="G33" s="13">
        <f>1/SIN(40)*0.00506</f>
        <v>6.7909148145293566E-3</v>
      </c>
      <c r="H33" s="2">
        <v>0.15</v>
      </c>
      <c r="I33" s="2">
        <f>H33/G33</f>
        <v>22.088334796818639</v>
      </c>
      <c r="K33" s="49">
        <v>0.13400000000000001</v>
      </c>
      <c r="L33" s="50">
        <v>3.9E-2</v>
      </c>
      <c r="M33" s="40">
        <v>0.45100000000000001</v>
      </c>
      <c r="N33" s="2">
        <f>M33*3.66</f>
        <v>1.65066</v>
      </c>
      <c r="O33" s="3">
        <f>K33*G33*F33</f>
        <v>0.42314190209332425</v>
      </c>
      <c r="P33" s="3">
        <f>F33*G33*L33</f>
        <v>0.12315324016148989</v>
      </c>
      <c r="Q33" s="3">
        <f t="shared" ref="Q33:Q34" si="3">F33*G33*N33</f>
        <v>5.2124135232042281</v>
      </c>
      <c r="U33" s="1"/>
    </row>
    <row r="34" spans="1:26" s="2" customFormat="1" x14ac:dyDescent="0.2">
      <c r="D34" s="2" t="s">
        <v>287</v>
      </c>
      <c r="E34" s="43" t="s">
        <v>286</v>
      </c>
      <c r="F34" s="2">
        <v>465</v>
      </c>
      <c r="G34" s="13">
        <f>1/SIN(40)*0.0369</f>
        <v>4.9522679181054005E-2</v>
      </c>
      <c r="I34" s="2">
        <f>10^100</f>
        <v>1E+100</v>
      </c>
      <c r="K34" s="49">
        <v>0.13400000000000001</v>
      </c>
      <c r="L34" s="50">
        <v>3.9E-2</v>
      </c>
      <c r="M34" s="40">
        <v>0.45100000000000001</v>
      </c>
      <c r="N34" s="2">
        <f>M34*3.66</f>
        <v>1.65066</v>
      </c>
      <c r="O34" s="3">
        <f>K34*G34*F34</f>
        <v>3.0857581397714751</v>
      </c>
      <c r="P34" s="3">
        <f>F34*G34*L34</f>
        <v>0.89809378694841435</v>
      </c>
      <c r="Q34" s="3">
        <f t="shared" si="3"/>
        <v>38.011474111904349</v>
      </c>
      <c r="U34" s="1"/>
    </row>
    <row r="35" spans="1:26" s="2" customFormat="1" x14ac:dyDescent="0.2">
      <c r="D35" s="2" t="s">
        <v>315</v>
      </c>
      <c r="E35" s="43" t="s">
        <v>286</v>
      </c>
      <c r="F35" s="2">
        <v>465</v>
      </c>
      <c r="G35" s="13">
        <v>0.04</v>
      </c>
      <c r="H35" s="2">
        <v>0.17199999999999999</v>
      </c>
      <c r="I35" s="2">
        <f>10^100</f>
        <v>1E+100</v>
      </c>
      <c r="K35" s="49">
        <v>0.13400000000000001</v>
      </c>
      <c r="L35" s="50">
        <v>3.9E-2</v>
      </c>
      <c r="M35" s="40">
        <v>0.45100000000000001</v>
      </c>
      <c r="N35" s="2">
        <f>M35*3.66</f>
        <v>1.65066</v>
      </c>
      <c r="O35" s="3">
        <f>K35*G35*F35</f>
        <v>2.4923999999999999</v>
      </c>
      <c r="P35" s="3">
        <f>F35*G35*L35</f>
        <v>0.72540000000000004</v>
      </c>
      <c r="Q35" s="3">
        <f>F35*G35*N35</f>
        <v>30.702276000000001</v>
      </c>
      <c r="U35" s="1"/>
      <c r="X35" s="2" t="s">
        <v>316</v>
      </c>
    </row>
    <row r="36" spans="1:26" s="18" customFormat="1" ht="17" thickBot="1" x14ac:dyDescent="0.25">
      <c r="A36" s="18" t="s">
        <v>302</v>
      </c>
      <c r="B36" s="18" t="s">
        <v>303</v>
      </c>
      <c r="C36" s="18" t="s">
        <v>162</v>
      </c>
      <c r="G36" s="52"/>
      <c r="O36" s="53">
        <v>0</v>
      </c>
      <c r="P36" s="53">
        <f>SUM(P33:P35)</f>
        <v>1.7466470271099044</v>
      </c>
      <c r="Q36" s="53">
        <f>SUM(Q33:Q35)</f>
        <v>73.92616363510858</v>
      </c>
      <c r="S36" s="18" t="s">
        <v>88</v>
      </c>
      <c r="T36" s="18">
        <v>80</v>
      </c>
      <c r="U36" s="54"/>
      <c r="V36" s="18" t="s">
        <v>26</v>
      </c>
      <c r="W36" s="18" t="s">
        <v>314</v>
      </c>
      <c r="X36" s="18" t="s">
        <v>306</v>
      </c>
      <c r="Y36" s="18" t="s">
        <v>291</v>
      </c>
      <c r="Z36" s="18" t="s">
        <v>128</v>
      </c>
    </row>
    <row r="37" spans="1:26" ht="17" thickTop="1" x14ac:dyDescent="0.2"/>
    <row r="38" spans="1:26" s="33" customFormat="1" x14ac:dyDescent="0.2">
      <c r="D38" s="33" t="s">
        <v>30</v>
      </c>
      <c r="E38" s="33" t="s">
        <v>31</v>
      </c>
      <c r="F38" s="33" t="s">
        <v>309</v>
      </c>
      <c r="G38" s="33" t="s">
        <v>308</v>
      </c>
      <c r="H38" s="33" t="s">
        <v>34</v>
      </c>
      <c r="I38" s="33" t="s">
        <v>35</v>
      </c>
      <c r="J38" s="33" t="s">
        <v>82</v>
      </c>
      <c r="K38" s="34" t="s">
        <v>77</v>
      </c>
      <c r="L38" s="34" t="s">
        <v>78</v>
      </c>
      <c r="M38" s="34" t="s">
        <v>79</v>
      </c>
      <c r="N38" s="34" t="s">
        <v>80</v>
      </c>
      <c r="O38" s="34" t="s">
        <v>36</v>
      </c>
      <c r="P38" s="34" t="s">
        <v>37</v>
      </c>
      <c r="Q38" s="34" t="s">
        <v>83</v>
      </c>
      <c r="R38" s="34" t="s">
        <v>38</v>
      </c>
      <c r="S38" s="33" t="s">
        <v>39</v>
      </c>
      <c r="T38" s="33" t="s">
        <v>40</v>
      </c>
      <c r="U38" s="33" t="s">
        <v>41</v>
      </c>
      <c r="V38" s="33" t="s">
        <v>73</v>
      </c>
      <c r="W38" s="33" t="s">
        <v>42</v>
      </c>
      <c r="X38" s="33" t="s">
        <v>43</v>
      </c>
      <c r="Y38" s="33" t="s">
        <v>44</v>
      </c>
    </row>
    <row r="39" spans="1:26" s="35" customFormat="1" x14ac:dyDescent="0.2">
      <c r="F39" s="35" t="s">
        <v>310</v>
      </c>
      <c r="H39" s="35" t="s">
        <v>46</v>
      </c>
      <c r="I39" s="35" t="s">
        <v>47</v>
      </c>
      <c r="K39" s="35" t="s">
        <v>48</v>
      </c>
      <c r="L39" s="35" t="s">
        <v>48</v>
      </c>
      <c r="M39" s="36" t="s">
        <v>49</v>
      </c>
      <c r="N39" s="36" t="s">
        <v>50</v>
      </c>
      <c r="O39" s="35" t="s">
        <v>76</v>
      </c>
      <c r="P39" s="35" t="s">
        <v>76</v>
      </c>
      <c r="Q39" s="35" t="s">
        <v>75</v>
      </c>
      <c r="R39" s="36" t="s">
        <v>76</v>
      </c>
      <c r="S39" s="35" t="s">
        <v>81</v>
      </c>
      <c r="T39" s="35" t="s">
        <v>81</v>
      </c>
      <c r="U39" s="35" t="s">
        <v>51</v>
      </c>
      <c r="V39" s="35" t="s">
        <v>74</v>
      </c>
    </row>
    <row r="40" spans="1:26" s="2" customFormat="1" x14ac:dyDescent="0.2">
      <c r="D40" s="2" t="s">
        <v>311</v>
      </c>
      <c r="E40" s="43">
        <v>2.0009999999999999</v>
      </c>
      <c r="F40" s="2">
        <v>48</v>
      </c>
      <c r="G40" s="13">
        <f>1/SIN(40)</f>
        <v>1.3420780265868293</v>
      </c>
      <c r="K40" s="49">
        <v>0.254</v>
      </c>
      <c r="L40" s="60">
        <v>1.2699999999999999E-2</v>
      </c>
      <c r="M40" s="40">
        <v>0</v>
      </c>
      <c r="N40" s="2">
        <v>0</v>
      </c>
      <c r="O40" s="3">
        <f>K40*G40*F40</f>
        <v>16.362615300146622</v>
      </c>
      <c r="P40" s="3">
        <f>F40*G40*L40</f>
        <v>0.81813076500733106</v>
      </c>
      <c r="Q40" s="3">
        <f t="shared" ref="Q40" si="4">F40*G40*N40</f>
        <v>0</v>
      </c>
      <c r="U40" s="1"/>
      <c r="W40" s="2" t="s">
        <v>65</v>
      </c>
      <c r="X40" s="2" t="s">
        <v>307</v>
      </c>
    </row>
    <row r="41" spans="1:26" s="18" customFormat="1" ht="17" thickBot="1" x14ac:dyDescent="0.25">
      <c r="A41" s="18" t="s">
        <v>304</v>
      </c>
      <c r="B41" s="18" t="s">
        <v>305</v>
      </c>
      <c r="C41" s="18" t="s">
        <v>162</v>
      </c>
      <c r="G41" s="52"/>
      <c r="O41" s="53">
        <f>O40</f>
        <v>16.362615300146622</v>
      </c>
      <c r="P41" s="53">
        <f t="shared" ref="P41:Q41" si="5">P40</f>
        <v>0.81813076500733106</v>
      </c>
      <c r="Q41" s="53">
        <f t="shared" si="5"/>
        <v>0</v>
      </c>
      <c r="S41" s="18">
        <v>40</v>
      </c>
      <c r="U41" s="54"/>
      <c r="V41" s="18" t="s">
        <v>26</v>
      </c>
      <c r="W41" s="18" t="s">
        <v>312</v>
      </c>
      <c r="X41" s="18" t="s">
        <v>306</v>
      </c>
      <c r="Z41" s="18" t="s">
        <v>128</v>
      </c>
    </row>
    <row r="42" spans="1:26" ht="17" thickTop="1" x14ac:dyDescent="0.2"/>
    <row r="43" spans="1:26" ht="27" x14ac:dyDescent="0.35">
      <c r="B43" s="64" t="s">
        <v>159</v>
      </c>
    </row>
    <row r="44" spans="1:26" s="33" customFormat="1" x14ac:dyDescent="0.2">
      <c r="D44" s="33" t="s">
        <v>30</v>
      </c>
      <c r="E44" s="33" t="s">
        <v>31</v>
      </c>
      <c r="F44" s="33" t="s">
        <v>32</v>
      </c>
      <c r="G44" s="46" t="s">
        <v>33</v>
      </c>
      <c r="H44" s="33" t="s">
        <v>34</v>
      </c>
      <c r="I44" s="33" t="s">
        <v>35</v>
      </c>
      <c r="J44" s="33" t="s">
        <v>82</v>
      </c>
      <c r="K44" s="34" t="s">
        <v>77</v>
      </c>
      <c r="L44" s="34" t="s">
        <v>78</v>
      </c>
      <c r="M44" s="34" t="s">
        <v>79</v>
      </c>
      <c r="N44" s="34" t="s">
        <v>80</v>
      </c>
      <c r="O44" s="47" t="s">
        <v>36</v>
      </c>
      <c r="P44" s="47" t="s">
        <v>37</v>
      </c>
      <c r="Q44" s="47" t="s">
        <v>83</v>
      </c>
      <c r="R44" s="34" t="s">
        <v>38</v>
      </c>
      <c r="S44" s="33" t="s">
        <v>39</v>
      </c>
      <c r="T44" s="33" t="s">
        <v>40</v>
      </c>
      <c r="U44" s="48" t="s">
        <v>41</v>
      </c>
      <c r="V44" s="33" t="s">
        <v>73</v>
      </c>
      <c r="W44" s="33" t="s">
        <v>42</v>
      </c>
      <c r="X44" s="33" t="s">
        <v>43</v>
      </c>
      <c r="Y44" s="33" t="s">
        <v>44</v>
      </c>
    </row>
    <row r="45" spans="1:26" s="35" customFormat="1" x14ac:dyDescent="0.2">
      <c r="F45" s="35" t="s">
        <v>45</v>
      </c>
      <c r="G45" s="13" t="s">
        <v>27</v>
      </c>
      <c r="H45" s="35" t="s">
        <v>46</v>
      </c>
      <c r="I45" s="35" t="s">
        <v>47</v>
      </c>
      <c r="K45" s="35" t="s">
        <v>48</v>
      </c>
      <c r="L45" s="35" t="s">
        <v>48</v>
      </c>
      <c r="M45" s="36" t="s">
        <v>49</v>
      </c>
      <c r="N45" s="36" t="s">
        <v>50</v>
      </c>
      <c r="O45" s="3" t="s">
        <v>76</v>
      </c>
      <c r="P45" s="3" t="s">
        <v>76</v>
      </c>
      <c r="Q45" s="3" t="s">
        <v>75</v>
      </c>
      <c r="R45" s="36" t="s">
        <v>76</v>
      </c>
      <c r="S45" s="35" t="s">
        <v>81</v>
      </c>
      <c r="T45" s="35" t="s">
        <v>81</v>
      </c>
      <c r="U45" s="1" t="s">
        <v>51</v>
      </c>
      <c r="V45" s="35" t="s">
        <v>74</v>
      </c>
    </row>
    <row r="46" spans="1:26" s="2" customFormat="1" x14ac:dyDescent="0.2">
      <c r="D46" s="2" t="s">
        <v>138</v>
      </c>
      <c r="E46" s="41">
        <v>2.0070000000000001</v>
      </c>
      <c r="F46" s="2">
        <v>1200</v>
      </c>
      <c r="G46" s="13">
        <v>0.34</v>
      </c>
      <c r="H46" s="2">
        <v>0.55000000000000004</v>
      </c>
      <c r="I46" s="2">
        <f>H46/G46</f>
        <v>1.6176470588235294</v>
      </c>
      <c r="K46" s="51">
        <v>0.114</v>
      </c>
      <c r="L46" s="60">
        <v>1.2699999999999999E-2</v>
      </c>
      <c r="M46" s="40">
        <v>0</v>
      </c>
      <c r="N46" s="2">
        <f t="shared" ref="N46" si="6">M46*3.66</f>
        <v>0</v>
      </c>
      <c r="O46" s="3">
        <f t="shared" ref="O46" si="7">F46*G46*K46</f>
        <v>46.512000000000008</v>
      </c>
      <c r="P46" s="3">
        <f t="shared" ref="P46" si="8">F46*G46*L46</f>
        <v>5.1816000000000004</v>
      </c>
      <c r="Q46" s="3">
        <f>F46*G46*N46</f>
        <v>0</v>
      </c>
      <c r="U46" s="1"/>
      <c r="W46" s="2" t="s">
        <v>65</v>
      </c>
    </row>
    <row r="47" spans="1:26" s="18" customFormat="1" ht="17" thickBot="1" x14ac:dyDescent="0.25">
      <c r="A47" s="18" t="s">
        <v>134</v>
      </c>
      <c r="B47" s="18" t="s">
        <v>113</v>
      </c>
      <c r="C47" s="18" t="s">
        <v>136</v>
      </c>
      <c r="D47" s="18" t="s">
        <v>139</v>
      </c>
      <c r="G47" s="52"/>
      <c r="I47" s="18" cm="1">
        <f t="array" ref="I47">1/(SUM(1/I46:I46))</f>
        <v>1.6176470588235294</v>
      </c>
      <c r="O47" s="53">
        <v>0</v>
      </c>
      <c r="P47" s="53">
        <f>SUM(P46:P46)</f>
        <v>5.1816000000000004</v>
      </c>
      <c r="Q47" s="53">
        <f>SUM(Q46:Q46)</f>
        <v>0</v>
      </c>
      <c r="S47" s="18" t="s">
        <v>88</v>
      </c>
      <c r="U47" s="54"/>
      <c r="V47" s="18" t="s">
        <v>26</v>
      </c>
      <c r="W47" s="18" t="s">
        <v>135</v>
      </c>
      <c r="Z47" s="18" t="s">
        <v>128</v>
      </c>
    </row>
    <row r="48" spans="1:26" ht="17" thickTop="1" x14ac:dyDescent="0.2"/>
    <row r="49" spans="1:26" s="33" customFormat="1" x14ac:dyDescent="0.2">
      <c r="D49" s="33" t="s">
        <v>30</v>
      </c>
      <c r="E49" s="33" t="s">
        <v>31</v>
      </c>
      <c r="F49" s="33" t="s">
        <v>32</v>
      </c>
      <c r="G49" s="46" t="s">
        <v>33</v>
      </c>
      <c r="H49" s="33" t="s">
        <v>34</v>
      </c>
      <c r="I49" s="33" t="s">
        <v>35</v>
      </c>
      <c r="J49" s="33" t="s">
        <v>82</v>
      </c>
      <c r="K49" s="34" t="s">
        <v>77</v>
      </c>
      <c r="L49" s="34" t="s">
        <v>78</v>
      </c>
      <c r="M49" s="34" t="s">
        <v>79</v>
      </c>
      <c r="N49" s="34" t="s">
        <v>80</v>
      </c>
      <c r="O49" s="47" t="s">
        <v>36</v>
      </c>
      <c r="P49" s="47" t="s">
        <v>37</v>
      </c>
      <c r="Q49" s="47" t="s">
        <v>83</v>
      </c>
      <c r="R49" s="34" t="s">
        <v>38</v>
      </c>
      <c r="S49" s="33" t="s">
        <v>39</v>
      </c>
      <c r="T49" s="33" t="s">
        <v>40</v>
      </c>
      <c r="U49" s="48" t="s">
        <v>41</v>
      </c>
      <c r="V49" s="33" t="s">
        <v>73</v>
      </c>
      <c r="W49" s="33" t="s">
        <v>42</v>
      </c>
      <c r="X49" s="33" t="s">
        <v>43</v>
      </c>
      <c r="Y49" s="33" t="s">
        <v>44</v>
      </c>
    </row>
    <row r="50" spans="1:26" s="35" customFormat="1" x14ac:dyDescent="0.2">
      <c r="F50" s="35" t="s">
        <v>45</v>
      </c>
      <c r="G50" s="13" t="s">
        <v>27</v>
      </c>
      <c r="H50" s="35" t="s">
        <v>46</v>
      </c>
      <c r="I50" s="35" t="s">
        <v>47</v>
      </c>
      <c r="K50" s="35" t="s">
        <v>48</v>
      </c>
      <c r="L50" s="35" t="s">
        <v>48</v>
      </c>
      <c r="M50" s="36" t="s">
        <v>49</v>
      </c>
      <c r="N50" s="36" t="s">
        <v>50</v>
      </c>
      <c r="O50" s="3" t="s">
        <v>76</v>
      </c>
      <c r="P50" s="3" t="s">
        <v>76</v>
      </c>
      <c r="Q50" s="3" t="s">
        <v>75</v>
      </c>
      <c r="R50" s="36" t="s">
        <v>76</v>
      </c>
      <c r="S50" s="35" t="s">
        <v>81</v>
      </c>
      <c r="T50" s="35" t="s">
        <v>81</v>
      </c>
      <c r="U50" s="1" t="s">
        <v>51</v>
      </c>
      <c r="V50" s="35" t="s">
        <v>74</v>
      </c>
    </row>
    <row r="51" spans="1:26" s="2" customFormat="1" x14ac:dyDescent="0.2">
      <c r="D51" s="2" t="s">
        <v>172</v>
      </c>
      <c r="E51" s="43" t="s">
        <v>173</v>
      </c>
      <c r="F51" s="61">
        <v>1400</v>
      </c>
      <c r="G51" s="13">
        <v>0.4</v>
      </c>
      <c r="H51" s="2">
        <v>2.2999999999999998</v>
      </c>
      <c r="I51" s="2">
        <f>H51/G51</f>
        <v>5.7499999999999991</v>
      </c>
      <c r="K51" s="49">
        <v>0.14899999999999999</v>
      </c>
      <c r="L51" s="60">
        <v>1.2699999999999999E-2</v>
      </c>
      <c r="M51" s="40">
        <v>0</v>
      </c>
      <c r="N51" s="2">
        <f t="shared" ref="N51" si="9">M51*3.66</f>
        <v>0</v>
      </c>
      <c r="O51" s="3">
        <f>K51*G51*F51</f>
        <v>83.44</v>
      </c>
      <c r="P51" s="3">
        <f t="shared" ref="P51" si="10">F51*G51*L51</f>
        <v>7.1120000000000001</v>
      </c>
      <c r="Q51" s="3">
        <f t="shared" ref="Q51" si="11">F51*G51*N51</f>
        <v>0</v>
      </c>
      <c r="U51" s="1"/>
    </row>
    <row r="52" spans="1:26" s="2" customFormat="1" x14ac:dyDescent="0.2">
      <c r="D52" s="2" t="s">
        <v>145</v>
      </c>
      <c r="E52" s="43" t="s">
        <v>146</v>
      </c>
      <c r="F52" s="61">
        <v>2000</v>
      </c>
      <c r="G52" s="13">
        <v>0.1</v>
      </c>
      <c r="I52" s="2">
        <f>10^100</f>
        <v>1E+100</v>
      </c>
      <c r="K52" s="62">
        <v>3.0500000000000002E-3</v>
      </c>
      <c r="L52" s="60">
        <v>1.26E-2</v>
      </c>
      <c r="M52" s="40">
        <v>0</v>
      </c>
      <c r="N52" s="2">
        <f t="shared" ref="N52" si="12">M52*3.66</f>
        <v>0</v>
      </c>
      <c r="O52" s="3">
        <f t="shared" ref="O52" si="13">K52*G52*F52</f>
        <v>0.6100000000000001</v>
      </c>
      <c r="P52" s="3">
        <f t="shared" ref="P52" si="14">F52*G52*L52</f>
        <v>2.52</v>
      </c>
      <c r="Q52" s="3">
        <f t="shared" ref="Q52" si="15">F52*G52*N52</f>
        <v>0</v>
      </c>
      <c r="U52" s="1"/>
    </row>
    <row r="53" spans="1:26" s="18" customFormat="1" ht="17" thickBot="1" x14ac:dyDescent="0.25">
      <c r="A53" s="18" t="s">
        <v>144</v>
      </c>
      <c r="B53" s="18" t="s">
        <v>113</v>
      </c>
      <c r="C53" s="18" t="s">
        <v>136</v>
      </c>
      <c r="D53" s="18" t="s">
        <v>147</v>
      </c>
      <c r="G53" s="52"/>
      <c r="I53" s="18" cm="1">
        <f t="array" ref="I53">1/(SUM(1/I51:I52))</f>
        <v>5.7499999999999991</v>
      </c>
      <c r="O53" s="53">
        <v>0</v>
      </c>
      <c r="P53" s="53">
        <f>SUM(P51:P52)</f>
        <v>9.6319999999999997</v>
      </c>
      <c r="Q53" s="53">
        <f>SUM(Q51:Q52)</f>
        <v>0</v>
      </c>
      <c r="S53" s="18" t="s">
        <v>88</v>
      </c>
      <c r="U53" s="54"/>
      <c r="V53" s="18" t="s">
        <v>26</v>
      </c>
      <c r="W53" s="18" t="s">
        <v>152</v>
      </c>
      <c r="X53" s="18" t="s">
        <v>174</v>
      </c>
      <c r="Z53" s="18" t="s">
        <v>128</v>
      </c>
    </row>
    <row r="54" spans="1:26" ht="17" thickTop="1" x14ac:dyDescent="0.2"/>
    <row r="55" spans="1:26" s="33" customFormat="1" x14ac:dyDescent="0.2">
      <c r="D55" s="33" t="s">
        <v>30</v>
      </c>
      <c r="E55" s="33" t="s">
        <v>31</v>
      </c>
      <c r="F55" s="33" t="s">
        <v>32</v>
      </c>
      <c r="G55" s="46" t="s">
        <v>33</v>
      </c>
      <c r="H55" s="33" t="s">
        <v>34</v>
      </c>
      <c r="I55" s="33" t="s">
        <v>35</v>
      </c>
      <c r="J55" s="33" t="s">
        <v>82</v>
      </c>
      <c r="K55" s="34" t="s">
        <v>77</v>
      </c>
      <c r="L55" s="34" t="s">
        <v>78</v>
      </c>
      <c r="M55" s="34" t="s">
        <v>79</v>
      </c>
      <c r="N55" s="34" t="s">
        <v>80</v>
      </c>
      <c r="O55" s="47" t="s">
        <v>36</v>
      </c>
      <c r="P55" s="47" t="s">
        <v>37</v>
      </c>
      <c r="Q55" s="47" t="s">
        <v>83</v>
      </c>
      <c r="R55" s="34" t="s">
        <v>38</v>
      </c>
      <c r="S55" s="33" t="s">
        <v>39</v>
      </c>
      <c r="T55" s="33" t="s">
        <v>40</v>
      </c>
      <c r="U55" s="48" t="s">
        <v>41</v>
      </c>
      <c r="V55" s="33" t="s">
        <v>73</v>
      </c>
      <c r="W55" s="33" t="s">
        <v>42</v>
      </c>
      <c r="X55" s="33" t="s">
        <v>43</v>
      </c>
      <c r="Y55" s="33" t="s">
        <v>44</v>
      </c>
    </row>
    <row r="56" spans="1:26" s="35" customFormat="1" x14ac:dyDescent="0.2">
      <c r="F56" s="35" t="s">
        <v>45</v>
      </c>
      <c r="G56" s="13" t="s">
        <v>27</v>
      </c>
      <c r="H56" s="35" t="s">
        <v>46</v>
      </c>
      <c r="I56" s="35" t="s">
        <v>47</v>
      </c>
      <c r="K56" s="35" t="s">
        <v>48</v>
      </c>
      <c r="L56" s="35" t="s">
        <v>48</v>
      </c>
      <c r="M56" s="36" t="s">
        <v>49</v>
      </c>
      <c r="N56" s="36" t="s">
        <v>50</v>
      </c>
      <c r="O56" s="3" t="s">
        <v>76</v>
      </c>
      <c r="P56" s="3" t="s">
        <v>76</v>
      </c>
      <c r="Q56" s="3" t="s">
        <v>75</v>
      </c>
      <c r="R56" s="36" t="s">
        <v>76</v>
      </c>
      <c r="S56" s="35" t="s">
        <v>81</v>
      </c>
      <c r="T56" s="35" t="s">
        <v>81</v>
      </c>
      <c r="U56" s="1" t="s">
        <v>51</v>
      </c>
      <c r="V56" s="35" t="s">
        <v>74</v>
      </c>
    </row>
    <row r="57" spans="1:26" s="2" customFormat="1" x14ac:dyDescent="0.2">
      <c r="D57" s="2" t="s">
        <v>141</v>
      </c>
      <c r="E57" s="43" t="s">
        <v>57</v>
      </c>
      <c r="F57" s="2">
        <v>1100</v>
      </c>
      <c r="G57" s="13">
        <f>0.25*0.75</f>
        <v>0.1875</v>
      </c>
      <c r="H57" s="2">
        <v>0.35</v>
      </c>
      <c r="I57" s="2">
        <f t="shared" ref="I57" si="16">H57/G57</f>
        <v>1.8666666666666665</v>
      </c>
      <c r="K57" s="51">
        <v>0.254</v>
      </c>
      <c r="L57" s="60">
        <v>1.2699999999999999E-2</v>
      </c>
      <c r="M57" s="40">
        <v>0</v>
      </c>
      <c r="N57" s="2">
        <f t="shared" ref="N57" si="17">M57*3.66</f>
        <v>0</v>
      </c>
      <c r="O57" s="3">
        <f t="shared" ref="O57" si="18">F57*G57*K57</f>
        <v>52.387500000000003</v>
      </c>
      <c r="P57" s="3">
        <f>F57*G57*L57</f>
        <v>2.6193749999999998</v>
      </c>
      <c r="Q57" s="3">
        <f>F57*G57*N57</f>
        <v>0</v>
      </c>
      <c r="U57" s="1"/>
      <c r="W57" s="2" t="s">
        <v>65</v>
      </c>
      <c r="X57" s="2" t="s">
        <v>70</v>
      </c>
    </row>
    <row r="58" spans="1:26" s="2" customFormat="1" x14ac:dyDescent="0.2">
      <c r="D58" s="2" t="s">
        <v>68</v>
      </c>
      <c r="E58" s="43" t="s">
        <v>67</v>
      </c>
      <c r="F58" s="2">
        <v>2400</v>
      </c>
      <c r="G58" s="13">
        <f>0.25*0.25</f>
        <v>6.25E-2</v>
      </c>
      <c r="H58" s="2">
        <v>2.2999999999999998</v>
      </c>
      <c r="I58" s="2">
        <f>H58/G58</f>
        <v>36.799999999999997</v>
      </c>
      <c r="K58" s="49">
        <v>0.16500000000000001</v>
      </c>
      <c r="L58" s="51">
        <v>1.21E-2</v>
      </c>
      <c r="M58" s="40">
        <v>0</v>
      </c>
      <c r="N58" s="2">
        <f>M58*3.66</f>
        <v>0</v>
      </c>
      <c r="O58" s="3">
        <f>F58*G58*K58</f>
        <v>24.75</v>
      </c>
      <c r="P58" s="3">
        <f>F58*G58*L58</f>
        <v>1.8149999999999999</v>
      </c>
      <c r="Q58" s="3">
        <f>F58*G58*N58</f>
        <v>0</v>
      </c>
      <c r="U58" s="1"/>
      <c r="W58" s="2" t="s">
        <v>65</v>
      </c>
      <c r="X58" s="2" t="s">
        <v>70</v>
      </c>
    </row>
    <row r="59" spans="1:26" s="2" customFormat="1" x14ac:dyDescent="0.2">
      <c r="D59" s="2" t="s">
        <v>143</v>
      </c>
      <c r="E59" s="43" t="s">
        <v>142</v>
      </c>
      <c r="F59" s="2">
        <v>1850</v>
      </c>
      <c r="G59" s="13">
        <v>0.05</v>
      </c>
      <c r="H59" s="2">
        <v>1.2</v>
      </c>
      <c r="I59" s="2">
        <f>H59/G59</f>
        <v>23.999999999999996</v>
      </c>
      <c r="K59" s="49">
        <v>0.107</v>
      </c>
      <c r="L59" s="60">
        <v>1.2699999999999999E-2</v>
      </c>
      <c r="M59" s="40">
        <v>0</v>
      </c>
      <c r="N59" s="2">
        <f>M59*3.66</f>
        <v>0</v>
      </c>
      <c r="O59" s="3">
        <f>F59*G59*K59</f>
        <v>9.8974999999999991</v>
      </c>
      <c r="P59" s="3">
        <f>F59*G59*L59</f>
        <v>1.17475</v>
      </c>
      <c r="Q59" s="3">
        <f>F59*G59*N59</f>
        <v>0</v>
      </c>
      <c r="U59" s="1"/>
      <c r="W59" s="2" t="s">
        <v>65</v>
      </c>
      <c r="X59" s="2" t="s">
        <v>70</v>
      </c>
    </row>
    <row r="60" spans="1:26" s="18" customFormat="1" ht="17" thickBot="1" x14ac:dyDescent="0.25">
      <c r="A60" s="18" t="s">
        <v>140</v>
      </c>
      <c r="B60" s="18" t="s">
        <v>130</v>
      </c>
      <c r="C60" s="18" t="s">
        <v>136</v>
      </c>
      <c r="D60" s="18" t="s">
        <v>194</v>
      </c>
      <c r="G60" s="52"/>
      <c r="I60" s="18" cm="1">
        <f t="array" ref="I60">1/SUM(1/I57:I59)</f>
        <v>1.6541095890410957</v>
      </c>
      <c r="O60" s="53">
        <v>0</v>
      </c>
      <c r="P60" s="53">
        <f>SUM(P57:P59)</f>
        <v>5.6091249999999988</v>
      </c>
      <c r="Q60" s="53">
        <f>SUM(Q57:Q59)</f>
        <v>0</v>
      </c>
      <c r="S60" s="18" t="s">
        <v>88</v>
      </c>
      <c r="U60" s="54"/>
      <c r="V60" s="18" t="s">
        <v>26</v>
      </c>
      <c r="W60" s="18" t="s">
        <v>65</v>
      </c>
      <c r="X60" s="18" t="s">
        <v>195</v>
      </c>
      <c r="Z60" s="18" t="s">
        <v>128</v>
      </c>
    </row>
    <row r="61" spans="1:26" ht="17" thickTop="1" x14ac:dyDescent="0.2"/>
    <row r="62" spans="1:26" s="33" customFormat="1" x14ac:dyDescent="0.2">
      <c r="D62" s="33" t="s">
        <v>30</v>
      </c>
      <c r="E62" s="33" t="s">
        <v>31</v>
      </c>
      <c r="F62" s="33" t="s">
        <v>32</v>
      </c>
      <c r="G62" s="46" t="s">
        <v>33</v>
      </c>
      <c r="H62" s="33" t="s">
        <v>34</v>
      </c>
      <c r="I62" s="33" t="s">
        <v>35</v>
      </c>
      <c r="J62" s="33" t="s">
        <v>82</v>
      </c>
      <c r="K62" s="34" t="s">
        <v>77</v>
      </c>
      <c r="L62" s="34" t="s">
        <v>78</v>
      </c>
      <c r="M62" s="34" t="s">
        <v>79</v>
      </c>
      <c r="N62" s="34" t="s">
        <v>80</v>
      </c>
      <c r="O62" s="47" t="s">
        <v>36</v>
      </c>
      <c r="P62" s="47" t="s">
        <v>37</v>
      </c>
      <c r="Q62" s="47" t="s">
        <v>83</v>
      </c>
      <c r="R62" s="34" t="s">
        <v>38</v>
      </c>
      <c r="S62" s="33" t="s">
        <v>39</v>
      </c>
      <c r="T62" s="33" t="s">
        <v>40</v>
      </c>
      <c r="U62" s="48" t="s">
        <v>41</v>
      </c>
      <c r="V62" s="33" t="s">
        <v>73</v>
      </c>
      <c r="W62" s="33" t="s">
        <v>42</v>
      </c>
      <c r="X62" s="33" t="s">
        <v>43</v>
      </c>
      <c r="Y62" s="33" t="s">
        <v>44</v>
      </c>
    </row>
    <row r="63" spans="1:26" s="35" customFormat="1" x14ac:dyDescent="0.2">
      <c r="F63" s="35" t="s">
        <v>45</v>
      </c>
      <c r="G63" s="13" t="s">
        <v>27</v>
      </c>
      <c r="H63" s="35" t="s">
        <v>46</v>
      </c>
      <c r="I63" s="35" t="s">
        <v>47</v>
      </c>
      <c r="K63" s="35" t="s">
        <v>48</v>
      </c>
      <c r="L63" s="35" t="s">
        <v>48</v>
      </c>
      <c r="M63" s="36" t="s">
        <v>49</v>
      </c>
      <c r="N63" s="36" t="s">
        <v>50</v>
      </c>
      <c r="O63" s="3" t="s">
        <v>76</v>
      </c>
      <c r="P63" s="3" t="s">
        <v>76</v>
      </c>
      <c r="Q63" s="3" t="s">
        <v>75</v>
      </c>
      <c r="R63" s="36" t="s">
        <v>76</v>
      </c>
      <c r="S63" s="35" t="s">
        <v>81</v>
      </c>
      <c r="T63" s="35" t="s">
        <v>81</v>
      </c>
      <c r="U63" s="1" t="s">
        <v>51</v>
      </c>
      <c r="V63" s="35" t="s">
        <v>74</v>
      </c>
    </row>
    <row r="64" spans="1:26" s="2" customFormat="1" x14ac:dyDescent="0.2">
      <c r="D64" s="2" t="s">
        <v>121</v>
      </c>
      <c r="E64" s="43" t="s">
        <v>119</v>
      </c>
      <c r="F64" s="2">
        <v>2300</v>
      </c>
      <c r="G64" s="13">
        <v>0.08</v>
      </c>
      <c r="H64" s="2">
        <v>2.2999999999999998</v>
      </c>
      <c r="I64" s="2">
        <f>H64/G64</f>
        <v>28.749999999999996</v>
      </c>
      <c r="K64" s="49">
        <v>8.8700000000000001E-2</v>
      </c>
      <c r="L64" s="51">
        <v>1.26E-2</v>
      </c>
      <c r="M64" s="40">
        <v>0</v>
      </c>
      <c r="N64" s="2">
        <f t="shared" ref="N64:N65" si="19">M64*3.66</f>
        <v>0</v>
      </c>
      <c r="O64" s="3">
        <f t="shared" ref="O64:O65" si="20">F64*G64*K64</f>
        <v>16.320799999999998</v>
      </c>
      <c r="P64" s="3">
        <f>F64*G64*L64</f>
        <v>2.3184</v>
      </c>
      <c r="Q64" s="3">
        <f>F64*G64*N64</f>
        <v>0</v>
      </c>
      <c r="U64" s="1"/>
      <c r="W64" s="2" t="s">
        <v>65</v>
      </c>
    </row>
    <row r="65" spans="1:26" s="2" customFormat="1" x14ac:dyDescent="0.2">
      <c r="D65" s="2" t="s">
        <v>122</v>
      </c>
      <c r="E65" s="43" t="s">
        <v>120</v>
      </c>
      <c r="F65" s="2">
        <v>60</v>
      </c>
      <c r="G65" s="13">
        <v>0.08</v>
      </c>
      <c r="I65" s="2">
        <f>10^100</f>
        <v>1E+100</v>
      </c>
      <c r="K65" s="49">
        <v>0.77300000000000002</v>
      </c>
      <c r="L65" s="60">
        <v>1.2200000000000001E-2</v>
      </c>
      <c r="M65" s="40">
        <v>0</v>
      </c>
      <c r="N65" s="2">
        <f t="shared" si="19"/>
        <v>0</v>
      </c>
      <c r="O65" s="3">
        <f t="shared" si="20"/>
        <v>3.7103999999999999</v>
      </c>
      <c r="P65" s="3">
        <f>F65*G65*L65</f>
        <v>5.8560000000000001E-2</v>
      </c>
      <c r="Q65" s="3">
        <f>F65*G65*N65</f>
        <v>0</v>
      </c>
      <c r="U65" s="1"/>
      <c r="W65" s="2" t="s">
        <v>65</v>
      </c>
      <c r="X65" s="2" t="s">
        <v>123</v>
      </c>
    </row>
    <row r="66" spans="1:26" s="18" customFormat="1" ht="17" thickBot="1" x14ac:dyDescent="0.25">
      <c r="A66" s="18" t="s">
        <v>148</v>
      </c>
      <c r="B66" s="18" t="s">
        <v>132</v>
      </c>
      <c r="C66" s="18" t="s">
        <v>136</v>
      </c>
      <c r="G66" s="52"/>
      <c r="I66" s="18" cm="1">
        <f t="array" ref="I66">1/SUM(1/I64:I65)</f>
        <v>28.749999999999993</v>
      </c>
      <c r="O66" s="53">
        <v>0</v>
      </c>
      <c r="P66" s="53">
        <f>SUM(P64:P65)</f>
        <v>2.37696</v>
      </c>
      <c r="Q66" s="53">
        <f>SUM(Q64:Q65)</f>
        <v>0</v>
      </c>
      <c r="S66" s="18" t="s">
        <v>88</v>
      </c>
      <c r="U66" s="54"/>
      <c r="V66" s="18" t="s">
        <v>26</v>
      </c>
      <c r="W66" s="18" t="s">
        <v>65</v>
      </c>
      <c r="X66" s="18" t="s">
        <v>149</v>
      </c>
      <c r="Z66" s="18" t="s">
        <v>128</v>
      </c>
    </row>
    <row r="67" spans="1:26" ht="17" thickTop="1" x14ac:dyDescent="0.2"/>
    <row r="68" spans="1:26" s="33" customFormat="1" x14ac:dyDescent="0.2">
      <c r="D68" s="33" t="s">
        <v>30</v>
      </c>
      <c r="E68" s="33" t="s">
        <v>31</v>
      </c>
      <c r="F68" s="33" t="s">
        <v>32</v>
      </c>
      <c r="G68" s="46" t="s">
        <v>33</v>
      </c>
      <c r="H68" s="33" t="s">
        <v>34</v>
      </c>
      <c r="I68" s="33" t="s">
        <v>35</v>
      </c>
      <c r="J68" s="33" t="s">
        <v>82</v>
      </c>
      <c r="K68" s="34" t="s">
        <v>77</v>
      </c>
      <c r="L68" s="34" t="s">
        <v>78</v>
      </c>
      <c r="M68" s="34" t="s">
        <v>79</v>
      </c>
      <c r="N68" s="34" t="s">
        <v>80</v>
      </c>
      <c r="O68" s="47" t="s">
        <v>36</v>
      </c>
      <c r="P68" s="47" t="s">
        <v>37</v>
      </c>
      <c r="Q68" s="47" t="s">
        <v>83</v>
      </c>
      <c r="R68" s="34" t="s">
        <v>38</v>
      </c>
      <c r="S68" s="33" t="s">
        <v>39</v>
      </c>
      <c r="T68" s="33" t="s">
        <v>40</v>
      </c>
      <c r="U68" s="48" t="s">
        <v>41</v>
      </c>
      <c r="V68" s="33" t="s">
        <v>73</v>
      </c>
      <c r="W68" s="33" t="s">
        <v>42</v>
      </c>
      <c r="X68" s="33" t="s">
        <v>43</v>
      </c>
      <c r="Y68" s="33" t="s">
        <v>44</v>
      </c>
    </row>
    <row r="69" spans="1:26" s="35" customFormat="1" x14ac:dyDescent="0.2">
      <c r="F69" s="35" t="s">
        <v>45</v>
      </c>
      <c r="G69" s="13" t="s">
        <v>27</v>
      </c>
      <c r="H69" s="35" t="s">
        <v>46</v>
      </c>
      <c r="I69" s="35" t="s">
        <v>47</v>
      </c>
      <c r="K69" s="35" t="s">
        <v>48</v>
      </c>
      <c r="L69" s="35" t="s">
        <v>48</v>
      </c>
      <c r="M69" s="36" t="s">
        <v>49</v>
      </c>
      <c r="N69" s="36" t="s">
        <v>50</v>
      </c>
      <c r="O69" s="3" t="s">
        <v>76</v>
      </c>
      <c r="P69" s="3" t="s">
        <v>76</v>
      </c>
      <c r="Q69" s="3" t="s">
        <v>75</v>
      </c>
      <c r="R69" s="36" t="s">
        <v>76</v>
      </c>
      <c r="S69" s="35" t="s">
        <v>81</v>
      </c>
      <c r="T69" s="35" t="s">
        <v>81</v>
      </c>
      <c r="U69" s="1" t="s">
        <v>51</v>
      </c>
      <c r="V69" s="35" t="s">
        <v>74</v>
      </c>
    </row>
    <row r="70" spans="1:26" s="2" customFormat="1" x14ac:dyDescent="0.2">
      <c r="C70" s="2" t="s">
        <v>63</v>
      </c>
      <c r="D70" s="2" t="s">
        <v>141</v>
      </c>
      <c r="E70" s="43" t="s">
        <v>57</v>
      </c>
      <c r="F70" s="2">
        <v>1100</v>
      </c>
      <c r="G70" s="13">
        <f>0.16*0.75</f>
        <v>0.12</v>
      </c>
      <c r="H70" s="2">
        <v>0.35</v>
      </c>
      <c r="I70" s="2">
        <f t="shared" ref="I70:I71" si="21">H70/G70</f>
        <v>2.9166666666666665</v>
      </c>
      <c r="K70" s="49">
        <v>0.254</v>
      </c>
      <c r="L70" s="51">
        <v>1.2699999999999999E-2</v>
      </c>
      <c r="M70" s="40">
        <v>0</v>
      </c>
      <c r="N70" s="2">
        <f>M70*3.66</f>
        <v>0</v>
      </c>
      <c r="O70" s="3">
        <f>F70*G70*K70</f>
        <v>33.527999999999999</v>
      </c>
      <c r="P70" s="3">
        <f>F70*G70*L70</f>
        <v>1.6763999999999999</v>
      </c>
      <c r="Q70" s="3">
        <f>F70*G70*N70</f>
        <v>0</v>
      </c>
      <c r="U70" s="1"/>
      <c r="W70" s="2" t="s">
        <v>65</v>
      </c>
      <c r="X70" s="2" t="s">
        <v>70</v>
      </c>
    </row>
    <row r="71" spans="1:26" s="2" customFormat="1" x14ac:dyDescent="0.2">
      <c r="C71" s="2" t="s">
        <v>63</v>
      </c>
      <c r="D71" s="2" t="s">
        <v>68</v>
      </c>
      <c r="E71" s="43" t="s">
        <v>67</v>
      </c>
      <c r="F71" s="2">
        <v>2400</v>
      </c>
      <c r="G71" s="13">
        <f>0.16*0.25</f>
        <v>0.04</v>
      </c>
      <c r="H71" s="2">
        <v>2.2999999999999998</v>
      </c>
      <c r="I71" s="2">
        <f t="shared" si="21"/>
        <v>57.499999999999993</v>
      </c>
      <c r="K71" s="49">
        <v>0.16500000000000001</v>
      </c>
      <c r="L71" s="60">
        <v>1.21E-2</v>
      </c>
      <c r="M71" s="40">
        <v>0</v>
      </c>
      <c r="N71" s="2">
        <f t="shared" ref="N71" si="22">M71*3.66</f>
        <v>0</v>
      </c>
      <c r="O71" s="3">
        <f t="shared" ref="O71" si="23">F71*G71*K71</f>
        <v>15.84</v>
      </c>
      <c r="P71" s="3">
        <f>F71*G71*L71</f>
        <v>1.1616</v>
      </c>
      <c r="Q71" s="3">
        <f>F71*G71*N71</f>
        <v>0</v>
      </c>
      <c r="U71" s="1"/>
      <c r="W71" s="2" t="s">
        <v>65</v>
      </c>
      <c r="X71" s="2" t="s">
        <v>70</v>
      </c>
    </row>
    <row r="72" spans="1:26" s="18" customFormat="1" ht="17" thickBot="1" x14ac:dyDescent="0.25">
      <c r="A72" s="18" t="s">
        <v>150</v>
      </c>
      <c r="B72" s="18" t="s">
        <v>129</v>
      </c>
      <c r="C72" s="18" t="s">
        <v>136</v>
      </c>
      <c r="D72" s="18" t="s">
        <v>151</v>
      </c>
      <c r="G72" s="52"/>
      <c r="I72" s="18" cm="1">
        <f t="array" ref="I72">1/SUM(1/I70:I71)</f>
        <v>2.7758620689655173</v>
      </c>
      <c r="O72" s="53">
        <v>0</v>
      </c>
      <c r="P72" s="53">
        <f>SUM(P70:P71)</f>
        <v>2.8380000000000001</v>
      </c>
      <c r="Q72" s="53">
        <f>SUM(Q70:Q71)</f>
        <v>0</v>
      </c>
      <c r="S72" s="18" t="s">
        <v>88</v>
      </c>
      <c r="U72" s="54">
        <f>SUM(U70:U71)</f>
        <v>0</v>
      </c>
      <c r="V72" s="18" t="s">
        <v>26</v>
      </c>
      <c r="W72" s="18" t="s">
        <v>65</v>
      </c>
      <c r="X72" s="18" t="s">
        <v>195</v>
      </c>
      <c r="Z72" s="18" t="s">
        <v>128</v>
      </c>
    </row>
    <row r="73" spans="1:26" ht="17" thickTop="1" x14ac:dyDescent="0.2"/>
    <row r="75" spans="1:26" ht="27" x14ac:dyDescent="0.35">
      <c r="B75" s="64" t="s">
        <v>198</v>
      </c>
    </row>
    <row r="76" spans="1:26" x14ac:dyDescent="0.2">
      <c r="B76" t="s">
        <v>199</v>
      </c>
    </row>
    <row r="78" spans="1:26" s="33" customFormat="1" x14ac:dyDescent="0.2">
      <c r="D78" s="33" t="s">
        <v>30</v>
      </c>
      <c r="E78" s="33" t="s">
        <v>31</v>
      </c>
      <c r="F78" s="33" t="s">
        <v>32</v>
      </c>
      <c r="G78" s="46" t="s">
        <v>33</v>
      </c>
      <c r="H78" s="33" t="s">
        <v>34</v>
      </c>
      <c r="I78" s="33" t="s">
        <v>35</v>
      </c>
      <c r="J78" s="33" t="s">
        <v>82</v>
      </c>
      <c r="K78" s="34" t="s">
        <v>77</v>
      </c>
      <c r="L78" s="34" t="s">
        <v>78</v>
      </c>
      <c r="M78" s="34" t="s">
        <v>79</v>
      </c>
      <c r="N78" s="34" t="s">
        <v>80</v>
      </c>
      <c r="O78" s="47" t="s">
        <v>36</v>
      </c>
      <c r="P78" s="47" t="s">
        <v>37</v>
      </c>
      <c r="Q78" s="47" t="s">
        <v>83</v>
      </c>
      <c r="R78" s="34" t="s">
        <v>38</v>
      </c>
      <c r="S78" s="33" t="s">
        <v>39</v>
      </c>
      <c r="T78" s="33" t="s">
        <v>40</v>
      </c>
      <c r="U78" s="48" t="s">
        <v>41</v>
      </c>
      <c r="V78" s="33" t="s">
        <v>73</v>
      </c>
      <c r="W78" s="33" t="s">
        <v>42</v>
      </c>
      <c r="X78" s="33" t="s">
        <v>43</v>
      </c>
      <c r="Y78" s="33" t="s">
        <v>44</v>
      </c>
    </row>
    <row r="79" spans="1:26" s="35" customFormat="1" x14ac:dyDescent="0.2">
      <c r="F79" s="35" t="s">
        <v>45</v>
      </c>
      <c r="G79" s="13" t="s">
        <v>27</v>
      </c>
      <c r="H79" s="35" t="s">
        <v>46</v>
      </c>
      <c r="I79" s="35" t="s">
        <v>47</v>
      </c>
      <c r="K79" s="35" t="s">
        <v>48</v>
      </c>
      <c r="L79" s="35" t="s">
        <v>48</v>
      </c>
      <c r="M79" s="36" t="s">
        <v>49</v>
      </c>
      <c r="N79" s="36" t="s">
        <v>50</v>
      </c>
      <c r="O79" s="3" t="s">
        <v>76</v>
      </c>
      <c r="P79" s="3" t="s">
        <v>76</v>
      </c>
      <c r="Q79" s="3" t="s">
        <v>75</v>
      </c>
      <c r="R79" s="36" t="s">
        <v>76</v>
      </c>
      <c r="S79" s="35" t="s">
        <v>81</v>
      </c>
      <c r="T79" s="35" t="s">
        <v>81</v>
      </c>
      <c r="U79" s="1" t="s">
        <v>51</v>
      </c>
      <c r="V79" s="35" t="s">
        <v>74</v>
      </c>
    </row>
    <row r="80" spans="1:26" s="2" customFormat="1" x14ac:dyDescent="0.2">
      <c r="D80" s="2" t="s">
        <v>180</v>
      </c>
      <c r="E80" s="43" t="s">
        <v>57</v>
      </c>
      <c r="F80" s="2">
        <v>1400</v>
      </c>
      <c r="G80" s="13">
        <v>0.06</v>
      </c>
      <c r="H80" s="2">
        <v>0.52</v>
      </c>
      <c r="I80" s="2">
        <f t="shared" ref="I80" si="24">H80/G80</f>
        <v>8.6666666666666679</v>
      </c>
      <c r="K80" s="49">
        <v>0.254</v>
      </c>
      <c r="L80" s="60">
        <v>1.2699999999999999E-2</v>
      </c>
      <c r="M80" s="40">
        <v>0</v>
      </c>
      <c r="N80" s="2">
        <f t="shared" ref="N80:N82" si="25">M80*3.66</f>
        <v>0</v>
      </c>
      <c r="O80" s="3">
        <f t="shared" ref="O80" si="26">F80*G80*K80</f>
        <v>21.335999999999999</v>
      </c>
      <c r="P80" s="3">
        <f t="shared" ref="P80:P82" si="27">F80*G80*L80</f>
        <v>1.0668</v>
      </c>
      <c r="Q80" s="3">
        <f>F80*G80*N80</f>
        <v>0</v>
      </c>
      <c r="U80" s="1"/>
      <c r="W80" s="2" t="s">
        <v>65</v>
      </c>
    </row>
    <row r="81" spans="1:26" s="2" customFormat="1" x14ac:dyDescent="0.2">
      <c r="D81" s="2" t="s">
        <v>176</v>
      </c>
      <c r="E81" s="43" t="s">
        <v>177</v>
      </c>
      <c r="F81" s="2">
        <v>920</v>
      </c>
      <c r="G81" s="13">
        <v>1.3999999999999999E-4</v>
      </c>
      <c r="I81" s="2">
        <f>10^100</f>
        <v>1E+100</v>
      </c>
      <c r="K81" s="71">
        <v>2.75</v>
      </c>
      <c r="L81" s="39">
        <v>2.67</v>
      </c>
      <c r="M81" s="40">
        <v>0</v>
      </c>
      <c r="N81" s="2">
        <f t="shared" si="25"/>
        <v>0</v>
      </c>
      <c r="O81" s="3">
        <f t="shared" ref="O81:O82" si="28">K81*G81*F81</f>
        <v>0.35419999999999996</v>
      </c>
      <c r="P81" s="3">
        <f t="shared" si="27"/>
        <v>0.34389599999999998</v>
      </c>
      <c r="Q81" s="3">
        <f t="shared" ref="Q81:Q82" si="29">F81*G81*N81</f>
        <v>0</v>
      </c>
      <c r="U81" s="1"/>
    </row>
    <row r="82" spans="1:26" s="2" customFormat="1" x14ac:dyDescent="0.2">
      <c r="D82" s="2" t="s">
        <v>179</v>
      </c>
      <c r="E82" s="43" t="s">
        <v>62</v>
      </c>
      <c r="F82" s="2">
        <v>30</v>
      </c>
      <c r="G82" s="13">
        <v>0.04</v>
      </c>
      <c r="H82" s="2">
        <v>3.4000000000000002E-2</v>
      </c>
      <c r="I82" s="2">
        <f>H82/G82</f>
        <v>0.85000000000000009</v>
      </c>
      <c r="K82" s="71">
        <v>1.1299999999999999</v>
      </c>
      <c r="L82" s="50">
        <v>5.9200000000000003E-2</v>
      </c>
      <c r="M82" s="50">
        <v>0</v>
      </c>
      <c r="N82" s="2">
        <f t="shared" si="25"/>
        <v>0</v>
      </c>
      <c r="O82" s="3">
        <f t="shared" si="28"/>
        <v>1.3559999999999999</v>
      </c>
      <c r="P82" s="3">
        <f t="shared" si="27"/>
        <v>7.1040000000000006E-2</v>
      </c>
      <c r="Q82" s="3">
        <f t="shared" si="29"/>
        <v>0</v>
      </c>
      <c r="U82" s="1"/>
    </row>
    <row r="83" spans="1:26" s="2" customFormat="1" x14ac:dyDescent="0.2">
      <c r="D83" s="2" t="s">
        <v>203</v>
      </c>
      <c r="E83" s="43" t="s">
        <v>57</v>
      </c>
      <c r="F83" s="2">
        <v>1100</v>
      </c>
      <c r="G83" s="13">
        <v>0.18</v>
      </c>
      <c r="H83" s="2">
        <v>0.35</v>
      </c>
      <c r="I83" s="2">
        <f t="shared" ref="I83" si="30">H83/G83</f>
        <v>1.9444444444444444</v>
      </c>
      <c r="K83" s="49">
        <v>0.254</v>
      </c>
      <c r="L83" s="60">
        <v>1.2699999999999999E-2</v>
      </c>
      <c r="M83" s="40">
        <v>0</v>
      </c>
      <c r="N83" s="2">
        <f t="shared" ref="N83" si="31">M83*3.66</f>
        <v>0</v>
      </c>
      <c r="O83" s="3">
        <f t="shared" ref="O83" si="32">F83*G83*K83</f>
        <v>50.292000000000002</v>
      </c>
      <c r="P83" s="3">
        <f t="shared" ref="P83" si="33">F83*G83*L83</f>
        <v>2.5145999999999997</v>
      </c>
      <c r="Q83" s="3">
        <f>F83*G83*N83</f>
        <v>0</v>
      </c>
      <c r="U83" s="1"/>
      <c r="W83" s="2" t="s">
        <v>65</v>
      </c>
    </row>
    <row r="84" spans="1:26" s="18" customFormat="1" ht="17" thickBot="1" x14ac:dyDescent="0.25">
      <c r="A84" s="18" t="s">
        <v>175</v>
      </c>
      <c r="B84" s="18" t="s">
        <v>113</v>
      </c>
      <c r="C84" s="18" t="s">
        <v>202</v>
      </c>
      <c r="D84" s="18" t="s">
        <v>182</v>
      </c>
      <c r="G84" s="52"/>
      <c r="I84" s="18" cm="1">
        <f t="array" ref="I84">1/(SUM(1/I80:I83))</f>
        <v>0.55366665473676679</v>
      </c>
      <c r="O84" s="53">
        <v>0</v>
      </c>
      <c r="P84" s="53">
        <f>SUM(P80:P83)</f>
        <v>3.9963359999999994</v>
      </c>
      <c r="Q84" s="53">
        <f>SUM(Q80:Q83)</f>
        <v>0</v>
      </c>
      <c r="S84" s="18" t="s">
        <v>88</v>
      </c>
      <c r="U84" s="54"/>
      <c r="V84" s="18" t="s">
        <v>26</v>
      </c>
      <c r="W84" s="18" t="s">
        <v>135</v>
      </c>
      <c r="Z84" s="18" t="s">
        <v>128</v>
      </c>
    </row>
    <row r="85" spans="1:26" ht="17" thickTop="1" x14ac:dyDescent="0.2"/>
    <row r="86" spans="1:26" s="33" customFormat="1" x14ac:dyDescent="0.2">
      <c r="D86" s="33" t="s">
        <v>30</v>
      </c>
      <c r="E86" s="33" t="s">
        <v>31</v>
      </c>
      <c r="F86" s="33" t="s">
        <v>32</v>
      </c>
      <c r="G86" s="46" t="s">
        <v>33</v>
      </c>
      <c r="H86" s="33" t="s">
        <v>34</v>
      </c>
      <c r="I86" s="33" t="s">
        <v>35</v>
      </c>
      <c r="J86" s="33" t="s">
        <v>82</v>
      </c>
      <c r="K86" s="34" t="s">
        <v>77</v>
      </c>
      <c r="L86" s="34" t="s">
        <v>78</v>
      </c>
      <c r="M86" s="34" t="s">
        <v>79</v>
      </c>
      <c r="N86" s="34" t="s">
        <v>80</v>
      </c>
      <c r="O86" s="47" t="s">
        <v>36</v>
      </c>
      <c r="P86" s="47" t="s">
        <v>37</v>
      </c>
      <c r="Q86" s="47" t="s">
        <v>83</v>
      </c>
      <c r="R86" s="34" t="s">
        <v>38</v>
      </c>
      <c r="S86" s="33" t="s">
        <v>39</v>
      </c>
      <c r="T86" s="33" t="s">
        <v>40</v>
      </c>
      <c r="U86" s="48" t="s">
        <v>41</v>
      </c>
      <c r="V86" s="33" t="s">
        <v>73</v>
      </c>
      <c r="W86" s="33" t="s">
        <v>42</v>
      </c>
      <c r="X86" s="33" t="s">
        <v>43</v>
      </c>
      <c r="Y86" s="33" t="s">
        <v>44</v>
      </c>
    </row>
    <row r="87" spans="1:26" s="35" customFormat="1" x14ac:dyDescent="0.2">
      <c r="F87" s="35" t="s">
        <v>45</v>
      </c>
      <c r="G87" s="13" t="s">
        <v>27</v>
      </c>
      <c r="H87" s="35" t="s">
        <v>46</v>
      </c>
      <c r="I87" s="35" t="s">
        <v>47</v>
      </c>
      <c r="K87" s="35" t="s">
        <v>48</v>
      </c>
      <c r="L87" s="35" t="s">
        <v>48</v>
      </c>
      <c r="M87" s="36" t="s">
        <v>49</v>
      </c>
      <c r="N87" s="36" t="s">
        <v>50</v>
      </c>
      <c r="O87" s="3" t="s">
        <v>76</v>
      </c>
      <c r="P87" s="3" t="s">
        <v>76</v>
      </c>
      <c r="Q87" s="3" t="s">
        <v>75</v>
      </c>
      <c r="R87" s="36" t="s">
        <v>76</v>
      </c>
      <c r="S87" s="35" t="s">
        <v>81</v>
      </c>
      <c r="T87" s="35" t="s">
        <v>81</v>
      </c>
      <c r="U87" s="1" t="s">
        <v>51</v>
      </c>
      <c r="V87" s="35" t="s">
        <v>74</v>
      </c>
    </row>
    <row r="88" spans="1:26" s="2" customFormat="1" x14ac:dyDescent="0.2">
      <c r="D88" s="2" t="s">
        <v>185</v>
      </c>
      <c r="E88" s="43" t="s">
        <v>119</v>
      </c>
      <c r="F88" s="2">
        <v>2300</v>
      </c>
      <c r="G88" s="13">
        <v>0.25</v>
      </c>
      <c r="H88" s="2">
        <v>2.2999999999999998</v>
      </c>
      <c r="I88" s="2">
        <f t="shared" ref="I88" si="34">H88/G88</f>
        <v>9.1999999999999993</v>
      </c>
      <c r="K88" s="49">
        <v>8.8700000000000001E-2</v>
      </c>
      <c r="L88" s="51">
        <v>1.26E-2</v>
      </c>
      <c r="M88" s="40">
        <v>0</v>
      </c>
      <c r="N88" s="2">
        <f t="shared" ref="N88:N90" si="35">M88*3.66</f>
        <v>0</v>
      </c>
      <c r="O88" s="3">
        <f>K88*G88*F88</f>
        <v>51.002499999999998</v>
      </c>
      <c r="P88" s="3">
        <f t="shared" ref="P88:P90" si="36">F88*G88*L88</f>
        <v>7.2450000000000001</v>
      </c>
      <c r="Q88" s="3">
        <f t="shared" ref="Q88:Q90" si="37">F88*G88*N88</f>
        <v>0</v>
      </c>
      <c r="U88" s="1"/>
      <c r="X88" s="2" t="s">
        <v>183</v>
      </c>
    </row>
    <row r="89" spans="1:26" s="2" customFormat="1" x14ac:dyDescent="0.2">
      <c r="D89" s="2" t="s">
        <v>122</v>
      </c>
      <c r="E89" s="57" t="s">
        <v>120</v>
      </c>
      <c r="F89" s="2">
        <v>60</v>
      </c>
      <c r="G89" s="13">
        <v>0.25</v>
      </c>
      <c r="I89" s="2">
        <f>10^100</f>
        <v>1E+100</v>
      </c>
      <c r="K89" s="51">
        <v>0.77300000000000002</v>
      </c>
      <c r="L89" s="59">
        <v>1.2200000000000001E-2</v>
      </c>
      <c r="M89" s="40">
        <v>0</v>
      </c>
      <c r="N89" s="2">
        <f t="shared" si="35"/>
        <v>0</v>
      </c>
      <c r="O89" s="3">
        <f t="shared" ref="O89:O90" si="38">K89*G89*F89</f>
        <v>11.595000000000001</v>
      </c>
      <c r="P89" s="3">
        <f t="shared" si="36"/>
        <v>0.18300000000000002</v>
      </c>
      <c r="Q89" s="3">
        <f t="shared" si="37"/>
        <v>0</v>
      </c>
      <c r="U89" s="1"/>
      <c r="X89" s="2" t="s">
        <v>184</v>
      </c>
    </row>
    <row r="90" spans="1:26" s="2" customFormat="1" x14ac:dyDescent="0.2">
      <c r="D90" s="2" t="s">
        <v>179</v>
      </c>
      <c r="E90" s="43" t="s">
        <v>62</v>
      </c>
      <c r="F90" s="2">
        <v>30</v>
      </c>
      <c r="G90" s="13">
        <v>0.04</v>
      </c>
      <c r="H90" s="2">
        <v>3.4000000000000002E-2</v>
      </c>
      <c r="I90" s="2">
        <f>H90/G90</f>
        <v>0.85000000000000009</v>
      </c>
      <c r="K90" s="71">
        <v>1.1299999999999999</v>
      </c>
      <c r="L90" s="50">
        <v>5.9200000000000003E-2</v>
      </c>
      <c r="M90" s="50">
        <v>0</v>
      </c>
      <c r="N90" s="2">
        <f t="shared" si="35"/>
        <v>0</v>
      </c>
      <c r="O90" s="3">
        <f t="shared" si="38"/>
        <v>1.3559999999999999</v>
      </c>
      <c r="P90" s="3">
        <f t="shared" si="36"/>
        <v>7.1040000000000006E-2</v>
      </c>
      <c r="Q90" s="3">
        <f t="shared" si="37"/>
        <v>0</v>
      </c>
      <c r="U90" s="1"/>
    </row>
    <row r="91" spans="1:26" s="2" customFormat="1" x14ac:dyDescent="0.2">
      <c r="D91" s="2" t="s">
        <v>176</v>
      </c>
      <c r="E91" s="43" t="s">
        <v>177</v>
      </c>
      <c r="F91" s="2">
        <v>920</v>
      </c>
      <c r="G91" s="13">
        <v>1.3999999999999999E-4</v>
      </c>
      <c r="I91" s="2">
        <f>10^100</f>
        <v>1E+100</v>
      </c>
      <c r="K91" s="71">
        <v>2.75</v>
      </c>
      <c r="L91" s="39">
        <v>2.67</v>
      </c>
      <c r="M91" s="40">
        <v>0</v>
      </c>
      <c r="N91" s="2">
        <f t="shared" ref="N91:N92" si="39">M91*3.66</f>
        <v>0</v>
      </c>
      <c r="O91" s="3">
        <f t="shared" ref="O91" si="40">K91*G91*F91</f>
        <v>0.35419999999999996</v>
      </c>
      <c r="P91" s="3">
        <f t="shared" ref="P91:P92" si="41">F91*G91*L91</f>
        <v>0.34389599999999998</v>
      </c>
      <c r="Q91" s="3">
        <f t="shared" ref="Q91" si="42">F91*G91*N91</f>
        <v>0</v>
      </c>
      <c r="U91" s="1"/>
    </row>
    <row r="92" spans="1:26" s="2" customFormat="1" x14ac:dyDescent="0.2">
      <c r="D92" s="2" t="s">
        <v>180</v>
      </c>
      <c r="E92" s="43" t="s">
        <v>57</v>
      </c>
      <c r="F92" s="2">
        <v>1400</v>
      </c>
      <c r="G92" s="13">
        <v>0.06</v>
      </c>
      <c r="H92" s="2">
        <v>0.52</v>
      </c>
      <c r="I92" s="2">
        <f t="shared" ref="I92" si="43">H92/G92</f>
        <v>8.6666666666666679</v>
      </c>
      <c r="K92" s="49">
        <v>0.254</v>
      </c>
      <c r="L92" s="60">
        <v>1.2699999999999999E-2</v>
      </c>
      <c r="M92" s="40">
        <v>0</v>
      </c>
      <c r="N92" s="2">
        <f t="shared" si="39"/>
        <v>0</v>
      </c>
      <c r="O92" s="3">
        <f t="shared" ref="O92" si="44">F92*G92*K92</f>
        <v>21.335999999999999</v>
      </c>
      <c r="P92" s="3">
        <f t="shared" si="41"/>
        <v>1.0668</v>
      </c>
      <c r="Q92" s="3">
        <f>F92*G92*N92</f>
        <v>0</v>
      </c>
      <c r="U92" s="1"/>
      <c r="W92" s="2" t="s">
        <v>65</v>
      </c>
    </row>
    <row r="93" spans="1:26" s="18" customFormat="1" ht="17" thickBot="1" x14ac:dyDescent="0.25">
      <c r="A93" s="18" t="s">
        <v>181</v>
      </c>
      <c r="B93" s="18" t="s">
        <v>131</v>
      </c>
      <c r="C93" s="18" t="s">
        <v>202</v>
      </c>
      <c r="D93" s="18" t="s">
        <v>188</v>
      </c>
      <c r="G93" s="52"/>
      <c r="I93" s="18" cm="1">
        <f t="array" ref="I93">1/(SUM(1/I88:I92))</f>
        <v>0.71400477595167866</v>
      </c>
      <c r="O93" s="53">
        <v>0</v>
      </c>
      <c r="P93" s="53">
        <f>SUM(P88:P92)</f>
        <v>8.9097360000000005</v>
      </c>
      <c r="Q93" s="53">
        <f>SUM(Q88:Q92)</f>
        <v>0</v>
      </c>
      <c r="S93" s="18" t="s">
        <v>88</v>
      </c>
      <c r="U93" s="54"/>
      <c r="V93" s="18" t="s">
        <v>26</v>
      </c>
      <c r="W93" s="18" t="s">
        <v>135</v>
      </c>
      <c r="Z93" s="18" t="s">
        <v>128</v>
      </c>
    </row>
    <row r="94" spans="1:26" ht="17" thickTop="1" x14ac:dyDescent="0.2"/>
    <row r="95" spans="1:26" s="33" customFormat="1" x14ac:dyDescent="0.2">
      <c r="D95" s="33" t="s">
        <v>30</v>
      </c>
      <c r="E95" s="33" t="s">
        <v>31</v>
      </c>
      <c r="F95" s="33" t="s">
        <v>32</v>
      </c>
      <c r="G95" s="46" t="s">
        <v>33</v>
      </c>
      <c r="H95" s="33" t="s">
        <v>34</v>
      </c>
      <c r="I95" s="33" t="s">
        <v>35</v>
      </c>
      <c r="J95" s="33" t="s">
        <v>82</v>
      </c>
      <c r="K95" s="34" t="s">
        <v>77</v>
      </c>
      <c r="L95" s="34" t="s">
        <v>78</v>
      </c>
      <c r="M95" s="34" t="s">
        <v>79</v>
      </c>
      <c r="N95" s="34" t="s">
        <v>80</v>
      </c>
      <c r="O95" s="47" t="s">
        <v>36</v>
      </c>
      <c r="P95" s="47" t="s">
        <v>37</v>
      </c>
      <c r="Q95" s="47" t="s">
        <v>83</v>
      </c>
      <c r="R95" s="34" t="s">
        <v>38</v>
      </c>
      <c r="S95" s="33" t="s">
        <v>39</v>
      </c>
      <c r="T95" s="33" t="s">
        <v>40</v>
      </c>
      <c r="U95" s="48" t="s">
        <v>41</v>
      </c>
      <c r="V95" s="33" t="s">
        <v>73</v>
      </c>
      <c r="W95" s="33" t="s">
        <v>42</v>
      </c>
      <c r="X95" s="33" t="s">
        <v>43</v>
      </c>
      <c r="Y95" s="33" t="s">
        <v>44</v>
      </c>
    </row>
    <row r="96" spans="1:26" s="35" customFormat="1" x14ac:dyDescent="0.2">
      <c r="F96" s="35" t="s">
        <v>45</v>
      </c>
      <c r="G96" s="13" t="s">
        <v>27</v>
      </c>
      <c r="H96" s="35" t="s">
        <v>46</v>
      </c>
      <c r="I96" s="35" t="s">
        <v>47</v>
      </c>
      <c r="K96" s="35" t="s">
        <v>48</v>
      </c>
      <c r="L96" s="35" t="s">
        <v>48</v>
      </c>
      <c r="M96" s="36" t="s">
        <v>49</v>
      </c>
      <c r="N96" s="36" t="s">
        <v>50</v>
      </c>
      <c r="O96" s="3" t="s">
        <v>76</v>
      </c>
      <c r="P96" s="3" t="s">
        <v>76</v>
      </c>
      <c r="Q96" s="3" t="s">
        <v>75</v>
      </c>
      <c r="R96" s="36" t="s">
        <v>76</v>
      </c>
      <c r="S96" s="35" t="s">
        <v>81</v>
      </c>
      <c r="T96" s="35" t="s">
        <v>81</v>
      </c>
      <c r="U96" s="1" t="s">
        <v>51</v>
      </c>
      <c r="V96" s="35" t="s">
        <v>74</v>
      </c>
    </row>
    <row r="97" spans="1:26" s="2" customFormat="1" x14ac:dyDescent="0.2">
      <c r="D97" s="2" t="s">
        <v>189</v>
      </c>
      <c r="E97" s="43" t="s">
        <v>142</v>
      </c>
      <c r="F97" s="2">
        <v>1850</v>
      </c>
      <c r="G97" s="13">
        <v>0.06</v>
      </c>
      <c r="H97" s="2">
        <v>1.2</v>
      </c>
      <c r="I97" s="2">
        <f>H97/G97</f>
        <v>20</v>
      </c>
      <c r="K97" s="49">
        <v>0.107</v>
      </c>
      <c r="L97" s="60">
        <v>1.2699999999999999E-2</v>
      </c>
      <c r="M97" s="40">
        <v>0</v>
      </c>
      <c r="N97" s="2">
        <f>M97*3.66</f>
        <v>0</v>
      </c>
      <c r="O97" s="3">
        <f>F97*G97*K97</f>
        <v>11.876999999999999</v>
      </c>
      <c r="P97" s="3">
        <f>F97*G97*L97</f>
        <v>1.4097</v>
      </c>
      <c r="Q97" s="3">
        <f>F97*G97*N97</f>
        <v>0</v>
      </c>
      <c r="U97" s="1"/>
      <c r="W97" s="2" t="s">
        <v>65</v>
      </c>
      <c r="X97" s="2" t="s">
        <v>70</v>
      </c>
    </row>
    <row r="98" spans="1:26" s="2" customFormat="1" x14ac:dyDescent="0.2">
      <c r="D98" s="2" t="s">
        <v>190</v>
      </c>
      <c r="E98" s="43" t="s">
        <v>191</v>
      </c>
      <c r="F98" s="2">
        <v>120</v>
      </c>
      <c r="G98" s="13">
        <v>0.01</v>
      </c>
      <c r="H98" s="2">
        <v>0.04</v>
      </c>
      <c r="I98" s="2">
        <f>H98/G98</f>
        <v>4</v>
      </c>
      <c r="K98" s="71">
        <v>1.07</v>
      </c>
      <c r="L98" s="51">
        <v>3.8699999999999998E-2</v>
      </c>
      <c r="M98" s="51">
        <v>0.496</v>
      </c>
      <c r="N98" s="2">
        <f t="shared" ref="N98:N100" si="45">M98*3.66</f>
        <v>1.8153600000000001</v>
      </c>
      <c r="O98" s="3">
        <f t="shared" ref="O98" si="46">K98*G98*F98</f>
        <v>1.2840000000000003</v>
      </c>
      <c r="P98" s="3">
        <f t="shared" ref="P98:P100" si="47">F98*G98*L98</f>
        <v>4.6439999999999995E-2</v>
      </c>
      <c r="Q98" s="3">
        <f t="shared" ref="Q98:Q100" si="48">F98*G98*N98</f>
        <v>2.1784319999999999</v>
      </c>
      <c r="U98" s="1"/>
    </row>
    <row r="99" spans="1:26" s="2" customFormat="1" x14ac:dyDescent="0.2">
      <c r="D99" s="2" t="s">
        <v>185</v>
      </c>
      <c r="E99" s="43" t="s">
        <v>119</v>
      </c>
      <c r="F99" s="2">
        <v>2300</v>
      </c>
      <c r="G99" s="13">
        <v>0.17</v>
      </c>
      <c r="H99" s="2">
        <v>2.2999999999999998</v>
      </c>
      <c r="I99" s="2">
        <f t="shared" ref="I99" si="49">H99/G99</f>
        <v>13.52941176470588</v>
      </c>
      <c r="K99" s="49">
        <v>8.8700000000000001E-2</v>
      </c>
      <c r="L99" s="51">
        <v>1.26E-2</v>
      </c>
      <c r="M99" s="40">
        <v>0</v>
      </c>
      <c r="N99" s="2">
        <f t="shared" si="45"/>
        <v>0</v>
      </c>
      <c r="O99" s="3">
        <f>K99*G99*F99</f>
        <v>34.681700000000006</v>
      </c>
      <c r="P99" s="3">
        <f t="shared" si="47"/>
        <v>4.9265999999999996</v>
      </c>
      <c r="Q99" s="3">
        <f t="shared" si="48"/>
        <v>0</v>
      </c>
      <c r="U99" s="1"/>
      <c r="X99" s="2" t="s">
        <v>183</v>
      </c>
    </row>
    <row r="100" spans="1:26" s="2" customFormat="1" x14ac:dyDescent="0.2">
      <c r="D100" s="2" t="s">
        <v>122</v>
      </c>
      <c r="E100" s="57" t="s">
        <v>120</v>
      </c>
      <c r="F100" s="2">
        <v>90</v>
      </c>
      <c r="G100" s="13">
        <v>0.17</v>
      </c>
      <c r="I100" s="2">
        <f>10^100</f>
        <v>1E+100</v>
      </c>
      <c r="K100" s="51">
        <v>0.77300000000000002</v>
      </c>
      <c r="L100" s="59">
        <v>1.2200000000000001E-2</v>
      </c>
      <c r="M100" s="40">
        <v>0</v>
      </c>
      <c r="N100" s="2">
        <f t="shared" si="45"/>
        <v>0</v>
      </c>
      <c r="O100" s="3">
        <f t="shared" ref="O100" si="50">K100*G100*F100</f>
        <v>11.826900000000002</v>
      </c>
      <c r="P100" s="3">
        <f t="shared" si="47"/>
        <v>0.18666000000000002</v>
      </c>
      <c r="Q100" s="3">
        <f t="shared" si="48"/>
        <v>0</v>
      </c>
      <c r="U100" s="1"/>
      <c r="X100" s="2" t="s">
        <v>192</v>
      </c>
    </row>
    <row r="101" spans="1:26" s="18" customFormat="1" ht="17" thickBot="1" x14ac:dyDescent="0.25">
      <c r="A101" s="18" t="s">
        <v>186</v>
      </c>
      <c r="B101" s="18" t="s">
        <v>187</v>
      </c>
      <c r="C101" s="18" t="s">
        <v>202</v>
      </c>
      <c r="G101" s="52"/>
      <c r="I101" s="18" cm="1">
        <f t="array" ref="I101">1/SUM(1/I97:I100)</f>
        <v>2.6744186046511627</v>
      </c>
      <c r="O101" s="53">
        <v>0</v>
      </c>
      <c r="P101" s="53">
        <f>SUM(P97:P100)</f>
        <v>6.5693999999999999</v>
      </c>
      <c r="Q101" s="53">
        <f>SUM(Q97:Q100)</f>
        <v>2.1784319999999999</v>
      </c>
      <c r="S101" s="18" t="s">
        <v>88</v>
      </c>
      <c r="T101" s="18">
        <v>10</v>
      </c>
      <c r="U101" s="54"/>
      <c r="V101" s="18" t="s">
        <v>26</v>
      </c>
      <c r="W101" s="18" t="s">
        <v>65</v>
      </c>
      <c r="Z101" s="18" t="s">
        <v>128</v>
      </c>
    </row>
    <row r="102" spans="1:26" ht="17" thickTop="1" x14ac:dyDescent="0.2"/>
    <row r="103" spans="1:26" s="33" customFormat="1" x14ac:dyDescent="0.2">
      <c r="D103" s="33" t="s">
        <v>30</v>
      </c>
      <c r="E103" s="33" t="s">
        <v>31</v>
      </c>
      <c r="F103" s="33" t="s">
        <v>32</v>
      </c>
      <c r="G103" s="46" t="s">
        <v>33</v>
      </c>
      <c r="H103" s="33" t="s">
        <v>34</v>
      </c>
      <c r="I103" s="33" t="s">
        <v>35</v>
      </c>
      <c r="J103" s="33" t="s">
        <v>82</v>
      </c>
      <c r="K103" s="34" t="s">
        <v>77</v>
      </c>
      <c r="L103" s="34" t="s">
        <v>78</v>
      </c>
      <c r="M103" s="34" t="s">
        <v>79</v>
      </c>
      <c r="N103" s="34" t="s">
        <v>80</v>
      </c>
      <c r="O103" s="47" t="s">
        <v>36</v>
      </c>
      <c r="P103" s="47" t="s">
        <v>37</v>
      </c>
      <c r="Q103" s="47" t="s">
        <v>83</v>
      </c>
      <c r="R103" s="34" t="s">
        <v>38</v>
      </c>
      <c r="S103" s="33" t="s">
        <v>39</v>
      </c>
      <c r="T103" s="33" t="s">
        <v>40</v>
      </c>
      <c r="U103" s="48" t="s">
        <v>41</v>
      </c>
      <c r="V103" s="33" t="s">
        <v>73</v>
      </c>
      <c r="W103" s="33" t="s">
        <v>42</v>
      </c>
      <c r="X103" s="33" t="s">
        <v>43</v>
      </c>
      <c r="Y103" s="33" t="s">
        <v>44</v>
      </c>
    </row>
    <row r="104" spans="1:26" s="35" customFormat="1" x14ac:dyDescent="0.2">
      <c r="F104" s="35" t="s">
        <v>45</v>
      </c>
      <c r="G104" s="13" t="s">
        <v>27</v>
      </c>
      <c r="H104" s="35" t="s">
        <v>46</v>
      </c>
      <c r="I104" s="35" t="s">
        <v>47</v>
      </c>
      <c r="K104" s="35" t="s">
        <v>48</v>
      </c>
      <c r="L104" s="35" t="s">
        <v>48</v>
      </c>
      <c r="M104" s="36" t="s">
        <v>49</v>
      </c>
      <c r="N104" s="36" t="s">
        <v>50</v>
      </c>
      <c r="O104" s="3" t="s">
        <v>76</v>
      </c>
      <c r="P104" s="3" t="s">
        <v>76</v>
      </c>
      <c r="Q104" s="3" t="s">
        <v>75</v>
      </c>
      <c r="R104" s="36" t="s">
        <v>76</v>
      </c>
      <c r="S104" s="35" t="s">
        <v>81</v>
      </c>
      <c r="T104" s="35" t="s">
        <v>81</v>
      </c>
      <c r="U104" s="1" t="s">
        <v>51</v>
      </c>
      <c r="V104" s="35" t="s">
        <v>74</v>
      </c>
    </row>
    <row r="105" spans="1:26" s="2" customFormat="1" x14ac:dyDescent="0.2">
      <c r="D105" s="2" t="s">
        <v>185</v>
      </c>
      <c r="E105" s="43" t="s">
        <v>119</v>
      </c>
      <c r="F105" s="2">
        <v>2300</v>
      </c>
      <c r="G105" s="13">
        <v>0.17</v>
      </c>
      <c r="H105" s="2">
        <v>2.2999999999999998</v>
      </c>
      <c r="I105" s="2">
        <f t="shared" ref="I105" si="51">H105/G105</f>
        <v>13.52941176470588</v>
      </c>
      <c r="K105" s="49">
        <v>8.8700000000000001E-2</v>
      </c>
      <c r="L105" s="51">
        <v>1.26E-2</v>
      </c>
      <c r="M105" s="40">
        <v>0</v>
      </c>
      <c r="N105" s="2">
        <f t="shared" ref="N105:N106" si="52">M105*3.66</f>
        <v>0</v>
      </c>
      <c r="O105" s="3">
        <f>K105*G105*F105</f>
        <v>34.681700000000006</v>
      </c>
      <c r="P105" s="3">
        <f t="shared" ref="P105:P106" si="53">F105*G105*L105</f>
        <v>4.9265999999999996</v>
      </c>
      <c r="Q105" s="3">
        <f t="shared" ref="Q105:Q106" si="54">F105*G105*N105</f>
        <v>0</v>
      </c>
      <c r="U105" s="1"/>
      <c r="X105" s="2" t="s">
        <v>183</v>
      </c>
    </row>
    <row r="106" spans="1:26" s="2" customFormat="1" x14ac:dyDescent="0.2">
      <c r="D106" s="2" t="s">
        <v>122</v>
      </c>
      <c r="E106" s="57" t="s">
        <v>120</v>
      </c>
      <c r="F106" s="2">
        <v>90</v>
      </c>
      <c r="G106" s="13">
        <v>0.17</v>
      </c>
      <c r="I106" s="2">
        <f>10^100</f>
        <v>1E+100</v>
      </c>
      <c r="K106" s="51">
        <v>0.77300000000000002</v>
      </c>
      <c r="L106" s="59">
        <v>1.2200000000000001E-2</v>
      </c>
      <c r="M106" s="40">
        <v>0</v>
      </c>
      <c r="N106" s="2">
        <f t="shared" si="52"/>
        <v>0</v>
      </c>
      <c r="O106" s="3">
        <f t="shared" ref="O106" si="55">K106*G106*F106</f>
        <v>11.826900000000002</v>
      </c>
      <c r="P106" s="3">
        <f t="shared" si="53"/>
        <v>0.18666000000000002</v>
      </c>
      <c r="Q106" s="3">
        <f t="shared" si="54"/>
        <v>0</v>
      </c>
      <c r="U106" s="1"/>
      <c r="X106" s="2" t="s">
        <v>192</v>
      </c>
    </row>
    <row r="107" spans="1:26" s="18" customFormat="1" ht="17" thickBot="1" x14ac:dyDescent="0.25">
      <c r="A107" s="18" t="s">
        <v>196</v>
      </c>
      <c r="B107" s="18" t="s">
        <v>129</v>
      </c>
      <c r="C107" s="18" t="s">
        <v>202</v>
      </c>
      <c r="G107" s="52"/>
      <c r="I107" s="18" cm="1">
        <f t="array" ref="I107">1/SUM(1/I105:I106)</f>
        <v>13.529411764705882</v>
      </c>
      <c r="O107" s="53">
        <v>0</v>
      </c>
      <c r="P107" s="53">
        <f>SUM(P105:P106)</f>
        <v>5.1132599999999995</v>
      </c>
      <c r="Q107" s="53">
        <f>SUM(Q105:Q106)</f>
        <v>0</v>
      </c>
      <c r="S107" s="18" t="s">
        <v>88</v>
      </c>
      <c r="U107" s="54"/>
      <c r="V107" s="18" t="s">
        <v>26</v>
      </c>
      <c r="W107" s="18" t="s">
        <v>65</v>
      </c>
      <c r="X107" s="18" t="s">
        <v>197</v>
      </c>
      <c r="Z107" s="18" t="s">
        <v>128</v>
      </c>
    </row>
    <row r="108" spans="1:26" ht="17" thickTop="1" x14ac:dyDescent="0.2"/>
    <row r="109" spans="1:26" s="33" customFormat="1" x14ac:dyDescent="0.2">
      <c r="D109" s="33" t="s">
        <v>30</v>
      </c>
      <c r="E109" s="33" t="s">
        <v>31</v>
      </c>
      <c r="F109" s="33" t="s">
        <v>32</v>
      </c>
      <c r="G109" s="46" t="s">
        <v>33</v>
      </c>
      <c r="H109" s="33" t="s">
        <v>34</v>
      </c>
      <c r="I109" s="33" t="s">
        <v>35</v>
      </c>
      <c r="J109" s="33" t="s">
        <v>82</v>
      </c>
      <c r="K109" s="34" t="s">
        <v>77</v>
      </c>
      <c r="L109" s="34" t="s">
        <v>78</v>
      </c>
      <c r="M109" s="34" t="s">
        <v>79</v>
      </c>
      <c r="N109" s="34" t="s">
        <v>80</v>
      </c>
      <c r="O109" s="47" t="s">
        <v>36</v>
      </c>
      <c r="P109" s="47" t="s">
        <v>37</v>
      </c>
      <c r="Q109" s="47" t="s">
        <v>83</v>
      </c>
      <c r="R109" s="34" t="s">
        <v>38</v>
      </c>
      <c r="S109" s="33" t="s">
        <v>39</v>
      </c>
      <c r="T109" s="33" t="s">
        <v>40</v>
      </c>
      <c r="U109" s="48" t="s">
        <v>41</v>
      </c>
      <c r="V109" s="33" t="s">
        <v>73</v>
      </c>
      <c r="W109" s="33" t="s">
        <v>42</v>
      </c>
      <c r="X109" s="33" t="s">
        <v>43</v>
      </c>
      <c r="Y109" s="33" t="s">
        <v>44</v>
      </c>
    </row>
    <row r="110" spans="1:26" s="35" customFormat="1" x14ac:dyDescent="0.2">
      <c r="F110" s="35" t="s">
        <v>45</v>
      </c>
      <c r="G110" s="13" t="s">
        <v>27</v>
      </c>
      <c r="H110" s="35" t="s">
        <v>46</v>
      </c>
      <c r="I110" s="35" t="s">
        <v>47</v>
      </c>
      <c r="K110" s="35" t="s">
        <v>48</v>
      </c>
      <c r="L110" s="35" t="s">
        <v>48</v>
      </c>
      <c r="M110" s="36" t="s">
        <v>49</v>
      </c>
      <c r="N110" s="36" t="s">
        <v>50</v>
      </c>
      <c r="O110" s="3" t="s">
        <v>76</v>
      </c>
      <c r="P110" s="3" t="s">
        <v>76</v>
      </c>
      <c r="Q110" s="3" t="s">
        <v>75</v>
      </c>
      <c r="R110" s="36" t="s">
        <v>76</v>
      </c>
      <c r="S110" s="35" t="s">
        <v>81</v>
      </c>
      <c r="T110" s="35" t="s">
        <v>81</v>
      </c>
      <c r="U110" s="1" t="s">
        <v>51</v>
      </c>
      <c r="V110" s="35" t="s">
        <v>74</v>
      </c>
    </row>
    <row r="111" spans="1:26" s="2" customFormat="1" x14ac:dyDescent="0.2">
      <c r="D111" s="2" t="s">
        <v>189</v>
      </c>
      <c r="E111" s="43" t="s">
        <v>142</v>
      </c>
      <c r="F111" s="2">
        <v>1850</v>
      </c>
      <c r="G111" s="13">
        <v>0.08</v>
      </c>
      <c r="H111" s="2">
        <v>1.2</v>
      </c>
      <c r="I111" s="2">
        <f>H111/G111</f>
        <v>15</v>
      </c>
      <c r="K111" s="49">
        <v>0.107</v>
      </c>
      <c r="L111" s="60">
        <v>1.2699999999999999E-2</v>
      </c>
      <c r="M111" s="40">
        <v>0</v>
      </c>
      <c r="N111" s="2">
        <f>M111*3.66</f>
        <v>0</v>
      </c>
      <c r="O111" s="3">
        <f>F111*G111*K111</f>
        <v>15.836</v>
      </c>
      <c r="P111" s="3">
        <f>F111*G111*L111</f>
        <v>1.8795999999999999</v>
      </c>
      <c r="Q111" s="3">
        <f>F111*G111*N111</f>
        <v>0</v>
      </c>
      <c r="U111" s="1"/>
      <c r="W111" s="2" t="s">
        <v>65</v>
      </c>
      <c r="X111" s="2" t="s">
        <v>70</v>
      </c>
    </row>
    <row r="112" spans="1:26" s="2" customFormat="1" x14ac:dyDescent="0.2">
      <c r="D112" s="2" t="s">
        <v>201</v>
      </c>
      <c r="E112" s="41">
        <v>3.02</v>
      </c>
      <c r="F112" s="2">
        <v>2000</v>
      </c>
      <c r="G112" s="13">
        <v>0.15</v>
      </c>
      <c r="H112" s="2">
        <v>0.8</v>
      </c>
      <c r="I112" s="2">
        <f>H112/G112</f>
        <v>5.3333333333333339</v>
      </c>
      <c r="K112" s="71">
        <v>1.83E-2</v>
      </c>
      <c r="L112" s="60">
        <v>1.15E-3</v>
      </c>
      <c r="M112" s="40">
        <v>0</v>
      </c>
      <c r="N112" s="2">
        <f t="shared" ref="N112" si="56">M112*3.66</f>
        <v>0</v>
      </c>
      <c r="O112" s="3">
        <f t="shared" ref="O112" si="57">K112*G112*F112</f>
        <v>5.49</v>
      </c>
      <c r="P112" s="3">
        <f t="shared" ref="P112" si="58">F112*G112*L112</f>
        <v>0.34499999999999997</v>
      </c>
      <c r="Q112" s="3">
        <f t="shared" ref="Q112" si="59">F112*G112*N112</f>
        <v>0</v>
      </c>
      <c r="U112" s="1"/>
    </row>
    <row r="113" spans="1:26" s="18" customFormat="1" ht="17" thickBot="1" x14ac:dyDescent="0.25">
      <c r="A113" s="18" t="s">
        <v>200</v>
      </c>
      <c r="B113" s="18" t="s">
        <v>132</v>
      </c>
      <c r="C113" s="18" t="s">
        <v>202</v>
      </c>
      <c r="G113" s="52"/>
      <c r="I113" s="18" cm="1">
        <f t="array" ref="I113">1/SUM(1/I111:I112)</f>
        <v>3.9344262295081971</v>
      </c>
      <c r="O113" s="53">
        <v>0</v>
      </c>
      <c r="P113" s="53">
        <f>SUM(P111:P112)</f>
        <v>2.2245999999999997</v>
      </c>
      <c r="Q113" s="53">
        <f>SUM(Q111:Q112)</f>
        <v>0</v>
      </c>
      <c r="S113" s="18" t="s">
        <v>88</v>
      </c>
      <c r="U113" s="54"/>
      <c r="V113" s="18" t="s">
        <v>26</v>
      </c>
      <c r="W113" s="18" t="s">
        <v>65</v>
      </c>
      <c r="Z113" s="18" t="s">
        <v>128</v>
      </c>
    </row>
    <row r="114" spans="1:26" ht="17" thickTop="1" x14ac:dyDescent="0.2"/>
    <row r="116" spans="1:26" ht="27" x14ac:dyDescent="0.35">
      <c r="B116" s="64" t="s">
        <v>209</v>
      </c>
    </row>
    <row r="117" spans="1:26" s="33" customFormat="1" x14ac:dyDescent="0.2">
      <c r="D117" s="33" t="s">
        <v>30</v>
      </c>
      <c r="E117" s="33" t="s">
        <v>31</v>
      </c>
      <c r="F117" s="33" t="s">
        <v>32</v>
      </c>
      <c r="G117" s="46" t="s">
        <v>33</v>
      </c>
      <c r="H117" s="33" t="s">
        <v>34</v>
      </c>
      <c r="I117" s="33" t="s">
        <v>35</v>
      </c>
      <c r="J117" s="33" t="s">
        <v>82</v>
      </c>
      <c r="K117" s="34" t="s">
        <v>77</v>
      </c>
      <c r="L117" s="34" t="s">
        <v>78</v>
      </c>
      <c r="M117" s="34" t="s">
        <v>79</v>
      </c>
      <c r="N117" s="34" t="s">
        <v>80</v>
      </c>
      <c r="O117" s="47" t="s">
        <v>36</v>
      </c>
      <c r="P117" s="47" t="s">
        <v>37</v>
      </c>
      <c r="Q117" s="47" t="s">
        <v>83</v>
      </c>
      <c r="R117" s="34" t="s">
        <v>38</v>
      </c>
      <c r="S117" s="33" t="s">
        <v>39</v>
      </c>
      <c r="T117" s="33" t="s">
        <v>40</v>
      </c>
      <c r="U117" s="48" t="s">
        <v>41</v>
      </c>
      <c r="V117" s="33" t="s">
        <v>73</v>
      </c>
      <c r="W117" s="33" t="s">
        <v>42</v>
      </c>
      <c r="X117" s="33" t="s">
        <v>43</v>
      </c>
      <c r="Y117" s="33" t="s">
        <v>44</v>
      </c>
    </row>
    <row r="118" spans="1:26" s="35" customFormat="1" x14ac:dyDescent="0.2">
      <c r="F118" s="35" t="s">
        <v>45</v>
      </c>
      <c r="G118" s="13" t="s">
        <v>27</v>
      </c>
      <c r="H118" s="35" t="s">
        <v>46</v>
      </c>
      <c r="I118" s="35" t="s">
        <v>47</v>
      </c>
      <c r="K118" s="35" t="s">
        <v>48</v>
      </c>
      <c r="L118" s="35" t="s">
        <v>48</v>
      </c>
      <c r="M118" s="36" t="s">
        <v>49</v>
      </c>
      <c r="N118" s="36" t="s">
        <v>50</v>
      </c>
      <c r="O118" s="3" t="s">
        <v>76</v>
      </c>
      <c r="P118" s="3" t="s">
        <v>76</v>
      </c>
      <c r="Q118" s="3" t="s">
        <v>75</v>
      </c>
      <c r="R118" s="36" t="s">
        <v>76</v>
      </c>
      <c r="S118" s="35" t="s">
        <v>81</v>
      </c>
      <c r="T118" s="35" t="s">
        <v>81</v>
      </c>
      <c r="U118" s="1" t="s">
        <v>51</v>
      </c>
      <c r="V118" s="35" t="s">
        <v>74</v>
      </c>
    </row>
    <row r="119" spans="1:26" s="2" customFormat="1" x14ac:dyDescent="0.2">
      <c r="D119" s="2" t="s">
        <v>205</v>
      </c>
      <c r="E119" s="43" t="s">
        <v>57</v>
      </c>
      <c r="F119" s="2">
        <v>1100</v>
      </c>
      <c r="G119" s="13">
        <v>0.32</v>
      </c>
      <c r="H119" s="2">
        <v>0.35</v>
      </c>
      <c r="I119" s="2">
        <f t="shared" ref="I119:I120" si="60">H119/G119</f>
        <v>1.09375</v>
      </c>
      <c r="K119" s="51">
        <v>0.254</v>
      </c>
      <c r="L119" s="60">
        <v>1.2699999999999999E-2</v>
      </c>
      <c r="M119" s="40">
        <v>0</v>
      </c>
      <c r="N119" s="2">
        <f t="shared" ref="N119" si="61">M119*3.66</f>
        <v>0</v>
      </c>
      <c r="O119" s="3">
        <f t="shared" ref="O119:O120" si="62">F119*G119*K119</f>
        <v>89.408000000000001</v>
      </c>
      <c r="P119" s="3">
        <f>F119*G119*L119</f>
        <v>4.4703999999999997</v>
      </c>
      <c r="Q119" s="3">
        <f>F119*G119*N119</f>
        <v>0</v>
      </c>
      <c r="U119" s="1"/>
    </row>
    <row r="120" spans="1:26" s="2" customFormat="1" x14ac:dyDescent="0.2">
      <c r="D120" s="2" t="s">
        <v>54</v>
      </c>
      <c r="E120" s="43" t="s">
        <v>56</v>
      </c>
      <c r="F120" s="2">
        <v>1800</v>
      </c>
      <c r="G120" s="13">
        <v>1.4999999999999999E-2</v>
      </c>
      <c r="H120" s="2">
        <v>0.8</v>
      </c>
      <c r="I120" s="2">
        <f t="shared" si="60"/>
        <v>53.333333333333336</v>
      </c>
      <c r="K120" s="49">
        <v>0.248</v>
      </c>
      <c r="L120" s="51">
        <v>1.2699999999999999E-2</v>
      </c>
      <c r="M120" s="40">
        <v>0</v>
      </c>
      <c r="N120" s="2">
        <f>M120*3.66</f>
        <v>0</v>
      </c>
      <c r="O120" s="3">
        <f t="shared" si="62"/>
        <v>6.6959999999999997</v>
      </c>
      <c r="P120" s="3">
        <f t="shared" ref="P120" si="63">F120*G120*L120</f>
        <v>0.34289999999999998</v>
      </c>
      <c r="Q120" s="3">
        <f>F120*G120*N120</f>
        <v>0</v>
      </c>
      <c r="U120" s="1"/>
    </row>
    <row r="121" spans="1:26" s="18" customFormat="1" ht="17" thickBot="1" x14ac:dyDescent="0.25">
      <c r="A121" s="65" t="s">
        <v>204</v>
      </c>
      <c r="B121" s="18" t="s">
        <v>113</v>
      </c>
      <c r="C121" s="18" t="s">
        <v>206</v>
      </c>
      <c r="D121" s="18" t="s">
        <v>207</v>
      </c>
      <c r="G121" s="52"/>
      <c r="I121" s="18" cm="1">
        <f t="array" ref="I121">1/SUM(1/I119:I120)</f>
        <v>1.0717703349282297</v>
      </c>
      <c r="O121" s="53">
        <v>0</v>
      </c>
      <c r="P121" s="53">
        <f>SUM(P119:P120)</f>
        <v>4.8132999999999999</v>
      </c>
      <c r="Q121" s="53">
        <f>SUM(Q119:Q120)</f>
        <v>0</v>
      </c>
      <c r="S121" s="18" t="s">
        <v>88</v>
      </c>
      <c r="U121" s="54"/>
      <c r="V121" s="18" t="s">
        <v>26</v>
      </c>
      <c r="W121" s="18" t="s">
        <v>208</v>
      </c>
      <c r="Z121" s="18" t="s">
        <v>128</v>
      </c>
    </row>
    <row r="122" spans="1:26" ht="17" thickTop="1" x14ac:dyDescent="0.2"/>
    <row r="123" spans="1:26" s="33" customFormat="1" x14ac:dyDescent="0.2">
      <c r="D123" s="33" t="s">
        <v>30</v>
      </c>
      <c r="E123" s="33" t="s">
        <v>31</v>
      </c>
      <c r="F123" s="33" t="s">
        <v>32</v>
      </c>
      <c r="G123" s="46" t="s">
        <v>33</v>
      </c>
      <c r="H123" s="33" t="s">
        <v>34</v>
      </c>
      <c r="I123" s="33" t="s">
        <v>35</v>
      </c>
      <c r="J123" s="33" t="s">
        <v>82</v>
      </c>
      <c r="K123" s="34" t="s">
        <v>77</v>
      </c>
      <c r="L123" s="34" t="s">
        <v>78</v>
      </c>
      <c r="M123" s="34" t="s">
        <v>79</v>
      </c>
      <c r="N123" s="34" t="s">
        <v>80</v>
      </c>
      <c r="O123" s="47" t="s">
        <v>36</v>
      </c>
      <c r="P123" s="47" t="s">
        <v>37</v>
      </c>
      <c r="Q123" s="47" t="s">
        <v>83</v>
      </c>
      <c r="R123" s="34" t="s">
        <v>38</v>
      </c>
      <c r="S123" s="33" t="s">
        <v>39</v>
      </c>
      <c r="T123" s="33" t="s">
        <v>40</v>
      </c>
      <c r="U123" s="48" t="s">
        <v>41</v>
      </c>
      <c r="V123" s="33" t="s">
        <v>73</v>
      </c>
      <c r="W123" s="33" t="s">
        <v>42</v>
      </c>
      <c r="X123" s="33" t="s">
        <v>43</v>
      </c>
      <c r="Y123" s="33" t="s">
        <v>44</v>
      </c>
    </row>
    <row r="124" spans="1:26" s="35" customFormat="1" x14ac:dyDescent="0.2">
      <c r="F124" s="35" t="s">
        <v>45</v>
      </c>
      <c r="G124" s="13" t="s">
        <v>27</v>
      </c>
      <c r="H124" s="35" t="s">
        <v>46</v>
      </c>
      <c r="I124" s="35" t="s">
        <v>47</v>
      </c>
      <c r="K124" s="35" t="s">
        <v>48</v>
      </c>
      <c r="L124" s="35" t="s">
        <v>48</v>
      </c>
      <c r="M124" s="36" t="s">
        <v>49</v>
      </c>
      <c r="N124" s="36" t="s">
        <v>50</v>
      </c>
      <c r="O124" s="3" t="s">
        <v>76</v>
      </c>
      <c r="P124" s="3" t="s">
        <v>76</v>
      </c>
      <c r="Q124" s="3" t="s">
        <v>75</v>
      </c>
      <c r="R124" s="36" t="s">
        <v>76</v>
      </c>
      <c r="S124" s="35" t="s">
        <v>81</v>
      </c>
      <c r="T124" s="35" t="s">
        <v>81</v>
      </c>
      <c r="U124" s="1" t="s">
        <v>51</v>
      </c>
      <c r="V124" s="35" t="s">
        <v>74</v>
      </c>
    </row>
    <row r="125" spans="1:26" s="2" customFormat="1" x14ac:dyDescent="0.2">
      <c r="D125" s="2" t="s">
        <v>185</v>
      </c>
      <c r="E125" s="43" t="s">
        <v>119</v>
      </c>
      <c r="F125" s="2">
        <v>2300</v>
      </c>
      <c r="G125" s="13">
        <v>0.32</v>
      </c>
      <c r="H125" s="2">
        <v>2.2999999999999998</v>
      </c>
      <c r="I125" s="2">
        <f t="shared" ref="I125" si="64">H125/G125</f>
        <v>7.1874999999999991</v>
      </c>
      <c r="K125" s="49">
        <v>8.8700000000000001E-2</v>
      </c>
      <c r="L125" s="51">
        <v>1.26E-2</v>
      </c>
      <c r="M125" s="40">
        <v>0</v>
      </c>
      <c r="N125" s="2">
        <f t="shared" ref="N125:N126" si="65">M125*3.66</f>
        <v>0</v>
      </c>
      <c r="O125" s="3">
        <f>K125*G125*F125</f>
        <v>65.283199999999994</v>
      </c>
      <c r="P125" s="3">
        <f t="shared" ref="P125:P126" si="66">F125*G125*L125</f>
        <v>9.2736000000000001</v>
      </c>
      <c r="Q125" s="3">
        <f t="shared" ref="Q125:Q126" si="67">F125*G125*N125</f>
        <v>0</v>
      </c>
      <c r="U125" s="1"/>
      <c r="X125" s="2" t="s">
        <v>183</v>
      </c>
    </row>
    <row r="126" spans="1:26" s="2" customFormat="1" x14ac:dyDescent="0.2">
      <c r="D126" s="2" t="s">
        <v>122</v>
      </c>
      <c r="E126" s="57" t="s">
        <v>120</v>
      </c>
      <c r="F126" s="2">
        <v>60</v>
      </c>
      <c r="G126" s="13">
        <v>0.32</v>
      </c>
      <c r="I126" s="2">
        <f>10^100</f>
        <v>1E+100</v>
      </c>
      <c r="K126" s="51">
        <v>0.77300000000000002</v>
      </c>
      <c r="L126" s="59">
        <v>1.2200000000000001E-2</v>
      </c>
      <c r="M126" s="40">
        <v>0</v>
      </c>
      <c r="N126" s="2">
        <f t="shared" si="65"/>
        <v>0</v>
      </c>
      <c r="O126" s="3">
        <f t="shared" ref="O126" si="68">K126*G126*F126</f>
        <v>14.841600000000001</v>
      </c>
      <c r="P126" s="3">
        <f t="shared" si="66"/>
        <v>0.23424</v>
      </c>
      <c r="Q126" s="3">
        <f t="shared" si="67"/>
        <v>0</v>
      </c>
      <c r="U126" s="1"/>
      <c r="X126" s="2" t="s">
        <v>184</v>
      </c>
    </row>
    <row r="127" spans="1:26" s="18" customFormat="1" ht="17" thickBot="1" x14ac:dyDescent="0.25">
      <c r="A127" s="65" t="s">
        <v>244</v>
      </c>
      <c r="B127" s="18" t="s">
        <v>113</v>
      </c>
      <c r="C127" s="18" t="s">
        <v>245</v>
      </c>
      <c r="D127" s="18" t="s">
        <v>207</v>
      </c>
      <c r="G127" s="52"/>
      <c r="I127" s="18" cm="1">
        <f t="array" ref="I127">1/SUM(1/I125:I126)</f>
        <v>7.1874999999999982</v>
      </c>
      <c r="O127" s="53">
        <v>0</v>
      </c>
      <c r="P127" s="53">
        <f>SUM(P125:P126)</f>
        <v>9.5078399999999998</v>
      </c>
      <c r="Q127" s="53">
        <f>SUM(Q125:Q126)</f>
        <v>0</v>
      </c>
      <c r="S127" s="18" t="s">
        <v>88</v>
      </c>
      <c r="U127" s="54"/>
      <c r="V127" s="18" t="s">
        <v>26</v>
      </c>
      <c r="W127" s="18" t="s">
        <v>208</v>
      </c>
      <c r="X127" s="18" t="s">
        <v>246</v>
      </c>
      <c r="Z127" s="18" t="s">
        <v>128</v>
      </c>
    </row>
    <row r="128" spans="1:26" ht="17" thickTop="1" x14ac:dyDescent="0.2"/>
    <row r="129" spans="1:26" s="33" customFormat="1" x14ac:dyDescent="0.2">
      <c r="D129" s="33" t="s">
        <v>30</v>
      </c>
      <c r="E129" s="33" t="s">
        <v>31</v>
      </c>
      <c r="F129" s="33" t="s">
        <v>32</v>
      </c>
      <c r="G129" s="46" t="s">
        <v>33</v>
      </c>
      <c r="H129" s="33" t="s">
        <v>34</v>
      </c>
      <c r="I129" s="33" t="s">
        <v>35</v>
      </c>
      <c r="J129" s="33" t="s">
        <v>82</v>
      </c>
      <c r="K129" s="34" t="s">
        <v>77</v>
      </c>
      <c r="L129" s="34" t="s">
        <v>78</v>
      </c>
      <c r="M129" s="34" t="s">
        <v>79</v>
      </c>
      <c r="N129" s="34" t="s">
        <v>80</v>
      </c>
      <c r="O129" s="47" t="s">
        <v>36</v>
      </c>
      <c r="P129" s="47" t="s">
        <v>37</v>
      </c>
      <c r="Q129" s="47" t="s">
        <v>83</v>
      </c>
      <c r="R129" s="34" t="s">
        <v>38</v>
      </c>
      <c r="S129" s="33" t="s">
        <v>39</v>
      </c>
      <c r="T129" s="33" t="s">
        <v>40</v>
      </c>
      <c r="U129" s="48" t="s">
        <v>41</v>
      </c>
      <c r="V129" s="33" t="s">
        <v>73</v>
      </c>
      <c r="W129" s="33" t="s">
        <v>42</v>
      </c>
      <c r="X129" s="33" t="s">
        <v>43</v>
      </c>
      <c r="Y129" s="33" t="s">
        <v>44</v>
      </c>
    </row>
    <row r="130" spans="1:26" s="35" customFormat="1" x14ac:dyDescent="0.2">
      <c r="F130" s="35" t="s">
        <v>45</v>
      </c>
      <c r="G130" s="13" t="s">
        <v>27</v>
      </c>
      <c r="H130" s="35" t="s">
        <v>46</v>
      </c>
      <c r="I130" s="35" t="s">
        <v>47</v>
      </c>
      <c r="K130" s="35" t="s">
        <v>48</v>
      </c>
      <c r="L130" s="35" t="s">
        <v>48</v>
      </c>
      <c r="M130" s="36" t="s">
        <v>49</v>
      </c>
      <c r="N130" s="36" t="s">
        <v>50</v>
      </c>
      <c r="O130" s="3" t="s">
        <v>76</v>
      </c>
      <c r="P130" s="3" t="s">
        <v>76</v>
      </c>
      <c r="Q130" s="3" t="s">
        <v>75</v>
      </c>
      <c r="R130" s="36" t="s">
        <v>76</v>
      </c>
      <c r="S130" s="35" t="s">
        <v>81</v>
      </c>
      <c r="T130" s="35" t="s">
        <v>81</v>
      </c>
      <c r="U130" s="1" t="s">
        <v>51</v>
      </c>
      <c r="V130" s="35" t="s">
        <v>74</v>
      </c>
    </row>
    <row r="131" spans="1:26" s="2" customFormat="1" x14ac:dyDescent="0.2">
      <c r="D131" s="2" t="s">
        <v>285</v>
      </c>
      <c r="E131" s="43" t="s">
        <v>286</v>
      </c>
      <c r="F131" s="2">
        <v>465</v>
      </c>
      <c r="G131" s="13">
        <v>0.02</v>
      </c>
      <c r="H131" s="2">
        <v>0.15</v>
      </c>
      <c r="I131" s="2">
        <f>H131/G131</f>
        <v>7.5</v>
      </c>
      <c r="K131" s="49">
        <v>0.13400000000000001</v>
      </c>
      <c r="L131" s="50">
        <v>3.9E-2</v>
      </c>
      <c r="M131" s="40">
        <v>0.45100000000000001</v>
      </c>
      <c r="N131" s="2">
        <f>M131*3.66</f>
        <v>1.65066</v>
      </c>
      <c r="O131" s="3">
        <f>K131*G131*F131</f>
        <v>1.2462</v>
      </c>
      <c r="P131" s="3">
        <f>F131*G131*L131</f>
        <v>0.36270000000000002</v>
      </c>
      <c r="Q131" s="3">
        <f t="shared" ref="Q131:Q132" si="69">F131*G131*N131</f>
        <v>15.351138000000001</v>
      </c>
      <c r="U131" s="1"/>
    </row>
    <row r="132" spans="1:26" s="2" customFormat="1" x14ac:dyDescent="0.2">
      <c r="D132" s="2" t="s">
        <v>287</v>
      </c>
      <c r="E132" s="43" t="s">
        <v>286</v>
      </c>
      <c r="F132" s="2">
        <v>465</v>
      </c>
      <c r="G132" s="13">
        <v>3.6900000000000002E-2</v>
      </c>
      <c r="I132" s="2">
        <f>10^100</f>
        <v>1E+100</v>
      </c>
      <c r="K132" s="49">
        <v>0.13400000000000001</v>
      </c>
      <c r="L132" s="50">
        <v>3.9E-2</v>
      </c>
      <c r="M132" s="40">
        <v>0.45100000000000001</v>
      </c>
      <c r="N132" s="2">
        <f>M132*3.66</f>
        <v>1.65066</v>
      </c>
      <c r="O132" s="3">
        <f>K132*G132*F132</f>
        <v>2.299239</v>
      </c>
      <c r="P132" s="3">
        <f>F132*G132*L132</f>
        <v>0.66918149999999998</v>
      </c>
      <c r="Q132" s="3">
        <f t="shared" si="69"/>
        <v>28.322849609999999</v>
      </c>
      <c r="U132" s="1"/>
    </row>
    <row r="133" spans="1:26" s="2" customFormat="1" x14ac:dyDescent="0.2">
      <c r="D133" s="2" t="s">
        <v>293</v>
      </c>
      <c r="E133" s="43" t="s">
        <v>288</v>
      </c>
      <c r="F133" s="2">
        <v>100</v>
      </c>
      <c r="G133" s="13">
        <v>0.06</v>
      </c>
      <c r="H133" s="2">
        <v>0.05</v>
      </c>
      <c r="I133" s="2">
        <f>H133/G133</f>
        <v>0.83333333333333337</v>
      </c>
      <c r="K133" s="49">
        <v>9.5600000000000004E-2</v>
      </c>
      <c r="L133" s="50">
        <v>0</v>
      </c>
      <c r="M133" s="40">
        <v>0.36799999999999999</v>
      </c>
      <c r="N133" s="2">
        <f>M133*3.66</f>
        <v>1.3468800000000001</v>
      </c>
      <c r="O133" s="3">
        <f>K133*G133*F133</f>
        <v>0.5736</v>
      </c>
      <c r="P133" s="3">
        <f>F133*G133*L133</f>
        <v>0</v>
      </c>
      <c r="Q133" s="3">
        <f>F133*G133*N133</f>
        <v>8.0812799999999996</v>
      </c>
      <c r="U133" s="1"/>
    </row>
    <row r="134" spans="1:26" s="2" customFormat="1" x14ac:dyDescent="0.2">
      <c r="D134" s="2" t="s">
        <v>289</v>
      </c>
      <c r="E134" s="43" t="s">
        <v>286</v>
      </c>
      <c r="F134" s="2">
        <v>465</v>
      </c>
      <c r="G134" s="13">
        <f>0.03*0.06*(1/0.65)</f>
        <v>2.7692307692307691E-3</v>
      </c>
      <c r="H134" s="2">
        <v>0.17199999999999999</v>
      </c>
      <c r="I134" s="2">
        <f>10^100</f>
        <v>1E+100</v>
      </c>
      <c r="K134" s="49">
        <v>0.13400000000000001</v>
      </c>
      <c r="L134" s="50">
        <v>3.9E-2</v>
      </c>
      <c r="M134" s="40">
        <v>0.45100000000000001</v>
      </c>
      <c r="N134" s="2">
        <f>M134*3.66</f>
        <v>1.65066</v>
      </c>
      <c r="O134" s="3">
        <f>K134*G134*F134</f>
        <v>0.17255076923076923</v>
      </c>
      <c r="P134" s="3">
        <f>F134*G134*L134</f>
        <v>5.0220000000000001E-2</v>
      </c>
      <c r="Q134" s="3">
        <f>F134*G134*N134</f>
        <v>2.1255421846153846</v>
      </c>
      <c r="U134" s="1"/>
    </row>
    <row r="135" spans="1:26" s="2" customFormat="1" x14ac:dyDescent="0.2">
      <c r="D135" s="2" t="s">
        <v>296</v>
      </c>
      <c r="E135" s="57" t="s">
        <v>288</v>
      </c>
      <c r="F135" s="2">
        <v>100</v>
      </c>
      <c r="G135" s="13">
        <v>5.0000000000000001E-3</v>
      </c>
      <c r="H135" s="2">
        <v>0.5</v>
      </c>
      <c r="I135" s="2">
        <f>10^100</f>
        <v>1E+100</v>
      </c>
      <c r="K135" s="71">
        <v>9.5600000000000004E-2</v>
      </c>
      <c r="L135" s="50">
        <v>0</v>
      </c>
      <c r="M135" s="50">
        <v>0.36799999999999999</v>
      </c>
      <c r="N135" s="2">
        <f t="shared" ref="N135:N136" si="70">M135*3.66</f>
        <v>1.3468800000000001</v>
      </c>
      <c r="O135" s="3">
        <f t="shared" ref="O135:O136" si="71">K135*G135*F135</f>
        <v>4.7800000000000002E-2</v>
      </c>
      <c r="P135" s="3">
        <f t="shared" ref="P135:P136" si="72">F135*G135*L135</f>
        <v>0</v>
      </c>
      <c r="Q135" s="3">
        <f t="shared" ref="Q135:Q136" si="73">F135*G135*N135</f>
        <v>0.67344000000000004</v>
      </c>
      <c r="U135" s="1"/>
    </row>
    <row r="136" spans="1:26" s="2" customFormat="1" x14ac:dyDescent="0.2">
      <c r="D136" s="2" t="s">
        <v>294</v>
      </c>
      <c r="E136" s="57" t="s">
        <v>295</v>
      </c>
      <c r="F136" s="2">
        <v>1100</v>
      </c>
      <c r="G136" s="13">
        <v>1.4999999999999999E-2</v>
      </c>
      <c r="H136" s="2">
        <v>0.7</v>
      </c>
      <c r="I136" s="2">
        <f>H136/G136</f>
        <v>46.666666666666664</v>
      </c>
      <c r="K136" s="71">
        <v>0.13800000000000001</v>
      </c>
      <c r="L136" s="60">
        <v>1.2699999999999999E-2</v>
      </c>
      <c r="M136" s="40">
        <v>0</v>
      </c>
      <c r="N136" s="2">
        <f t="shared" si="70"/>
        <v>0</v>
      </c>
      <c r="O136" s="3">
        <f t="shared" si="71"/>
        <v>2.2770000000000001</v>
      </c>
      <c r="P136" s="3">
        <f t="shared" si="72"/>
        <v>0.20954999999999999</v>
      </c>
      <c r="Q136" s="3">
        <f t="shared" si="73"/>
        <v>0</v>
      </c>
      <c r="U136" s="1"/>
    </row>
    <row r="137" spans="1:26" s="18" customFormat="1" ht="17" thickBot="1" x14ac:dyDescent="0.25">
      <c r="A137" s="18" t="s">
        <v>292</v>
      </c>
      <c r="B137" s="18" t="s">
        <v>129</v>
      </c>
      <c r="G137" s="52"/>
      <c r="I137" s="18" cm="1">
        <f t="array" ref="I137">1/SUM(1/I131:I135)</f>
        <v>0.75</v>
      </c>
      <c r="O137" s="53">
        <v>0</v>
      </c>
      <c r="P137" s="53">
        <f>SUM(P131:P135)</f>
        <v>1.0821014999999998</v>
      </c>
      <c r="Q137" s="53">
        <f>SUM(Q131:Q135)</f>
        <v>54.55424979461538</v>
      </c>
      <c r="S137" s="18" t="s">
        <v>88</v>
      </c>
      <c r="T137" s="18">
        <v>80</v>
      </c>
      <c r="U137" s="54"/>
      <c r="V137" s="18" t="s">
        <v>26</v>
      </c>
      <c r="W137" s="18" t="s">
        <v>208</v>
      </c>
      <c r="X137" s="18" t="s">
        <v>290</v>
      </c>
      <c r="Y137" s="18" t="s">
        <v>291</v>
      </c>
      <c r="Z137" s="18" t="s">
        <v>128</v>
      </c>
    </row>
    <row r="138" spans="1:26" ht="17" thickTop="1" x14ac:dyDescent="0.2"/>
    <row r="139" spans="1:26" s="33" customFormat="1" x14ac:dyDescent="0.2">
      <c r="D139" s="33" t="s">
        <v>30</v>
      </c>
      <c r="E139" s="33" t="s">
        <v>31</v>
      </c>
      <c r="F139" s="33" t="s">
        <v>32</v>
      </c>
      <c r="G139" s="46" t="s">
        <v>33</v>
      </c>
      <c r="H139" s="33" t="s">
        <v>34</v>
      </c>
      <c r="I139" s="33" t="s">
        <v>35</v>
      </c>
      <c r="J139" s="33" t="s">
        <v>82</v>
      </c>
      <c r="K139" s="34" t="s">
        <v>77</v>
      </c>
      <c r="L139" s="34" t="s">
        <v>78</v>
      </c>
      <c r="M139" s="34" t="s">
        <v>79</v>
      </c>
      <c r="N139" s="34" t="s">
        <v>80</v>
      </c>
      <c r="O139" s="47" t="s">
        <v>36</v>
      </c>
      <c r="P139" s="47" t="s">
        <v>37</v>
      </c>
      <c r="Q139" s="47" t="s">
        <v>83</v>
      </c>
      <c r="R139" s="34" t="s">
        <v>38</v>
      </c>
      <c r="S139" s="33" t="s">
        <v>39</v>
      </c>
      <c r="T139" s="33" t="s">
        <v>40</v>
      </c>
      <c r="U139" s="48" t="s">
        <v>41</v>
      </c>
      <c r="V139" s="33" t="s">
        <v>73</v>
      </c>
      <c r="W139" s="33" t="s">
        <v>42</v>
      </c>
      <c r="X139" s="33" t="s">
        <v>43</v>
      </c>
      <c r="Y139" s="33" t="s">
        <v>44</v>
      </c>
    </row>
    <row r="140" spans="1:26" s="35" customFormat="1" x14ac:dyDescent="0.2">
      <c r="F140" s="35" t="s">
        <v>45</v>
      </c>
      <c r="G140" s="13" t="s">
        <v>27</v>
      </c>
      <c r="H140" s="35" t="s">
        <v>46</v>
      </c>
      <c r="I140" s="35" t="s">
        <v>47</v>
      </c>
      <c r="K140" s="35" t="s">
        <v>48</v>
      </c>
      <c r="L140" s="35" t="s">
        <v>48</v>
      </c>
      <c r="M140" s="36" t="s">
        <v>49</v>
      </c>
      <c r="N140" s="36" t="s">
        <v>50</v>
      </c>
      <c r="O140" s="3" t="s">
        <v>76</v>
      </c>
      <c r="P140" s="3" t="s">
        <v>76</v>
      </c>
      <c r="Q140" s="3" t="s">
        <v>75</v>
      </c>
      <c r="R140" s="36" t="s">
        <v>76</v>
      </c>
      <c r="S140" s="35" t="s">
        <v>81</v>
      </c>
      <c r="T140" s="35" t="s">
        <v>81</v>
      </c>
      <c r="U140" s="1" t="s">
        <v>51</v>
      </c>
      <c r="V140" s="35" t="s">
        <v>74</v>
      </c>
    </row>
    <row r="141" spans="1:26" s="2" customFormat="1" x14ac:dyDescent="0.2">
      <c r="D141" s="2" t="s">
        <v>265</v>
      </c>
      <c r="E141" s="43" t="s">
        <v>266</v>
      </c>
      <c r="F141" s="2">
        <v>2000</v>
      </c>
      <c r="G141" s="13">
        <v>0.04</v>
      </c>
      <c r="H141" s="2">
        <v>2</v>
      </c>
      <c r="I141" s="2">
        <f t="shared" ref="I141:I142" si="74">H141/G141</f>
        <v>50</v>
      </c>
      <c r="K141" s="62">
        <v>5.0000000000000001E-3</v>
      </c>
      <c r="L141" s="60">
        <v>1.26E-2</v>
      </c>
      <c r="M141" s="40">
        <v>0</v>
      </c>
      <c r="N141" s="2">
        <f t="shared" ref="N141:N144" si="75">M141*3.66</f>
        <v>0</v>
      </c>
      <c r="O141" s="3">
        <f t="shared" ref="O141:O144" si="76">K141*G141*F141</f>
        <v>0.4</v>
      </c>
      <c r="P141" s="3">
        <f t="shared" ref="P141:P144" si="77">F141*G141*L141</f>
        <v>1.008</v>
      </c>
      <c r="Q141" s="3">
        <f t="shared" ref="Q141:Q144" si="78">F141*G141*N141</f>
        <v>0</v>
      </c>
      <c r="U141" s="1"/>
    </row>
    <row r="142" spans="1:26" s="2" customFormat="1" x14ac:dyDescent="0.2">
      <c r="D142" s="2" t="s">
        <v>145</v>
      </c>
      <c r="E142" s="43" t="s">
        <v>146</v>
      </c>
      <c r="F142" s="61">
        <v>2000</v>
      </c>
      <c r="G142" s="13">
        <v>0.04</v>
      </c>
      <c r="H142" s="2">
        <v>2</v>
      </c>
      <c r="I142" s="2">
        <f t="shared" si="74"/>
        <v>50</v>
      </c>
      <c r="K142" s="62">
        <v>3.0500000000000002E-3</v>
      </c>
      <c r="L142" s="60">
        <v>1.26E-2</v>
      </c>
      <c r="M142" s="40">
        <v>0</v>
      </c>
      <c r="N142" s="2">
        <f t="shared" si="75"/>
        <v>0</v>
      </c>
      <c r="O142" s="3">
        <f t="shared" si="76"/>
        <v>0.24400000000000002</v>
      </c>
      <c r="P142" s="3">
        <f t="shared" si="77"/>
        <v>1.008</v>
      </c>
      <c r="Q142" s="3">
        <f t="shared" si="78"/>
        <v>0</v>
      </c>
      <c r="U142" s="1"/>
    </row>
    <row r="143" spans="1:26" s="2" customFormat="1" x14ac:dyDescent="0.2">
      <c r="D143" s="2" t="s">
        <v>267</v>
      </c>
      <c r="E143" s="43" t="s">
        <v>268</v>
      </c>
      <c r="F143" s="2">
        <v>920</v>
      </c>
      <c r="G143" s="13">
        <v>6.0000000000000001E-3</v>
      </c>
      <c r="I143" s="2">
        <f>10^100</f>
        <v>1E+100</v>
      </c>
      <c r="K143" s="71">
        <v>2.96</v>
      </c>
      <c r="L143" s="39">
        <v>2.67</v>
      </c>
      <c r="M143" s="40">
        <v>0</v>
      </c>
      <c r="N143" s="2">
        <f t="shared" si="75"/>
        <v>0</v>
      </c>
      <c r="O143" s="3">
        <f t="shared" si="76"/>
        <v>16.339200000000002</v>
      </c>
      <c r="P143" s="3">
        <f t="shared" si="77"/>
        <v>14.7384</v>
      </c>
      <c r="Q143" s="3">
        <f t="shared" si="78"/>
        <v>0</v>
      </c>
      <c r="U143" s="1"/>
    </row>
    <row r="144" spans="1:26" s="2" customFormat="1" x14ac:dyDescent="0.2">
      <c r="D144" s="2" t="s">
        <v>269</v>
      </c>
      <c r="E144" s="43" t="s">
        <v>270</v>
      </c>
      <c r="F144" s="2">
        <v>1000</v>
      </c>
      <c r="G144" s="13">
        <v>3.2000000000000002E-3</v>
      </c>
      <c r="I144" s="2">
        <f>10^100</f>
        <v>1E+100</v>
      </c>
      <c r="K144" s="71">
        <v>2.52</v>
      </c>
      <c r="L144" s="39">
        <v>2.67</v>
      </c>
      <c r="M144" s="40">
        <v>0</v>
      </c>
      <c r="N144" s="2">
        <f t="shared" si="75"/>
        <v>0</v>
      </c>
      <c r="O144" s="3">
        <f t="shared" si="76"/>
        <v>8.0640000000000001</v>
      </c>
      <c r="P144" s="3">
        <f t="shared" si="77"/>
        <v>8.5440000000000005</v>
      </c>
      <c r="Q144" s="3">
        <f t="shared" si="78"/>
        <v>0</v>
      </c>
      <c r="U144" s="1"/>
    </row>
    <row r="145" spans="1:26" s="18" customFormat="1" ht="17" thickBot="1" x14ac:dyDescent="0.25">
      <c r="A145" s="18" t="s">
        <v>272</v>
      </c>
      <c r="B145" s="18" t="s">
        <v>227</v>
      </c>
      <c r="I145" s="18" cm="1">
        <f t="array" ref="I145">1/SUM(1/I141:I144)</f>
        <v>25</v>
      </c>
      <c r="O145" s="18">
        <f>SUM(O141:O144)</f>
        <v>25.0472</v>
      </c>
      <c r="P145" s="18">
        <f>SUM(P141:P144)</f>
        <v>25.298400000000001</v>
      </c>
      <c r="Q145" s="18">
        <f>SUM(Q141:Q144)</f>
        <v>0</v>
      </c>
      <c r="S145" s="18">
        <v>30</v>
      </c>
      <c r="T145" s="18">
        <v>80</v>
      </c>
      <c r="V145" s="18" t="s">
        <v>26</v>
      </c>
      <c r="W145" s="18" t="s">
        <v>223</v>
      </c>
      <c r="X145" s="18" t="s">
        <v>271</v>
      </c>
      <c r="Z145" s="18" t="s">
        <v>128</v>
      </c>
    </row>
    <row r="146" spans="1:26" ht="17" thickTop="1" x14ac:dyDescent="0.2"/>
    <row r="147" spans="1:26" s="33" customFormat="1" x14ac:dyDescent="0.2">
      <c r="D147" s="33" t="s">
        <v>30</v>
      </c>
      <c r="E147" s="33" t="s">
        <v>31</v>
      </c>
      <c r="F147" s="33" t="s">
        <v>32</v>
      </c>
      <c r="G147" s="46" t="s">
        <v>33</v>
      </c>
      <c r="H147" s="33" t="s">
        <v>34</v>
      </c>
      <c r="I147" s="33" t="s">
        <v>35</v>
      </c>
      <c r="J147" s="33" t="s">
        <v>82</v>
      </c>
      <c r="K147" s="34" t="s">
        <v>77</v>
      </c>
      <c r="L147" s="34" t="s">
        <v>78</v>
      </c>
      <c r="M147" s="34" t="s">
        <v>79</v>
      </c>
      <c r="N147" s="34" t="s">
        <v>80</v>
      </c>
      <c r="O147" s="47" t="s">
        <v>36</v>
      </c>
      <c r="P147" s="47" t="s">
        <v>37</v>
      </c>
      <c r="Q147" s="47" t="s">
        <v>83</v>
      </c>
      <c r="R147" s="34" t="s">
        <v>38</v>
      </c>
      <c r="S147" s="33" t="s">
        <v>39</v>
      </c>
      <c r="T147" s="33" t="s">
        <v>40</v>
      </c>
      <c r="U147" s="48" t="s">
        <v>41</v>
      </c>
      <c r="V147" s="33" t="s">
        <v>73</v>
      </c>
      <c r="W147" s="33" t="s">
        <v>42</v>
      </c>
      <c r="X147" s="33" t="s">
        <v>43</v>
      </c>
      <c r="Y147" s="33" t="s">
        <v>44</v>
      </c>
    </row>
    <row r="148" spans="1:26" s="35" customFormat="1" x14ac:dyDescent="0.2">
      <c r="F148" s="35" t="s">
        <v>45</v>
      </c>
      <c r="G148" s="13" t="s">
        <v>27</v>
      </c>
      <c r="H148" s="35" t="s">
        <v>46</v>
      </c>
      <c r="I148" s="35" t="s">
        <v>47</v>
      </c>
      <c r="K148" s="35" t="s">
        <v>48</v>
      </c>
      <c r="L148" s="35" t="s">
        <v>48</v>
      </c>
      <c r="M148" s="36" t="s">
        <v>49</v>
      </c>
      <c r="N148" s="36" t="s">
        <v>50</v>
      </c>
      <c r="O148" s="3" t="s">
        <v>76</v>
      </c>
      <c r="P148" s="3" t="s">
        <v>76</v>
      </c>
      <c r="Q148" s="3" t="s">
        <v>75</v>
      </c>
      <c r="R148" s="36" t="s">
        <v>76</v>
      </c>
      <c r="S148" s="35" t="s">
        <v>81</v>
      </c>
      <c r="T148" s="35" t="s">
        <v>81</v>
      </c>
      <c r="U148" s="1" t="s">
        <v>51</v>
      </c>
      <c r="V148" s="35" t="s">
        <v>74</v>
      </c>
    </row>
    <row r="149" spans="1:26" s="2" customFormat="1" x14ac:dyDescent="0.2">
      <c r="D149" s="2" t="s">
        <v>284</v>
      </c>
      <c r="E149" s="43" t="s">
        <v>191</v>
      </c>
      <c r="F149" s="2">
        <v>120</v>
      </c>
      <c r="G149" s="13">
        <v>0.02</v>
      </c>
      <c r="H149" s="2">
        <v>0.04</v>
      </c>
      <c r="I149" s="2">
        <f>H149/G149</f>
        <v>2</v>
      </c>
      <c r="K149" s="71">
        <v>1.07</v>
      </c>
      <c r="L149" s="51">
        <v>3.8699999999999998E-2</v>
      </c>
      <c r="M149" s="51">
        <v>0.496</v>
      </c>
      <c r="N149" s="2">
        <f t="shared" ref="N149" si="79">M149*3.66</f>
        <v>1.8153600000000001</v>
      </c>
      <c r="O149" s="3">
        <f t="shared" ref="O149" si="80">K149*G149*F149</f>
        <v>2.5680000000000005</v>
      </c>
      <c r="P149" s="3">
        <f t="shared" ref="P149" si="81">F149*G149*L149</f>
        <v>9.287999999999999E-2</v>
      </c>
      <c r="Q149" s="3">
        <f t="shared" ref="Q149" si="82">F149*G149*N149</f>
        <v>4.3568639999999998</v>
      </c>
      <c r="U149" s="1"/>
    </row>
    <row r="150" spans="1:26" s="18" customFormat="1" ht="17" thickBot="1" x14ac:dyDescent="0.25">
      <c r="A150" s="18" t="s">
        <v>283</v>
      </c>
      <c r="B150" s="18" t="s">
        <v>212</v>
      </c>
      <c r="D150" s="18" t="s">
        <v>298</v>
      </c>
      <c r="G150" s="52"/>
      <c r="I150" s="18">
        <f>I149</f>
        <v>2</v>
      </c>
      <c r="O150" s="53">
        <f>SUM(O149:O149)</f>
        <v>2.5680000000000005</v>
      </c>
      <c r="P150" s="53">
        <f>SUM(P149:P149)</f>
        <v>9.287999999999999E-2</v>
      </c>
      <c r="Q150" s="53">
        <f>SUM(Q149:Q149)</f>
        <v>4.3568639999999998</v>
      </c>
      <c r="S150" s="18">
        <v>30</v>
      </c>
      <c r="T150" s="18">
        <v>10</v>
      </c>
      <c r="U150" s="54"/>
      <c r="V150" s="18" t="s">
        <v>26</v>
      </c>
      <c r="W150" s="18" t="s">
        <v>299</v>
      </c>
      <c r="Y150" s="18" t="s">
        <v>111</v>
      </c>
      <c r="Z150" s="18" t="s">
        <v>128</v>
      </c>
    </row>
    <row r="151" spans="1:26" ht="17" thickTop="1" x14ac:dyDescent="0.2"/>
    <row r="152" spans="1:26" ht="27" x14ac:dyDescent="0.35">
      <c r="B152" s="64" t="s">
        <v>231</v>
      </c>
    </row>
    <row r="154" spans="1:26" s="33" customFormat="1" x14ac:dyDescent="0.2">
      <c r="D154" s="33" t="s">
        <v>30</v>
      </c>
      <c r="E154" s="33" t="s">
        <v>31</v>
      </c>
      <c r="F154" s="33" t="s">
        <v>32</v>
      </c>
      <c r="G154" s="46" t="s">
        <v>33</v>
      </c>
      <c r="H154" s="33" t="s">
        <v>34</v>
      </c>
      <c r="I154" s="33" t="s">
        <v>35</v>
      </c>
      <c r="J154" s="33" t="s">
        <v>82</v>
      </c>
      <c r="K154" s="34" t="s">
        <v>77</v>
      </c>
      <c r="L154" s="34" t="s">
        <v>78</v>
      </c>
      <c r="M154" s="34" t="s">
        <v>79</v>
      </c>
      <c r="N154" s="34" t="s">
        <v>80</v>
      </c>
      <c r="O154" s="47" t="s">
        <v>36</v>
      </c>
      <c r="P154" s="47" t="s">
        <v>37</v>
      </c>
      <c r="Q154" s="47" t="s">
        <v>83</v>
      </c>
      <c r="R154" s="34" t="s">
        <v>38</v>
      </c>
      <c r="S154" s="33" t="s">
        <v>39</v>
      </c>
      <c r="T154" s="33" t="s">
        <v>40</v>
      </c>
      <c r="U154" s="48" t="s">
        <v>41</v>
      </c>
      <c r="V154" s="33" t="s">
        <v>73</v>
      </c>
      <c r="W154" s="33" t="s">
        <v>42</v>
      </c>
      <c r="X154" s="33" t="s">
        <v>43</v>
      </c>
      <c r="Y154" s="33" t="s">
        <v>44</v>
      </c>
    </row>
    <row r="155" spans="1:26" s="35" customFormat="1" x14ac:dyDescent="0.2">
      <c r="F155" s="35" t="s">
        <v>45</v>
      </c>
      <c r="G155" s="13" t="s">
        <v>27</v>
      </c>
      <c r="H155" s="35" t="s">
        <v>46</v>
      </c>
      <c r="I155" s="35" t="s">
        <v>47</v>
      </c>
      <c r="K155" s="35" t="s">
        <v>48</v>
      </c>
      <c r="L155" s="35" t="s">
        <v>48</v>
      </c>
      <c r="M155" s="36" t="s">
        <v>49</v>
      </c>
      <c r="N155" s="36" t="s">
        <v>50</v>
      </c>
      <c r="O155" s="3" t="s">
        <v>76</v>
      </c>
      <c r="P155" s="3" t="s">
        <v>76</v>
      </c>
      <c r="Q155" s="3" t="s">
        <v>75</v>
      </c>
      <c r="R155" s="36" t="s">
        <v>76</v>
      </c>
      <c r="S155" s="35" t="s">
        <v>81</v>
      </c>
      <c r="T155" s="35" t="s">
        <v>81</v>
      </c>
      <c r="U155" s="1" t="s">
        <v>51</v>
      </c>
      <c r="V155" s="35" t="s">
        <v>74</v>
      </c>
    </row>
    <row r="156" spans="1:26" s="2" customFormat="1" x14ac:dyDescent="0.2">
      <c r="D156" s="2" t="s">
        <v>178</v>
      </c>
      <c r="E156" s="43" t="s">
        <v>62</v>
      </c>
      <c r="F156" s="2">
        <v>50</v>
      </c>
      <c r="G156" s="13">
        <v>0.1</v>
      </c>
      <c r="H156" s="2">
        <v>3.4000000000000002E-2</v>
      </c>
      <c r="I156" s="2">
        <f>H156/G156</f>
        <v>0.34</v>
      </c>
      <c r="K156" s="71">
        <v>1.1299999999999999</v>
      </c>
      <c r="L156" s="50">
        <v>5.9200000000000003E-2</v>
      </c>
      <c r="M156" s="50">
        <v>0</v>
      </c>
      <c r="N156" s="2">
        <f t="shared" ref="N156:N157" si="83">M156*3.66</f>
        <v>0</v>
      </c>
      <c r="O156" s="3">
        <f t="shared" ref="O156:O157" si="84">K156*G156*F156</f>
        <v>5.6499999999999995</v>
      </c>
      <c r="P156" s="3">
        <f t="shared" ref="P156:P157" si="85">F156*G156*L156</f>
        <v>0.29600000000000004</v>
      </c>
      <c r="Q156" s="3">
        <f t="shared" ref="Q156:Q157" si="86">F156*G156*N156</f>
        <v>0</v>
      </c>
      <c r="U156" s="1"/>
    </row>
    <row r="157" spans="1:26" s="2" customFormat="1" x14ac:dyDescent="0.2">
      <c r="D157" s="2" t="s">
        <v>210</v>
      </c>
      <c r="E157" s="41">
        <v>7.0090000000000003</v>
      </c>
      <c r="F157" s="2">
        <v>485</v>
      </c>
      <c r="G157" s="13">
        <f>0.04*0.06*1</f>
        <v>2.3999999999999998E-3</v>
      </c>
      <c r="H157" s="2">
        <v>0.13</v>
      </c>
      <c r="K157" s="55">
        <v>9.0399999999999994E-2</v>
      </c>
      <c r="L157" s="60">
        <v>3.9E-2</v>
      </c>
      <c r="M157" s="40">
        <v>0.41299999999999998</v>
      </c>
      <c r="N157" s="2">
        <f t="shared" si="83"/>
        <v>1.5115799999999999</v>
      </c>
      <c r="O157" s="3">
        <f t="shared" si="84"/>
        <v>0.10522559999999997</v>
      </c>
      <c r="P157" s="3">
        <f t="shared" si="85"/>
        <v>4.5395999999999999E-2</v>
      </c>
      <c r="Q157" s="3">
        <f t="shared" si="86"/>
        <v>1.7594791199999997</v>
      </c>
      <c r="U157" s="1"/>
      <c r="X157" s="2" t="s">
        <v>211</v>
      </c>
    </row>
    <row r="158" spans="1:26" s="18" customFormat="1" ht="17" thickBot="1" x14ac:dyDescent="0.25">
      <c r="A158" s="18" t="s">
        <v>225</v>
      </c>
      <c r="B158" s="18" t="s">
        <v>212</v>
      </c>
      <c r="G158" s="52"/>
      <c r="I158" s="18">
        <f>I156</f>
        <v>0.34</v>
      </c>
      <c r="O158" s="53">
        <f>SUM(O156:O157)</f>
        <v>5.7552255999999993</v>
      </c>
      <c r="P158" s="53">
        <f>SUM(P156:P157)</f>
        <v>0.34139600000000003</v>
      </c>
      <c r="Q158" s="53">
        <f>SUM(Q156:Q157)</f>
        <v>1.7594791199999997</v>
      </c>
      <c r="S158" s="18">
        <v>30</v>
      </c>
      <c r="T158" s="18">
        <v>80</v>
      </c>
      <c r="U158" s="54"/>
      <c r="V158" s="18" t="s">
        <v>26</v>
      </c>
      <c r="W158" s="18" t="s">
        <v>230</v>
      </c>
      <c r="X158" s="18" t="s">
        <v>213</v>
      </c>
      <c r="Y158" s="18" t="s">
        <v>111</v>
      </c>
      <c r="Z158" s="18" t="s">
        <v>128</v>
      </c>
    </row>
    <row r="159" spans="1:26" ht="17" thickTop="1" x14ac:dyDescent="0.2"/>
    <row r="160" spans="1:26" s="33" customFormat="1" x14ac:dyDescent="0.2">
      <c r="D160" s="33" t="s">
        <v>30</v>
      </c>
      <c r="E160" s="33" t="s">
        <v>31</v>
      </c>
      <c r="F160" s="33" t="s">
        <v>32</v>
      </c>
      <c r="G160" s="46" t="s">
        <v>33</v>
      </c>
      <c r="H160" s="33" t="s">
        <v>34</v>
      </c>
      <c r="I160" s="33" t="s">
        <v>35</v>
      </c>
      <c r="J160" s="33" t="s">
        <v>82</v>
      </c>
      <c r="K160" s="34" t="s">
        <v>77</v>
      </c>
      <c r="L160" s="34" t="s">
        <v>78</v>
      </c>
      <c r="M160" s="34" t="s">
        <v>79</v>
      </c>
      <c r="N160" s="34" t="s">
        <v>80</v>
      </c>
      <c r="O160" s="47" t="s">
        <v>36</v>
      </c>
      <c r="P160" s="47" t="s">
        <v>37</v>
      </c>
      <c r="Q160" s="47" t="s">
        <v>83</v>
      </c>
      <c r="R160" s="34" t="s">
        <v>38</v>
      </c>
      <c r="S160" s="33" t="s">
        <v>39</v>
      </c>
      <c r="T160" s="33" t="s">
        <v>40</v>
      </c>
      <c r="U160" s="48" t="s">
        <v>41</v>
      </c>
      <c r="V160" s="33" t="s">
        <v>73</v>
      </c>
      <c r="W160" s="33" t="s">
        <v>42</v>
      </c>
      <c r="X160" s="33" t="s">
        <v>43</v>
      </c>
      <c r="Y160" s="33" t="s">
        <v>44</v>
      </c>
    </row>
    <row r="161" spans="1:26" s="35" customFormat="1" x14ac:dyDescent="0.2">
      <c r="F161" s="35" t="s">
        <v>45</v>
      </c>
      <c r="G161" s="13" t="s">
        <v>27</v>
      </c>
      <c r="H161" s="35" t="s">
        <v>46</v>
      </c>
      <c r="I161" s="35" t="s">
        <v>47</v>
      </c>
      <c r="K161" s="35" t="s">
        <v>48</v>
      </c>
      <c r="L161" s="35" t="s">
        <v>48</v>
      </c>
      <c r="M161" s="36" t="s">
        <v>49</v>
      </c>
      <c r="N161" s="36" t="s">
        <v>50</v>
      </c>
      <c r="O161" s="3" t="s">
        <v>76</v>
      </c>
      <c r="P161" s="3" t="s">
        <v>76</v>
      </c>
      <c r="Q161" s="3" t="s">
        <v>75</v>
      </c>
      <c r="R161" s="36" t="s">
        <v>76</v>
      </c>
      <c r="S161" s="35" t="s">
        <v>81</v>
      </c>
      <c r="T161" s="35" t="s">
        <v>81</v>
      </c>
      <c r="U161" s="1" t="s">
        <v>51</v>
      </c>
      <c r="V161" s="35" t="s">
        <v>74</v>
      </c>
    </row>
    <row r="162" spans="1:26" s="2" customFormat="1" x14ac:dyDescent="0.2">
      <c r="D162" s="2" t="s">
        <v>214</v>
      </c>
      <c r="E162" s="43" t="s">
        <v>215</v>
      </c>
      <c r="F162" s="2">
        <v>1800</v>
      </c>
      <c r="G162" s="13">
        <f>16/F162</f>
        <v>8.8888888888888889E-3</v>
      </c>
      <c r="H162" s="2">
        <v>0.8</v>
      </c>
      <c r="K162" s="49">
        <v>0.63600000000000001</v>
      </c>
      <c r="L162" s="50">
        <v>1.32E-2</v>
      </c>
      <c r="M162" s="40">
        <v>0</v>
      </c>
      <c r="N162" s="2">
        <f t="shared" ref="N162:N164" si="87">M162*3.66</f>
        <v>0</v>
      </c>
      <c r="O162" s="3">
        <f t="shared" ref="O162:O164" si="88">K162*G162*F162</f>
        <v>10.176</v>
      </c>
      <c r="P162" s="3">
        <f t="shared" ref="P162:P164" si="89">F162*G162*L162</f>
        <v>0.2112</v>
      </c>
      <c r="Q162" s="3">
        <f t="shared" ref="Q162:Q164" si="90">F162*G162*N162</f>
        <v>0</v>
      </c>
      <c r="U162" s="1"/>
      <c r="X162" s="2" t="s">
        <v>216</v>
      </c>
    </row>
    <row r="163" spans="1:26" s="2" customFormat="1" x14ac:dyDescent="0.2">
      <c r="D163" s="2" t="s">
        <v>217</v>
      </c>
      <c r="E163" s="41">
        <v>7.0090000000000003</v>
      </c>
      <c r="F163" s="2">
        <v>485</v>
      </c>
      <c r="G163" s="13">
        <f>0.04*0.06*1.5</f>
        <v>3.5999999999999999E-3</v>
      </c>
      <c r="H163" s="2">
        <v>0.13</v>
      </c>
      <c r="K163" s="55">
        <v>9.0399999999999994E-2</v>
      </c>
      <c r="L163" s="60">
        <v>3.9E-2</v>
      </c>
      <c r="M163" s="40">
        <v>0.41299999999999998</v>
      </c>
      <c r="N163" s="2">
        <f t="shared" si="87"/>
        <v>1.5115799999999999</v>
      </c>
      <c r="O163" s="3">
        <f t="shared" si="88"/>
        <v>0.15783839999999999</v>
      </c>
      <c r="P163" s="3">
        <f t="shared" si="89"/>
        <v>6.8094000000000002E-2</v>
      </c>
      <c r="Q163" s="3">
        <f t="shared" si="90"/>
        <v>2.6392186799999999</v>
      </c>
      <c r="U163" s="1"/>
      <c r="X163" s="2" t="s">
        <v>218</v>
      </c>
    </row>
    <row r="164" spans="1:26" s="2" customFormat="1" x14ac:dyDescent="0.2">
      <c r="D164" s="2" t="s">
        <v>219</v>
      </c>
      <c r="E164" s="43" t="s">
        <v>220</v>
      </c>
      <c r="F164" s="61">
        <v>650</v>
      </c>
      <c r="G164" s="13">
        <v>5.0000000000000001E-4</v>
      </c>
      <c r="H164" s="2">
        <v>0.7</v>
      </c>
      <c r="K164" s="71">
        <v>1.61</v>
      </c>
      <c r="L164" s="50">
        <v>5.8000000000000003E-2</v>
      </c>
      <c r="M164" s="40">
        <v>0.40400000000000003</v>
      </c>
      <c r="N164" s="2">
        <f t="shared" si="87"/>
        <v>1.4786400000000002</v>
      </c>
      <c r="O164" s="3">
        <f t="shared" si="88"/>
        <v>0.52324999999999999</v>
      </c>
      <c r="P164" s="3">
        <f t="shared" si="89"/>
        <v>1.8850000000000002E-2</v>
      </c>
      <c r="Q164" s="3">
        <f t="shared" si="90"/>
        <v>0.4805580000000001</v>
      </c>
      <c r="U164" s="1"/>
      <c r="X164" s="2" t="s">
        <v>221</v>
      </c>
    </row>
    <row r="165" spans="1:26" s="18" customFormat="1" ht="17" thickBot="1" x14ac:dyDescent="0.25">
      <c r="A165" s="18" t="s">
        <v>226</v>
      </c>
      <c r="B165" s="18" t="s">
        <v>222</v>
      </c>
      <c r="I165" s="72"/>
      <c r="O165" s="18">
        <f>SUM(O162:O164)</f>
        <v>10.857088399999999</v>
      </c>
      <c r="P165" s="18">
        <f>SUM(P162:P164)</f>
        <v>0.29814399999999996</v>
      </c>
      <c r="Q165" s="18">
        <f>SUM(Q162:Q164)</f>
        <v>3.1197766800000002</v>
      </c>
      <c r="S165" s="18">
        <v>30</v>
      </c>
      <c r="T165" s="18">
        <v>80</v>
      </c>
      <c r="V165" s="18" t="s">
        <v>26</v>
      </c>
      <c r="W165" s="18" t="s">
        <v>229</v>
      </c>
      <c r="X165" s="18" t="s">
        <v>224</v>
      </c>
      <c r="Y165" s="18" t="s">
        <v>111</v>
      </c>
      <c r="Z165" s="18" t="s">
        <v>128</v>
      </c>
    </row>
    <row r="166" spans="1:26" ht="17" thickTop="1" x14ac:dyDescent="0.2"/>
    <row r="167" spans="1:26" s="33" customFormat="1" x14ac:dyDescent="0.2">
      <c r="D167" s="33" t="s">
        <v>30</v>
      </c>
      <c r="E167" s="33" t="s">
        <v>31</v>
      </c>
      <c r="F167" s="33" t="s">
        <v>32</v>
      </c>
      <c r="G167" s="46" t="s">
        <v>33</v>
      </c>
      <c r="H167" s="33" t="s">
        <v>34</v>
      </c>
      <c r="I167" s="33" t="s">
        <v>35</v>
      </c>
      <c r="J167" s="33" t="s">
        <v>82</v>
      </c>
      <c r="K167" s="34" t="s">
        <v>77</v>
      </c>
      <c r="L167" s="34" t="s">
        <v>78</v>
      </c>
      <c r="M167" s="34" t="s">
        <v>79</v>
      </c>
      <c r="N167" s="34" t="s">
        <v>80</v>
      </c>
      <c r="O167" s="47" t="s">
        <v>36</v>
      </c>
      <c r="P167" s="47" t="s">
        <v>37</v>
      </c>
      <c r="Q167" s="47" t="s">
        <v>83</v>
      </c>
      <c r="R167" s="34" t="s">
        <v>38</v>
      </c>
      <c r="S167" s="33" t="s">
        <v>39</v>
      </c>
      <c r="T167" s="33" t="s">
        <v>40</v>
      </c>
      <c r="U167" s="48" t="s">
        <v>41</v>
      </c>
      <c r="V167" s="33" t="s">
        <v>73</v>
      </c>
      <c r="W167" s="33" t="s">
        <v>42</v>
      </c>
      <c r="X167" s="33" t="s">
        <v>43</v>
      </c>
      <c r="Y167" s="33" t="s">
        <v>44</v>
      </c>
    </row>
    <row r="168" spans="1:26" s="35" customFormat="1" x14ac:dyDescent="0.2">
      <c r="F168" s="35" t="s">
        <v>45</v>
      </c>
      <c r="G168" s="13" t="s">
        <v>27</v>
      </c>
      <c r="H168" s="35" t="s">
        <v>46</v>
      </c>
      <c r="I168" s="35" t="s">
        <v>47</v>
      </c>
      <c r="K168" s="35" t="s">
        <v>48</v>
      </c>
      <c r="L168" s="35" t="s">
        <v>48</v>
      </c>
      <c r="M168" s="36" t="s">
        <v>49</v>
      </c>
      <c r="N168" s="36" t="s">
        <v>50</v>
      </c>
      <c r="O168" s="3" t="s">
        <v>76</v>
      </c>
      <c r="P168" s="3" t="s">
        <v>76</v>
      </c>
      <c r="Q168" s="3" t="s">
        <v>75</v>
      </c>
      <c r="R168" s="36" t="s">
        <v>76</v>
      </c>
      <c r="S168" s="35" t="s">
        <v>81</v>
      </c>
      <c r="T168" s="35" t="s">
        <v>81</v>
      </c>
      <c r="U168" s="1" t="s">
        <v>51</v>
      </c>
      <c r="V168" s="35" t="s">
        <v>74</v>
      </c>
    </row>
    <row r="169" spans="1:26" s="2" customFormat="1" x14ac:dyDescent="0.2">
      <c r="D169" s="2" t="s">
        <v>61</v>
      </c>
      <c r="E169" s="41" t="s">
        <v>60</v>
      </c>
      <c r="F169" s="2">
        <v>500</v>
      </c>
      <c r="G169" s="13">
        <v>1.6E-2</v>
      </c>
      <c r="H169" s="2">
        <v>0.12</v>
      </c>
      <c r="I169" s="2">
        <f t="shared" ref="I169" si="91">H169/G169</f>
        <v>7.5</v>
      </c>
      <c r="K169" s="55">
        <v>9.0399999999999994E-2</v>
      </c>
      <c r="L169" s="60">
        <v>3.9E-2</v>
      </c>
      <c r="M169" s="40">
        <v>0.41299999999999998</v>
      </c>
      <c r="N169" s="2">
        <f t="shared" ref="N169" si="92">M169*3.66</f>
        <v>1.5115799999999999</v>
      </c>
      <c r="O169" s="3">
        <f>F169*G169*K169</f>
        <v>0.72319999999999995</v>
      </c>
      <c r="P169" s="3">
        <f>F169*G169*L169</f>
        <v>0.312</v>
      </c>
      <c r="Q169" s="3">
        <f>F169*G169*N169</f>
        <v>12.092639999999999</v>
      </c>
      <c r="U169" s="1">
        <v>0</v>
      </c>
      <c r="W169" s="2" t="s">
        <v>65</v>
      </c>
    </row>
    <row r="170" spans="1:26" s="18" customFormat="1" ht="17" thickBot="1" x14ac:dyDescent="0.25">
      <c r="A170" s="18" t="s">
        <v>228</v>
      </c>
      <c r="B170" s="18" t="s">
        <v>222</v>
      </c>
      <c r="I170" s="18">
        <f>I169</f>
        <v>7.5</v>
      </c>
      <c r="O170" s="18">
        <f>SUM(O169:O169)</f>
        <v>0.72319999999999995</v>
      </c>
      <c r="P170" s="18">
        <f>SUM(P169:P169)</f>
        <v>0.312</v>
      </c>
      <c r="Q170" s="18">
        <f>SUM(Q169:Q169)</f>
        <v>12.092639999999999</v>
      </c>
      <c r="S170" s="18">
        <v>30</v>
      </c>
      <c r="T170" s="18">
        <v>80</v>
      </c>
      <c r="V170" s="18" t="s">
        <v>26</v>
      </c>
      <c r="W170" s="18" t="s">
        <v>135</v>
      </c>
      <c r="Y170" s="18" t="s">
        <v>111</v>
      </c>
      <c r="Z170" s="18" t="s">
        <v>128</v>
      </c>
    </row>
    <row r="171" spans="1:26" ht="17" thickTop="1" x14ac:dyDescent="0.2"/>
    <row r="172" spans="1:26" s="33" customFormat="1" x14ac:dyDescent="0.2">
      <c r="D172" s="33" t="s">
        <v>30</v>
      </c>
      <c r="E172" s="33" t="s">
        <v>31</v>
      </c>
      <c r="F172" s="33" t="s">
        <v>32</v>
      </c>
      <c r="G172" s="46" t="s">
        <v>33</v>
      </c>
      <c r="H172" s="33" t="s">
        <v>34</v>
      </c>
      <c r="I172" s="33" t="s">
        <v>35</v>
      </c>
      <c r="J172" s="33" t="s">
        <v>82</v>
      </c>
      <c r="K172" s="34" t="s">
        <v>77</v>
      </c>
      <c r="L172" s="34" t="s">
        <v>78</v>
      </c>
      <c r="M172" s="34" t="s">
        <v>79</v>
      </c>
      <c r="N172" s="34" t="s">
        <v>80</v>
      </c>
      <c r="O172" s="47" t="s">
        <v>36</v>
      </c>
      <c r="P172" s="47" t="s">
        <v>37</v>
      </c>
      <c r="Q172" s="47" t="s">
        <v>83</v>
      </c>
      <c r="R172" s="34" t="s">
        <v>38</v>
      </c>
      <c r="S172" s="33" t="s">
        <v>39</v>
      </c>
      <c r="T172" s="33" t="s">
        <v>40</v>
      </c>
      <c r="U172" s="48" t="s">
        <v>41</v>
      </c>
      <c r="V172" s="33" t="s">
        <v>73</v>
      </c>
      <c r="W172" s="33" t="s">
        <v>42</v>
      </c>
      <c r="X172" s="33" t="s">
        <v>43</v>
      </c>
      <c r="Y172" s="33" t="s">
        <v>44</v>
      </c>
    </row>
    <row r="173" spans="1:26" s="35" customFormat="1" x14ac:dyDescent="0.2">
      <c r="F173" s="35" t="s">
        <v>45</v>
      </c>
      <c r="G173" s="13" t="s">
        <v>27</v>
      </c>
      <c r="H173" s="35" t="s">
        <v>46</v>
      </c>
      <c r="I173" s="35" t="s">
        <v>47</v>
      </c>
      <c r="K173" s="35" t="s">
        <v>48</v>
      </c>
      <c r="L173" s="35" t="s">
        <v>48</v>
      </c>
      <c r="M173" s="36" t="s">
        <v>49</v>
      </c>
      <c r="N173" s="36" t="s">
        <v>50</v>
      </c>
      <c r="O173" s="3" t="s">
        <v>76</v>
      </c>
      <c r="P173" s="3" t="s">
        <v>76</v>
      </c>
      <c r="Q173" s="3" t="s">
        <v>75</v>
      </c>
      <c r="R173" s="36" t="s">
        <v>76</v>
      </c>
      <c r="S173" s="35" t="s">
        <v>81</v>
      </c>
      <c r="T173" s="35" t="s">
        <v>81</v>
      </c>
      <c r="U173" s="1" t="s">
        <v>51</v>
      </c>
      <c r="V173" s="35" t="s">
        <v>74</v>
      </c>
    </row>
    <row r="174" spans="1:26" s="2" customFormat="1" x14ac:dyDescent="0.2">
      <c r="D174" s="2" t="s">
        <v>276</v>
      </c>
      <c r="E174" s="43" t="s">
        <v>277</v>
      </c>
      <c r="F174" s="61">
        <v>1200</v>
      </c>
      <c r="G174" s="13">
        <v>1.2500000000000001E-2</v>
      </c>
      <c r="H174" s="2">
        <v>0.32</v>
      </c>
      <c r="I174" s="2">
        <f t="shared" ref="I174:I176" si="93">H174/G174</f>
        <v>25.599999999999998</v>
      </c>
      <c r="K174" s="49">
        <v>0.53300000000000003</v>
      </c>
      <c r="L174" s="50">
        <v>1.8599999999999998E-2</v>
      </c>
      <c r="M174" s="40">
        <v>4.4900000000000002E-2</v>
      </c>
      <c r="N174" s="2">
        <f t="shared" ref="N174:N176" si="94">M174*3.66</f>
        <v>0.16433400000000001</v>
      </c>
      <c r="O174" s="3">
        <f t="shared" ref="O174:O176" si="95">K174*G174*F174</f>
        <v>7.995000000000001</v>
      </c>
      <c r="P174" s="3">
        <f t="shared" ref="P174:P176" si="96">F174*G174*L174</f>
        <v>0.27899999999999997</v>
      </c>
      <c r="Q174" s="3">
        <f t="shared" ref="Q174:Q176" si="97">F174*G174*N174</f>
        <v>2.4650099999999999</v>
      </c>
      <c r="U174" s="1"/>
      <c r="X174" s="2" t="s">
        <v>278</v>
      </c>
    </row>
    <row r="175" spans="1:26" s="2" customFormat="1" x14ac:dyDescent="0.2">
      <c r="D175" s="2" t="s">
        <v>279</v>
      </c>
      <c r="E175" s="41">
        <v>7.0090000000000003</v>
      </c>
      <c r="F175" s="2">
        <v>485</v>
      </c>
      <c r="G175" s="13">
        <f>0.04*0.06*1.5</f>
        <v>3.5999999999999999E-3</v>
      </c>
      <c r="H175" s="2">
        <v>0.13</v>
      </c>
      <c r="I175" s="2">
        <f t="shared" si="93"/>
        <v>36.111111111111114</v>
      </c>
      <c r="K175" s="55">
        <v>9.0399999999999994E-2</v>
      </c>
      <c r="L175" s="60">
        <v>3.9E-2</v>
      </c>
      <c r="M175" s="40">
        <v>0.41299999999999998</v>
      </c>
      <c r="N175" s="2">
        <f t="shared" si="94"/>
        <v>1.5115799999999999</v>
      </c>
      <c r="O175" s="3">
        <f t="shared" si="95"/>
        <v>0.15783839999999999</v>
      </c>
      <c r="P175" s="3">
        <f t="shared" si="96"/>
        <v>6.8094000000000002E-2</v>
      </c>
      <c r="Q175" s="3">
        <f t="shared" si="97"/>
        <v>2.6392186799999999</v>
      </c>
      <c r="U175" s="1"/>
      <c r="X175" s="2" t="s">
        <v>218</v>
      </c>
    </row>
    <row r="176" spans="1:26" s="2" customFormat="1" x14ac:dyDescent="0.2">
      <c r="D176" s="2" t="s">
        <v>280</v>
      </c>
      <c r="E176" s="43" t="s">
        <v>220</v>
      </c>
      <c r="F176" s="61">
        <v>650</v>
      </c>
      <c r="G176" s="13">
        <v>5.0000000000000001E-4</v>
      </c>
      <c r="H176" s="2">
        <v>0.7</v>
      </c>
      <c r="I176" s="2">
        <f t="shared" si="93"/>
        <v>1399.9999999999998</v>
      </c>
      <c r="K176" s="71">
        <v>1.61</v>
      </c>
      <c r="L176" s="50">
        <v>5.8000000000000003E-2</v>
      </c>
      <c r="M176" s="40">
        <v>0.40400000000000003</v>
      </c>
      <c r="N176" s="2">
        <f t="shared" si="94"/>
        <v>1.4786400000000002</v>
      </c>
      <c r="O176" s="3">
        <f t="shared" si="95"/>
        <v>0.52324999999999999</v>
      </c>
      <c r="P176" s="3">
        <f t="shared" si="96"/>
        <v>1.8850000000000002E-2</v>
      </c>
      <c r="Q176" s="3">
        <f t="shared" si="97"/>
        <v>0.4805580000000001</v>
      </c>
      <c r="U176" s="1"/>
      <c r="X176" s="2" t="s">
        <v>221</v>
      </c>
    </row>
    <row r="177" spans="1:26" s="18" customFormat="1" ht="17" thickBot="1" x14ac:dyDescent="0.25">
      <c r="A177" s="18" t="s">
        <v>281</v>
      </c>
      <c r="B177" s="18" t="s">
        <v>222</v>
      </c>
      <c r="I177" s="18" cm="1">
        <f t="array" ref="I177">1/SUM(1/I174:I176)</f>
        <v>14.821601262279232</v>
      </c>
      <c r="O177" s="18">
        <f>SUM(O174:O176)</f>
        <v>8.6760884000000011</v>
      </c>
      <c r="P177" s="18">
        <f>SUM(P174:P176)</f>
        <v>0.36594399999999994</v>
      </c>
      <c r="Q177" s="18">
        <f>SUM(Q174:Q176)</f>
        <v>5.5847866800000006</v>
      </c>
      <c r="S177" s="18">
        <v>30</v>
      </c>
      <c r="T177" s="18">
        <v>80</v>
      </c>
      <c r="V177" s="18" t="s">
        <v>26</v>
      </c>
      <c r="W177" s="18" t="s">
        <v>223</v>
      </c>
      <c r="Z177" s="18" t="s">
        <v>128</v>
      </c>
    </row>
    <row r="178" spans="1:26" ht="17" thickTop="1" x14ac:dyDescent="0.2"/>
  </sheetData>
  <conditionalFormatting sqref="K20:M20 K33:M35 Q33:Q35 Q51:Q52 Q169">
    <cfRule type="cellIs" dxfId="220" priority="565" operator="between">
      <formula>0.00000001</formula>
      <formula>1</formula>
    </cfRule>
    <cfRule type="cellIs" dxfId="219" priority="561" operator="equal">
      <formula>0</formula>
    </cfRule>
    <cfRule type="cellIs" dxfId="218" priority="562" operator="greaterThan">
      <formula>100</formula>
    </cfRule>
    <cfRule type="cellIs" dxfId="217" priority="563" operator="between">
      <formula>10</formula>
      <formula>100</formula>
    </cfRule>
    <cfRule type="cellIs" dxfId="216" priority="564" operator="between">
      <formula>1</formula>
      <formula>10</formula>
    </cfRule>
  </conditionalFormatting>
  <conditionalFormatting sqref="K26:M26">
    <cfRule type="cellIs" dxfId="215" priority="1" operator="equal">
      <formula>0</formula>
    </cfRule>
    <cfRule type="cellIs" dxfId="214" priority="2" operator="greaterThan">
      <formula>100</formula>
    </cfRule>
    <cfRule type="cellIs" dxfId="213" priority="3" operator="between">
      <formula>10</formula>
      <formula>100</formula>
    </cfRule>
    <cfRule type="cellIs" dxfId="212" priority="4" operator="between">
      <formula>1</formula>
      <formula>10</formula>
    </cfRule>
    <cfRule type="cellIs" dxfId="211" priority="5" operator="between">
      <formula>0.00000001</formula>
      <formula>1</formula>
    </cfRule>
  </conditionalFormatting>
  <conditionalFormatting sqref="K40:M40">
    <cfRule type="cellIs" dxfId="210" priority="26" operator="equal">
      <formula>0</formula>
    </cfRule>
    <cfRule type="cellIs" dxfId="209" priority="30" operator="between">
      <formula>0.00000001</formula>
      <formula>1</formula>
    </cfRule>
    <cfRule type="cellIs" dxfId="208" priority="29" operator="between">
      <formula>1</formula>
      <formula>10</formula>
    </cfRule>
    <cfRule type="cellIs" dxfId="207" priority="28" operator="between">
      <formula>10</formula>
      <formula>100</formula>
    </cfRule>
    <cfRule type="cellIs" dxfId="206" priority="27" operator="greaterThan">
      <formula>100</formula>
    </cfRule>
  </conditionalFormatting>
  <conditionalFormatting sqref="K46:M46">
    <cfRule type="cellIs" dxfId="205" priority="699" operator="between">
      <formula>1</formula>
      <formula>10</formula>
    </cfRule>
    <cfRule type="cellIs" dxfId="204" priority="700" operator="between">
      <formula>0.00000001</formula>
      <formula>1</formula>
    </cfRule>
    <cfRule type="cellIs" dxfId="203" priority="698" operator="between">
      <formula>10</formula>
      <formula>100</formula>
    </cfRule>
    <cfRule type="cellIs" dxfId="202" priority="697" operator="greaterThan">
      <formula>100</formula>
    </cfRule>
    <cfRule type="cellIs" dxfId="201" priority="696" operator="equal">
      <formula>0</formula>
    </cfRule>
  </conditionalFormatting>
  <conditionalFormatting sqref="K51:M52">
    <cfRule type="cellIs" dxfId="200" priority="541" operator="equal">
      <formula>0</formula>
    </cfRule>
    <cfRule type="cellIs" dxfId="199" priority="542" operator="greaterThan">
      <formula>100</formula>
    </cfRule>
    <cfRule type="cellIs" dxfId="198" priority="543" operator="between">
      <formula>10</formula>
      <formula>100</formula>
    </cfRule>
    <cfRule type="cellIs" dxfId="197" priority="544" operator="between">
      <formula>1</formula>
      <formula>10</formula>
    </cfRule>
    <cfRule type="cellIs" dxfId="196" priority="545" operator="between">
      <formula>0.00000001</formula>
      <formula>1</formula>
    </cfRule>
  </conditionalFormatting>
  <conditionalFormatting sqref="K57:M59">
    <cfRule type="cellIs" dxfId="195" priority="656" operator="equal">
      <formula>0</formula>
    </cfRule>
    <cfRule type="cellIs" dxfId="194" priority="660" operator="between">
      <formula>0.00000001</formula>
      <formula>1</formula>
    </cfRule>
    <cfRule type="cellIs" dxfId="193" priority="659" operator="between">
      <formula>1</formula>
      <formula>10</formula>
    </cfRule>
    <cfRule type="cellIs" dxfId="192" priority="658" operator="between">
      <formula>10</formula>
      <formula>100</formula>
    </cfRule>
    <cfRule type="cellIs" dxfId="191" priority="657" operator="greaterThan">
      <formula>100</formula>
    </cfRule>
  </conditionalFormatting>
  <conditionalFormatting sqref="K64:M65">
    <cfRule type="cellIs" dxfId="190" priority="606" operator="equal">
      <formula>0</formula>
    </cfRule>
    <cfRule type="cellIs" dxfId="189" priority="607" operator="greaterThan">
      <formula>100</formula>
    </cfRule>
    <cfRule type="cellIs" dxfId="188" priority="608" operator="between">
      <formula>10</formula>
      <formula>100</formula>
    </cfRule>
    <cfRule type="cellIs" dxfId="187" priority="609" operator="between">
      <formula>1</formula>
      <formula>10</formula>
    </cfRule>
    <cfRule type="cellIs" dxfId="186" priority="610" operator="between">
      <formula>0.00000001</formula>
      <formula>1</formula>
    </cfRule>
  </conditionalFormatting>
  <conditionalFormatting sqref="K70:M71">
    <cfRule type="cellIs" dxfId="185" priority="584" operator="between">
      <formula>1</formula>
      <formula>10</formula>
    </cfRule>
    <cfRule type="cellIs" dxfId="184" priority="583" operator="between">
      <formula>10</formula>
      <formula>100</formula>
    </cfRule>
    <cfRule type="cellIs" dxfId="183" priority="582" operator="greaterThan">
      <formula>100</formula>
    </cfRule>
    <cfRule type="cellIs" dxfId="182" priority="581" operator="equal">
      <formula>0</formula>
    </cfRule>
    <cfRule type="cellIs" dxfId="181" priority="585" operator="between">
      <formula>0.00000001</formula>
      <formula>1</formula>
    </cfRule>
  </conditionalFormatting>
  <conditionalFormatting sqref="K80:M83">
    <cfRule type="cellIs" dxfId="180" priority="487" operator="greaterThan">
      <formula>100</formula>
    </cfRule>
    <cfRule type="cellIs" dxfId="179" priority="489" operator="between">
      <formula>1</formula>
      <formula>10</formula>
    </cfRule>
    <cfRule type="cellIs" dxfId="178" priority="488" operator="between">
      <formula>10</formula>
      <formula>100</formula>
    </cfRule>
    <cfRule type="cellIs" dxfId="177" priority="490" operator="between">
      <formula>0.00000001</formula>
      <formula>1</formula>
    </cfRule>
    <cfRule type="cellIs" dxfId="176" priority="486" operator="equal">
      <formula>0</formula>
    </cfRule>
  </conditionalFormatting>
  <conditionalFormatting sqref="K88:M92">
    <cfRule type="cellIs" dxfId="175" priority="365" operator="between">
      <formula>0.00000001</formula>
      <formula>1</formula>
    </cfRule>
    <cfRule type="cellIs" dxfId="174" priority="364" operator="between">
      <formula>1</formula>
      <formula>10</formula>
    </cfRule>
    <cfRule type="cellIs" dxfId="173" priority="363" operator="between">
      <formula>10</formula>
      <formula>100</formula>
    </cfRule>
    <cfRule type="cellIs" dxfId="172" priority="362" operator="greaterThan">
      <formula>100</formula>
    </cfRule>
    <cfRule type="cellIs" dxfId="171" priority="361" operator="equal">
      <formula>0</formula>
    </cfRule>
  </conditionalFormatting>
  <conditionalFormatting sqref="K97:M100">
    <cfRule type="cellIs" dxfId="170" priority="320" operator="between">
      <formula>0.00000001</formula>
      <formula>1</formula>
    </cfRule>
    <cfRule type="cellIs" dxfId="169" priority="319" operator="between">
      <formula>1</formula>
      <formula>10</formula>
    </cfRule>
    <cfRule type="cellIs" dxfId="168" priority="318" operator="between">
      <formula>10</formula>
      <formula>100</formula>
    </cfRule>
    <cfRule type="cellIs" dxfId="167" priority="317" operator="greaterThan">
      <formula>100</formula>
    </cfRule>
    <cfRule type="cellIs" dxfId="166" priority="316" operator="equal">
      <formula>0</formula>
    </cfRule>
  </conditionalFormatting>
  <conditionalFormatting sqref="K105:M106">
    <cfRule type="cellIs" dxfId="165" priority="285" operator="between">
      <formula>0.00000001</formula>
      <formula>1</formula>
    </cfRule>
    <cfRule type="cellIs" dxfId="164" priority="284" operator="between">
      <formula>1</formula>
      <formula>10</formula>
    </cfRule>
    <cfRule type="cellIs" dxfId="163" priority="283" operator="between">
      <formula>10</formula>
      <formula>100</formula>
    </cfRule>
    <cfRule type="cellIs" dxfId="162" priority="282" operator="greaterThan">
      <formula>100</formula>
    </cfRule>
    <cfRule type="cellIs" dxfId="161" priority="281" operator="equal">
      <formula>0</formula>
    </cfRule>
  </conditionalFormatting>
  <conditionalFormatting sqref="K111:M112">
    <cfRule type="cellIs" dxfId="160" priority="242" operator="greaterThan">
      <formula>100</formula>
    </cfRule>
    <cfRule type="cellIs" dxfId="159" priority="245" operator="between">
      <formula>0.00000001</formula>
      <formula>1</formula>
    </cfRule>
    <cfRule type="cellIs" dxfId="158" priority="244" operator="between">
      <formula>1</formula>
      <formula>10</formula>
    </cfRule>
    <cfRule type="cellIs" dxfId="157" priority="243" operator="between">
      <formula>10</formula>
      <formula>100</formula>
    </cfRule>
    <cfRule type="cellIs" dxfId="156" priority="241" operator="equal">
      <formula>0</formula>
    </cfRule>
  </conditionalFormatting>
  <conditionalFormatting sqref="K119:M120">
    <cfRule type="cellIs" dxfId="155" priority="216" operator="equal">
      <formula>0</formula>
    </cfRule>
    <cfRule type="cellIs" dxfId="154" priority="220" operator="between">
      <formula>0.00000001</formula>
      <formula>1</formula>
    </cfRule>
    <cfRule type="cellIs" dxfId="153" priority="219" operator="between">
      <formula>1</formula>
      <formula>10</formula>
    </cfRule>
    <cfRule type="cellIs" dxfId="152" priority="218" operator="between">
      <formula>10</formula>
      <formula>100</formula>
    </cfRule>
    <cfRule type="cellIs" dxfId="151" priority="217" operator="greaterThan">
      <formula>100</formula>
    </cfRule>
  </conditionalFormatting>
  <conditionalFormatting sqref="K125:M126">
    <cfRule type="cellIs" dxfId="150" priority="137" operator="greaterThan">
      <formula>100</formula>
    </cfRule>
    <cfRule type="cellIs" dxfId="149" priority="136" operator="equal">
      <formula>0</formula>
    </cfRule>
    <cfRule type="cellIs" dxfId="148" priority="139" operator="between">
      <formula>1</formula>
      <formula>10</formula>
    </cfRule>
    <cfRule type="cellIs" dxfId="147" priority="138" operator="between">
      <formula>10</formula>
      <formula>100</formula>
    </cfRule>
    <cfRule type="cellIs" dxfId="146" priority="140" operator="between">
      <formula>0.00000001</formula>
      <formula>1</formula>
    </cfRule>
  </conditionalFormatting>
  <conditionalFormatting sqref="K131:M136">
    <cfRule type="cellIs" dxfId="145" priority="61" operator="equal">
      <formula>0</formula>
    </cfRule>
    <cfRule type="cellIs" dxfId="144" priority="65" operator="between">
      <formula>0.00000001</formula>
      <formula>1</formula>
    </cfRule>
    <cfRule type="cellIs" dxfId="143" priority="64" operator="between">
      <formula>1</formula>
      <formula>10</formula>
    </cfRule>
    <cfRule type="cellIs" dxfId="142" priority="63" operator="between">
      <formula>10</formula>
      <formula>100</formula>
    </cfRule>
    <cfRule type="cellIs" dxfId="141" priority="62" operator="greaterThan">
      <formula>100</formula>
    </cfRule>
  </conditionalFormatting>
  <conditionalFormatting sqref="K141:M144">
    <cfRule type="cellIs" dxfId="140" priority="126" operator="equal">
      <formula>0</formula>
    </cfRule>
    <cfRule type="cellIs" dxfId="139" priority="127" operator="greaterThan">
      <formula>100</formula>
    </cfRule>
    <cfRule type="cellIs" dxfId="138" priority="128" operator="between">
      <formula>10</formula>
      <formula>100</formula>
    </cfRule>
    <cfRule type="cellIs" dxfId="137" priority="129" operator="between">
      <formula>1</formula>
      <formula>10</formula>
    </cfRule>
    <cfRule type="cellIs" dxfId="136" priority="130" operator="between">
      <formula>0.00000001</formula>
      <formula>1</formula>
    </cfRule>
  </conditionalFormatting>
  <conditionalFormatting sqref="K149:M149">
    <cfRule type="cellIs" dxfId="135" priority="96" operator="equal">
      <formula>0</formula>
    </cfRule>
    <cfRule type="cellIs" dxfId="134" priority="97" operator="greaterThan">
      <formula>100</formula>
    </cfRule>
    <cfRule type="cellIs" dxfId="133" priority="98" operator="between">
      <formula>10</formula>
      <formula>100</formula>
    </cfRule>
    <cfRule type="cellIs" dxfId="132" priority="99" operator="between">
      <formula>1</formula>
      <formula>10</formula>
    </cfRule>
    <cfRule type="cellIs" dxfId="131" priority="100" operator="between">
      <formula>0.00000001</formula>
      <formula>1</formula>
    </cfRule>
  </conditionalFormatting>
  <conditionalFormatting sqref="K156:M157">
    <cfRule type="cellIs" dxfId="130" priority="209" operator="between">
      <formula>1</formula>
      <formula>10</formula>
    </cfRule>
    <cfRule type="cellIs" dxfId="129" priority="210" operator="between">
      <formula>0.00000001</formula>
      <formula>1</formula>
    </cfRule>
    <cfRule type="cellIs" dxfId="128" priority="208" operator="between">
      <formula>10</formula>
      <formula>100</formula>
    </cfRule>
    <cfRule type="cellIs" dxfId="127" priority="207" operator="greaterThan">
      <formula>100</formula>
    </cfRule>
    <cfRule type="cellIs" dxfId="126" priority="206" operator="equal">
      <formula>0</formula>
    </cfRule>
  </conditionalFormatting>
  <conditionalFormatting sqref="K162:M164">
    <cfRule type="cellIs" dxfId="125" priority="200" operator="between">
      <formula>0.00000001</formula>
      <formula>1</formula>
    </cfRule>
    <cfRule type="cellIs" dxfId="124" priority="199" operator="between">
      <formula>1</formula>
      <formula>10</formula>
    </cfRule>
    <cfRule type="cellIs" dxfId="123" priority="198" operator="between">
      <formula>10</formula>
      <formula>100</formula>
    </cfRule>
    <cfRule type="cellIs" dxfId="122" priority="197" operator="greaterThan">
      <formula>100</formula>
    </cfRule>
    <cfRule type="cellIs" dxfId="121" priority="196" operator="equal">
      <formula>0</formula>
    </cfRule>
  </conditionalFormatting>
  <conditionalFormatting sqref="K169:M169">
    <cfRule type="cellIs" dxfId="120" priority="175" operator="between">
      <formula>0.00000001</formula>
      <formula>1</formula>
    </cfRule>
    <cfRule type="cellIs" dxfId="119" priority="171" operator="equal">
      <formula>0</formula>
    </cfRule>
    <cfRule type="cellIs" dxfId="118" priority="174" operator="between">
      <formula>1</formula>
      <formula>10</formula>
    </cfRule>
    <cfRule type="cellIs" dxfId="117" priority="173" operator="between">
      <formula>10</formula>
      <formula>100</formula>
    </cfRule>
    <cfRule type="cellIs" dxfId="116" priority="172" operator="greaterThan">
      <formula>100</formula>
    </cfRule>
  </conditionalFormatting>
  <conditionalFormatting sqref="K174:M176">
    <cfRule type="cellIs" dxfId="115" priority="120" operator="between">
      <formula>0.00000001</formula>
      <formula>1</formula>
    </cfRule>
    <cfRule type="cellIs" dxfId="114" priority="116" operator="equal">
      <formula>0</formula>
    </cfRule>
    <cfRule type="cellIs" dxfId="113" priority="119" operator="between">
      <formula>1</formula>
      <formula>10</formula>
    </cfRule>
    <cfRule type="cellIs" dxfId="112" priority="118" operator="between">
      <formula>10</formula>
      <formula>100</formula>
    </cfRule>
    <cfRule type="cellIs" dxfId="111" priority="117" operator="greaterThan">
      <formula>100</formula>
    </cfRule>
  </conditionalFormatting>
  <conditionalFormatting sqref="O6:Q7">
    <cfRule type="cellIs" dxfId="110" priority="577" operator="greaterThan">
      <formula>100</formula>
    </cfRule>
    <cfRule type="cellIs" dxfId="109" priority="580" operator="between">
      <formula>0.00000001</formula>
      <formula>1</formula>
    </cfRule>
    <cfRule type="cellIs" dxfId="108" priority="576" operator="equal">
      <formula>0</formula>
    </cfRule>
    <cfRule type="cellIs" dxfId="107" priority="578" operator="between">
      <formula>10</formula>
      <formula>100</formula>
    </cfRule>
    <cfRule type="cellIs" dxfId="106" priority="579" operator="between">
      <formula>1</formula>
      <formula>10</formula>
    </cfRule>
  </conditionalFormatting>
  <conditionalFormatting sqref="O12:Q13">
    <cfRule type="cellIs" dxfId="105" priority="574" operator="between">
      <formula>1</formula>
      <formula>10</formula>
    </cfRule>
    <cfRule type="cellIs" dxfId="104" priority="571" operator="equal">
      <formula>0</formula>
    </cfRule>
    <cfRule type="cellIs" dxfId="103" priority="575" operator="between">
      <formula>0.00000001</formula>
      <formula>1</formula>
    </cfRule>
    <cfRule type="cellIs" dxfId="102" priority="572" operator="greaterThan">
      <formula>100</formula>
    </cfRule>
    <cfRule type="cellIs" dxfId="101" priority="573" operator="between">
      <formula>10</formula>
      <formula>100</formula>
    </cfRule>
  </conditionalFormatting>
  <conditionalFormatting sqref="Q20">
    <cfRule type="cellIs" dxfId="100" priority="569" operator="between">
      <formula>1</formula>
      <formula>10</formula>
    </cfRule>
    <cfRule type="cellIs" dxfId="99" priority="568" operator="between">
      <formula>10</formula>
      <formula>100</formula>
    </cfRule>
    <cfRule type="cellIs" dxfId="98" priority="567" operator="greaterThan">
      <formula>100</formula>
    </cfRule>
    <cfRule type="cellIs" dxfId="97" priority="566" operator="equal">
      <formula>0</formula>
    </cfRule>
    <cfRule type="cellIs" dxfId="96" priority="570" operator="between">
      <formula>0.00000001</formula>
      <formula>1</formula>
    </cfRule>
  </conditionalFormatting>
  <conditionalFormatting sqref="Q26">
    <cfRule type="cellIs" dxfId="95" priority="7" operator="greaterThan">
      <formula>100</formula>
    </cfRule>
    <cfRule type="cellIs" dxfId="94" priority="8" operator="between">
      <formula>10</formula>
      <formula>100</formula>
    </cfRule>
    <cfRule type="cellIs" dxfId="93" priority="10" operator="between">
      <formula>0.00000001</formula>
      <formula>1</formula>
    </cfRule>
    <cfRule type="cellIs" dxfId="92" priority="6" operator="equal">
      <formula>0</formula>
    </cfRule>
    <cfRule type="cellIs" dxfId="91" priority="9" operator="between">
      <formula>1</formula>
      <formula>10</formula>
    </cfRule>
  </conditionalFormatting>
  <conditionalFormatting sqref="Q40">
    <cfRule type="cellIs" dxfId="90" priority="25" operator="between">
      <formula>0.00000001</formula>
      <formula>1</formula>
    </cfRule>
    <cfRule type="cellIs" dxfId="89" priority="24" operator="between">
      <formula>1</formula>
      <formula>10</formula>
    </cfRule>
    <cfRule type="cellIs" dxfId="88" priority="23" operator="between">
      <formula>10</formula>
      <formula>100</formula>
    </cfRule>
    <cfRule type="cellIs" dxfId="87" priority="22" operator="greaterThan">
      <formula>100</formula>
    </cfRule>
    <cfRule type="cellIs" dxfId="86" priority="21" operator="equal">
      <formula>0</formula>
    </cfRule>
  </conditionalFormatting>
  <conditionalFormatting sqref="Q46">
    <cfRule type="cellIs" dxfId="85" priority="748" operator="between">
      <formula>10</formula>
      <formula>100</formula>
    </cfRule>
    <cfRule type="cellIs" dxfId="84" priority="749" operator="between">
      <formula>1</formula>
      <formula>10</formula>
    </cfRule>
    <cfRule type="cellIs" dxfId="83" priority="747" operator="greaterThan">
      <formula>100</formula>
    </cfRule>
    <cfRule type="cellIs" dxfId="82" priority="750" operator="between">
      <formula>0.00000001</formula>
      <formula>1</formula>
    </cfRule>
    <cfRule type="cellIs" dxfId="81" priority="746" operator="equal">
      <formula>0</formula>
    </cfRule>
  </conditionalFormatting>
  <conditionalFormatting sqref="Q57:Q59">
    <cfRule type="cellIs" dxfId="80" priority="685" operator="between">
      <formula>0.00000001</formula>
      <formula>1</formula>
    </cfRule>
    <cfRule type="cellIs" dxfId="79" priority="681" operator="equal">
      <formula>0</formula>
    </cfRule>
    <cfRule type="cellIs" dxfId="78" priority="682" operator="greaterThan">
      <formula>100</formula>
    </cfRule>
    <cfRule type="cellIs" dxfId="77" priority="683" operator="between">
      <formula>10</formula>
      <formula>100</formula>
    </cfRule>
    <cfRule type="cellIs" dxfId="76" priority="684" operator="between">
      <formula>1</formula>
      <formula>10</formula>
    </cfRule>
  </conditionalFormatting>
  <conditionalFormatting sqref="Q64:Q65">
    <cfRule type="cellIs" dxfId="75" priority="616" operator="equal">
      <formula>0</formula>
    </cfRule>
    <cfRule type="cellIs" dxfId="74" priority="617" operator="greaterThan">
      <formula>100</formula>
    </cfRule>
    <cfRule type="cellIs" dxfId="73" priority="618" operator="between">
      <formula>10</formula>
      <formula>100</formula>
    </cfRule>
    <cfRule type="cellIs" dxfId="72" priority="619" operator="between">
      <formula>1</formula>
      <formula>10</formula>
    </cfRule>
    <cfRule type="cellIs" dxfId="71" priority="620" operator="between">
      <formula>0.00000001</formula>
      <formula>1</formula>
    </cfRule>
  </conditionalFormatting>
  <conditionalFormatting sqref="Q70:Q71">
    <cfRule type="cellIs" dxfId="70" priority="591" operator="equal">
      <formula>0</formula>
    </cfRule>
    <cfRule type="cellIs" dxfId="69" priority="593" operator="between">
      <formula>10</formula>
      <formula>100</formula>
    </cfRule>
    <cfRule type="cellIs" dxfId="68" priority="594" operator="between">
      <formula>1</formula>
      <formula>10</formula>
    </cfRule>
    <cfRule type="cellIs" dxfId="67" priority="595" operator="between">
      <formula>0.00000001</formula>
      <formula>1</formula>
    </cfRule>
    <cfRule type="cellIs" dxfId="66" priority="592" operator="greaterThan">
      <formula>100</formula>
    </cfRule>
  </conditionalFormatting>
  <conditionalFormatting sqref="Q80">
    <cfRule type="cellIs" dxfId="65" priority="556" operator="equal">
      <formula>0</formula>
    </cfRule>
  </conditionalFormatting>
  <conditionalFormatting sqref="Q80:Q83">
    <cfRule type="cellIs" dxfId="64" priority="497" operator="greaterThan">
      <formula>100</formula>
    </cfRule>
    <cfRule type="cellIs" dxfId="63" priority="498" operator="between">
      <formula>10</formula>
      <formula>100</formula>
    </cfRule>
    <cfRule type="cellIs" dxfId="62" priority="499" operator="between">
      <formula>1</formula>
      <formula>10</formula>
    </cfRule>
    <cfRule type="cellIs" dxfId="61" priority="500" operator="between">
      <formula>0.00000001</formula>
      <formula>1</formula>
    </cfRule>
  </conditionalFormatting>
  <conditionalFormatting sqref="Q82:Q83">
    <cfRule type="cellIs" dxfId="60" priority="496" operator="equal">
      <formula>0</formula>
    </cfRule>
  </conditionalFormatting>
  <conditionalFormatting sqref="Q88:Q92">
    <cfRule type="cellIs" dxfId="59" priority="372" operator="greaterThan">
      <formula>100</formula>
    </cfRule>
    <cfRule type="cellIs" dxfId="58" priority="373" operator="between">
      <formula>10</formula>
      <formula>100</formula>
    </cfRule>
    <cfRule type="cellIs" dxfId="57" priority="371" operator="equal">
      <formula>0</formula>
    </cfRule>
    <cfRule type="cellIs" dxfId="56" priority="374" operator="between">
      <formula>1</formula>
      <formula>10</formula>
    </cfRule>
    <cfRule type="cellIs" dxfId="55" priority="375" operator="between">
      <formula>0.00000001</formula>
      <formula>1</formula>
    </cfRule>
  </conditionalFormatting>
  <conditionalFormatting sqref="Q97:Q100">
    <cfRule type="cellIs" dxfId="54" priority="327" operator="greaterThan">
      <formula>100</formula>
    </cfRule>
    <cfRule type="cellIs" dxfId="53" priority="326" operator="equal">
      <formula>0</formula>
    </cfRule>
    <cfRule type="cellIs" dxfId="52" priority="329" operator="between">
      <formula>1</formula>
      <formula>10</formula>
    </cfRule>
    <cfRule type="cellIs" dxfId="51" priority="328" operator="between">
      <formula>10</formula>
      <formula>100</formula>
    </cfRule>
    <cfRule type="cellIs" dxfId="50" priority="330" operator="between">
      <formula>0.00000001</formula>
      <formula>1</formula>
    </cfRule>
  </conditionalFormatting>
  <conditionalFormatting sqref="Q105:Q106">
    <cfRule type="cellIs" dxfId="49" priority="291" operator="equal">
      <formula>0</formula>
    </cfRule>
    <cfRule type="cellIs" dxfId="48" priority="292" operator="greaterThan">
      <formula>100</formula>
    </cfRule>
    <cfRule type="cellIs" dxfId="47" priority="293" operator="between">
      <formula>10</formula>
      <formula>100</formula>
    </cfRule>
    <cfRule type="cellIs" dxfId="46" priority="294" operator="between">
      <formula>1</formula>
      <formula>10</formula>
    </cfRule>
    <cfRule type="cellIs" dxfId="45" priority="295" operator="between">
      <formula>0.00000001</formula>
      <formula>1</formula>
    </cfRule>
  </conditionalFormatting>
  <conditionalFormatting sqref="Q111:Q112">
    <cfRule type="cellIs" dxfId="44" priority="240" operator="between">
      <formula>0.00000001</formula>
      <formula>1</formula>
    </cfRule>
    <cfRule type="cellIs" dxfId="43" priority="239" operator="between">
      <formula>1</formula>
      <formula>10</formula>
    </cfRule>
    <cfRule type="cellIs" dxfId="42" priority="238" operator="between">
      <formula>10</formula>
      <formula>100</formula>
    </cfRule>
    <cfRule type="cellIs" dxfId="41" priority="237" operator="greaterThan">
      <formula>100</formula>
    </cfRule>
    <cfRule type="cellIs" dxfId="40" priority="236" operator="equal">
      <formula>0</formula>
    </cfRule>
  </conditionalFormatting>
  <conditionalFormatting sqref="Q119:Q120">
    <cfRule type="cellIs" dxfId="39" priority="223" operator="between">
      <formula>10</formula>
      <formula>100</formula>
    </cfRule>
    <cfRule type="cellIs" dxfId="38" priority="221" operator="equal">
      <formula>0</formula>
    </cfRule>
    <cfRule type="cellIs" dxfId="37" priority="222" operator="greaterThan">
      <formula>100</formula>
    </cfRule>
    <cfRule type="cellIs" dxfId="36" priority="224" operator="between">
      <formula>1</formula>
      <formula>10</formula>
    </cfRule>
    <cfRule type="cellIs" dxfId="35" priority="225" operator="between">
      <formula>0.00000001</formula>
      <formula>1</formula>
    </cfRule>
  </conditionalFormatting>
  <conditionalFormatting sqref="Q125:Q126">
    <cfRule type="cellIs" dxfId="34" priority="150" operator="between">
      <formula>0.00000001</formula>
      <formula>1</formula>
    </cfRule>
    <cfRule type="cellIs" dxfId="33" priority="149" operator="between">
      <formula>1</formula>
      <formula>10</formula>
    </cfRule>
    <cfRule type="cellIs" dxfId="32" priority="148" operator="between">
      <formula>10</formula>
      <formula>100</formula>
    </cfRule>
    <cfRule type="cellIs" dxfId="31" priority="147" operator="greaterThan">
      <formula>100</formula>
    </cfRule>
    <cfRule type="cellIs" dxfId="30" priority="146" operator="equal">
      <formula>0</formula>
    </cfRule>
  </conditionalFormatting>
  <conditionalFormatting sqref="Q131:Q136">
    <cfRule type="cellIs" dxfId="29" priority="68" operator="between">
      <formula>10</formula>
      <formula>100</formula>
    </cfRule>
    <cfRule type="cellIs" dxfId="28" priority="67" operator="greaterThan">
      <formula>100</formula>
    </cfRule>
    <cfRule type="cellIs" dxfId="27" priority="66" operator="equal">
      <formula>0</formula>
    </cfRule>
    <cfRule type="cellIs" dxfId="26" priority="70" operator="between">
      <formula>0.00000001</formula>
      <formula>1</formula>
    </cfRule>
    <cfRule type="cellIs" dxfId="25" priority="69" operator="between">
      <formula>1</formula>
      <formula>10</formula>
    </cfRule>
  </conditionalFormatting>
  <conditionalFormatting sqref="Q141:Q144">
    <cfRule type="cellIs" dxfId="24" priority="135" operator="between">
      <formula>0.00000001</formula>
      <formula>1</formula>
    </cfRule>
    <cfRule type="cellIs" dxfId="23" priority="134" operator="between">
      <formula>1</formula>
      <formula>10</formula>
    </cfRule>
    <cfRule type="cellIs" dxfId="22" priority="133" operator="between">
      <formula>10</formula>
      <formula>100</formula>
    </cfRule>
    <cfRule type="cellIs" dxfId="21" priority="132" operator="greaterThan">
      <formula>100</formula>
    </cfRule>
    <cfRule type="cellIs" dxfId="20" priority="131" operator="equal">
      <formula>0</formula>
    </cfRule>
  </conditionalFormatting>
  <conditionalFormatting sqref="Q149">
    <cfRule type="cellIs" dxfId="19" priority="101" operator="equal">
      <formula>0</formula>
    </cfRule>
    <cfRule type="cellIs" dxfId="18" priority="102" operator="greaterThan">
      <formula>100</formula>
    </cfRule>
    <cfRule type="cellIs" dxfId="17" priority="103" operator="between">
      <formula>10</formula>
      <formula>100</formula>
    </cfRule>
    <cfRule type="cellIs" dxfId="16" priority="104" operator="between">
      <formula>1</formula>
      <formula>10</formula>
    </cfRule>
    <cfRule type="cellIs" dxfId="15" priority="105" operator="between">
      <formula>0.00000001</formula>
      <formula>1</formula>
    </cfRule>
  </conditionalFormatting>
  <conditionalFormatting sqref="Q156:Q157">
    <cfRule type="cellIs" dxfId="14" priority="211" operator="equal">
      <formula>0</formula>
    </cfRule>
    <cfRule type="cellIs" dxfId="13" priority="212" operator="greaterThan">
      <formula>100</formula>
    </cfRule>
    <cfRule type="cellIs" dxfId="12" priority="213" operator="between">
      <formula>10</formula>
      <formula>100</formula>
    </cfRule>
    <cfRule type="cellIs" dxfId="11" priority="214" operator="between">
      <formula>1</formula>
      <formula>10</formula>
    </cfRule>
    <cfRule type="cellIs" dxfId="10" priority="215" operator="between">
      <formula>0.00000001</formula>
      <formula>1</formula>
    </cfRule>
  </conditionalFormatting>
  <conditionalFormatting sqref="Q162:Q164">
    <cfRule type="cellIs" dxfId="9" priority="205" operator="between">
      <formula>0.00000001</formula>
      <formula>1</formula>
    </cfRule>
    <cfRule type="cellIs" dxfId="8" priority="201" operator="equal">
      <formula>0</formula>
    </cfRule>
    <cfRule type="cellIs" dxfId="7" priority="202" operator="greaterThan">
      <formula>100</formula>
    </cfRule>
    <cfRule type="cellIs" dxfId="6" priority="203" operator="between">
      <formula>10</formula>
      <formula>100</formula>
    </cfRule>
    <cfRule type="cellIs" dxfId="5" priority="204" operator="between">
      <formula>1</formula>
      <formula>10</formula>
    </cfRule>
  </conditionalFormatting>
  <conditionalFormatting sqref="Q174:Q176">
    <cfRule type="cellIs" dxfId="4" priority="125" operator="between">
      <formula>0.00000001</formula>
      <formula>1</formula>
    </cfRule>
    <cfRule type="cellIs" dxfId="3" priority="121" operator="equal">
      <formula>0</formula>
    </cfRule>
    <cfRule type="cellIs" dxfId="2" priority="122" operator="greaterThan">
      <formula>100</formula>
    </cfRule>
    <cfRule type="cellIs" dxfId="1" priority="123" operator="between">
      <formula>10</formula>
      <formula>100</formula>
    </cfRule>
    <cfRule type="cellIs" dxfId="0" priority="124" operator="between">
      <formula>1</formula>
      <formula>10</formula>
    </cfRule>
  </conditionalFormatting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Input_data_casestudy_examples</vt:lpstr>
      <vt:lpstr>Geometry_casestudy_examples</vt:lpstr>
      <vt:lpstr>mat_composition_casestudy_4</vt:lpstr>
      <vt:lpstr>mat_composition_old_generic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Büttiker</dc:creator>
  <cp:lastModifiedBy>Dominic Büttiker</cp:lastModifiedBy>
  <dcterms:created xsi:type="dcterms:W3CDTF">2024-06-04T14:28:44Z</dcterms:created>
  <dcterms:modified xsi:type="dcterms:W3CDTF">2024-10-17T12:46:59Z</dcterms:modified>
</cp:coreProperties>
</file>