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minicbuettiker/Documents/GitHub/Parametric-LCA-Urban-Densification/input_data/"/>
    </mc:Choice>
  </mc:AlternateContent>
  <xr:revisionPtr revIDLastSave="0" documentId="13_ncr:1_{C4D37005-ED65-1540-A43B-7F854683DFF1}" xr6:coauthVersionLast="47" xr6:coauthVersionMax="47" xr10:uidLastSave="{00000000-0000-0000-0000-000000000000}"/>
  <bookViews>
    <workbookView xWindow="0" yWindow="760" windowWidth="30240" windowHeight="17920" xr2:uid="{4370598E-5661-DD49-88C2-56ABD0E10F77}"/>
  </bookViews>
  <sheets>
    <sheet name="Explanation_and_custom_mat" sheetId="11" r:id="rId1"/>
    <sheet name="xps" sheetId="1" r:id="rId2"/>
    <sheet name="rockwool" sheetId="2" r:id="rId3"/>
    <sheet name="straw" sheetId="3" r:id="rId4"/>
    <sheet name="windows" sheetId="7" r:id="rId5"/>
    <sheet name="interior_finishings" sheetId="4" r:id="rId6"/>
    <sheet name="constructions_bg" sheetId="5" r:id="rId7"/>
    <sheet name="constructions_ag" sheetId="6" r:id="rId8"/>
    <sheet name="constructions_ag_wood" sheetId="10" r:id="rId9"/>
    <sheet name="partitions" sheetId="12" r:id="rId10"/>
    <sheet name="roof" sheetId="9" r:id="rId11"/>
    <sheet name="tilted_roof" sheetId="13" r:id="rId12"/>
    <sheet name="wood_frame calculator" sheetId="8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9" l="1"/>
  <c r="P62" i="9" s="1"/>
  <c r="O61" i="9"/>
  <c r="O62" i="9" s="1"/>
  <c r="N61" i="9"/>
  <c r="Q61" i="9" s="1"/>
  <c r="Q62" i="9" s="1"/>
  <c r="I61" i="9"/>
  <c r="I62" i="9" s="1"/>
  <c r="Q47" i="3" l="1"/>
  <c r="Q48" i="3" s="1"/>
  <c r="P47" i="3"/>
  <c r="P48" i="3" s="1"/>
  <c r="O47" i="3"/>
  <c r="O48" i="3" s="1"/>
  <c r="N47" i="3"/>
  <c r="I47" i="3"/>
  <c r="I48" i="3" s="1" a="1"/>
  <c r="I48" i="3" s="1"/>
  <c r="P53" i="2"/>
  <c r="O53" i="2"/>
  <c r="N53" i="2"/>
  <c r="Q53" i="2" s="1"/>
  <c r="G53" i="2"/>
  <c r="P52" i="2"/>
  <c r="P54" i="2" s="1"/>
  <c r="O52" i="2"/>
  <c r="O54" i="2" s="1"/>
  <c r="N52" i="2"/>
  <c r="Q52" i="2" s="1"/>
  <c r="Q54" i="2" s="1"/>
  <c r="I52" i="2"/>
  <c r="I54" i="2" s="1"/>
  <c r="I52" i="1" a="1"/>
  <c r="I52" i="1" s="1"/>
  <c r="P51" i="1"/>
  <c r="O51" i="1"/>
  <c r="O52" i="1" s="1"/>
  <c r="N51" i="1"/>
  <c r="Q51" i="1" s="1"/>
  <c r="I51" i="1"/>
  <c r="P50" i="1"/>
  <c r="P52" i="1" s="1"/>
  <c r="O50" i="1"/>
  <c r="N50" i="1"/>
  <c r="Q50" i="1" s="1"/>
  <c r="I50" i="1"/>
  <c r="P18" i="4"/>
  <c r="G72" i="10"/>
  <c r="G57" i="10"/>
  <c r="I53" i="6"/>
  <c r="G53" i="6"/>
  <c r="P52" i="6"/>
  <c r="O52" i="6"/>
  <c r="N52" i="6"/>
  <c r="Q52" i="6" s="1"/>
  <c r="I52" i="6"/>
  <c r="I54" i="6" s="1" a="1"/>
  <c r="I54" i="6" s="1"/>
  <c r="I6" i="6"/>
  <c r="N6" i="6"/>
  <c r="Q6" i="6" s="1"/>
  <c r="O6" i="6"/>
  <c r="P6" i="6"/>
  <c r="P53" i="6"/>
  <c r="O53" i="6"/>
  <c r="N53" i="6"/>
  <c r="Q53" i="6" s="1"/>
  <c r="P19" i="12"/>
  <c r="O19" i="12"/>
  <c r="N19" i="12"/>
  <c r="Q19" i="12" s="1"/>
  <c r="I19" i="12"/>
  <c r="P21" i="12"/>
  <c r="O21" i="12"/>
  <c r="N21" i="12"/>
  <c r="Q21" i="12" s="1"/>
  <c r="I21" i="12"/>
  <c r="P20" i="12"/>
  <c r="O20" i="12"/>
  <c r="N20" i="12"/>
  <c r="Q20" i="12" s="1"/>
  <c r="I20" i="12"/>
  <c r="P18" i="12"/>
  <c r="O18" i="12"/>
  <c r="N18" i="12"/>
  <c r="Q18" i="12" s="1"/>
  <c r="I18" i="12"/>
  <c r="G17" i="12"/>
  <c r="O17" i="12"/>
  <c r="N17" i="12"/>
  <c r="Q17" i="12" s="1"/>
  <c r="I17" i="12"/>
  <c r="P16" i="12"/>
  <c r="O16" i="12"/>
  <c r="N16" i="12"/>
  <c r="Q16" i="12" s="1"/>
  <c r="I16" i="12"/>
  <c r="P15" i="12"/>
  <c r="O15" i="12"/>
  <c r="O22" i="12" s="1"/>
  <c r="N15" i="12"/>
  <c r="Q15" i="12" s="1"/>
  <c r="I15" i="12"/>
  <c r="P10" i="12"/>
  <c r="P11" i="12" s="1"/>
  <c r="O10" i="12"/>
  <c r="O11" i="12" s="1"/>
  <c r="N10" i="12"/>
  <c r="Q10" i="12" s="1"/>
  <c r="Q11" i="12" s="1"/>
  <c r="I10" i="12"/>
  <c r="P5" i="12"/>
  <c r="P6" i="12" s="1"/>
  <c r="O5" i="12"/>
  <c r="O6" i="12" s="1"/>
  <c r="N5" i="12"/>
  <c r="Q5" i="12" s="1"/>
  <c r="I5" i="12"/>
  <c r="P69" i="10"/>
  <c r="O69" i="10"/>
  <c r="N69" i="10"/>
  <c r="Q69" i="10" s="1"/>
  <c r="I69" i="10"/>
  <c r="P67" i="10"/>
  <c r="O67" i="10"/>
  <c r="N67" i="10"/>
  <c r="Q67" i="10" s="1"/>
  <c r="I67" i="10"/>
  <c r="P65" i="10"/>
  <c r="O65" i="10"/>
  <c r="N65" i="10"/>
  <c r="Q65" i="10" s="1"/>
  <c r="I65" i="10"/>
  <c r="Q64" i="10"/>
  <c r="P64" i="10"/>
  <c r="O64" i="10"/>
  <c r="N64" i="10"/>
  <c r="I64" i="10"/>
  <c r="P63" i="10"/>
  <c r="O63" i="10"/>
  <c r="N63" i="10"/>
  <c r="Q63" i="10" s="1"/>
  <c r="I63" i="10"/>
  <c r="Q62" i="10"/>
  <c r="P62" i="10"/>
  <c r="O62" i="10"/>
  <c r="N62" i="10"/>
  <c r="I62" i="10"/>
  <c r="I73" i="10" s="1" a="1"/>
  <c r="I73" i="10" s="1"/>
  <c r="Q72" i="10"/>
  <c r="P72" i="10"/>
  <c r="P73" i="10" s="1"/>
  <c r="O72" i="10"/>
  <c r="O73" i="10" s="1"/>
  <c r="N72" i="10"/>
  <c r="I72" i="10"/>
  <c r="P71" i="10"/>
  <c r="O71" i="10"/>
  <c r="N71" i="10"/>
  <c r="Q71" i="10" s="1"/>
  <c r="I71" i="10"/>
  <c r="G71" i="10"/>
  <c r="P70" i="10"/>
  <c r="O70" i="10"/>
  <c r="N70" i="10"/>
  <c r="Q70" i="10" s="1"/>
  <c r="I70" i="10"/>
  <c r="P68" i="10"/>
  <c r="O68" i="10"/>
  <c r="N68" i="10"/>
  <c r="Q68" i="10" s="1"/>
  <c r="I68" i="10"/>
  <c r="G68" i="10"/>
  <c r="Q66" i="10"/>
  <c r="P66" i="10"/>
  <c r="O66" i="10"/>
  <c r="N66" i="10"/>
  <c r="I66" i="10"/>
  <c r="Q52" i="1" l="1"/>
  <c r="Q54" i="6"/>
  <c r="P54" i="6"/>
  <c r="O54" i="6"/>
  <c r="Q22" i="12"/>
  <c r="P17" i="12"/>
  <c r="P22" i="12" s="1"/>
  <c r="Q6" i="12"/>
  <c r="Q73" i="10"/>
  <c r="O57" i="10" l="1"/>
  <c r="N56" i="10"/>
  <c r="I56" i="10"/>
  <c r="G56" i="10"/>
  <c r="Q56" i="10" s="1"/>
  <c r="G53" i="10"/>
  <c r="Q53" i="10" s="1"/>
  <c r="O53" i="10"/>
  <c r="N53" i="10"/>
  <c r="I53" i="10"/>
  <c r="P52" i="10"/>
  <c r="O52" i="10"/>
  <c r="N52" i="10"/>
  <c r="Q52" i="10" s="1"/>
  <c r="I52" i="10"/>
  <c r="P54" i="10"/>
  <c r="O54" i="10"/>
  <c r="N54" i="10"/>
  <c r="Q54" i="10" s="1"/>
  <c r="I54" i="10"/>
  <c r="N39" i="10"/>
  <c r="I39" i="10"/>
  <c r="G39" i="10"/>
  <c r="G26" i="10"/>
  <c r="P26" i="10" s="1"/>
  <c r="N26" i="10"/>
  <c r="I26" i="10"/>
  <c r="N57" i="10"/>
  <c r="I57" i="10"/>
  <c r="I51" i="10"/>
  <c r="N51" i="10"/>
  <c r="Q51" i="10" s="1"/>
  <c r="I55" i="10"/>
  <c r="N55" i="10"/>
  <c r="Q55" i="10" s="1"/>
  <c r="P55" i="10"/>
  <c r="O55" i="10"/>
  <c r="P51" i="10"/>
  <c r="O51" i="10"/>
  <c r="P50" i="10"/>
  <c r="O50" i="10"/>
  <c r="N50" i="10"/>
  <c r="Q50" i="10" s="1"/>
  <c r="I50" i="10"/>
  <c r="P49" i="10"/>
  <c r="O49" i="10"/>
  <c r="N49" i="10"/>
  <c r="Q49" i="10" s="1"/>
  <c r="I49" i="10"/>
  <c r="P48" i="10"/>
  <c r="O48" i="10"/>
  <c r="N48" i="10"/>
  <c r="Q48" i="10" s="1"/>
  <c r="I48" i="10"/>
  <c r="P47" i="10"/>
  <c r="O47" i="10"/>
  <c r="N47" i="10"/>
  <c r="Q47" i="10" s="1"/>
  <c r="I47" i="10"/>
  <c r="P8" i="3"/>
  <c r="O8" i="3"/>
  <c r="N8" i="3"/>
  <c r="Q8" i="3" s="1"/>
  <c r="I8" i="3"/>
  <c r="P7" i="3"/>
  <c r="O7" i="3"/>
  <c r="N7" i="3"/>
  <c r="Q7" i="3" s="1"/>
  <c r="I7" i="3"/>
  <c r="I14" i="3"/>
  <c r="P14" i="3"/>
  <c r="O14" i="3"/>
  <c r="N14" i="3"/>
  <c r="Q14" i="3" s="1"/>
  <c r="I16" i="3"/>
  <c r="P16" i="3"/>
  <c r="O16" i="3"/>
  <c r="N16" i="3"/>
  <c r="Q16" i="3" s="1"/>
  <c r="P15" i="3"/>
  <c r="O15" i="3"/>
  <c r="N15" i="3"/>
  <c r="Q15" i="3" s="1"/>
  <c r="I15" i="3"/>
  <c r="I24" i="5"/>
  <c r="P54" i="9"/>
  <c r="P55" i="9" s="1"/>
  <c r="N54" i="9"/>
  <c r="G54" i="9"/>
  <c r="Q54" i="9" s="1"/>
  <c r="I45" i="9"/>
  <c r="P48" i="9"/>
  <c r="O48" i="9"/>
  <c r="N48" i="9"/>
  <c r="Q48" i="9" s="1"/>
  <c r="I48" i="9"/>
  <c r="P49" i="9"/>
  <c r="O49" i="9"/>
  <c r="N49" i="9"/>
  <c r="Q49" i="9" s="1"/>
  <c r="I49" i="9"/>
  <c r="P47" i="9"/>
  <c r="O47" i="9"/>
  <c r="N47" i="9"/>
  <c r="Q47" i="9" s="1"/>
  <c r="I47" i="9"/>
  <c r="N46" i="9"/>
  <c r="I46" i="9"/>
  <c r="G46" i="9"/>
  <c r="P45" i="9"/>
  <c r="O45" i="9"/>
  <c r="N45" i="9"/>
  <c r="Q45" i="9" s="1"/>
  <c r="P44" i="9"/>
  <c r="O44" i="9"/>
  <c r="N44" i="9"/>
  <c r="Q44" i="9" s="1"/>
  <c r="I44" i="9"/>
  <c r="I33" i="9"/>
  <c r="I34" i="9"/>
  <c r="I35" i="9"/>
  <c r="I36" i="9"/>
  <c r="P43" i="9"/>
  <c r="O43" i="9"/>
  <c r="N43" i="9"/>
  <c r="Q43" i="9" s="1"/>
  <c r="I43" i="9"/>
  <c r="P42" i="9"/>
  <c r="O42" i="9"/>
  <c r="N42" i="9"/>
  <c r="Q42" i="9" s="1"/>
  <c r="I42" i="9"/>
  <c r="P41" i="9"/>
  <c r="O41" i="9"/>
  <c r="N41" i="9"/>
  <c r="Q41" i="9" s="1"/>
  <c r="I41" i="9"/>
  <c r="P36" i="9"/>
  <c r="O36" i="9"/>
  <c r="N36" i="9"/>
  <c r="Q36" i="9" s="1"/>
  <c r="P35" i="9"/>
  <c r="O35" i="9"/>
  <c r="O37" i="9" s="1"/>
  <c r="N35" i="9"/>
  <c r="Q35" i="9" s="1"/>
  <c r="P34" i="9"/>
  <c r="O34" i="9"/>
  <c r="N34" i="9"/>
  <c r="Q34" i="9" s="1"/>
  <c r="P33" i="9"/>
  <c r="O33" i="9"/>
  <c r="N33" i="9"/>
  <c r="Q33" i="9" s="1"/>
  <c r="G6" i="2"/>
  <c r="I16" i="2"/>
  <c r="I14" i="2"/>
  <c r="P16" i="2"/>
  <c r="O16" i="2"/>
  <c r="N16" i="2"/>
  <c r="Q16" i="2" s="1"/>
  <c r="O15" i="2"/>
  <c r="N15" i="2"/>
  <c r="Q15" i="2" s="1"/>
  <c r="G15" i="2"/>
  <c r="P15" i="2" s="1"/>
  <c r="P14" i="2"/>
  <c r="O14" i="2"/>
  <c r="N14" i="2"/>
  <c r="Q14" i="2" s="1"/>
  <c r="P14" i="1"/>
  <c r="O14" i="1"/>
  <c r="N14" i="1"/>
  <c r="Q14" i="1" s="1"/>
  <c r="I14" i="1"/>
  <c r="D45" i="11"/>
  <c r="M45" i="11" s="1"/>
  <c r="K51" i="11"/>
  <c r="K50" i="11"/>
  <c r="F50" i="11"/>
  <c r="D50" i="11"/>
  <c r="N50" i="11" s="1"/>
  <c r="L45" i="11"/>
  <c r="K45" i="11"/>
  <c r="N45" i="11" s="1"/>
  <c r="N46" i="11" s="1"/>
  <c r="K44" i="11"/>
  <c r="F44" i="11"/>
  <c r="D44" i="11"/>
  <c r="N44" i="11" s="1"/>
  <c r="I24" i="9"/>
  <c r="P13" i="9"/>
  <c r="O13" i="9"/>
  <c r="N13" i="9"/>
  <c r="Q13" i="9" s="1"/>
  <c r="I13" i="9"/>
  <c r="G20" i="9"/>
  <c r="O19" i="9"/>
  <c r="N19" i="9"/>
  <c r="Q19" i="9" s="1"/>
  <c r="I19" i="9"/>
  <c r="I20" i="9"/>
  <c r="N20" i="9"/>
  <c r="P21" i="9"/>
  <c r="O21" i="9"/>
  <c r="N21" i="9"/>
  <c r="Q21" i="9" s="1"/>
  <c r="I21" i="9"/>
  <c r="P14" i="9"/>
  <c r="O14" i="9"/>
  <c r="N14" i="9"/>
  <c r="Q14" i="9" s="1"/>
  <c r="P12" i="9"/>
  <c r="O12" i="9"/>
  <c r="N12" i="9"/>
  <c r="Q12" i="9" s="1"/>
  <c r="I12" i="9"/>
  <c r="I15" i="9" s="1" a="1"/>
  <c r="I15" i="9" s="1"/>
  <c r="P5" i="9"/>
  <c r="O5" i="9"/>
  <c r="N5" i="9"/>
  <c r="Q5" i="9" s="1"/>
  <c r="I5" i="9"/>
  <c r="P25" i="9"/>
  <c r="O25" i="9"/>
  <c r="N25" i="9"/>
  <c r="Q25" i="9" s="1"/>
  <c r="I25" i="9"/>
  <c r="P24" i="9"/>
  <c r="O24" i="9"/>
  <c r="N24" i="9"/>
  <c r="Q24" i="9" s="1"/>
  <c r="P23" i="9"/>
  <c r="O23" i="9"/>
  <c r="N23" i="9"/>
  <c r="Q23" i="9" s="1"/>
  <c r="I23" i="9"/>
  <c r="P22" i="9"/>
  <c r="O22" i="9"/>
  <c r="N22" i="9"/>
  <c r="Q22" i="9" s="1"/>
  <c r="I22" i="9"/>
  <c r="I5" i="10"/>
  <c r="I6" i="10"/>
  <c r="I13" i="10"/>
  <c r="I12" i="10"/>
  <c r="N31" i="4"/>
  <c r="I31" i="4"/>
  <c r="Q30" i="4"/>
  <c r="Q32" i="4" s="1"/>
  <c r="P30" i="4"/>
  <c r="P32" i="4" s="1"/>
  <c r="O30" i="4"/>
  <c r="O32" i="4" s="1"/>
  <c r="N30" i="4"/>
  <c r="I30" i="4"/>
  <c r="I32" i="4" s="1" a="1"/>
  <c r="I32" i="4" s="1"/>
  <c r="I24" i="4"/>
  <c r="N24" i="4"/>
  <c r="I25" i="4" a="1"/>
  <c r="I25" i="4" s="1"/>
  <c r="P23" i="4"/>
  <c r="P25" i="4" s="1"/>
  <c r="O23" i="4"/>
  <c r="O25" i="4" s="1"/>
  <c r="N23" i="4"/>
  <c r="Q23" i="4" s="1"/>
  <c r="I23" i="4"/>
  <c r="I12" i="4"/>
  <c r="I18" i="4"/>
  <c r="I17" i="4"/>
  <c r="I13" i="4" a="1"/>
  <c r="I13" i="4" s="1"/>
  <c r="I7" i="4" a="1"/>
  <c r="I7" i="4" s="1"/>
  <c r="I6" i="4"/>
  <c r="I5" i="4"/>
  <c r="I11" i="4"/>
  <c r="Q18" i="4"/>
  <c r="O18" i="4"/>
  <c r="N18" i="4"/>
  <c r="P17" i="4"/>
  <c r="P19" i="4" s="1"/>
  <c r="O17" i="4"/>
  <c r="O19" i="4" s="1"/>
  <c r="N17" i="4"/>
  <c r="Q17" i="4" s="1"/>
  <c r="P11" i="4"/>
  <c r="P13" i="4" s="1"/>
  <c r="O11" i="4"/>
  <c r="O13" i="4" s="1"/>
  <c r="N11" i="4"/>
  <c r="Q11" i="4" s="1"/>
  <c r="N12" i="4"/>
  <c r="Q12" i="4" s="1"/>
  <c r="P6" i="4"/>
  <c r="O6" i="4"/>
  <c r="N6" i="4"/>
  <c r="Q6" i="4" s="1"/>
  <c r="P5" i="4"/>
  <c r="O5" i="4"/>
  <c r="N5" i="4"/>
  <c r="Q5" i="4" s="1"/>
  <c r="I38" i="10"/>
  <c r="I25" i="10"/>
  <c r="P40" i="10"/>
  <c r="O40" i="10"/>
  <c r="N40" i="10"/>
  <c r="Q40" i="10" s="1"/>
  <c r="I40" i="10"/>
  <c r="P38" i="10"/>
  <c r="O38" i="10"/>
  <c r="N38" i="10"/>
  <c r="Q38" i="10" s="1"/>
  <c r="P37" i="10"/>
  <c r="O37" i="10"/>
  <c r="N37" i="10"/>
  <c r="Q37" i="10" s="1"/>
  <c r="I37" i="10"/>
  <c r="P36" i="10"/>
  <c r="O36" i="10"/>
  <c r="N36" i="10"/>
  <c r="Q36" i="10" s="1"/>
  <c r="I36" i="10"/>
  <c r="P35" i="10"/>
  <c r="O35" i="10"/>
  <c r="N35" i="10"/>
  <c r="Q35" i="10" s="1"/>
  <c r="I35" i="10"/>
  <c r="P34" i="10"/>
  <c r="O34" i="10"/>
  <c r="N34" i="10"/>
  <c r="Q34" i="10" s="1"/>
  <c r="I34" i="10"/>
  <c r="P33" i="10"/>
  <c r="O33" i="10"/>
  <c r="N33" i="10"/>
  <c r="Q33" i="10" s="1"/>
  <c r="I33" i="10"/>
  <c r="P27" i="10"/>
  <c r="O27" i="10"/>
  <c r="N27" i="10"/>
  <c r="Q27" i="10" s="1"/>
  <c r="I27" i="10"/>
  <c r="P25" i="10"/>
  <c r="O25" i="10"/>
  <c r="N25" i="10"/>
  <c r="Q25" i="10" s="1"/>
  <c r="P24" i="10"/>
  <c r="O24" i="10"/>
  <c r="N24" i="10"/>
  <c r="Q24" i="10" s="1"/>
  <c r="I24" i="10"/>
  <c r="P23" i="10"/>
  <c r="O23" i="10"/>
  <c r="N23" i="10"/>
  <c r="Q23" i="10" s="1"/>
  <c r="I23" i="10"/>
  <c r="P22" i="10"/>
  <c r="O22" i="10"/>
  <c r="N22" i="10"/>
  <c r="Q22" i="10" s="1"/>
  <c r="I22" i="10"/>
  <c r="P21" i="10"/>
  <c r="O21" i="10"/>
  <c r="N21" i="10"/>
  <c r="Q21" i="10" s="1"/>
  <c r="I21" i="10"/>
  <c r="P20" i="10"/>
  <c r="O20" i="10"/>
  <c r="N20" i="10"/>
  <c r="Q20" i="10" s="1"/>
  <c r="I20" i="10"/>
  <c r="P14" i="10"/>
  <c r="O14" i="10"/>
  <c r="N14" i="10"/>
  <c r="Q14" i="10" s="1"/>
  <c r="I14" i="10"/>
  <c r="I15" i="10" s="1"/>
  <c r="P13" i="10"/>
  <c r="O13" i="10"/>
  <c r="N13" i="10"/>
  <c r="Q13" i="10" s="1"/>
  <c r="P12" i="10"/>
  <c r="O12" i="10"/>
  <c r="N12" i="10"/>
  <c r="Q12" i="10" s="1"/>
  <c r="P7" i="10"/>
  <c r="O7" i="10"/>
  <c r="N7" i="10"/>
  <c r="Q7" i="10" s="1"/>
  <c r="I7" i="10"/>
  <c r="I8" i="10" s="1"/>
  <c r="P6" i="10"/>
  <c r="O6" i="10"/>
  <c r="N6" i="10"/>
  <c r="Q6" i="10" s="1"/>
  <c r="P5" i="10"/>
  <c r="O5" i="10"/>
  <c r="N5" i="10"/>
  <c r="Q5" i="10" s="1"/>
  <c r="O55" i="7"/>
  <c r="P7" i="9"/>
  <c r="O7" i="9"/>
  <c r="N7" i="9"/>
  <c r="Q7" i="9" s="1"/>
  <c r="P6" i="9"/>
  <c r="O6" i="9"/>
  <c r="N6" i="9"/>
  <c r="Q6" i="9" s="1"/>
  <c r="I6" i="9"/>
  <c r="P31" i="5"/>
  <c r="O31" i="5"/>
  <c r="N31" i="5"/>
  <c r="Q31" i="5" s="1"/>
  <c r="I31" i="5"/>
  <c r="Q30" i="5"/>
  <c r="P30" i="5"/>
  <c r="O30" i="5"/>
  <c r="N30" i="5"/>
  <c r="I30" i="5"/>
  <c r="Q33" i="5"/>
  <c r="P33" i="5"/>
  <c r="O33" i="5"/>
  <c r="N33" i="5"/>
  <c r="I33" i="5"/>
  <c r="P32" i="5"/>
  <c r="O32" i="5"/>
  <c r="N32" i="5"/>
  <c r="Q32" i="5" s="1"/>
  <c r="I32" i="5"/>
  <c r="P23" i="5"/>
  <c r="O23" i="5"/>
  <c r="N23" i="5"/>
  <c r="Q23" i="5" s="1"/>
  <c r="I23" i="5"/>
  <c r="P24" i="5"/>
  <c r="O24" i="5"/>
  <c r="N24" i="5"/>
  <c r="Q24" i="5" s="1"/>
  <c r="P22" i="5"/>
  <c r="O22" i="5"/>
  <c r="N22" i="5"/>
  <c r="Q22" i="5" s="1"/>
  <c r="I22" i="5"/>
  <c r="Q21" i="5"/>
  <c r="P21" i="5"/>
  <c r="O21" i="5"/>
  <c r="O25" i="5" s="1"/>
  <c r="N21" i="5"/>
  <c r="I21" i="5"/>
  <c r="P15" i="5"/>
  <c r="O15" i="5"/>
  <c r="N15" i="5"/>
  <c r="Q15" i="5" s="1"/>
  <c r="I15" i="5"/>
  <c r="P14" i="5"/>
  <c r="O14" i="5"/>
  <c r="N14" i="5"/>
  <c r="Q14" i="5" s="1"/>
  <c r="I14" i="5"/>
  <c r="P13" i="5"/>
  <c r="O13" i="5"/>
  <c r="N13" i="5"/>
  <c r="Q13" i="5" s="1"/>
  <c r="I13" i="5"/>
  <c r="O6" i="5"/>
  <c r="I7" i="5"/>
  <c r="P7" i="5"/>
  <c r="P9" i="5" s="1"/>
  <c r="O7" i="5"/>
  <c r="O9" i="5" s="1"/>
  <c r="N7" i="5"/>
  <c r="Q7" i="5" s="1"/>
  <c r="P6" i="5"/>
  <c r="N6" i="5"/>
  <c r="Q6" i="5" s="1"/>
  <c r="Q9" i="5" s="1"/>
  <c r="I6" i="5"/>
  <c r="P8" i="5"/>
  <c r="O8" i="5"/>
  <c r="N8" i="5"/>
  <c r="Q8" i="5" s="1"/>
  <c r="I8" i="5"/>
  <c r="I9" i="5" s="1" a="1"/>
  <c r="I9" i="5" s="1"/>
  <c r="P34" i="5" l="1"/>
  <c r="O34" i="5"/>
  <c r="Q34" i="5"/>
  <c r="D51" i="11"/>
  <c r="L44" i="11"/>
  <c r="L46" i="11" s="1"/>
  <c r="F45" i="11"/>
  <c r="F46" i="11" s="1" a="1"/>
  <c r="F46" i="11" s="1"/>
  <c r="Q13" i="4"/>
  <c r="O56" i="10"/>
  <c r="P56" i="10"/>
  <c r="P53" i="10"/>
  <c r="I41" i="10" a="1"/>
  <c r="I41" i="10" s="1"/>
  <c r="Q39" i="10"/>
  <c r="Q41" i="10" s="1"/>
  <c r="O26" i="10"/>
  <c r="O28" i="10" s="1"/>
  <c r="P39" i="10"/>
  <c r="P41" i="10" s="1"/>
  <c r="O39" i="10"/>
  <c r="O41" i="10" s="1"/>
  <c r="Q26" i="10"/>
  <c r="Q28" i="10" s="1"/>
  <c r="P57" i="10"/>
  <c r="Q57" i="10"/>
  <c r="Q58" i="10" s="1"/>
  <c r="O58" i="10"/>
  <c r="I58" i="10" a="1"/>
  <c r="I58" i="10" s="1"/>
  <c r="I17" i="3" a="1"/>
  <c r="I17" i="3" s="1"/>
  <c r="O54" i="9"/>
  <c r="O55" i="9" s="1"/>
  <c r="Q55" i="9"/>
  <c r="O17" i="2"/>
  <c r="I15" i="2"/>
  <c r="I17" i="2" s="1" a="1"/>
  <c r="I17" i="2" s="1"/>
  <c r="Q46" i="9"/>
  <c r="Q50" i="9" s="1"/>
  <c r="O15" i="9"/>
  <c r="O46" i="9"/>
  <c r="O50" i="9" s="1"/>
  <c r="P46" i="9"/>
  <c r="P50" i="9" s="1"/>
  <c r="Q8" i="9"/>
  <c r="Q20" i="9"/>
  <c r="Q26" i="9" s="1"/>
  <c r="I8" i="9" a="1"/>
  <c r="I8" i="9" s="1"/>
  <c r="O8" i="9"/>
  <c r="P8" i="9"/>
  <c r="I50" i="9" a="1"/>
  <c r="I50" i="9" s="1"/>
  <c r="I37" i="9" a="1"/>
  <c r="I37" i="9" s="1"/>
  <c r="P37" i="9"/>
  <c r="Q37" i="9"/>
  <c r="P17" i="2"/>
  <c r="Q17" i="2"/>
  <c r="M50" i="11"/>
  <c r="L50" i="11"/>
  <c r="M44" i="11"/>
  <c r="M46" i="11" s="1"/>
  <c r="I26" i="9" a="1"/>
  <c r="I26" i="9" s="1"/>
  <c r="P19" i="9"/>
  <c r="O20" i="9"/>
  <c r="O26" i="9" s="1"/>
  <c r="P20" i="9"/>
  <c r="P15" i="9"/>
  <c r="Q15" i="9"/>
  <c r="Q25" i="4"/>
  <c r="I19" i="4" a="1"/>
  <c r="I19" i="4" s="1"/>
  <c r="Q19" i="4"/>
  <c r="O7" i="4"/>
  <c r="Q7" i="4"/>
  <c r="P7" i="4"/>
  <c r="O15" i="10"/>
  <c r="Q15" i="10"/>
  <c r="Q8" i="10"/>
  <c r="I28" i="10" a="1"/>
  <c r="I28" i="10" s="1"/>
  <c r="P15" i="10"/>
  <c r="O8" i="10"/>
  <c r="P8" i="10"/>
  <c r="P28" i="10"/>
  <c r="I34" i="5" a="1"/>
  <c r="I34" i="5" s="1"/>
  <c r="P16" i="5"/>
  <c r="I25" i="5" a="1"/>
  <c r="I25" i="5" s="1"/>
  <c r="I16" i="5" a="1"/>
  <c r="I16" i="5" s="1"/>
  <c r="P25" i="5"/>
  <c r="Q25" i="5"/>
  <c r="O16" i="5"/>
  <c r="Q16" i="5"/>
  <c r="L51" i="11" l="1"/>
  <c r="F51" i="11"/>
  <c r="F52" i="11" s="1" a="1"/>
  <c r="F52" i="11" s="1"/>
  <c r="M51" i="11"/>
  <c r="N51" i="11"/>
  <c r="N52" i="11" s="1"/>
  <c r="L52" i="11"/>
  <c r="M52" i="11"/>
  <c r="P58" i="10"/>
  <c r="P26" i="9"/>
  <c r="C6" i="8"/>
  <c r="C7" i="8"/>
  <c r="I43" i="6"/>
  <c r="P44" i="6"/>
  <c r="O44" i="6"/>
  <c r="N44" i="6"/>
  <c r="Q44" i="6" s="1"/>
  <c r="P43" i="6"/>
  <c r="O43" i="6"/>
  <c r="N43" i="6"/>
  <c r="Q43" i="6" s="1"/>
  <c r="P42" i="6"/>
  <c r="O42" i="6"/>
  <c r="N42" i="6"/>
  <c r="Q42" i="6" s="1"/>
  <c r="I42" i="6"/>
  <c r="P41" i="6"/>
  <c r="O41" i="6"/>
  <c r="N41" i="6"/>
  <c r="Q41" i="6" s="1"/>
  <c r="I41" i="6"/>
  <c r="P40" i="6"/>
  <c r="O40" i="6"/>
  <c r="N40" i="6"/>
  <c r="Q40" i="6" s="1"/>
  <c r="I40" i="6"/>
  <c r="I31" i="6"/>
  <c r="I30" i="6"/>
  <c r="I32" i="6"/>
  <c r="P31" i="6"/>
  <c r="O31" i="6"/>
  <c r="N31" i="6"/>
  <c r="Q31" i="6" s="1"/>
  <c r="P32" i="6"/>
  <c r="O32" i="6"/>
  <c r="N32" i="6"/>
  <c r="Q32" i="6" s="1"/>
  <c r="P30" i="6"/>
  <c r="O30" i="6"/>
  <c r="N30" i="6"/>
  <c r="Q30" i="6" s="1"/>
  <c r="P34" i="6"/>
  <c r="O34" i="6"/>
  <c r="N34" i="6"/>
  <c r="Q34" i="6" s="1"/>
  <c r="P33" i="6"/>
  <c r="O33" i="6"/>
  <c r="N33" i="6"/>
  <c r="Q33" i="6" s="1"/>
  <c r="I33" i="6"/>
  <c r="P24" i="6"/>
  <c r="O24" i="6"/>
  <c r="N24" i="6"/>
  <c r="Q24" i="6" s="1"/>
  <c r="P23" i="6"/>
  <c r="P25" i="6" s="1"/>
  <c r="O23" i="6"/>
  <c r="O25" i="6" s="1"/>
  <c r="N23" i="6"/>
  <c r="Q23" i="6" s="1"/>
  <c r="Q25" i="6" s="1"/>
  <c r="I23" i="6"/>
  <c r="I25" i="6" s="1"/>
  <c r="P18" i="6"/>
  <c r="O18" i="6"/>
  <c r="N18" i="6"/>
  <c r="Q18" i="6" s="1"/>
  <c r="P17" i="6"/>
  <c r="O17" i="6"/>
  <c r="O19" i="6" s="1"/>
  <c r="N17" i="6"/>
  <c r="Q17" i="6" s="1"/>
  <c r="Q19" i="6" s="1"/>
  <c r="I17" i="6"/>
  <c r="I19" i="6" s="1"/>
  <c r="P12" i="6"/>
  <c r="O12" i="6"/>
  <c r="N12" i="6"/>
  <c r="Q12" i="6" s="1"/>
  <c r="I12" i="6"/>
  <c r="P11" i="6"/>
  <c r="O11" i="6"/>
  <c r="N11" i="6"/>
  <c r="Q11" i="6" s="1"/>
  <c r="Q13" i="6" s="1"/>
  <c r="I11" i="6"/>
  <c r="P7" i="6"/>
  <c r="I7" i="6" a="1"/>
  <c r="I7" i="6" s="1"/>
  <c r="P42" i="3"/>
  <c r="P43" i="3" s="1"/>
  <c r="O42" i="3"/>
  <c r="O43" i="3" s="1"/>
  <c r="N42" i="3"/>
  <c r="Q42" i="3" s="1"/>
  <c r="Q43" i="3" s="1"/>
  <c r="I42" i="3"/>
  <c r="I43" i="3" s="1" a="1"/>
  <c r="I43" i="3" s="1"/>
  <c r="P37" i="3"/>
  <c r="P38" i="3" s="1"/>
  <c r="O37" i="3"/>
  <c r="O38" i="3" s="1"/>
  <c r="N37" i="3"/>
  <c r="Q37" i="3" s="1"/>
  <c r="Q38" i="3" s="1"/>
  <c r="I37" i="3"/>
  <c r="I38" i="3" s="1" a="1"/>
  <c r="I38" i="3" s="1"/>
  <c r="P32" i="3"/>
  <c r="P33" i="3" s="1"/>
  <c r="O32" i="3"/>
  <c r="O33" i="3" s="1"/>
  <c r="N32" i="3"/>
  <c r="Q32" i="3" s="1"/>
  <c r="Q33" i="3" s="1"/>
  <c r="I32" i="3"/>
  <c r="I33" i="3" s="1" a="1"/>
  <c r="I33" i="3" s="1"/>
  <c r="P27" i="3"/>
  <c r="P28" i="3" s="1"/>
  <c r="O27" i="3"/>
  <c r="O28" i="3" s="1"/>
  <c r="N27" i="3"/>
  <c r="Q27" i="3" s="1"/>
  <c r="Q28" i="3" s="1"/>
  <c r="I27" i="3"/>
  <c r="I28" i="3" s="1" a="1"/>
  <c r="I28" i="3" s="1"/>
  <c r="P22" i="3"/>
  <c r="P23" i="3" s="1"/>
  <c r="O22" i="3"/>
  <c r="O23" i="3" s="1"/>
  <c r="N22" i="3"/>
  <c r="Q22" i="3" s="1"/>
  <c r="Q23" i="3" s="1"/>
  <c r="I22" i="3"/>
  <c r="I23" i="3" s="1" a="1"/>
  <c r="I23" i="3" s="1"/>
  <c r="I22" i="2"/>
  <c r="I24" i="2" s="1"/>
  <c r="N22" i="2"/>
  <c r="Q22" i="2" s="1"/>
  <c r="O22" i="2"/>
  <c r="P22" i="2"/>
  <c r="I6" i="3"/>
  <c r="P6" i="3"/>
  <c r="O6" i="3"/>
  <c r="N6" i="3"/>
  <c r="Q6" i="3" s="1"/>
  <c r="N47" i="2"/>
  <c r="G47" i="2"/>
  <c r="O47" i="2" s="1"/>
  <c r="P46" i="2"/>
  <c r="O46" i="2"/>
  <c r="N46" i="2"/>
  <c r="Q46" i="2" s="1"/>
  <c r="I46" i="2"/>
  <c r="I48" i="2" s="1"/>
  <c r="G23" i="2"/>
  <c r="P23" i="2" s="1"/>
  <c r="N41" i="2"/>
  <c r="G41" i="2"/>
  <c r="P40" i="2"/>
  <c r="O40" i="2"/>
  <c r="N40" i="2"/>
  <c r="Q40" i="2" s="1"/>
  <c r="I40" i="2"/>
  <c r="I42" i="2" s="1"/>
  <c r="N35" i="2"/>
  <c r="G35" i="2"/>
  <c r="P35" i="2" s="1"/>
  <c r="P34" i="2"/>
  <c r="O34" i="2"/>
  <c r="N34" i="2"/>
  <c r="Q34" i="2" s="1"/>
  <c r="I34" i="2"/>
  <c r="I36" i="2" s="1"/>
  <c r="N29" i="2"/>
  <c r="G29" i="2"/>
  <c r="P29" i="2" s="1"/>
  <c r="P28" i="2"/>
  <c r="O28" i="2"/>
  <c r="N28" i="2"/>
  <c r="Q28" i="2" s="1"/>
  <c r="I28" i="2"/>
  <c r="I30" i="2" s="1"/>
  <c r="G7" i="2"/>
  <c r="P7" i="2" s="1"/>
  <c r="N23" i="2"/>
  <c r="N7" i="2"/>
  <c r="P8" i="2"/>
  <c r="O8" i="2"/>
  <c r="N8" i="2"/>
  <c r="Q8" i="2" s="1"/>
  <c r="P6" i="2"/>
  <c r="O6" i="2"/>
  <c r="N6" i="2"/>
  <c r="Q6" i="2" s="1"/>
  <c r="P48" i="7"/>
  <c r="O48" i="7"/>
  <c r="P55" i="7"/>
  <c r="Q42" i="7"/>
  <c r="P42" i="7"/>
  <c r="O42" i="7"/>
  <c r="Q35" i="7"/>
  <c r="P35" i="7"/>
  <c r="O35" i="7"/>
  <c r="Q28" i="7"/>
  <c r="P28" i="7"/>
  <c r="O28" i="7"/>
  <c r="P21" i="7"/>
  <c r="O21" i="7"/>
  <c r="P15" i="7"/>
  <c r="O15" i="7"/>
  <c r="P8" i="7"/>
  <c r="Q8" i="7"/>
  <c r="O8" i="7"/>
  <c r="Q34" i="7"/>
  <c r="Q54" i="7"/>
  <c r="Q55" i="7" s="1"/>
  <c r="Q47" i="7"/>
  <c r="Q48" i="7" s="1"/>
  <c r="Q41" i="7"/>
  <c r="I55" i="7"/>
  <c r="N54" i="7"/>
  <c r="Q53" i="7"/>
  <c r="N53" i="7"/>
  <c r="I48" i="7"/>
  <c r="N47" i="7"/>
  <c r="Q46" i="7"/>
  <c r="N46" i="7"/>
  <c r="I42" i="7"/>
  <c r="N41" i="7"/>
  <c r="Q40" i="7"/>
  <c r="N40" i="7"/>
  <c r="I35" i="7"/>
  <c r="N34" i="7"/>
  <c r="Q33" i="7"/>
  <c r="N33" i="7"/>
  <c r="I28" i="7"/>
  <c r="I21" i="7"/>
  <c r="I15" i="7"/>
  <c r="I8" i="7"/>
  <c r="Q27" i="7"/>
  <c r="N27" i="7"/>
  <c r="Q26" i="7"/>
  <c r="N26" i="7"/>
  <c r="Q20" i="7"/>
  <c r="N20" i="7"/>
  <c r="Q19" i="7"/>
  <c r="Q21" i="7" s="1"/>
  <c r="N19" i="7"/>
  <c r="Q7" i="7"/>
  <c r="Q14" i="7"/>
  <c r="Q15" i="7" s="1"/>
  <c r="Q13" i="7"/>
  <c r="N14" i="7"/>
  <c r="N13" i="7"/>
  <c r="Q6" i="7"/>
  <c r="N7" i="7"/>
  <c r="N6" i="7"/>
  <c r="O15" i="1"/>
  <c r="I20" i="1"/>
  <c r="N20" i="1"/>
  <c r="Q20" i="1" s="1"/>
  <c r="O20" i="1"/>
  <c r="P20" i="1"/>
  <c r="P45" i="1"/>
  <c r="O45" i="1"/>
  <c r="N45" i="1"/>
  <c r="Q45" i="1" s="1"/>
  <c r="I45" i="1"/>
  <c r="P44" i="1"/>
  <c r="O44" i="1"/>
  <c r="N44" i="1"/>
  <c r="Q44" i="1" s="1"/>
  <c r="I44" i="1"/>
  <c r="P39" i="1"/>
  <c r="O39" i="1"/>
  <c r="N39" i="1"/>
  <c r="Q39" i="1" s="1"/>
  <c r="I39" i="1"/>
  <c r="P38" i="1"/>
  <c r="O38" i="1"/>
  <c r="N38" i="1"/>
  <c r="Q38" i="1" s="1"/>
  <c r="I38" i="1"/>
  <c r="P33" i="1"/>
  <c r="O33" i="1"/>
  <c r="N33" i="1"/>
  <c r="Q33" i="1" s="1"/>
  <c r="I33" i="1"/>
  <c r="P32" i="1"/>
  <c r="O32" i="1"/>
  <c r="N32" i="1"/>
  <c r="Q32" i="1" s="1"/>
  <c r="I32" i="1"/>
  <c r="P27" i="1"/>
  <c r="O27" i="1"/>
  <c r="N27" i="1"/>
  <c r="Q27" i="1" s="1"/>
  <c r="I27" i="1"/>
  <c r="P26" i="1"/>
  <c r="O26" i="1"/>
  <c r="N26" i="1"/>
  <c r="Q26" i="1" s="1"/>
  <c r="I26" i="1"/>
  <c r="P7" i="1"/>
  <c r="O7" i="1"/>
  <c r="N7" i="1"/>
  <c r="Q7" i="1" s="1"/>
  <c r="I7" i="1"/>
  <c r="N6" i="1"/>
  <c r="I21" i="1"/>
  <c r="N21" i="1"/>
  <c r="Q21" i="1" s="1"/>
  <c r="O21" i="1"/>
  <c r="P21" i="1"/>
  <c r="Q45" i="6" l="1"/>
  <c r="I9" i="3" a="1"/>
  <c r="I9" i="3" s="1"/>
  <c r="O45" i="6"/>
  <c r="P45" i="6"/>
  <c r="O13" i="6"/>
  <c r="O35" i="6"/>
  <c r="P13" i="6"/>
  <c r="P19" i="6"/>
  <c r="Q35" i="6"/>
  <c r="P35" i="6"/>
  <c r="I45" i="6" a="1"/>
  <c r="I45" i="6" s="1"/>
  <c r="C8" i="8"/>
  <c r="C10" i="8" s="1"/>
  <c r="I35" i="6" a="1"/>
  <c r="I35" i="6" s="1"/>
  <c r="I13" i="6" a="1"/>
  <c r="I13" i="6" s="1"/>
  <c r="Q7" i="6"/>
  <c r="O7" i="6"/>
  <c r="P47" i="2"/>
  <c r="P48" i="2" s="1"/>
  <c r="Q47" i="2"/>
  <c r="Q48" i="2" s="1"/>
  <c r="O48" i="2"/>
  <c r="O17" i="3"/>
  <c r="P17" i="3"/>
  <c r="Q17" i="3"/>
  <c r="O9" i="3"/>
  <c r="P9" i="3"/>
  <c r="Q9" i="3"/>
  <c r="Q41" i="2"/>
  <c r="Q42" i="2" s="1"/>
  <c r="P41" i="2"/>
  <c r="O29" i="2"/>
  <c r="O30" i="2" s="1"/>
  <c r="O35" i="2"/>
  <c r="O36" i="2" s="1"/>
  <c r="O41" i="2"/>
  <c r="O42" i="2" s="1"/>
  <c r="Q29" i="2"/>
  <c r="Q30" i="2" s="1"/>
  <c r="Q35" i="2"/>
  <c r="Q36" i="2" s="1"/>
  <c r="P30" i="2"/>
  <c r="P36" i="2"/>
  <c r="P42" i="2"/>
  <c r="Q7" i="2"/>
  <c r="Q9" i="2" s="1"/>
  <c r="O7" i="2"/>
  <c r="O9" i="2" s="1"/>
  <c r="P24" i="2"/>
  <c r="O23" i="2"/>
  <c r="O24" i="2" s="1"/>
  <c r="Q23" i="2"/>
  <c r="Q24" i="2" s="1"/>
  <c r="P9" i="2"/>
  <c r="I15" i="1" a="1"/>
  <c r="I15" i="1" s="1"/>
  <c r="Q15" i="1"/>
  <c r="P15" i="1"/>
  <c r="P46" i="1"/>
  <c r="I28" i="1" a="1"/>
  <c r="I28" i="1" s="1"/>
  <c r="P34" i="1"/>
  <c r="O28" i="1"/>
  <c r="O34" i="1"/>
  <c r="I40" i="1" a="1"/>
  <c r="I40" i="1" s="1"/>
  <c r="P28" i="1"/>
  <c r="Q46" i="1"/>
  <c r="I34" i="1" a="1"/>
  <c r="I34" i="1" s="1"/>
  <c r="P40" i="1"/>
  <c r="I8" i="1" a="1"/>
  <c r="I8" i="1" s="1"/>
  <c r="O46" i="1"/>
  <c r="I46" i="1" a="1"/>
  <c r="I46" i="1" s="1"/>
  <c r="Q40" i="1"/>
  <c r="O40" i="1"/>
  <c r="Q34" i="1"/>
  <c r="Q28" i="1"/>
  <c r="I22" i="1" a="1"/>
  <c r="I22" i="1" s="1"/>
  <c r="O22" i="1"/>
  <c r="O8" i="1"/>
  <c r="P8" i="1"/>
  <c r="Q8" i="1"/>
  <c r="P22" i="1"/>
  <c r="Q2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<sst xmlns="http://schemas.openxmlformats.org/spreadsheetml/2006/main" count="3798" uniqueCount="351">
  <si>
    <t>ID_Construction</t>
  </si>
  <si>
    <t>group</t>
  </si>
  <si>
    <t>Material</t>
  </si>
  <si>
    <t>ID_EPD</t>
  </si>
  <si>
    <t>density</t>
  </si>
  <si>
    <t>thickness</t>
  </si>
  <si>
    <t>lamda_value</t>
  </si>
  <si>
    <t>u-value</t>
  </si>
  <si>
    <t>g-value</t>
  </si>
  <si>
    <t>GWP_prod_kg</t>
  </si>
  <si>
    <t>GWP_disp_kg</t>
  </si>
  <si>
    <t>C_BIO_kg</t>
  </si>
  <si>
    <t>CO2_Bio_kg</t>
  </si>
  <si>
    <t>GWP_prod</t>
  </si>
  <si>
    <t>GWP_disp</t>
  </si>
  <si>
    <t>CO2_Bio_stored</t>
  </si>
  <si>
    <t>GWP_Bio</t>
  </si>
  <si>
    <t>RSL</t>
  </si>
  <si>
    <t>Rotation_time</t>
  </si>
  <si>
    <t>Cost</t>
  </si>
  <si>
    <t>functional_unit</t>
  </si>
  <si>
    <t>Literature</t>
  </si>
  <si>
    <t>Note</t>
  </si>
  <si>
    <t>Literature_Biogenic</t>
  </si>
  <si>
    <t>Kg/m3</t>
  </si>
  <si>
    <t>m</t>
  </si>
  <si>
    <t>W/mK</t>
  </si>
  <si>
    <t>W/m2K</t>
  </si>
  <si>
    <t>KgCO2eq/kg</t>
  </si>
  <si>
    <t>KgC/kg</t>
  </si>
  <si>
    <t>KgCO/kg</t>
  </si>
  <si>
    <t>KgCO2eq/fu</t>
  </si>
  <si>
    <t>KgCO2/fu</t>
  </si>
  <si>
    <t>years</t>
  </si>
  <si>
    <t>CHF/ref</t>
  </si>
  <si>
    <t>fu</t>
  </si>
  <si>
    <t>m2</t>
  </si>
  <si>
    <t>insulation_xps_8</t>
  </si>
  <si>
    <t>10.005</t>
  </si>
  <si>
    <t>KBOB, https://www.bauteilkatalog.ch/kataloge/bauteil.aspx/ubt-77/</t>
  </si>
  <si>
    <t>KBOB,https://www.bauteilkatalog.ch/kataloge/bauteil.aspx/ubt-77/</t>
  </si>
  <si>
    <t>Baukleber/Einbettmörtel organisch</t>
  </si>
  <si>
    <t>04.002</t>
  </si>
  <si>
    <t>XPS 30 [Kg/m3]</t>
  </si>
  <si>
    <t>facade_xps</t>
  </si>
  <si>
    <t>Kunststoffputz (Dispersionsputz)</t>
  </si>
  <si>
    <t>insulation_xps_16</t>
  </si>
  <si>
    <t>insulation_xps_24</t>
  </si>
  <si>
    <t>insulation_xps_32</t>
  </si>
  <si>
    <t>insulation_xps_64</t>
  </si>
  <si>
    <t>ceiling_to_basement_xps</t>
  </si>
  <si>
    <t>Category</t>
  </si>
  <si>
    <t>u_value</t>
  </si>
  <si>
    <t>g_value</t>
  </si>
  <si>
    <t>CO2_bio_stored</t>
  </si>
  <si>
    <t>Rotation_time_bio</t>
  </si>
  <si>
    <t>Isolierverglasung 2-fach, Ug-Wert 1.1 W/m2K, Dicke 24 mm 3</t>
  </si>
  <si>
    <t>Isolierverglasung 3-fach, Ug-Wert 0.6 W/m2K, Dicke 40 mm 3</t>
  </si>
  <si>
    <t>05.012</t>
  </si>
  <si>
    <t>Fensterrahmen Holz-Metall</t>
  </si>
  <si>
    <t>05.006</t>
  </si>
  <si>
    <t>KBOB</t>
  </si>
  <si>
    <t>window_dbl_1.1_wood_metal_75</t>
  </si>
  <si>
    <t>window_trpl_0.6_wood_metal_75</t>
  </si>
  <si>
    <t>window_dbl_1.1_wood_metal_9</t>
  </si>
  <si>
    <t>window_trpl_0.6_wood_metal_9</t>
  </si>
  <si>
    <t xml:space="preserve">75% glass fraction, total U-value calculated on areal decomposition </t>
  </si>
  <si>
    <t xml:space="preserve">90% glass fraction, total U-value calculated on areal decomposition </t>
  </si>
  <si>
    <t>window_dbl_1.1_wood_75</t>
  </si>
  <si>
    <t>window_trpl_0.6_wood_75</t>
  </si>
  <si>
    <t>window_dbl_1.1_wood_9</t>
  </si>
  <si>
    <t>window_trpl_0.6_wood_9</t>
  </si>
  <si>
    <t xml:space="preserve">Wooden Windows </t>
  </si>
  <si>
    <t>Wood Metal Windows</t>
  </si>
  <si>
    <t>05.005</t>
  </si>
  <si>
    <t>Fensterrahmen Holz</t>
  </si>
  <si>
    <t>Jürgen Zell et. al. 2020, SwissStandSim: ein klimasensitives, einzelbaum- basiertes Waldwachstumsmodell</t>
  </si>
  <si>
    <t>KBOB, SIA 380/1 TAB 19, Standart Uf values according to "Merkblat Fenster" 2021 of Konforenz Kantonale Energiedirektoren EnDK,https://www.fensterbuenter.ch/__/frontend/handler/document.php?id=115&amp;type=42</t>
  </si>
  <si>
    <t>per glass area</t>
  </si>
  <si>
    <t>per area of the total window ("Maueröffnung"))</t>
  </si>
  <si>
    <t>Faserzement-Wellplatte</t>
  </si>
  <si>
    <t>Kraftpapier</t>
  </si>
  <si>
    <t>03.004</t>
  </si>
  <si>
    <t>Massivholz Fichte / Tanne / Lärche, luftgetrocknet, rau</t>
  </si>
  <si>
    <t>KBOB, https://www.bauteilkatalog.ch/kataloge/bauteil.aspx/ubt-52/</t>
  </si>
  <si>
    <t>09.006</t>
  </si>
  <si>
    <t>insulation_rockwool_8</t>
  </si>
  <si>
    <t>10.008</t>
  </si>
  <si>
    <t>Assumption same rotation time, since wood</t>
  </si>
  <si>
    <t>Holzlatte 40/60mm (for ventilated facade, 1.5 linear meter per m2)</t>
  </si>
  <si>
    <t>insulation_rockwool_16</t>
  </si>
  <si>
    <t>insulation_rockwool_24</t>
  </si>
  <si>
    <t>insulation_rockwool_32</t>
  </si>
  <si>
    <t>1x Holzlatte 80/60mm (Latte, 1  linear meter per m2)</t>
  </si>
  <si>
    <t>1x Holzlatte 40/60mm (Latte, 1  linear meter per m2)</t>
  </si>
  <si>
    <t>facade_rockwool_cementfiber_panel</t>
  </si>
  <si>
    <t>ceiling_to_basement_rockwool</t>
  </si>
  <si>
    <t>insulation_rockwool_64</t>
  </si>
  <si>
    <t xml:space="preserve"> Spacer elements (Aluminium/Plastic) to fix crossbar  on the wall are not taken into account!</t>
  </si>
  <si>
    <t>Steinwolle 50 [Kg/m3]</t>
  </si>
  <si>
    <t>KBOB, https://www.bauteilkatalog.ch/kataloge/bauteil.aspx/ubt-52/, https://www.flumroc.ch/produkte/bauprodukte/detail/flumroc-daemmplatte-duo</t>
  </si>
  <si>
    <t>facade_straw</t>
  </si>
  <si>
    <t>Sumpfkalkputz</t>
  </si>
  <si>
    <t>Lehmputz</t>
  </si>
  <si>
    <t>04.016</t>
  </si>
  <si>
    <t>04.004</t>
  </si>
  <si>
    <t>ceiling_to_basement_straw</t>
  </si>
  <si>
    <t>Massivholz Fichte / Tanne / Lärche, luftgetrocknet, rau, assumtion no contributino to u value</t>
  </si>
  <si>
    <t>insulation_straw_8</t>
  </si>
  <si>
    <t>Fixation (wire) of Straw on the wall is not included</t>
  </si>
  <si>
    <t>Strohballenwand</t>
  </si>
  <si>
    <t>10.015</t>
  </si>
  <si>
    <t>KBOB, Ubakus: BauStroh (for u value)</t>
  </si>
  <si>
    <t>insulation_straw_16</t>
  </si>
  <si>
    <t>insulation_straw_24</t>
  </si>
  <si>
    <t>insulation_straw_32</t>
  </si>
  <si>
    <t>insulation_straw_64</t>
  </si>
  <si>
    <t>02.001</t>
  </si>
  <si>
    <t>Backstein BN 18</t>
  </si>
  <si>
    <t>wall_masonry_doubleshell_BN15_KS_12</t>
  </si>
  <si>
    <t>wall_masonry_BN18</t>
  </si>
  <si>
    <t>Backstein KS 12</t>
  </si>
  <si>
    <t>KBOB,https://www.bauteilkatalog.ch/kataloge/bauteil.aspx/ubt-139/</t>
  </si>
  <si>
    <t>01.002</t>
  </si>
  <si>
    <t>Hochbaubeton (ohne Bewehrung)</t>
  </si>
  <si>
    <t>Armierungsstahl</t>
  </si>
  <si>
    <t>06.003</t>
  </si>
  <si>
    <t>60 Kg per m3 beton</t>
  </si>
  <si>
    <t>KBOB, https://www.bauteilkatalog.ch/kataloge/bauteil.aspx/id-_1007383324/navid-3/ngid-4/lng-de/</t>
  </si>
  <si>
    <t>wall_concrete_conventional_18cm_60Fe</t>
  </si>
  <si>
    <t>NPK B, CEMIII/B</t>
  </si>
  <si>
    <t>KBOB, https://www.bauteilkatalog.ch/kataloge/bauteil.aspx/id-_1007383324/navid-3/ngid-4/lng-de/,https://rechner.umweltchemie.ch/HTMLBetonsorten22d_v6/Oekobilanzrechner_Betonsorten_Planende_2022_deutsch_v6_UVEK2022.htm</t>
  </si>
  <si>
    <t>Entspricht NPK B, CEM III-B</t>
  </si>
  <si>
    <t>treeze.ch</t>
  </si>
  <si>
    <t>wall_concrete_lowco2_18cm_60Fe</t>
  </si>
  <si>
    <t xml:space="preserve">Entspricht NPK C, CEM II B-CH Mix "KBOB Standart Hochbau Beton" </t>
  </si>
  <si>
    <t>RSP</t>
  </si>
  <si>
    <t>ceiling_concrete_conventional_24cm_90Fe</t>
  </si>
  <si>
    <t>KBOB,https://www.bauteilkatalog.ch/kataloge/bauteil.aspx/ubt-54/</t>
  </si>
  <si>
    <t>04.005</t>
  </si>
  <si>
    <t>Unterlagsboden Anhydrit, 60 mm</t>
  </si>
  <si>
    <t>Polyethylenfolie (PE)</t>
  </si>
  <si>
    <t>09.007</t>
  </si>
  <si>
    <t>Glaswolle ϼ 100 [kg/m3] (Trittschalldämmung)</t>
  </si>
  <si>
    <t>10.001</t>
  </si>
  <si>
    <t>Entspricht NPK C, CEM II B-CH Mix "KBOB Standart Hochbau Beton", mit Anhydrit unterboden</t>
  </si>
  <si>
    <t>ceiling_concrete_lowco2_24cm_90Fe</t>
  </si>
  <si>
    <t>90 Kg per m3 beton</t>
  </si>
  <si>
    <t>Entspricht NPK B, CEM III-B Beton, mit Anhydrit unterboden</t>
  </si>
  <si>
    <t>Vertical columns</t>
  </si>
  <si>
    <t>horicontal beams</t>
  </si>
  <si>
    <t>deepth</t>
  </si>
  <si>
    <t>spacing (between eachother)</t>
  </si>
  <si>
    <t>m3 per m2 vertical</t>
  </si>
  <si>
    <t>m3 per m2 horicontal</t>
  </si>
  <si>
    <t xml:space="preserve">m3 per m2 total </t>
  </si>
  <si>
    <t>equivaltent thickness per m2 in m</t>
  </si>
  <si>
    <t>KBOB, ANDREA DEPLAZES:  CONSTRUCTING ARCHITECTURE MATERIALS PROCESSES STRUCTURES</t>
  </si>
  <si>
    <t>07.011</t>
  </si>
  <si>
    <t>No contirbution of the frame to the u value, the space is filled with insulation: simplification!</t>
  </si>
  <si>
    <t>wall_woodframe_24_loadbearing</t>
  </si>
  <si>
    <t>03.008</t>
  </si>
  <si>
    <t>07.013</t>
  </si>
  <si>
    <t>Base Panel inside OSB Platte 12mm</t>
  </si>
  <si>
    <t>Dampfbremse Polyethylen (PE)</t>
  </si>
  <si>
    <t>09.002</t>
  </si>
  <si>
    <t xml:space="preserve">For some insulation types (e.g. straw) the vapor barrrier is not used in reality. Therefore it is a overstimation! </t>
  </si>
  <si>
    <t>ceiling_woodbeams_conventional</t>
  </si>
  <si>
    <t>Balken Massiv 120x200mm, spacing 650mm,  Massivholz Fichte / Tanne / Lärche, kammergetr., gehobelt</t>
  </si>
  <si>
    <t>wall_ag</t>
  </si>
  <si>
    <t>wall_bg</t>
  </si>
  <si>
    <t>ceiling_ag_bg</t>
  </si>
  <si>
    <t>ceiling_ag</t>
  </si>
  <si>
    <t>KBOB,https://www.bauteilkatalog.ch/kataloge/bauteil.aspx/ubt-89/</t>
  </si>
  <si>
    <t>80Kg per m3 beton</t>
  </si>
  <si>
    <t>Magerbeton (ohne Bewehrung)</t>
  </si>
  <si>
    <t>Hochbaubeton NPK C, CEMII/B CH mix</t>
  </si>
  <si>
    <t>slab_to_basement_conventional_cold_25</t>
  </si>
  <si>
    <t>Hochbaubeton: NPK C, CEMII/B CH-mix</t>
  </si>
  <si>
    <t>Hochbaubeton NPK C, CEMIII/B</t>
  </si>
  <si>
    <t>wall_bg_concrete_conventional_cold_18</t>
  </si>
  <si>
    <t>Dichtungsbahn bituminös</t>
  </si>
  <si>
    <t>09.003</t>
  </si>
  <si>
    <t>Rundkies (Sickerbett)</t>
  </si>
  <si>
    <t>03.012</t>
  </si>
  <si>
    <t>60Kg per m3 beton</t>
  </si>
  <si>
    <t>wall_bg_concrete_lowco2_cold_18</t>
  </si>
  <si>
    <t>slab_to_basement_lowco2_cold_25</t>
  </si>
  <si>
    <t>roof_flat_core_concrete</t>
  </si>
  <si>
    <t>KBOB,https://www.bauteilkatalog.ch/kataloge/bauteil.aspx/ubt-78/</t>
  </si>
  <si>
    <t>80 Kg per m3 beton</t>
  </si>
  <si>
    <t>Dampfbremse bituminös</t>
  </si>
  <si>
    <t>09.001</t>
  </si>
  <si>
    <t>Dichtungsbahn Polyolefin (FPO)</t>
  </si>
  <si>
    <t>Polyethylenvlies (PE) 2x 0.003</t>
  </si>
  <si>
    <t>Kies gebrochen</t>
  </si>
  <si>
    <t>09.005</t>
  </si>
  <si>
    <t>09.008</t>
  </si>
  <si>
    <t>03.011</t>
  </si>
  <si>
    <t>insulation</t>
  </si>
  <si>
    <t>window</t>
  </si>
  <si>
    <t>ceiling_woodbeams_low_co2</t>
  </si>
  <si>
    <t>Gipsfaserplatte</t>
  </si>
  <si>
    <t>03.007</t>
  </si>
  <si>
    <t>3- und 5-Schicht Massivholzplatte</t>
  </si>
  <si>
    <t>Diagonal Boarding: 3- und 5-Schicht Massivholzplatte</t>
  </si>
  <si>
    <t>07.001</t>
  </si>
  <si>
    <t>Unterlagsboden Stampflehm, 60 mm</t>
  </si>
  <si>
    <t>10.002</t>
  </si>
  <si>
    <t>Kork ϼ 120 [kg/m3] (Trittschalldämmung)</t>
  </si>
  <si>
    <t>Jürgen Zell et. al. 2020, SwissStandSim: ein klimasensitives, einzelbaum- basiertes Waldwachstumsmodell, minimla amounts of straw are conted like wood (= conservative)</t>
  </si>
  <si>
    <t>Stroh (Schalldämmung zwischen Balken)</t>
  </si>
  <si>
    <t>Glaswolle ϼ 30 [kg/m3] (Schalldämmung zwischen balken)</t>
  </si>
  <si>
    <t>int_finishing_wood</t>
  </si>
  <si>
    <t>1x Holzlatte 24/48mm (Latte, 2  linear meter per m2) Massivholz Fichte / Tanne / Lärche, kammergetr., gehobelt</t>
  </si>
  <si>
    <t>Täfer, Massivholz Fichte / Tanne / Lärche, kammergetr., gehobelt</t>
  </si>
  <si>
    <t>int_finishing_plaster_conventional</t>
  </si>
  <si>
    <t>KBOB, Kolb, J. (2011). Bois : systèmes constructifs (2e éd. actualisée). Presses polytechniques et universitaires romandes: Ceiling C171</t>
  </si>
  <si>
    <t>KBOB, ANDREA DEPLAZES:  Brunner, C. U., &amp; Dietrich, H. (2012). Holzbau – mehrgeschossig : mit einem Essay von Helmut Dietrich. Faktor.,Kolb, J. (2011). Bois : systèmes constructifs (2e éd. actualisée). Presses polytechniques et universitaires romandes: cieling c171</t>
  </si>
  <si>
    <t>KBOB, KBOB, Kolb, J. (2011). Bois : systèmes constructifs (2e éd. actualisée). Presses polytechniques et universitaires romandes: wall C74</t>
  </si>
  <si>
    <t>04.001</t>
  </si>
  <si>
    <t>Gips-/Weissputz</t>
  </si>
  <si>
    <t>Anstrich, wasserverdünnbar, 2 Anstriche</t>
  </si>
  <si>
    <t>int_finishing_clay_plaster</t>
  </si>
  <si>
    <t>int_finishing</t>
  </si>
  <si>
    <t xml:space="preserve">Lehmputz </t>
  </si>
  <si>
    <t>KBOB, https://lehm.com/lehmputz/konstruktionen/lehmputz-schritt-fuer-schritt/</t>
  </si>
  <si>
    <t>flooring_parquet_glued</t>
  </si>
  <si>
    <t>int_flooring</t>
  </si>
  <si>
    <t>Parkett 2-Schicht werkversiegelt, 11 mm</t>
  </si>
  <si>
    <t>11.018</t>
  </si>
  <si>
    <t>KBOB, https://www.bauteilkatalog.ch/kataloge/bauteil.aspx/id-_1007383338/navid-3/ngid-4/lng-de/</t>
  </si>
  <si>
    <t>flooring_parquet_floating</t>
  </si>
  <si>
    <t>Polyethylenvlies (PE)</t>
  </si>
  <si>
    <t>KBOB, https://www.bauteilkatalog.ch/kataloge/bauteil.aspx/ubt-112/</t>
  </si>
  <si>
    <t xml:space="preserve">Rotation time of wood (and not straw) is choosen, since wood dominant </t>
  </si>
  <si>
    <t>roof_flat_core_wood</t>
  </si>
  <si>
    <t>Entspricht NPK C, CEM II B-CH Mix "KBOB Standart Hochbau Beton",</t>
  </si>
  <si>
    <t>Balken Massiv 120x300mm, spacing 685mm,  Massivholz Fichte / Tanne / Lärche, kammergetr., gehobelt</t>
  </si>
  <si>
    <t>Weichfaserplatte</t>
  </si>
  <si>
    <t xml:space="preserve">Querbretter, oberdachkonstruktion </t>
  </si>
  <si>
    <t>1x Holzlatte 80/60mm (Latte, spacing 685mm)</t>
  </si>
  <si>
    <t>KBOB, Kolb, J. (2011). Bois : systèmes constructifs (2e éd. actualisée). Presses polytechniques et universitaires romandes: Roof similar to c143</t>
  </si>
  <si>
    <t>roof_flat_core_concrete_lowCO2</t>
  </si>
  <si>
    <t xml:space="preserve">CUSTOM MATERIALS </t>
  </si>
  <si>
    <t>EPD SOURCE</t>
  </si>
  <si>
    <t>Armierungsgittergewebe Glasfaser</t>
  </si>
  <si>
    <t>https://ecoquery.ecoinvent.org/3.10/cutoff/dataset/8360/impact_assessment,  https://www.ch.weber/files/ch/2022-06/Armierungsgitter_Standard_PLUS_KA60_DE.pdf</t>
  </si>
  <si>
    <t>Ecoinvent_8360</t>
  </si>
  <si>
    <t>Disposal emissions like for Flachglas unbeschichtet (KBOB ID 03.005)</t>
  </si>
  <si>
    <t>KBOBO: 04.003</t>
  </si>
  <si>
    <t>CUSTOM_1</t>
  </si>
  <si>
    <t>Eingebettetes Armierungsgittergewebe Dispersionsputz d 3mm [m2]</t>
  </si>
  <si>
    <t>Eingebettetes Armierungsgittergewebe Weissputz d 3mm [m2]</t>
  </si>
  <si>
    <t>CUSTOM_2</t>
  </si>
  <si>
    <t>per m2</t>
  </si>
  <si>
    <t>KBOB,  https://www.bauteilkatalog.ch/kataloge/bauteil.aspx/ubt-77/</t>
  </si>
  <si>
    <t>Holzlatte 40/60mm (to mount gypsium plates, 1.5 linear meter per m2)</t>
  </si>
  <si>
    <t>Fermacell is a producer</t>
  </si>
  <si>
    <t>Eternit Profil 5, 16 Kg/m2</t>
  </si>
  <si>
    <t>no contribution to the u value, since ventilated</t>
  </si>
  <si>
    <t>flat_roof_exterior_surface_green</t>
  </si>
  <si>
    <t>This assembly is used for all beam roof constructions (wood/steel) and load bearing insulation on slab roof constructions</t>
  </si>
  <si>
    <t>This assembley is used, if non load beraring insualtion materials (e.g. Rockwool / Straw) are mounrte on a slab</t>
  </si>
  <si>
    <t>KBOB, https://www.bauteilkatalog.ch/kataloge/bauteil.aspx/ubt-52/,Kolb, J. (2011). Bois : systèmes constructifs (2e éd. actualisée). Presses polytechniques et universitaires romandes: Roof similar to c143</t>
  </si>
  <si>
    <t>Balken Massiv 40x300mm, spacing 605mm,  Massivholz Fichte / Tanne / Lärche, kammergetr., gehobelt</t>
  </si>
  <si>
    <t>tragend konstruktion Dach</t>
  </si>
  <si>
    <t>Air gap (ventilated)</t>
  </si>
  <si>
    <t>sealing under roof</t>
  </si>
  <si>
    <t>sealing underroof</t>
  </si>
  <si>
    <t>thin beams, since only load no compression (no moment)</t>
  </si>
  <si>
    <t>flat_roof_exterior_surface_lowco2</t>
  </si>
  <si>
    <t>flat_roof_core</t>
  </si>
  <si>
    <t>flat_roof_ext_surface</t>
  </si>
  <si>
    <t>flat_roof_exterior_surface_green_non_loadbearing_insualtion_on_slab</t>
  </si>
  <si>
    <t>Sickerplatte 60mm (EPS)</t>
  </si>
  <si>
    <t>1.08 kg/m2, according to Bauteilkatalog</t>
  </si>
  <si>
    <t>10.004</t>
  </si>
  <si>
    <t>Schilf_gewebe(assumptino self emissions like straw!)</t>
  </si>
  <si>
    <t>Täfer, Massivholz Fichte / Tanne / Lärche, luftgetrocknet, sägerauh</t>
  </si>
  <si>
    <t>Kraftpapier (Windblockage)</t>
  </si>
  <si>
    <t>slab_basement</t>
  </si>
  <si>
    <t>Massive Woodframe 80x240mm, 650mm spacing: Massivholz Fichte / Tanne / Lärche, kammergetr., gehobelt</t>
  </si>
  <si>
    <t>Kraftpapier (wind blockage)</t>
  </si>
  <si>
    <t>This construction contians all internal ceilings, the colums and structural reinforcement. (it is self supporting, no load via exterior walls)</t>
  </si>
  <si>
    <t>wood_armature_construction_glulam_conventional</t>
  </si>
  <si>
    <t>07.021</t>
  </si>
  <si>
    <t>KBOB, Holzbau – mehrgeschossig : mit einem Essay von Helmut Dietrich. Faktor.,Kolb, J. (2011). Bois : systèmes constructifs (2e éd. actualisée). Presses polytechniques et universitaires romandes: b135, b153</t>
  </si>
  <si>
    <t>Haupt Balken 160x440mm, spacing 2500/5000mm Balkenschichtholz</t>
  </si>
  <si>
    <t>Lattung 30x60, spacing 650mm,  Massivholz Fichte / Tanne / Lärche, kammergetr., gehobelt</t>
  </si>
  <si>
    <t xml:space="preserve">Zur Akusitschen entkoppelung der Decke: Latten sind mit Metallspacern montiert (nicht mit einberechnet) </t>
  </si>
  <si>
    <t>Lattung 30x60, spacing 625mm,  Massivholz Fichte / Tanne / Lärche, kammergetr., gehobelt</t>
  </si>
  <si>
    <t>Balken quer 80x140mm, spacing 625mm,  Balkenschichtholz</t>
  </si>
  <si>
    <t>Columns 320x260mm, 3.5 per 5x5m, Height: 3.2m,Balkenschichtholz</t>
  </si>
  <si>
    <t>06.012</t>
  </si>
  <si>
    <t>Balken 120x200mm, spacing 650mm,  Brettschichtholz</t>
  </si>
  <si>
    <t>Diagonal Boarding:  Massivholz Bretter Fichte / Tanne / Lärche, kammergetr., gehobelt</t>
  </si>
  <si>
    <t>Reinfocement Steel (cable) 1m per m2, 20mm diameter</t>
  </si>
  <si>
    <t>Kolb, J. (2011). Bois : systèmes constructifs (2e éd. actualisée). Presses polytechniques et universitaires romandes: b128, a overall averaging approach</t>
  </si>
  <si>
    <t>wood_armature_construction_glulam_lowco2</t>
  </si>
  <si>
    <t>Balken quer 80x140mm, spacing 625mm, Massivholz Bretter Fichte / Tanne / Lärche, kammergetr., gehobelt</t>
  </si>
  <si>
    <t>partitions_core</t>
  </si>
  <si>
    <t>partition_masonry_BN15</t>
  </si>
  <si>
    <t>Backstein BN 15</t>
  </si>
  <si>
    <t>03.020</t>
  </si>
  <si>
    <t>KBOB, Kolb, J. (2011). Bois : systèmes constructifs (2e éd. actualisée). Presses polytechniques et universitaires romandes: c159</t>
  </si>
  <si>
    <t>Konterlattung 30x50, spacing 650mm,  Massivholz Fichte / Tanne / Lärche, kammergetr., gehobelt</t>
  </si>
  <si>
    <t>Balken Massiv 50x70, spacing 650mm,  Massivholz Fichte / Tanne / Lärche, kammergetr., gehobelt</t>
  </si>
  <si>
    <t>Attention: if only one horicontal beam is added at the buttom and at the top of each floor, the spacing need to be divided by two</t>
  </si>
  <si>
    <t xml:space="preserve">Zur Akusitschen entkoppelung der Wand: Latten sind auf Filz montiert (nicht mit einberechnet) </t>
  </si>
  <si>
    <t xml:space="preserve">Instead of a second fibre plate a osb plate is choosen </t>
  </si>
  <si>
    <t>Glaswolle ϼ 40 [kg/m3] (Schalldämmung zwischen balken)</t>
  </si>
  <si>
    <t>KBOB,https://www.bauteilkatalog.ch/kataloge/bauteil.aspx/ubt-107/</t>
  </si>
  <si>
    <t>KBOB, FAZ Architects (Primary School Riaz)</t>
  </si>
  <si>
    <t>Conventional Materials</t>
  </si>
  <si>
    <t>Non Conventional Materials</t>
  </si>
  <si>
    <t>wall_rammed_earth_50</t>
  </si>
  <si>
    <t xml:space="preserve">Stampflehm </t>
  </si>
  <si>
    <t>The wall thickness is higher in the buttom storeis and lower in the top stories, value is a mean</t>
  </si>
  <si>
    <t>KBOB, Martin Rauch Gebaute Erde Gestalten &amp; Konstruieren mit Stampflehm, 2015</t>
  </si>
  <si>
    <t>01.042</t>
  </si>
  <si>
    <t>Fensterstrutz 120x200, 0.25m per m2,  Betonfertigteil, Normalbeton, ab Werk</t>
  </si>
  <si>
    <t>The wall thickness is higher in the buttom storeis and lower in the top stories, value is a mean. Rammed earth walls can not be loadbearing for high buildings!</t>
  </si>
  <si>
    <t>Base Panel inside OSB Platte 15mm</t>
  </si>
  <si>
    <t>Flat Roof Core</t>
  </si>
  <si>
    <t>Flat Roof Ext. Surface</t>
  </si>
  <si>
    <t>partition_wood_frame_15_conventional</t>
  </si>
  <si>
    <t>partition_earth_masonry_15</t>
  </si>
  <si>
    <t>Earth Masonr: Stampflehm (assuption emissions similar for rammed earth bricks)</t>
  </si>
  <si>
    <t>wall_woodframe_24_non_loadbearing</t>
  </si>
  <si>
    <t>Massive Woodframe 40x240mm, 650mm spacing: Massivholz Fichte / Tanne / Lärche, kammergetr., gehobelt</t>
  </si>
  <si>
    <t>facade_ventilated</t>
  </si>
  <si>
    <t>facade_plasterd</t>
  </si>
  <si>
    <t>Schilf_gewebe(assumption same emissions like straw!)</t>
  </si>
  <si>
    <t xml:space="preserve">The reed fabric is only necessary as an adhesive base on certain substrates;conservative assumption </t>
  </si>
  <si>
    <t>The reed fabric is necessary as an adhesive base on certain substrates and to prevent cracks during drying</t>
  </si>
  <si>
    <t>Armature Wood Constructions (self supporting including ceiling and columns, dimensions for 3 stories and more, materials of coluns are projecte on the ceiling)</t>
  </si>
  <si>
    <t>insulation_xps_48</t>
  </si>
  <si>
    <t>insulation_rockwool_48</t>
  </si>
  <si>
    <t>insulation_straw_48</t>
  </si>
  <si>
    <t>KBOB,https://www.bauteilkatalog.ch/kataloge/bauteil.aspx/ubt-101/</t>
  </si>
  <si>
    <t>Holzbretter  (Tanne)</t>
  </si>
  <si>
    <t>07.009</t>
  </si>
  <si>
    <t>eRen/ KBOB</t>
  </si>
  <si>
    <t>KBOB, eREN</t>
  </si>
  <si>
    <t>roof_ext_finishing_to_attic_cold_replacement</t>
  </si>
  <si>
    <t>Cold attic finishing (in case of new insulation)</t>
  </si>
  <si>
    <t>Materials for model validation</t>
  </si>
  <si>
    <t>EPS 40 [Kg/m3]</t>
  </si>
  <si>
    <t>insulation_eps_24</t>
  </si>
  <si>
    <t>For Modelvalidation (Galamshina et. Al.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</si>
</sst>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0.000"/>
    <numFmt numFmtId="167" formatCode="0.00000"/>
    <numFmt numFmtId="168" formatCode="0.00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b/>
      <sz val="20"/>
      <color theme="1"/>
      <name val="Aptos Narrow (Textkörper)"/>
    </font>
    <font>
      <b/>
      <sz val="20"/>
      <color theme="1"/>
      <name val="Aptos Narrow"/>
      <scheme val="minor"/>
    </font>
    <font>
      <sz val="12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2" fillId="0" borderId="0"/>
  </cellStyleXfs>
  <cellXfs count="64">
    <xf numFmtId="0" fontId="0" fillId="0" borderId="0" xfId="0"/>
    <xf numFmtId="0" fontId="1" fillId="0" borderId="0" xfId="0" applyFont="1"/>
    <xf numFmtId="0" fontId="1" fillId="2" borderId="0" xfId="0" applyFont="1" applyFill="1"/>
    <xf numFmtId="2" fontId="1" fillId="0" borderId="0" xfId="0" applyNumberFormat="1" applyFont="1"/>
    <xf numFmtId="2" fontId="1" fillId="3" borderId="0" xfId="0" applyNumberFormat="1" applyFont="1" applyFill="1"/>
    <xf numFmtId="0" fontId="1" fillId="4" borderId="0" xfId="0" applyFont="1" applyFill="1"/>
    <xf numFmtId="0" fontId="0" fillId="2" borderId="0" xfId="0" applyFill="1"/>
    <xf numFmtId="2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1" xfId="0" applyFill="1" applyBorder="1"/>
    <xf numFmtId="2" fontId="0" fillId="5" borderId="1" xfId="0" applyNumberFormat="1" applyFill="1" applyBorder="1"/>
    <xf numFmtId="0" fontId="0" fillId="6" borderId="0" xfId="0" applyFill="1"/>
    <xf numFmtId="2" fontId="0" fillId="6" borderId="0" xfId="0" applyNumberFormat="1" applyFill="1"/>
    <xf numFmtId="0" fontId="0" fillId="7" borderId="1" xfId="0" applyFill="1" applyBorder="1"/>
    <xf numFmtId="0" fontId="0" fillId="7" borderId="0" xfId="0" applyFill="1"/>
    <xf numFmtId="0" fontId="0" fillId="7" borderId="2" xfId="0" applyFill="1" applyBorder="1"/>
    <xf numFmtId="0" fontId="1" fillId="8" borderId="3" xfId="0" applyFont="1" applyFill="1" applyBorder="1"/>
    <xf numFmtId="164" fontId="2" fillId="6" borderId="4" xfId="1" applyNumberFormat="1" applyFill="1" applyBorder="1" applyAlignment="1">
      <alignment horizontal="center" vertical="center" wrapText="1"/>
    </xf>
    <xf numFmtId="2" fontId="3" fillId="6" borderId="4" xfId="1" applyNumberFormat="1" applyFont="1" applyFill="1" applyBorder="1" applyAlignment="1">
      <alignment horizontal="center" vertical="center" wrapText="1"/>
    </xf>
    <xf numFmtId="166" fontId="2" fillId="6" borderId="4" xfId="1" applyNumberFormat="1" applyFill="1" applyBorder="1" applyAlignment="1">
      <alignment horizontal="left" vertical="center"/>
    </xf>
    <xf numFmtId="0" fontId="0" fillId="2" borderId="1" xfId="0" applyFill="1" applyBorder="1"/>
    <xf numFmtId="0" fontId="1" fillId="2" borderId="3" xfId="0" applyFont="1" applyFill="1" applyBorder="1"/>
    <xf numFmtId="0" fontId="0" fillId="4" borderId="1" xfId="0" applyFill="1" applyBorder="1"/>
    <xf numFmtId="0" fontId="1" fillId="4" borderId="3" xfId="0" applyFont="1" applyFill="1" applyBorder="1"/>
    <xf numFmtId="2" fontId="0" fillId="3" borderId="1" xfId="0" applyNumberFormat="1" applyFill="1" applyBorder="1"/>
    <xf numFmtId="0" fontId="1" fillId="3" borderId="3" xfId="0" applyFont="1" applyFill="1" applyBorder="1"/>
    <xf numFmtId="2" fontId="2" fillId="6" borderId="4" xfId="1" applyNumberFormat="1" applyFill="1" applyBorder="1" applyAlignment="1">
      <alignment horizontal="center" vertical="center" wrapText="1"/>
    </xf>
    <xf numFmtId="167" fontId="3" fillId="6" borderId="4" xfId="1" applyNumberFormat="1" applyFont="1" applyFill="1" applyBorder="1" applyAlignment="1">
      <alignment horizontal="center" vertical="center" wrapText="1"/>
    </xf>
    <xf numFmtId="1" fontId="3" fillId="0" borderId="4" xfId="1" applyNumberFormat="1" applyFont="1" applyBorder="1" applyAlignment="1">
      <alignment horizontal="center" vertical="center" wrapText="1"/>
    </xf>
    <xf numFmtId="2" fontId="2" fillId="7" borderId="4" xfId="1" applyNumberFormat="1" applyFill="1" applyBorder="1" applyAlignment="1">
      <alignment horizontal="center" vertical="center" wrapText="1"/>
    </xf>
    <xf numFmtId="167" fontId="3" fillId="7" borderId="4" xfId="1" applyNumberFormat="1" applyFont="1" applyFill="1" applyBorder="1" applyAlignment="1">
      <alignment horizontal="center" vertical="center" wrapText="1"/>
    </xf>
    <xf numFmtId="1" fontId="3" fillId="7" borderId="4" xfId="1" applyNumberFormat="1" applyFont="1" applyFill="1" applyBorder="1" applyAlignment="1">
      <alignment horizontal="center" vertical="center" wrapText="1"/>
    </xf>
    <xf numFmtId="164" fontId="2" fillId="7" borderId="4" xfId="1" applyNumberFormat="1" applyFill="1" applyBorder="1" applyAlignment="1">
      <alignment horizontal="center" vertical="center" wrapText="1"/>
    </xf>
    <xf numFmtId="2" fontId="3" fillId="7" borderId="4" xfId="1" applyNumberFormat="1" applyFont="1" applyFill="1" applyBorder="1" applyAlignment="1">
      <alignment horizontal="center" vertical="center" wrapText="1"/>
    </xf>
    <xf numFmtId="166" fontId="2" fillId="6" borderId="4" xfId="1" quotePrefix="1" applyNumberFormat="1" applyFill="1" applyBorder="1" applyAlignment="1">
      <alignment horizontal="left" vertical="center"/>
    </xf>
    <xf numFmtId="3" fontId="0" fillId="7" borderId="0" xfId="0" applyNumberFormat="1" applyFill="1"/>
    <xf numFmtId="165" fontId="2" fillId="6" borderId="4" xfId="1" applyNumberFormat="1" applyFill="1" applyBorder="1" applyAlignment="1">
      <alignment horizontal="center" vertical="center" wrapText="1"/>
    </xf>
    <xf numFmtId="165" fontId="2" fillId="7" borderId="4" xfId="1" applyNumberFormat="1" applyFill="1" applyBorder="1" applyAlignment="1">
      <alignment horizontal="center" vertical="center" wrapText="1"/>
    </xf>
    <xf numFmtId="166" fontId="2" fillId="9" borderId="5" xfId="0" applyNumberFormat="1" applyFont="1" applyFill="1" applyBorder="1" applyAlignment="1">
      <alignment horizontal="left" vertical="center"/>
    </xf>
    <xf numFmtId="1" fontId="3" fillId="6" borderId="4" xfId="1" applyNumberFormat="1" applyFont="1" applyFill="1" applyBorder="1" applyAlignment="1">
      <alignment horizontal="center" vertical="center" wrapText="1"/>
    </xf>
    <xf numFmtId="164" fontId="3" fillId="6" borderId="4" xfId="1" applyNumberFormat="1" applyFont="1" applyFill="1" applyBorder="1" applyAlignment="1">
      <alignment horizontal="center" vertical="center" wrapText="1"/>
    </xf>
    <xf numFmtId="168" fontId="3" fillId="6" borderId="4" xfId="1" applyNumberFormat="1" applyFont="1" applyFill="1" applyBorder="1" applyAlignment="1">
      <alignment horizontal="center" vertical="center" wrapText="1"/>
    </xf>
    <xf numFmtId="168" fontId="2" fillId="6" borderId="4" xfId="1" applyNumberFormat="1" applyFill="1" applyBorder="1" applyAlignment="1">
      <alignment horizontal="center" vertical="center" wrapText="1"/>
    </xf>
    <xf numFmtId="0" fontId="2" fillId="6" borderId="4" xfId="1" quotePrefix="1" applyFill="1" applyBorder="1" applyAlignment="1">
      <alignment horizontal="left" vertical="center" wrapText="1"/>
    </xf>
    <xf numFmtId="165" fontId="3" fillId="6" borderId="4" xfId="1" applyNumberFormat="1" applyFont="1" applyFill="1" applyBorder="1" applyAlignment="1">
      <alignment horizontal="center" vertical="center" wrapText="1"/>
    </xf>
    <xf numFmtId="0" fontId="3" fillId="6" borderId="4" xfId="1" applyFont="1" applyFill="1" applyBorder="1" applyAlignment="1">
      <alignment horizontal="center" vertical="center" wrapText="1"/>
    </xf>
    <xf numFmtId="166" fontId="2" fillId="10" borderId="4" xfId="1" applyNumberFormat="1" applyFill="1" applyBorder="1" applyAlignment="1">
      <alignment horizontal="left" vertical="center"/>
    </xf>
    <xf numFmtId="2" fontId="2" fillId="10" borderId="4" xfId="1" applyNumberFormat="1" applyFill="1" applyBorder="1" applyAlignment="1">
      <alignment horizontal="center" vertical="center" wrapText="1"/>
    </xf>
    <xf numFmtId="168" fontId="3" fillId="10" borderId="4" xfId="1" applyNumberFormat="1" applyFont="1" applyFill="1" applyBorder="1" applyAlignment="1">
      <alignment horizontal="center" vertical="center" wrapText="1"/>
    </xf>
    <xf numFmtId="167" fontId="2" fillId="6" borderId="4" xfId="1" applyNumberFormat="1" applyFill="1" applyBorder="1" applyAlignment="1">
      <alignment horizontal="center" vertical="center" wrapText="1"/>
    </xf>
    <xf numFmtId="165" fontId="2" fillId="9" borderId="5" xfId="0" applyNumberFormat="1" applyFont="1" applyFill="1" applyBorder="1" applyAlignment="1">
      <alignment horizontal="center" vertical="center" wrapText="1"/>
    </xf>
    <xf numFmtId="168" fontId="3" fillId="9" borderId="5" xfId="0" applyNumberFormat="1" applyFont="1" applyFill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2" fontId="2" fillId="9" borderId="5" xfId="0" applyNumberFormat="1" applyFont="1" applyFill="1" applyBorder="1" applyAlignment="1">
      <alignment horizontal="center" vertical="center" wrapText="1"/>
    </xf>
    <xf numFmtId="167" fontId="3" fillId="9" borderId="5" xfId="0" applyNumberFormat="1" applyFont="1" applyFill="1" applyBorder="1" applyAlignment="1">
      <alignment horizontal="center" vertical="center" wrapText="1"/>
    </xf>
    <xf numFmtId="0" fontId="2" fillId="6" borderId="4" xfId="1" applyFill="1" applyBorder="1" applyAlignment="1">
      <alignment horizontal="left" vertical="center" wrapText="1"/>
    </xf>
    <xf numFmtId="0" fontId="4" fillId="0" borderId="0" xfId="0" applyFont="1"/>
    <xf numFmtId="0" fontId="0" fillId="11" borderId="0" xfId="0" applyFill="1"/>
    <xf numFmtId="0" fontId="0" fillId="12" borderId="0" xfId="0" applyFill="1"/>
    <xf numFmtId="11" fontId="1" fillId="8" borderId="3" xfId="0" applyNumberFormat="1" applyFont="1" applyFill="1" applyBorder="1"/>
    <xf numFmtId="0" fontId="5" fillId="0" borderId="0" xfId="0" applyFont="1"/>
    <xf numFmtId="166" fontId="3" fillId="6" borderId="4" xfId="1" applyNumberFormat="1" applyFont="1" applyFill="1" applyBorder="1" applyAlignment="1">
      <alignment horizontal="left" vertical="center"/>
    </xf>
    <xf numFmtId="0" fontId="6" fillId="0" borderId="0" xfId="0" applyFont="1"/>
  </cellXfs>
  <cellStyles count="2">
    <cellStyle name="Standard" xfId="0" builtinId="0"/>
    <cellStyle name="Standard 2 2" xfId="1" xr:uid="{A3D50F16-3B04-BC4E-8014-183E2CDAC69C}"/>
  </cellStyles>
  <dxfs count="673"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3" formatCode="#,##0"/>
    </dxf>
    <dxf>
      <numFmt numFmtId="165" formatCode="0.000"/>
    </dxf>
    <dxf>
      <numFmt numFmtId="1" formatCode="0"/>
    </dxf>
    <dxf>
      <numFmt numFmtId="164" formatCode="0.0"/>
    </dxf>
    <dxf>
      <numFmt numFmtId="2" formatCode="0.0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64" formatCode="0.0"/>
    </dxf>
    <dxf>
      <numFmt numFmtId="2" formatCode="0.00"/>
    </dxf>
    <dxf>
      <numFmt numFmtId="165" formatCode="0.000"/>
    </dxf>
    <dxf>
      <numFmt numFmtId="3" formatCode="#,##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65" formatCode="0.00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65" formatCode="0.00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65" formatCode="0.00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3" formatCode="#,##0"/>
    </dxf>
    <dxf>
      <numFmt numFmtId="165" formatCode="0.000"/>
    </dxf>
    <dxf>
      <numFmt numFmtId="2" formatCode="0.00"/>
    </dxf>
    <dxf>
      <numFmt numFmtId="1" formatCode="0"/>
    </dxf>
    <dxf>
      <numFmt numFmtId="164" formatCode="0.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64" formatCode="0.0"/>
    </dxf>
    <dxf>
      <numFmt numFmtId="1" formatCode="0"/>
    </dxf>
    <dxf>
      <numFmt numFmtId="3" formatCode="#,##0"/>
    </dxf>
    <dxf>
      <numFmt numFmtId="165" formatCode="0.000"/>
    </dxf>
    <dxf>
      <numFmt numFmtId="2" formatCode="0.00"/>
    </dxf>
    <dxf>
      <numFmt numFmtId="1" formatCode="0"/>
    </dxf>
    <dxf>
      <numFmt numFmtId="164" formatCode="0.0"/>
    </dxf>
    <dxf>
      <numFmt numFmtId="2" formatCode="0.00"/>
    </dxf>
    <dxf>
      <numFmt numFmtId="3" formatCode="#,##0"/>
    </dxf>
    <dxf>
      <numFmt numFmtId="165" formatCode="0.00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2" formatCode="0.00"/>
    </dxf>
    <dxf>
      <numFmt numFmtId="165" formatCode="0.000"/>
    </dxf>
    <dxf>
      <numFmt numFmtId="164" formatCode="0.0"/>
    </dxf>
    <dxf>
      <numFmt numFmtId="3" formatCode="#,##0"/>
    </dxf>
    <dxf>
      <numFmt numFmtId="1" formatCode="0"/>
    </dxf>
    <dxf>
      <numFmt numFmtId="164" formatCode="0.0"/>
    </dxf>
    <dxf>
      <numFmt numFmtId="165" formatCode="0.000"/>
    </dxf>
    <dxf>
      <numFmt numFmtId="2" formatCode="0.00"/>
    </dxf>
    <dxf>
      <numFmt numFmtId="3" formatCode="#,##0"/>
    </dxf>
    <dxf>
      <numFmt numFmtId="1" formatCode="0"/>
    </dxf>
    <dxf>
      <numFmt numFmtId="2" formatCode="0.00"/>
    </dxf>
    <dxf>
      <numFmt numFmtId="165" formatCode="0.000"/>
    </dxf>
    <dxf>
      <numFmt numFmtId="164" formatCode="0.0"/>
    </dxf>
    <dxf>
      <numFmt numFmtId="3" formatCode="#,##0"/>
    </dxf>
    <dxf>
      <numFmt numFmtId="1" formatCode="0"/>
    </dxf>
    <dxf>
      <numFmt numFmtId="165" formatCode="0.000"/>
    </dxf>
    <dxf>
      <numFmt numFmtId="2" formatCode="0.00"/>
    </dxf>
    <dxf>
      <numFmt numFmtId="164" formatCode="0.0"/>
    </dxf>
    <dxf>
      <numFmt numFmtId="1" formatCode="0"/>
    </dxf>
    <dxf>
      <numFmt numFmtId="3" formatCode="#,##0"/>
    </dxf>
    <dxf>
      <numFmt numFmtId="164" formatCode="0.0"/>
    </dxf>
    <dxf>
      <numFmt numFmtId="1" formatCode="0"/>
    </dxf>
    <dxf>
      <numFmt numFmtId="2" formatCode="0.00"/>
    </dxf>
    <dxf>
      <numFmt numFmtId="165" formatCode="0.000"/>
    </dxf>
    <dxf>
      <numFmt numFmtId="3" formatCode="#,##0"/>
    </dxf>
    <dxf>
      <numFmt numFmtId="164" formatCode="0.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2" formatCode="0.00"/>
    </dxf>
    <dxf>
      <numFmt numFmtId="164" formatCode="0.0"/>
    </dxf>
    <dxf>
      <numFmt numFmtId="165" formatCode="0.00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65" formatCode="0.000"/>
    </dxf>
    <dxf>
      <numFmt numFmtId="1" formatCode="0"/>
    </dxf>
    <dxf>
      <numFmt numFmtId="164" formatCode="0.0"/>
    </dxf>
    <dxf>
      <numFmt numFmtId="2" formatCode="0.00"/>
    </dxf>
    <dxf>
      <numFmt numFmtId="3" formatCode="#,##0"/>
    </dxf>
    <dxf>
      <numFmt numFmtId="1" formatCode="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3" formatCode="#,##0"/>
    </dxf>
    <dxf>
      <numFmt numFmtId="165" formatCode="0.000"/>
    </dxf>
    <dxf>
      <numFmt numFmtId="1" formatCode="0"/>
    </dxf>
    <dxf>
      <numFmt numFmtId="164" formatCode="0.0"/>
    </dxf>
    <dxf>
      <numFmt numFmtId="2" formatCode="0.0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64" formatCode="0.0"/>
    </dxf>
    <dxf>
      <numFmt numFmtId="2" formatCode="0.00"/>
    </dxf>
    <dxf>
      <numFmt numFmtId="165" formatCode="0.000"/>
    </dxf>
    <dxf>
      <numFmt numFmtId="3" formatCode="#,##0"/>
    </dxf>
    <dxf>
      <numFmt numFmtId="1" formatCode="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65" formatCode="0.00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65" formatCode="0.00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3" formatCode="#,##0"/>
    </dxf>
    <dxf>
      <numFmt numFmtId="164" formatCode="0.0"/>
    </dxf>
    <dxf>
      <numFmt numFmtId="165" formatCode="0.000"/>
    </dxf>
    <dxf>
      <numFmt numFmtId="2" formatCode="0.0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" formatCode="0"/>
    </dxf>
    <dxf>
      <numFmt numFmtId="165" formatCode="0.000"/>
    </dxf>
    <dxf>
      <numFmt numFmtId="3" formatCode="#,##0"/>
    </dxf>
    <dxf>
      <numFmt numFmtId="164" formatCode="0.0"/>
    </dxf>
    <dxf>
      <numFmt numFmtId="2" formatCode="0.0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3" formatCode="#,##0"/>
    </dxf>
    <dxf>
      <numFmt numFmtId="164" formatCode="0.0"/>
    </dxf>
    <dxf>
      <numFmt numFmtId="165" formatCode="0.000"/>
    </dxf>
    <dxf>
      <numFmt numFmtId="2" formatCode="0.0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2" formatCode="0.00"/>
    </dxf>
    <dxf>
      <numFmt numFmtId="165" formatCode="0.000"/>
    </dxf>
    <dxf>
      <numFmt numFmtId="164" formatCode="0.0"/>
    </dxf>
    <dxf>
      <numFmt numFmtId="3" formatCode="#,##0"/>
    </dxf>
    <dxf>
      <numFmt numFmtId="1" formatCode="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64" formatCode="0.0"/>
    </dxf>
    <dxf>
      <numFmt numFmtId="2" formatCode="0.00"/>
    </dxf>
    <dxf>
      <numFmt numFmtId="165" formatCode="0.000"/>
    </dxf>
    <dxf>
      <numFmt numFmtId="3" formatCode="#,##0"/>
    </dxf>
    <dxf>
      <numFmt numFmtId="1" formatCode="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3" formatCode="#,##0"/>
    </dxf>
    <dxf>
      <numFmt numFmtId="164" formatCode="0.0"/>
    </dxf>
    <dxf>
      <numFmt numFmtId="165" formatCode="0.000"/>
    </dxf>
    <dxf>
      <numFmt numFmtId="2" formatCode="0.0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164" formatCode="0.0"/>
    </dxf>
    <dxf>
      <numFmt numFmtId="2" formatCode="0.00"/>
    </dxf>
    <dxf>
      <numFmt numFmtId="165" formatCode="0.000"/>
    </dxf>
    <dxf>
      <numFmt numFmtId="3" formatCode="#,##0"/>
    </dxf>
    <dxf>
      <numFmt numFmtId="1" formatCode="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165" formatCode="0.00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2" formatCode="0.00"/>
    </dxf>
    <dxf>
      <numFmt numFmtId="1" formatCode="0"/>
    </dxf>
    <dxf>
      <numFmt numFmtId="164" formatCode="0.0"/>
    </dxf>
    <dxf>
      <numFmt numFmtId="3" formatCode="#,##0"/>
    </dxf>
    <dxf>
      <numFmt numFmtId="165" formatCode="0.00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1" formatCode="0"/>
    </dxf>
    <dxf>
      <numFmt numFmtId="164" formatCode="0.0"/>
    </dxf>
    <dxf>
      <numFmt numFmtId="2" formatCode="0.00"/>
    </dxf>
    <dxf>
      <numFmt numFmtId="165" formatCode="0.000"/>
    </dxf>
    <dxf>
      <numFmt numFmtId="3" formatCode="#,##0"/>
    </dxf>
    <dxf>
      <numFmt numFmtId="165" formatCode="0.000"/>
    </dxf>
    <dxf>
      <numFmt numFmtId="1" formatCode="0"/>
    </dxf>
    <dxf>
      <numFmt numFmtId="164" formatCode="0.0"/>
    </dxf>
    <dxf>
      <numFmt numFmtId="3" formatCode="#,##0"/>
    </dxf>
    <dxf>
      <numFmt numFmtId="2" formatCode="0.0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" formatCode="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64" formatCode="0.0"/>
    </dxf>
    <dxf>
      <numFmt numFmtId="2" formatCode="0.00"/>
    </dxf>
    <dxf>
      <numFmt numFmtId="3" formatCode="#,##0"/>
    </dxf>
    <dxf>
      <numFmt numFmtId="1" formatCode="0"/>
    </dxf>
    <dxf>
      <numFmt numFmtId="165" formatCode="0.00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65" formatCode="0.00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64" formatCode="0.0"/>
    </dxf>
    <dxf>
      <numFmt numFmtId="2" formatCode="0.00"/>
    </dxf>
    <dxf>
      <numFmt numFmtId="165" formatCode="0.000"/>
    </dxf>
    <dxf>
      <numFmt numFmtId="1" formatCode="0"/>
    </dxf>
    <dxf>
      <numFmt numFmtId="3" formatCode="#,##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65" formatCode="0.00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" formatCode="0"/>
    </dxf>
    <dxf>
      <numFmt numFmtId="3" formatCode="#,##0"/>
    </dxf>
    <dxf>
      <numFmt numFmtId="164" formatCode="0.0"/>
    </dxf>
    <dxf>
      <numFmt numFmtId="2" formatCode="0.00"/>
    </dxf>
    <dxf>
      <numFmt numFmtId="165" formatCode="0.00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  <dxf>
      <numFmt numFmtId="165" formatCode="0.000"/>
    </dxf>
    <dxf>
      <numFmt numFmtId="2" formatCode="0.00"/>
    </dxf>
    <dxf>
      <numFmt numFmtId="164" formatCode="0.0"/>
    </dxf>
    <dxf>
      <numFmt numFmtId="3" formatCode="#,##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g"/><Relationship Id="rId3" Type="http://schemas.openxmlformats.org/officeDocument/2006/relationships/image" Target="../media/image6.png"/><Relationship Id="rId7" Type="http://schemas.openxmlformats.org/officeDocument/2006/relationships/image" Target="../media/image10.jpg"/><Relationship Id="rId2" Type="http://schemas.openxmlformats.org/officeDocument/2006/relationships/image" Target="../media/image5.jpg"/><Relationship Id="rId1" Type="http://schemas.openxmlformats.org/officeDocument/2006/relationships/image" Target="../media/image4.jpg"/><Relationship Id="rId6" Type="http://schemas.openxmlformats.org/officeDocument/2006/relationships/image" Target="../media/image9.jpe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jp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322238</xdr:colOff>
      <xdr:row>2</xdr:row>
      <xdr:rowOff>56865</xdr:rowOff>
    </xdr:from>
    <xdr:to>
      <xdr:col>9</xdr:col>
      <xdr:colOff>163204</xdr:colOff>
      <xdr:row>34</xdr:row>
      <xdr:rowOff>132686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4ECCED6B-7680-B945-B301-6E699780AF44}"/>
            </a:ext>
          </a:extLst>
        </xdr:cNvPr>
        <xdr:cNvSpPr/>
      </xdr:nvSpPr>
      <xdr:spPr>
        <a:xfrm>
          <a:off x="322238" y="473880"/>
          <a:ext cx="11517384" cy="674806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1">
              <a:solidFill>
                <a:schemeClr val="tx1"/>
              </a:solidFill>
            </a:rPr>
            <a:t>Explanation:</a:t>
          </a:r>
          <a:r>
            <a:rPr lang="de-DE" sz="1100" b="1" baseline="0">
              <a:solidFill>
                <a:schemeClr val="tx1"/>
              </a:solidFill>
            </a:rPr>
            <a:t> General Information </a:t>
          </a:r>
        </a:p>
        <a:p>
          <a:pPr algn="l"/>
          <a:endParaRPr lang="de-DE" sz="1100" b="1" baseline="0">
            <a:solidFill>
              <a:schemeClr val="tx1"/>
            </a:solidFill>
          </a:endParaRPr>
        </a:p>
        <a:p>
          <a:pPr algn="l"/>
          <a:r>
            <a:rPr lang="de-DE" sz="1100" b="1" baseline="0">
              <a:solidFill>
                <a:schemeClr val="tx1"/>
              </a:solidFill>
            </a:rPr>
            <a:t>Except form the Windows all construction configurations containt 4 layer</a:t>
          </a:r>
          <a:r>
            <a:rPr lang="de-DE" sz="1100" b="0" baseline="0">
              <a:solidFill>
                <a:schemeClr val="tx1"/>
              </a:solidFill>
            </a:rPr>
            <a:t>: interior_finishing, core, insulation, exterior_finishing</a:t>
          </a:r>
        </a:p>
        <a:p>
          <a:pPr algn="l"/>
          <a:r>
            <a:rPr lang="de-DE" sz="1100" b="0" baseline="0">
              <a:solidFill>
                <a:schemeClr val="tx1"/>
              </a:solidFill>
            </a:rPr>
            <a:t>This configurations are composed form this database, which contains all "new" material assemblies.  The original building construction materials are not specified in this database. </a:t>
          </a:r>
          <a:endParaRPr lang="de-DE" sz="1100" b="1" baseline="0">
            <a:solidFill>
              <a:schemeClr val="tx1"/>
            </a:solidFill>
          </a:endParaRPr>
        </a:p>
        <a:p>
          <a:pPr algn="l"/>
          <a:endParaRPr lang="de-DE" sz="1100" b="1">
            <a:solidFill>
              <a:schemeClr val="tx1"/>
            </a:solidFill>
          </a:endParaRPr>
        </a:p>
        <a:p>
          <a:pPr algn="l"/>
          <a:r>
            <a:rPr lang="de-DE" sz="1100" b="0">
              <a:solidFill>
                <a:schemeClr val="tx1"/>
              </a:solidFill>
            </a:rPr>
            <a:t>The U-Value does not contain</a:t>
          </a:r>
          <a:r>
            <a:rPr lang="de-DE" sz="1100" b="0" baseline="0">
              <a:solidFill>
                <a:schemeClr val="tx1"/>
              </a:solidFill>
            </a:rPr>
            <a:t> h_e and h_i; this is calculated auomatically in the model, since it  is a composition of serveral layers</a:t>
          </a:r>
        </a:p>
        <a:p>
          <a:pPr algn="l"/>
          <a:r>
            <a:rPr lang="de-DE" sz="1100" b="0" baseline="0">
              <a:solidFill>
                <a:schemeClr val="tx1"/>
              </a:solidFill>
            </a:rPr>
            <a:t>If the total u value field is emty, this layer does not contribute to the u-value (e.g. ventilated facade / roof). In the programm automatically inf. will be assigned</a:t>
          </a:r>
        </a:p>
        <a:p>
          <a:pPr algn="l"/>
          <a:endParaRPr lang="de-DE" sz="1100" b="1" baseline="0">
            <a:solidFill>
              <a:schemeClr val="tx1"/>
            </a:solidFill>
          </a:endParaRPr>
        </a:p>
        <a:p>
          <a:pPr algn="l"/>
          <a:r>
            <a:rPr lang="de-DE" sz="1100" b="1" baseline="0">
              <a:solidFill>
                <a:schemeClr val="tx1"/>
              </a:solidFill>
            </a:rPr>
            <a:t>All LCAI values  (GWP100)  are, if not further specified, sourced in  KBOB 2022. </a:t>
          </a:r>
        </a:p>
        <a:p>
          <a:pPr algn="l"/>
          <a:r>
            <a:rPr lang="de-DE" sz="1100" b="1" baseline="0">
              <a:solidFill>
                <a:schemeClr val="tx1"/>
              </a:solidFill>
            </a:rPr>
            <a:t>In this sheed custom materials (Not from KBOB are specified.)</a:t>
          </a:r>
        </a:p>
        <a:p>
          <a:pPr algn="l"/>
          <a:endParaRPr lang="de-DE" sz="1100" b="1" baseline="0">
            <a:solidFill>
              <a:schemeClr val="tx1"/>
            </a:solidFill>
          </a:endParaRPr>
        </a:p>
        <a:p>
          <a:pPr algn="l"/>
          <a:r>
            <a:rPr lang="de-DE" sz="1100" b="1" baseline="0">
              <a:solidFill>
                <a:schemeClr val="tx1"/>
              </a:solidFill>
            </a:rPr>
            <a:t>Detailed Documentation, how the layers are composed then in the program: </a:t>
          </a:r>
        </a:p>
        <a:p>
          <a:pPr algn="l"/>
          <a:endParaRPr lang="de-DE" sz="1100" b="1" baseline="0">
            <a:solidFill>
              <a:schemeClr val="tx1"/>
            </a:solidFill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"wall_type_ag":	 ['int_finishing','wall_ag_core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,'insulation','ext_finishing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'],</a:t>
          </a:r>
          <a:endParaRPr lang="de-CH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"roof_type":	['int_finishing','roof_flat_core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','insulation','ext_finishing'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],</a:t>
          </a:r>
          <a:endParaRPr lang="de-CH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"ceiling_to_basement_type":	['flooring','ceiling_core',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'insulation','ext_finishing_(to_basement)'],</a:t>
          </a:r>
          <a:endParaRPr lang="de-CH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"ceiling_type":	['int_finishing','ceiling_core','empty_layer','flooring'],</a:t>
          </a:r>
          <a:endParaRPr lang="de-CH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"wall_type_bg":	['empty_layer','wall_bg_core','empty_layer','empty_layer'],</a:t>
          </a:r>
          <a:endParaRPr lang="de-CH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"slab_basement_type":	['empty_layer','slab_to_basement_core','empty_layer','empty_layer'],</a:t>
          </a:r>
          <a:endParaRPr lang="de-CH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"partitions_type":	['int_finishing','wall_partitions_core', 'empty_layer','int_finishing']</a:t>
          </a:r>
          <a:endParaRPr lang="de-CH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"tilted_roof_type":	['empty_layer','construction_tilted_roof','empty_layer','ext_finishing'], Alternatily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if there is no tilted roof it can be set to None</a:t>
          </a:r>
          <a:endParaRPr lang="de-CH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 </a:t>
          </a:r>
          <a:endParaRPr lang="de-CH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Important comments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de-CH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bold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entries does not have to be filled, they are assigned automatically via rules in the envelop_assignment.xslx </a:t>
          </a:r>
          <a:endParaRPr lang="de-CH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actually the basement is cold, therefore no interior finishings are assigned. </a:t>
          </a:r>
          <a:endParaRPr lang="de-CH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important order: always form interior to exterior! For ceilings (except ceiling_to_basement): from the bottom to the top</a:t>
          </a:r>
        </a:p>
        <a:p>
          <a:pPr lvl="0"/>
          <a:endParaRPr lang="en-US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baseline="0">
              <a:solidFill>
                <a:schemeClr val="tx1"/>
              </a:solidFill>
            </a:rPr>
            <a:t>- The assigned RSL is overwirtten in the Robust Assessment of Interventions under Uncertainty, since Data form the DUREE database used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baseline="0">
              <a:solidFill>
                <a:schemeClr val="tx1"/>
              </a:solidFill>
            </a:rPr>
            <a:t>- If RSL = RSP,  the building's refrence service life value given in the program is used. </a:t>
          </a:r>
          <a:endParaRPr lang="de-DE" sz="1100" b="1">
            <a:solidFill>
              <a:schemeClr val="tx1"/>
            </a:solidFill>
          </a:endParaRPr>
        </a:p>
        <a:p>
          <a:pPr lvl="0"/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de-CH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de-DE" sz="1100" b="1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304800</xdr:colOff>
      <xdr:row>40</xdr:row>
      <xdr:rowOff>38101</xdr:rowOff>
    </xdr:from>
    <xdr:to>
      <xdr:col>32</xdr:col>
      <xdr:colOff>761230</xdr:colOff>
      <xdr:row>46</xdr:row>
      <xdr:rowOff>177801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8A37BDD8-411C-0A4E-8D79-6217B1F244DC}"/>
            </a:ext>
          </a:extLst>
        </xdr:cNvPr>
        <xdr:cNvSpPr/>
      </xdr:nvSpPr>
      <xdr:spPr>
        <a:xfrm>
          <a:off x="24460200" y="5054601"/>
          <a:ext cx="5409430" cy="13716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1" baseline="0">
              <a:solidFill>
                <a:schemeClr val="tx1"/>
              </a:solidFill>
            </a:rPr>
            <a:t>Armierungsgitter Glasfaser Marmoran Plus KA60: 200g/m2 -&gt; 0.000444mm "flat thickness</a:t>
          </a:r>
        </a:p>
        <a:p>
          <a:pPr algn="l"/>
          <a:r>
            <a:rPr lang="de-DE" sz="1100" b="1" baseline="0">
              <a:solidFill>
                <a:schemeClr val="tx1"/>
              </a:solidFill>
            </a:rPr>
            <a:t> https://www.ch.weber/files/ch/2022-06/Armierungsgitter_Standard_PLUS_KA60_DE.pdf</a:t>
          </a:r>
        </a:p>
        <a:p>
          <a:pPr algn="l"/>
          <a:r>
            <a:rPr lang="de-DE" sz="1100" b="1" baseline="0">
              <a:solidFill>
                <a:schemeClr val="tx1"/>
              </a:solidFill>
            </a:rPr>
            <a:t>https://ecoquery.ecoinvent.org/3.10/cutoff/dataset/8360/impact_assessment</a:t>
          </a:r>
        </a:p>
        <a:p>
          <a:pPr algn="l"/>
          <a:r>
            <a:rPr lang="de-DE" sz="1100" b="1" baseline="0">
              <a:solidFill>
                <a:schemeClr val="tx1"/>
              </a:solidFill>
            </a:rPr>
            <a:t>Assumtion disposal: 10% of production, </a:t>
          </a:r>
        </a:p>
      </xdr:txBody>
    </xdr:sp>
    <xdr:clientData/>
  </xdr:twoCellAnchor>
  <xdr:twoCellAnchor>
    <xdr:from>
      <xdr:col>26</xdr:col>
      <xdr:colOff>304800</xdr:colOff>
      <xdr:row>46</xdr:row>
      <xdr:rowOff>38101</xdr:rowOff>
    </xdr:from>
    <xdr:to>
      <xdr:col>32</xdr:col>
      <xdr:colOff>761230</xdr:colOff>
      <xdr:row>52</xdr:row>
      <xdr:rowOff>177801</xdr:rowOff>
    </xdr:to>
    <xdr:sp macro="" textlink="">
      <xdr:nvSpPr>
        <xdr:cNvPr id="4" name="Rechteck 3">
          <a:extLst>
            <a:ext uri="{FF2B5EF4-FFF2-40B4-BE49-F238E27FC236}">
              <a16:creationId xmlns:a16="http://schemas.microsoft.com/office/drawing/2014/main" id="{F81693C1-3538-E94A-8C01-FB353F7DC2DD}"/>
            </a:ext>
          </a:extLst>
        </xdr:cNvPr>
        <xdr:cNvSpPr/>
      </xdr:nvSpPr>
      <xdr:spPr>
        <a:xfrm>
          <a:off x="25946100" y="5054601"/>
          <a:ext cx="5409430" cy="13716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1" baseline="0">
              <a:solidFill>
                <a:schemeClr val="tx1"/>
              </a:solidFill>
            </a:rPr>
            <a:t>Armierungsgitter Glasfaser Marmoran Plus KA60: 200g/m2 -&gt; 0.000444mm "flat thickness</a:t>
          </a:r>
        </a:p>
        <a:p>
          <a:pPr algn="l"/>
          <a:r>
            <a:rPr lang="de-DE" sz="1100" b="1" baseline="0">
              <a:solidFill>
                <a:schemeClr val="tx1"/>
              </a:solidFill>
            </a:rPr>
            <a:t> https://www.ch.weber/files/ch/2022-06/Armierungsgitter_Standard_PLUS_KA60_DE.pdf</a:t>
          </a:r>
        </a:p>
        <a:p>
          <a:pPr algn="l"/>
          <a:r>
            <a:rPr lang="de-DE" sz="1100" b="1" baseline="0">
              <a:solidFill>
                <a:schemeClr val="tx1"/>
              </a:solidFill>
            </a:rPr>
            <a:t>https://ecoquery.ecoinvent.org/3.10/cutoff/dataset/8360/impact_assessment</a:t>
          </a:r>
        </a:p>
        <a:p>
          <a:pPr algn="l"/>
          <a:r>
            <a:rPr lang="de-DE" sz="1100" b="1" baseline="0">
              <a:solidFill>
                <a:schemeClr val="tx1"/>
              </a:solidFill>
            </a:rPr>
            <a:t>Assumtion disposal: 10% of production,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617247</xdr:colOff>
      <xdr:row>59</xdr:row>
      <xdr:rowOff>21378</xdr:rowOff>
    </xdr:from>
    <xdr:to>
      <xdr:col>3</xdr:col>
      <xdr:colOff>1924577</xdr:colOff>
      <xdr:row>62</xdr:row>
      <xdr:rowOff>143388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16407D87-C38C-8E5F-939C-09264445FD42}"/>
            </a:ext>
          </a:extLst>
        </xdr:cNvPr>
        <xdr:cNvSpPr/>
      </xdr:nvSpPr>
      <xdr:spPr>
        <a:xfrm>
          <a:off x="617247" y="12247245"/>
          <a:ext cx="6641330" cy="73161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1">
              <a:solidFill>
                <a:schemeClr val="tx1"/>
              </a:solidFill>
            </a:rPr>
            <a:t>Explanation: </a:t>
          </a:r>
        </a:p>
        <a:p>
          <a:pPr algn="l"/>
          <a:endParaRPr lang="de-DE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168327</xdr:colOff>
      <xdr:row>56</xdr:row>
      <xdr:rowOff>121795</xdr:rowOff>
    </xdr:from>
    <xdr:to>
      <xdr:col>2</xdr:col>
      <xdr:colOff>293750</xdr:colOff>
      <xdr:row>61</xdr:row>
      <xdr:rowOff>67733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7DE9A733-CA52-8B45-93D2-EAD8EAEC2DBE}"/>
            </a:ext>
          </a:extLst>
        </xdr:cNvPr>
        <xdr:cNvSpPr/>
      </xdr:nvSpPr>
      <xdr:spPr>
        <a:xfrm>
          <a:off x="168327" y="11738062"/>
          <a:ext cx="3630623" cy="96193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1">
              <a:solidFill>
                <a:schemeClr val="tx1"/>
              </a:solidFill>
            </a:rPr>
            <a:t>Explanation: </a:t>
          </a:r>
        </a:p>
        <a:p>
          <a:pPr algn="l"/>
          <a:r>
            <a:rPr lang="de-DE" sz="1100" b="1">
              <a:solidFill>
                <a:schemeClr val="tx1"/>
              </a:solidFill>
            </a:rPr>
            <a:t>IMPORTANT:</a:t>
          </a:r>
          <a:r>
            <a:rPr lang="de-DE" sz="1100" b="1" baseline="0">
              <a:solidFill>
                <a:schemeClr val="tx1"/>
              </a:solidFill>
            </a:rPr>
            <a:t> Spacer elements (Plastic screws) to fix crossbar  on the wall are not taken into account!</a:t>
          </a:r>
        </a:p>
        <a:p>
          <a:pPr algn="l"/>
          <a:endParaRPr lang="de-DE" sz="1100" b="1">
            <a:solidFill>
              <a:schemeClr val="tx1"/>
            </a:solidFill>
          </a:endParaRPr>
        </a:p>
        <a:p>
          <a:pPr algn="l"/>
          <a:endParaRPr lang="de-DE" sz="1100" b="1" baseline="0">
            <a:solidFill>
              <a:schemeClr val="tx1"/>
            </a:solidFill>
          </a:endParaRPr>
        </a:p>
        <a:p>
          <a:pPr algn="l"/>
          <a:endParaRPr lang="de-DE" sz="1100" b="1" baseline="0">
            <a:solidFill>
              <a:schemeClr val="tx1"/>
            </a:solidFill>
          </a:endParaRPr>
        </a:p>
        <a:p>
          <a:pPr algn="l"/>
          <a:endParaRPr lang="de-DE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288407</xdr:colOff>
      <xdr:row>49</xdr:row>
      <xdr:rowOff>155447</xdr:rowOff>
    </xdr:from>
    <xdr:to>
      <xdr:col>3</xdr:col>
      <xdr:colOff>999067</xdr:colOff>
      <xdr:row>53</xdr:row>
      <xdr:rowOff>154946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FDF1FC97-03FC-4E44-9529-BB42C68E8969}"/>
            </a:ext>
          </a:extLst>
        </xdr:cNvPr>
        <xdr:cNvSpPr/>
      </xdr:nvSpPr>
      <xdr:spPr>
        <a:xfrm>
          <a:off x="288407" y="10383180"/>
          <a:ext cx="4689993" cy="812299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1">
              <a:solidFill>
                <a:schemeClr val="tx1"/>
              </a:solidFill>
            </a:rPr>
            <a:t>Explanation: </a:t>
          </a:r>
        </a:p>
        <a:p>
          <a:pPr algn="l"/>
          <a:r>
            <a:rPr lang="de-DE" sz="1100" b="1">
              <a:solidFill>
                <a:schemeClr val="tx1"/>
              </a:solidFill>
            </a:rPr>
            <a:t>IMPORTANT:</a:t>
          </a:r>
          <a:r>
            <a:rPr lang="de-DE" sz="1100" b="1" baseline="0">
              <a:solidFill>
                <a:schemeClr val="tx1"/>
              </a:solidFill>
            </a:rPr>
            <a:t> Wire to fix staw at the original wall is not taken into account</a:t>
          </a:r>
        </a:p>
        <a:p>
          <a:pPr algn="l"/>
          <a:endParaRPr lang="de-DE" sz="1100" b="1" baseline="0">
            <a:solidFill>
              <a:schemeClr val="tx1"/>
            </a:solidFill>
          </a:endParaRPr>
        </a:p>
        <a:p>
          <a:pPr algn="l"/>
          <a:endParaRPr lang="de-DE" sz="1100" b="1" baseline="0">
            <a:solidFill>
              <a:schemeClr val="tx1"/>
            </a:solidFill>
          </a:endParaRPr>
        </a:p>
        <a:p>
          <a:pPr algn="l"/>
          <a:endParaRPr lang="de-DE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57</xdr:row>
      <xdr:rowOff>147673</xdr:rowOff>
    </xdr:from>
    <xdr:to>
      <xdr:col>3</xdr:col>
      <xdr:colOff>599325</xdr:colOff>
      <xdr:row>73</xdr:row>
      <xdr:rowOff>84668</xdr:rowOff>
    </xdr:to>
    <xdr:sp macro="" textlink="">
      <xdr:nvSpPr>
        <xdr:cNvPr id="4" name="Rechteck 3">
          <a:extLst>
            <a:ext uri="{FF2B5EF4-FFF2-40B4-BE49-F238E27FC236}">
              <a16:creationId xmlns:a16="http://schemas.microsoft.com/office/drawing/2014/main" id="{711B2895-8B4A-1944-B1D5-4DEF3366A212}"/>
            </a:ext>
          </a:extLst>
        </xdr:cNvPr>
        <xdr:cNvSpPr/>
      </xdr:nvSpPr>
      <xdr:spPr>
        <a:xfrm>
          <a:off x="0" y="11634117"/>
          <a:ext cx="4663325" cy="3097884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1" baseline="0">
              <a:solidFill>
                <a:schemeClr val="tx1"/>
              </a:solidFill>
            </a:rPr>
            <a:t>U value caluculation, according formula on the right. </a:t>
          </a:r>
        </a:p>
        <a:p>
          <a:pPr algn="l"/>
          <a:r>
            <a:rPr lang="de-DE" sz="1100" b="1" baseline="0">
              <a:solidFill>
                <a:schemeClr val="tx1"/>
              </a:solidFill>
            </a:rPr>
            <a:t>GWP calculations: </a:t>
          </a:r>
        </a:p>
        <a:p>
          <a:pPr algn="l"/>
          <a:r>
            <a:rPr lang="de-DE" sz="1100" b="0" baseline="0">
              <a:solidFill>
                <a:schemeClr val="tx1"/>
              </a:solidFill>
            </a:rPr>
            <a:t>GWP_frame_per_m2 + glass_fraction*GWP_Glass_per_m2</a:t>
          </a:r>
        </a:p>
        <a:p>
          <a:pPr algn="l"/>
          <a:r>
            <a:rPr lang="de-DE" sz="1100" b="0" baseline="0">
              <a:solidFill>
                <a:schemeClr val="tx1"/>
              </a:solidFill>
            </a:rPr>
            <a:t>Since the frame has the functional unit total window area and the glass only the glass area</a:t>
          </a:r>
        </a:p>
        <a:p>
          <a:pPr algn="l"/>
          <a:endParaRPr lang="de-DE" sz="1100" b="0" baseline="0">
            <a:solidFill>
              <a:schemeClr val="tx1"/>
            </a:solidFill>
          </a:endParaRPr>
        </a:p>
        <a:p>
          <a:pPr algn="l"/>
          <a:endParaRPr lang="de-DE" sz="1100" b="1" baseline="0">
            <a:solidFill>
              <a:schemeClr val="tx1"/>
            </a:solidFill>
          </a:endParaRPr>
        </a:p>
        <a:p>
          <a:pPr algn="l"/>
          <a:r>
            <a:rPr lang="de-DE" sz="1100" b="1" baseline="0">
              <a:solidFill>
                <a:schemeClr val="tx1"/>
              </a:solidFill>
            </a:rPr>
            <a:t>Assumptions: </a:t>
          </a:r>
        </a:p>
        <a:p>
          <a:pPr algn="l"/>
          <a:r>
            <a:rPr lang="de-DE" sz="1100" b="0" baseline="0">
              <a:solidFill>
                <a:schemeClr val="tx1"/>
              </a:solidFill>
            </a:rPr>
            <a:t>Wood Windows: Fichte / Tanne</a:t>
          </a:r>
          <a:r>
            <a:rPr lang="de-DE" sz="1100" b="1" baseline="0">
              <a:solidFill>
                <a:schemeClr val="tx1"/>
              </a:solidFill>
            </a:rPr>
            <a:t>, Rotation time: 80 year, </a:t>
          </a:r>
          <a:r>
            <a:rPr lang="de-DE" sz="1100" b="0" baseline="0">
              <a:solidFill>
                <a:schemeClr val="tx1"/>
              </a:solidFill>
            </a:rPr>
            <a:t>mean according to Jürgen Zell et. al. 2020, SwissStandSim: ein klimasensitives, einzelbaum- basiertes Waldwachstumsmodell</a:t>
          </a:r>
        </a:p>
        <a:p>
          <a:pPr algn="l"/>
          <a:endParaRPr lang="de-DE" sz="1100" b="1" baseline="0">
            <a:solidFill>
              <a:schemeClr val="tx1"/>
            </a:solidFill>
          </a:endParaRPr>
        </a:p>
        <a:p>
          <a:pPr algn="l"/>
          <a:r>
            <a:rPr lang="de-DE" sz="1100" b="1" baseline="0">
              <a:solidFill>
                <a:schemeClr val="tx1"/>
              </a:solidFill>
            </a:rPr>
            <a:t>g value form SIA 380/1 TAB 19</a:t>
          </a:r>
        </a:p>
        <a:p>
          <a:pPr algn="l"/>
          <a:endParaRPr lang="de-DE" sz="1100" b="1" baseline="0">
            <a:solidFill>
              <a:schemeClr val="tx1"/>
            </a:solidFill>
          </a:endParaRPr>
        </a:p>
        <a:p>
          <a:pPr algn="l"/>
          <a:r>
            <a:rPr lang="de-DE" sz="1100" b="1" baseline="0">
              <a:solidFill>
                <a:schemeClr val="tx1"/>
              </a:solidFill>
            </a:rPr>
            <a:t>Attention: Check in the SIA 380/1 model the "Fensterrahmen Abminderungsfaktor"  </a:t>
          </a:r>
          <a:r>
            <a:rPr lang="de-DE" sz="1100" b="0" baseline="0">
              <a:solidFill>
                <a:schemeClr val="tx1"/>
              </a:solidFill>
            </a:rPr>
            <a:t>-&gt; it is set to 0.95, so actually in the sensitivity analysis only the 0.9 windows are used.  28.6.2024</a:t>
          </a:r>
        </a:p>
      </xdr:txBody>
    </xdr:sp>
    <xdr:clientData/>
  </xdr:twoCellAnchor>
  <xdr:oneCellAnchor>
    <xdr:from>
      <xdr:col>3</xdr:col>
      <xdr:colOff>1003300</xdr:colOff>
      <xdr:row>56</xdr:row>
      <xdr:rowOff>190500</xdr:rowOff>
    </xdr:from>
    <xdr:ext cx="3586569" cy="1801332"/>
    <xdr:pic>
      <xdr:nvPicPr>
        <xdr:cNvPr id="5" name="Grafik 4">
          <a:extLst>
            <a:ext uri="{FF2B5EF4-FFF2-40B4-BE49-F238E27FC236}">
              <a16:creationId xmlns:a16="http://schemas.microsoft.com/office/drawing/2014/main" id="{B937DE9E-EDE0-6E41-9595-19C2A79B7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4600" y="11772900"/>
          <a:ext cx="3586569" cy="180133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408926</xdr:colOff>
      <xdr:row>48</xdr:row>
      <xdr:rowOff>192795</xdr:rowOff>
    </xdr:from>
    <xdr:to>
      <xdr:col>3</xdr:col>
      <xdr:colOff>959936</xdr:colOff>
      <xdr:row>52</xdr:row>
      <xdr:rowOff>191978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68D00B2A-EC9D-6A47-84EA-F64C4C80E4F7}"/>
            </a:ext>
          </a:extLst>
        </xdr:cNvPr>
        <xdr:cNvSpPr/>
      </xdr:nvSpPr>
      <xdr:spPr>
        <a:xfrm>
          <a:off x="408926" y="10234655"/>
          <a:ext cx="5084615" cy="82616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1">
              <a:solidFill>
                <a:schemeClr val="tx1"/>
              </a:solidFill>
            </a:rPr>
            <a:t>Explanation: </a:t>
          </a:r>
        </a:p>
        <a:p>
          <a:pPr algn="l"/>
          <a:r>
            <a:rPr lang="de-DE" sz="1100" b="1">
              <a:solidFill>
                <a:schemeClr val="tx1"/>
              </a:solidFill>
            </a:rPr>
            <a:t>Only</a:t>
          </a:r>
          <a:r>
            <a:rPr lang="de-DE" sz="1100" b="1" baseline="0">
              <a:solidFill>
                <a:schemeClr val="tx1"/>
              </a:solidFill>
            </a:rPr>
            <a:t> NPK C concrete was used, since it is below ground</a:t>
          </a:r>
        </a:p>
        <a:p>
          <a:pPr algn="l"/>
          <a:endParaRPr lang="de-DE" sz="1100" b="1">
            <a:solidFill>
              <a:schemeClr val="tx1"/>
            </a:solidFill>
          </a:endParaRPr>
        </a:p>
        <a:p>
          <a:pPr algn="l"/>
          <a:endParaRPr lang="de-DE" sz="1100" b="1" baseline="0">
            <a:solidFill>
              <a:schemeClr val="tx1"/>
            </a:solidFill>
          </a:endParaRPr>
        </a:p>
        <a:p>
          <a:pPr algn="l"/>
          <a:endParaRPr lang="de-DE" sz="1100" b="1" baseline="0">
            <a:solidFill>
              <a:schemeClr val="tx1"/>
            </a:solidFill>
          </a:endParaRPr>
        </a:p>
        <a:p>
          <a:pPr algn="l"/>
          <a:endParaRPr lang="de-DE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953062</xdr:colOff>
      <xdr:row>67</xdr:row>
      <xdr:rowOff>97231</xdr:rowOff>
    </xdr:from>
    <xdr:to>
      <xdr:col>2</xdr:col>
      <xdr:colOff>536205</xdr:colOff>
      <xdr:row>75</xdr:row>
      <xdr:rowOff>0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9A14CF55-CC8E-1A49-879C-A277B2E49CDC}"/>
            </a:ext>
          </a:extLst>
        </xdr:cNvPr>
        <xdr:cNvSpPr/>
      </xdr:nvSpPr>
      <xdr:spPr>
        <a:xfrm>
          <a:off x="953062" y="14255379"/>
          <a:ext cx="4569069" cy="1533386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 b="1" baseline="0">
            <a:solidFill>
              <a:schemeClr val="tx1"/>
            </a:solidFill>
          </a:endParaRPr>
        </a:p>
        <a:p>
          <a:pPr algn="l"/>
          <a:endParaRPr lang="de-DE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31</xdr:col>
      <xdr:colOff>551669</xdr:colOff>
      <xdr:row>48</xdr:row>
      <xdr:rowOff>102491</xdr:rowOff>
    </xdr:from>
    <xdr:to>
      <xdr:col>35</xdr:col>
      <xdr:colOff>690702</xdr:colOff>
      <xdr:row>62</xdr:row>
      <xdr:rowOff>111974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31E9C13A-7A71-EBFE-9E84-05BDAA998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04301" y="10128807"/>
          <a:ext cx="3436576" cy="3132906"/>
        </a:xfrm>
        <a:prstGeom prst="rect">
          <a:avLst/>
        </a:prstGeom>
      </xdr:spPr>
    </xdr:pic>
    <xdr:clientData/>
  </xdr:twoCellAnchor>
  <xdr:twoCellAnchor editAs="oneCell">
    <xdr:from>
      <xdr:col>36</xdr:col>
      <xdr:colOff>579298</xdr:colOff>
      <xdr:row>48</xdr:row>
      <xdr:rowOff>155964</xdr:rowOff>
    </xdr:from>
    <xdr:to>
      <xdr:col>41</xdr:col>
      <xdr:colOff>616730</xdr:colOff>
      <xdr:row>60</xdr:row>
      <xdr:rowOff>134486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FC29790E-12A5-5DE5-6ED3-800E4B734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53859" y="10182280"/>
          <a:ext cx="4159362" cy="270089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101600</xdr:colOff>
      <xdr:row>1</xdr:row>
      <xdr:rowOff>101601</xdr:rowOff>
    </xdr:from>
    <xdr:to>
      <xdr:col>35</xdr:col>
      <xdr:colOff>494309</xdr:colOff>
      <xdr:row>8</xdr:row>
      <xdr:rowOff>58275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9B4BC95-F1A7-FE4F-8F8E-9A1C82D49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23467" y="304801"/>
          <a:ext cx="2881909" cy="1396007"/>
        </a:xfrm>
        <a:prstGeom prst="rect">
          <a:avLst/>
        </a:prstGeom>
      </xdr:spPr>
    </xdr:pic>
    <xdr:clientData/>
  </xdr:twoCellAnchor>
  <xdr:twoCellAnchor editAs="oneCell">
    <xdr:from>
      <xdr:col>32</xdr:col>
      <xdr:colOff>355600</xdr:colOff>
      <xdr:row>9</xdr:row>
      <xdr:rowOff>136983</xdr:rowOff>
    </xdr:from>
    <xdr:to>
      <xdr:col>34</xdr:col>
      <xdr:colOff>812799</xdr:colOff>
      <xdr:row>17</xdr:row>
      <xdr:rowOff>8527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2702494-D0C9-9C4E-BC09-F063E7D0E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04000" y="11287583"/>
          <a:ext cx="2108199" cy="1497144"/>
        </a:xfrm>
        <a:prstGeom prst="rect">
          <a:avLst/>
        </a:prstGeom>
      </xdr:spPr>
    </xdr:pic>
    <xdr:clientData/>
  </xdr:twoCellAnchor>
  <xdr:twoCellAnchor editAs="oneCell">
    <xdr:from>
      <xdr:col>35</xdr:col>
      <xdr:colOff>338666</xdr:colOff>
      <xdr:row>9</xdr:row>
      <xdr:rowOff>152400</xdr:rowOff>
    </xdr:from>
    <xdr:to>
      <xdr:col>41</xdr:col>
      <xdr:colOff>156631</xdr:colOff>
      <xdr:row>17</xdr:row>
      <xdr:rowOff>65858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2968A557-87D8-9347-991C-7652ACF77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463566" y="11303000"/>
          <a:ext cx="4770965" cy="1539058"/>
        </a:xfrm>
        <a:prstGeom prst="rect">
          <a:avLst/>
        </a:prstGeom>
      </xdr:spPr>
    </xdr:pic>
    <xdr:clientData/>
  </xdr:twoCellAnchor>
  <xdr:twoCellAnchor editAs="oneCell">
    <xdr:from>
      <xdr:col>37</xdr:col>
      <xdr:colOff>309033</xdr:colOff>
      <xdr:row>18</xdr:row>
      <xdr:rowOff>47978</xdr:rowOff>
    </xdr:from>
    <xdr:to>
      <xdr:col>43</xdr:col>
      <xdr:colOff>309033</xdr:colOff>
      <xdr:row>27</xdr:row>
      <xdr:rowOff>126930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F6999F5A-571B-4048-816B-BA6CE86CC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084933" y="13052778"/>
          <a:ext cx="4953000" cy="1896513"/>
        </a:xfrm>
        <a:prstGeom prst="rect">
          <a:avLst/>
        </a:prstGeom>
      </xdr:spPr>
    </xdr:pic>
    <xdr:clientData/>
  </xdr:twoCellAnchor>
  <xdr:oneCellAnchor>
    <xdr:from>
      <xdr:col>37</xdr:col>
      <xdr:colOff>309033</xdr:colOff>
      <xdr:row>31</xdr:row>
      <xdr:rowOff>47978</xdr:rowOff>
    </xdr:from>
    <xdr:ext cx="4937760" cy="1906673"/>
    <xdr:pic>
      <xdr:nvPicPr>
        <xdr:cNvPr id="8" name="Grafik 7">
          <a:extLst>
            <a:ext uri="{FF2B5EF4-FFF2-40B4-BE49-F238E27FC236}">
              <a16:creationId xmlns:a16="http://schemas.microsoft.com/office/drawing/2014/main" id="{B066C6BB-1AA1-4044-B20D-A390EF3B2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349353" y="3746218"/>
          <a:ext cx="4937760" cy="1906673"/>
        </a:xfrm>
        <a:prstGeom prst="rect">
          <a:avLst/>
        </a:prstGeom>
      </xdr:spPr>
    </xdr:pic>
    <xdr:clientData/>
  </xdr:oneCellAnchor>
  <xdr:twoCellAnchor editAs="oneCell">
    <xdr:from>
      <xdr:col>43</xdr:col>
      <xdr:colOff>630381</xdr:colOff>
      <xdr:row>18</xdr:row>
      <xdr:rowOff>199331</xdr:rowOff>
    </xdr:from>
    <xdr:to>
      <xdr:col>47</xdr:col>
      <xdr:colOff>356753</xdr:colOff>
      <xdr:row>28</xdr:row>
      <xdr:rowOff>149015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70C41A77-A720-FD77-9BD4-35E58B3FC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779314" y="3924664"/>
          <a:ext cx="3045306" cy="1998618"/>
        </a:xfrm>
        <a:prstGeom prst="rect">
          <a:avLst/>
        </a:prstGeom>
      </xdr:spPr>
    </xdr:pic>
    <xdr:clientData/>
  </xdr:twoCellAnchor>
  <xdr:twoCellAnchor>
    <xdr:from>
      <xdr:col>0</xdr:col>
      <xdr:colOff>353608</xdr:colOff>
      <xdr:row>76</xdr:row>
      <xdr:rowOff>93881</xdr:rowOff>
    </xdr:from>
    <xdr:to>
      <xdr:col>5</xdr:col>
      <xdr:colOff>330199</xdr:colOff>
      <xdr:row>95</xdr:row>
      <xdr:rowOff>101600</xdr:rowOff>
    </xdr:to>
    <xdr:sp macro="" textlink="">
      <xdr:nvSpPr>
        <xdr:cNvPr id="11" name="Rechteck 10">
          <a:extLst>
            <a:ext uri="{FF2B5EF4-FFF2-40B4-BE49-F238E27FC236}">
              <a16:creationId xmlns:a16="http://schemas.microsoft.com/office/drawing/2014/main" id="{23A25892-D131-A447-BFD9-033132AE49C6}"/>
            </a:ext>
          </a:extLst>
        </xdr:cNvPr>
        <xdr:cNvSpPr/>
      </xdr:nvSpPr>
      <xdr:spPr>
        <a:xfrm>
          <a:off x="353608" y="15829181"/>
          <a:ext cx="8574491" cy="3868519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1">
              <a:solidFill>
                <a:schemeClr val="tx1"/>
              </a:solidFill>
            </a:rPr>
            <a:t>INFORMATIONS</a:t>
          </a:r>
        </a:p>
        <a:p>
          <a:pPr algn="l"/>
          <a:endParaRPr lang="de-DE" sz="1100" b="1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>
              <a:solidFill>
                <a:schemeClr val="tx1"/>
              </a:solidFill>
            </a:rPr>
            <a:t>For Wood</a:t>
          </a:r>
          <a:r>
            <a:rPr lang="de-DE" sz="1100" b="1" baseline="0">
              <a:solidFill>
                <a:schemeClr val="tx1"/>
              </a:solidFill>
            </a:rPr>
            <a:t> Frame constructions: There is a Vapour barrier included. in reality this is not used for some insulation materials, e.g. straw. -&gt; conservative assumption</a:t>
          </a:r>
          <a:endParaRPr lang="de-DE" sz="1100" b="1">
            <a:solidFill>
              <a:schemeClr val="tx1"/>
            </a:solidFill>
          </a:endParaRPr>
        </a:p>
        <a:p>
          <a:pPr algn="l"/>
          <a:endParaRPr lang="de-DE" sz="1100" b="1">
            <a:solidFill>
              <a:schemeClr val="tx1"/>
            </a:solidFill>
          </a:endParaRPr>
        </a:p>
        <a:p>
          <a:pPr algn="l"/>
          <a:r>
            <a:rPr lang="de-DE" sz="1100" b="1">
              <a:solidFill>
                <a:schemeClr val="tx1"/>
              </a:solidFill>
            </a:rPr>
            <a:t>The Wood</a:t>
          </a:r>
          <a:r>
            <a:rPr lang="de-DE" sz="1100" b="1" baseline="0">
              <a:solidFill>
                <a:schemeClr val="tx1"/>
              </a:solidFill>
            </a:rPr>
            <a:t> frame thickness is set to 240mm, independandant of the insultion type. So if &lt;240mm insulation is used,  some parts of the cavity are empty. If &gt;240mm insulatino is used it is just toped up on the outside (simplification).  In reality the frame geometry could also be changed. Therefore it is a simplification</a:t>
          </a:r>
          <a:endParaRPr lang="de-DE" sz="1100" b="1">
            <a:solidFill>
              <a:schemeClr val="tx1"/>
            </a:solidFill>
          </a:endParaRPr>
        </a:p>
        <a:p>
          <a:pPr algn="l"/>
          <a:endParaRPr lang="de-DE" sz="1100">
            <a:solidFill>
              <a:schemeClr val="tx1"/>
            </a:solidFill>
          </a:endParaRPr>
        </a:p>
        <a:p>
          <a:pPr algn="l"/>
          <a:r>
            <a:rPr lang="de-DE" sz="1100" b="1">
              <a:solidFill>
                <a:schemeClr val="tx1"/>
              </a:solidFill>
            </a:rPr>
            <a:t>For</a:t>
          </a:r>
          <a:r>
            <a:rPr lang="de-DE" sz="1100" b="1" baseline="0">
              <a:solidFill>
                <a:schemeClr val="tx1"/>
              </a:solidFill>
            </a:rPr>
            <a:t> the u value calculation the wood frame is not considered (simplification!). This drawback is coverd with the "Thermal bridge factor" in the programm. </a:t>
          </a:r>
          <a:endParaRPr lang="de-DE" sz="1100" b="1">
            <a:solidFill>
              <a:schemeClr val="tx1"/>
            </a:solidFill>
          </a:endParaRPr>
        </a:p>
        <a:p>
          <a:pPr algn="l"/>
          <a:endParaRPr lang="de-DE" sz="1100" b="1">
            <a:solidFill>
              <a:schemeClr val="tx1"/>
            </a:solidFill>
          </a:endParaRPr>
        </a:p>
        <a:p>
          <a:pPr algn="l"/>
          <a:r>
            <a:rPr lang="de-DE" sz="1100">
              <a:solidFill>
                <a:schemeClr val="tx1"/>
              </a:solidFill>
            </a:rPr>
            <a:t>The</a:t>
          </a:r>
          <a:r>
            <a:rPr lang="de-DE" sz="1100" baseline="0">
              <a:solidFill>
                <a:schemeClr val="tx1"/>
              </a:solidFill>
            </a:rPr>
            <a:t> tickness of the vapour barriers were checked with product datasheets: </a:t>
          </a:r>
          <a:endParaRPr lang="de-DE" sz="1100">
            <a:solidFill>
              <a:schemeClr val="tx1"/>
            </a:solidFill>
          </a:endParaRPr>
        </a:p>
        <a:p>
          <a:pPr algn="l"/>
          <a:r>
            <a:rPr lang="de-DE" sz="1100" b="1">
              <a:solidFill>
                <a:schemeClr val="tx1"/>
              </a:solidFill>
            </a:rPr>
            <a:t>Vapour barrier:</a:t>
          </a:r>
          <a:r>
            <a:rPr lang="de-DE" sz="1100" b="1" baseline="0">
              <a:solidFill>
                <a:schemeClr val="tx1"/>
              </a:solidFill>
            </a:rPr>
            <a:t> SIGA Majpelle:  120g/m2 -&gt; 0.14mm</a:t>
          </a:r>
        </a:p>
        <a:p>
          <a:pPr algn="l"/>
          <a:endParaRPr lang="de-DE" sz="1100" baseline="0">
            <a:solidFill>
              <a:schemeClr val="tx1"/>
            </a:solidFill>
          </a:endParaRPr>
        </a:p>
        <a:p>
          <a:pPr algn="l"/>
          <a:r>
            <a:rPr lang="de-DE" sz="1100">
              <a:solidFill>
                <a:schemeClr val="tx1"/>
              </a:solidFill>
            </a:rPr>
            <a:t>https://d1c96hlcey6qkb.cloudfront.net/597ed2b7-7f57-4e37-808e-57742814b918/adcdbad9cc5e4776adc34f6aa7e8964e?response-content-disposition=inline%3B%20filename%2A%3DUTF-8%27%27SIGA_Majpell_25_Leistungserkl%25C3%25A4rung_DOP_de.pdf&amp;response-content-type=application%2Fpdf&amp;Expires=1719014400&amp;Signature=dcgZE4jpgLuN~0e-OceEog4teHGfVvjv6WIcqmzZM2PVX~elfcFptYtCVW2beKTIuznJ0k7uFFiY6cowLTmrXvZQwlqgETCseMwElfDYP7iX6r2-A8gxrZnrpC4aa7rZTRNv8PkmquZ5wUs6d5UD6uD7Z6U9XmjBeGSsGdQf4VfTtWJZgiTYdSqjhoiE6eA7OO0J-3oXsfGL3YVQOxWKH0hTWAJtIG~yUAYwkBjhQw0BNzS0UopDzfAM-s3FSyPwXFeRILj-igpNfwwKdxbRm2DmZAjqULaWM8qI1B2lLUILhfyXADgu1R4SUsVHNdk5Rhhn4x2AGE-46sqaULs9zg__&amp;Key-Pair-Id=APKAI33AGAEAYCXFBDTA </a:t>
          </a:r>
        </a:p>
      </xdr:txBody>
    </xdr:sp>
    <xdr:clientData/>
  </xdr:twoCellAnchor>
  <xdr:oneCellAnchor>
    <xdr:from>
      <xdr:col>37</xdr:col>
      <xdr:colOff>309033</xdr:colOff>
      <xdr:row>45</xdr:row>
      <xdr:rowOff>47978</xdr:rowOff>
    </xdr:from>
    <xdr:ext cx="4957590" cy="1873255"/>
    <xdr:pic>
      <xdr:nvPicPr>
        <xdr:cNvPr id="12" name="Grafik 11">
          <a:extLst>
            <a:ext uri="{FF2B5EF4-FFF2-40B4-BE49-F238E27FC236}">
              <a16:creationId xmlns:a16="http://schemas.microsoft.com/office/drawing/2014/main" id="{037860FD-CF9D-3648-9C2A-50F2033A3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348792" y="3689665"/>
          <a:ext cx="4957590" cy="1873255"/>
        </a:xfrm>
        <a:prstGeom prst="rect">
          <a:avLst/>
        </a:prstGeom>
      </xdr:spPr>
    </xdr:pic>
    <xdr:clientData/>
  </xdr:oneCellAnchor>
  <xdr:twoCellAnchor editAs="oneCell">
    <xdr:from>
      <xdr:col>32</xdr:col>
      <xdr:colOff>304799</xdr:colOff>
      <xdr:row>17</xdr:row>
      <xdr:rowOff>169334</xdr:rowOff>
    </xdr:from>
    <xdr:to>
      <xdr:col>37</xdr:col>
      <xdr:colOff>508000</xdr:colOff>
      <xdr:row>28</xdr:row>
      <xdr:rowOff>84470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74ADE4F3-53A4-AC7C-1156-77CAB6DF4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326666" y="3691467"/>
          <a:ext cx="4351867" cy="2172964"/>
        </a:xfrm>
        <a:prstGeom prst="rect">
          <a:avLst/>
        </a:prstGeom>
      </xdr:spPr>
    </xdr:pic>
    <xdr:clientData/>
  </xdr:twoCellAnchor>
  <xdr:twoCellAnchor editAs="oneCell">
    <xdr:from>
      <xdr:col>32</xdr:col>
      <xdr:colOff>84665</xdr:colOff>
      <xdr:row>31</xdr:row>
      <xdr:rowOff>135467</xdr:rowOff>
    </xdr:from>
    <xdr:to>
      <xdr:col>37</xdr:col>
      <xdr:colOff>287866</xdr:colOff>
      <xdr:row>42</xdr:row>
      <xdr:rowOff>39364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8203C863-75CE-3547-AFB8-21EC8B279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106532" y="6333067"/>
          <a:ext cx="4351867" cy="2172964"/>
        </a:xfrm>
        <a:prstGeom prst="rect">
          <a:avLst/>
        </a:prstGeom>
      </xdr:spPr>
    </xdr:pic>
    <xdr:clientData/>
  </xdr:twoCellAnchor>
  <xdr:twoCellAnchor editAs="oneCell">
    <xdr:from>
      <xdr:col>32</xdr:col>
      <xdr:colOff>33865</xdr:colOff>
      <xdr:row>45</xdr:row>
      <xdr:rowOff>50800</xdr:rowOff>
    </xdr:from>
    <xdr:to>
      <xdr:col>37</xdr:col>
      <xdr:colOff>237066</xdr:colOff>
      <xdr:row>56</xdr:row>
      <xdr:rowOff>2092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3321F0A7-3615-BB45-90E8-18F9C53D2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55732" y="8923867"/>
          <a:ext cx="4351867" cy="2172964"/>
        </a:xfrm>
        <a:prstGeom prst="rect">
          <a:avLst/>
        </a:prstGeom>
      </xdr:spPr>
    </xdr:pic>
    <xdr:clientData/>
  </xdr:twoCellAnchor>
  <xdr:twoCellAnchor editAs="oneCell">
    <xdr:from>
      <xdr:col>44</xdr:col>
      <xdr:colOff>284009</xdr:colOff>
      <xdr:row>46</xdr:row>
      <xdr:rowOff>43870</xdr:rowOff>
    </xdr:from>
    <xdr:to>
      <xdr:col>49</xdr:col>
      <xdr:colOff>199571</xdr:colOff>
      <xdr:row>71</xdr:row>
      <xdr:rowOff>89342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83586188-D197-1E61-83FC-F5049FA87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105438" y="9478156"/>
          <a:ext cx="4048101" cy="5125473"/>
        </a:xfrm>
        <a:prstGeom prst="rect">
          <a:avLst/>
        </a:prstGeom>
      </xdr:spPr>
    </xdr:pic>
    <xdr:clientData/>
  </xdr:twoCellAnchor>
  <xdr:twoCellAnchor editAs="oneCell">
    <xdr:from>
      <xdr:col>49</xdr:col>
      <xdr:colOff>648709</xdr:colOff>
      <xdr:row>46</xdr:row>
      <xdr:rowOff>135751</xdr:rowOff>
    </xdr:from>
    <xdr:to>
      <xdr:col>58</xdr:col>
      <xdr:colOff>745873</xdr:colOff>
      <xdr:row>71</xdr:row>
      <xdr:rowOff>1399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F2C72FB2-8455-AAAB-5602-DFCAC6B1A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602677" y="9570037"/>
          <a:ext cx="7535736" cy="4945649"/>
        </a:xfrm>
        <a:prstGeom prst="rect">
          <a:avLst/>
        </a:prstGeom>
      </xdr:spPr>
    </xdr:pic>
    <xdr:clientData/>
  </xdr:twoCellAnchor>
  <xdr:oneCellAnchor>
    <xdr:from>
      <xdr:col>37</xdr:col>
      <xdr:colOff>309033</xdr:colOff>
      <xdr:row>60</xdr:row>
      <xdr:rowOff>47978</xdr:rowOff>
    </xdr:from>
    <xdr:ext cx="4957590" cy="1873255"/>
    <xdr:pic>
      <xdr:nvPicPr>
        <xdr:cNvPr id="19" name="Grafik 18">
          <a:extLst>
            <a:ext uri="{FF2B5EF4-FFF2-40B4-BE49-F238E27FC236}">
              <a16:creationId xmlns:a16="http://schemas.microsoft.com/office/drawing/2014/main" id="{37A00DDC-6E69-B947-8B8D-F6AC1E04E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479566" y="9327445"/>
          <a:ext cx="4957590" cy="1873255"/>
        </a:xfrm>
        <a:prstGeom prst="rect">
          <a:avLst/>
        </a:prstGeom>
      </xdr:spPr>
    </xdr:pic>
    <xdr:clientData/>
  </xdr:oneCellAnchor>
  <xdr:oneCellAnchor>
    <xdr:from>
      <xdr:col>32</xdr:col>
      <xdr:colOff>33865</xdr:colOff>
      <xdr:row>60</xdr:row>
      <xdr:rowOff>50800</xdr:rowOff>
    </xdr:from>
    <xdr:ext cx="4351867" cy="2177021"/>
    <xdr:pic>
      <xdr:nvPicPr>
        <xdr:cNvPr id="20" name="Grafik 19">
          <a:extLst>
            <a:ext uri="{FF2B5EF4-FFF2-40B4-BE49-F238E27FC236}">
              <a16:creationId xmlns:a16="http://schemas.microsoft.com/office/drawing/2014/main" id="{B4A5C913-2DF1-AC4D-980A-6A9275FA6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55732" y="9330267"/>
          <a:ext cx="4351867" cy="2177021"/>
        </a:xfrm>
        <a:prstGeom prst="rect">
          <a:avLst/>
        </a:prstGeom>
      </xdr:spPr>
    </xdr:pic>
    <xdr:clientData/>
  </xdr:oneCellAnchor>
  <xdr:twoCellAnchor editAs="oneCell">
    <xdr:from>
      <xdr:col>59</xdr:col>
      <xdr:colOff>685396</xdr:colOff>
      <xdr:row>43</xdr:row>
      <xdr:rowOff>161269</xdr:rowOff>
    </xdr:from>
    <xdr:to>
      <xdr:col>69</xdr:col>
      <xdr:colOff>192717</xdr:colOff>
      <xdr:row>71</xdr:row>
      <xdr:rowOff>183980</xdr:rowOff>
    </xdr:to>
    <xdr:pic>
      <xdr:nvPicPr>
        <xdr:cNvPr id="21" name="Grafik 20">
          <a:extLst>
            <a:ext uri="{FF2B5EF4-FFF2-40B4-BE49-F238E27FC236}">
              <a16:creationId xmlns:a16="http://schemas.microsoft.com/office/drawing/2014/main" id="{C82620B1-6467-402F-8578-1EDED710E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904444" y="8990793"/>
          <a:ext cx="7772400" cy="5834355"/>
        </a:xfrm>
        <a:prstGeom prst="rect">
          <a:avLst/>
        </a:prstGeom>
      </xdr:spPr>
    </xdr:pic>
    <xdr:clientData/>
  </xdr:twoCellAnchor>
  <xdr:twoCellAnchor editAs="oneCell">
    <xdr:from>
      <xdr:col>47</xdr:col>
      <xdr:colOff>202580</xdr:colOff>
      <xdr:row>0</xdr:row>
      <xdr:rowOff>1</xdr:rowOff>
    </xdr:from>
    <xdr:to>
      <xdr:col>50</xdr:col>
      <xdr:colOff>681464</xdr:colOff>
      <xdr:row>19</xdr:row>
      <xdr:rowOff>14250</xdr:rowOff>
    </xdr:to>
    <xdr:pic>
      <xdr:nvPicPr>
        <xdr:cNvPr id="22" name="Grafik 21">
          <a:extLst>
            <a:ext uri="{FF2B5EF4-FFF2-40B4-BE49-F238E27FC236}">
              <a16:creationId xmlns:a16="http://schemas.microsoft.com/office/drawing/2014/main" id="{9F3027C1-8164-714B-8D90-1643F0FBD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274165" y="1"/>
          <a:ext cx="2941445" cy="3901688"/>
        </a:xfrm>
        <a:prstGeom prst="rect">
          <a:avLst/>
        </a:prstGeom>
      </xdr:spPr>
    </xdr:pic>
    <xdr:clientData/>
  </xdr:twoCellAnchor>
  <xdr:twoCellAnchor editAs="oneCell">
    <xdr:from>
      <xdr:col>35</xdr:col>
      <xdr:colOff>745066</xdr:colOff>
      <xdr:row>0</xdr:row>
      <xdr:rowOff>16933</xdr:rowOff>
    </xdr:from>
    <xdr:to>
      <xdr:col>42</xdr:col>
      <xdr:colOff>152399</xdr:colOff>
      <xdr:row>9</xdr:row>
      <xdr:rowOff>56038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A0722345-71D9-77F5-052A-3CF1673D3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4256133" y="16933"/>
          <a:ext cx="5215466" cy="190177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420280</xdr:colOff>
      <xdr:row>12</xdr:row>
      <xdr:rowOff>82303</xdr:rowOff>
    </xdr:from>
    <xdr:to>
      <xdr:col>44</xdr:col>
      <xdr:colOff>34025</xdr:colOff>
      <xdr:row>22</xdr:row>
      <xdr:rowOff>142605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3DA86C8E-6676-1555-8E08-E09180F4F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02349" y="2593108"/>
          <a:ext cx="5438228" cy="2118577"/>
        </a:xfrm>
        <a:prstGeom prst="rect">
          <a:avLst/>
        </a:prstGeom>
      </xdr:spPr>
    </xdr:pic>
    <xdr:clientData/>
  </xdr:twoCellAnchor>
  <xdr:twoCellAnchor editAs="oneCell">
    <xdr:from>
      <xdr:col>31</xdr:col>
      <xdr:colOff>492818</xdr:colOff>
      <xdr:row>13</xdr:row>
      <xdr:rowOff>8759</xdr:rowOff>
    </xdr:from>
    <xdr:to>
      <xdr:col>37</xdr:col>
      <xdr:colOff>179552</xdr:colOff>
      <xdr:row>21</xdr:row>
      <xdr:rowOff>13774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7622FB69-3194-2536-DF72-125C5ED71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82473" y="2723931"/>
          <a:ext cx="4679148" cy="163995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290006</xdr:colOff>
      <xdr:row>14</xdr:row>
      <xdr:rowOff>528</xdr:rowOff>
    </xdr:from>
    <xdr:to>
      <xdr:col>34</xdr:col>
      <xdr:colOff>138907</xdr:colOff>
      <xdr:row>27</xdr:row>
      <xdr:rowOff>108655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74C8FAC-338B-71A0-E5CA-465CEF5D3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22975" y="2818341"/>
          <a:ext cx="3182651" cy="2767190"/>
        </a:xfrm>
        <a:prstGeom prst="rect">
          <a:avLst/>
        </a:prstGeom>
      </xdr:spPr>
    </xdr:pic>
    <xdr:clientData/>
  </xdr:twoCellAnchor>
  <xdr:twoCellAnchor>
    <xdr:from>
      <xdr:col>0</xdr:col>
      <xdr:colOff>249767</xdr:colOff>
      <xdr:row>70</xdr:row>
      <xdr:rowOff>122325</xdr:rowOff>
    </xdr:from>
    <xdr:to>
      <xdr:col>4</xdr:col>
      <xdr:colOff>639933</xdr:colOff>
      <xdr:row>88</xdr:row>
      <xdr:rowOff>405</xdr:rowOff>
    </xdr:to>
    <xdr:sp macro="" textlink="">
      <xdr:nvSpPr>
        <xdr:cNvPr id="6" name="Rechteck 5">
          <a:extLst>
            <a:ext uri="{FF2B5EF4-FFF2-40B4-BE49-F238E27FC236}">
              <a16:creationId xmlns:a16="http://schemas.microsoft.com/office/drawing/2014/main" id="{506EC4A5-825F-0DB4-7299-447C87EBCE0A}"/>
            </a:ext>
          </a:extLst>
        </xdr:cNvPr>
        <xdr:cNvSpPr/>
      </xdr:nvSpPr>
      <xdr:spPr>
        <a:xfrm>
          <a:off x="249767" y="14617258"/>
          <a:ext cx="7569899" cy="353568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1">
              <a:solidFill>
                <a:schemeClr val="tx1"/>
              </a:solidFill>
            </a:rPr>
            <a:t>INFORMATIONS</a:t>
          </a:r>
        </a:p>
        <a:p>
          <a:pPr algn="l"/>
          <a:r>
            <a:rPr lang="de-DE" sz="1100">
              <a:solidFill>
                <a:schemeClr val="tx1"/>
              </a:solidFill>
            </a:rPr>
            <a:t>The</a:t>
          </a:r>
          <a:r>
            <a:rPr lang="de-DE" sz="1100" baseline="0">
              <a:solidFill>
                <a:schemeClr val="tx1"/>
              </a:solidFill>
            </a:rPr>
            <a:t> tickness of the vapour barriers and </a:t>
          </a:r>
          <a:r>
            <a:rPr lang="de-CH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sealing membrane</a:t>
          </a:r>
          <a:r>
            <a:rPr lang="de-DE" sz="1100" baseline="0">
              <a:solidFill>
                <a:schemeClr val="tx1"/>
              </a:solidFill>
            </a:rPr>
            <a:t>s were checked with product datasheets: </a:t>
          </a:r>
        </a:p>
        <a:p>
          <a:pPr algn="l"/>
          <a:endParaRPr lang="de-DE" sz="1100">
            <a:solidFill>
              <a:schemeClr val="tx1"/>
            </a:solidFill>
          </a:endParaRPr>
        </a:p>
        <a:p>
          <a:pPr algn="l"/>
          <a:r>
            <a:rPr lang="de-DE" sz="1100" b="1">
              <a:solidFill>
                <a:schemeClr val="tx1"/>
              </a:solidFill>
            </a:rPr>
            <a:t>FPO </a:t>
          </a:r>
          <a:r>
            <a:rPr lang="de-CH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sealing membrane:</a:t>
          </a:r>
          <a:r>
            <a:rPr lang="de-CH" sz="1100" b="1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3.2mm</a:t>
          </a:r>
          <a:r>
            <a:rPr lang="de-DE" sz="1100" b="1">
              <a:solidFill>
                <a:schemeClr val="tx1"/>
              </a:solidFill>
            </a:rPr>
            <a:t> </a:t>
          </a:r>
          <a:br>
            <a:rPr lang="de-DE" sz="1100">
              <a:solidFill>
                <a:schemeClr val="tx1"/>
              </a:solidFill>
            </a:rPr>
          </a:br>
          <a:r>
            <a:rPr lang="de-DE" sz="1100">
              <a:solidFill>
                <a:schemeClr val="tx1"/>
              </a:solidFill>
            </a:rPr>
            <a:t>https://deu.sika.com/de/construction/abdichtung-ingenieurbauten/abdichtung-von-tunnel-undtrogbauwerken/dichtungsbahnen/sikaplan-wt-2200-32hl2.html</a:t>
          </a:r>
        </a:p>
        <a:p>
          <a:pPr algn="l"/>
          <a:endParaRPr lang="de-DE" sz="1100">
            <a:solidFill>
              <a:schemeClr val="tx1"/>
            </a:solidFill>
          </a:endParaRPr>
        </a:p>
        <a:p>
          <a:pPr algn="l"/>
          <a:r>
            <a:rPr lang="de-DE" sz="1100" b="1">
              <a:solidFill>
                <a:schemeClr val="tx1"/>
              </a:solidFill>
            </a:rPr>
            <a:t>Vapour barrier:</a:t>
          </a:r>
          <a:r>
            <a:rPr lang="de-DE" sz="1100" b="1" baseline="0">
              <a:solidFill>
                <a:schemeClr val="tx1"/>
              </a:solidFill>
            </a:rPr>
            <a:t> SIGA Majpelle:  120g/m2 -&gt; 0.14mm</a:t>
          </a:r>
        </a:p>
        <a:p>
          <a:pPr algn="l"/>
          <a:endParaRPr lang="de-DE" sz="1100" baseline="0">
            <a:solidFill>
              <a:schemeClr val="tx1"/>
            </a:solidFill>
          </a:endParaRPr>
        </a:p>
        <a:p>
          <a:pPr algn="l"/>
          <a:r>
            <a:rPr lang="de-DE" sz="1100">
              <a:solidFill>
                <a:schemeClr val="tx1"/>
              </a:solidFill>
            </a:rPr>
            <a:t>https://d1c96hlcey6qkb.cloudfront.net/597ed2b7-7f57-4e37-808e-57742814b918/adcdbad9cc5e4776adc34f6aa7e8964e?response-content-disposition=inline%3B%20filename%2A%3DUTF-8%27%27SIGA_Majpell_25_Leistungserkl%25C3%25A4rung_DOP_de.pdf&amp;response-content-type=application%2Fpdf&amp;Expires=1719014400&amp;Signature=dcgZE4jpgLuN~0e-OceEog4teHGfVvjv6WIcqmzZM2PVX~elfcFptYtCVW2beKTIuznJ0k7uFFiY6cowLTmrXvZQwlqgETCseMwElfDYP7iX6r2-A8gxrZnrpC4aa7rZTRNv8PkmquZ5wUs6d5UD6uD7Z6U9XmjBeGSsGdQf4VfTtWJZgiTYdSqjhoiE6eA7OO0J-3oXsfGL3YVQOxWKH0hTWAJtIG~yUAYwkBjhQw0BNzS0UopDzfAM-s3FSyPwXFeRILj-igpNfwwKdxbRm2DmZAjqULaWM8qI1B2lLUILhfyXADgu1R4SUsVHNdk5Rhhn4x2AGE-46sqaULs9zg__&amp;Key-Pair-Id=APKAI33AGAEAYCXFBDTA </a:t>
          </a:r>
        </a:p>
      </xdr:txBody>
    </xdr:sp>
    <xdr:clientData/>
  </xdr:twoCellAnchor>
  <xdr:twoCellAnchor editAs="oneCell">
    <xdr:from>
      <xdr:col>30</xdr:col>
      <xdr:colOff>240771</xdr:colOff>
      <xdr:row>29</xdr:row>
      <xdr:rowOff>147374</xdr:rowOff>
    </xdr:from>
    <xdr:to>
      <xdr:col>33</xdr:col>
      <xdr:colOff>214941</xdr:colOff>
      <xdr:row>37</xdr:row>
      <xdr:rowOff>120832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86C51F64-464C-3D49-9EB9-EF5FF3444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73740" y="6021124"/>
          <a:ext cx="2474482" cy="1714416"/>
        </a:xfrm>
        <a:prstGeom prst="rect">
          <a:avLst/>
        </a:prstGeom>
      </xdr:spPr>
    </xdr:pic>
    <xdr:clientData/>
  </xdr:twoCellAnchor>
  <xdr:twoCellAnchor editAs="oneCell">
    <xdr:from>
      <xdr:col>30</xdr:col>
      <xdr:colOff>155046</xdr:colOff>
      <xdr:row>7</xdr:row>
      <xdr:rowOff>81492</xdr:rowOff>
    </xdr:from>
    <xdr:to>
      <xdr:col>33</xdr:col>
      <xdr:colOff>129216</xdr:colOff>
      <xdr:row>15</xdr:row>
      <xdr:rowOff>148877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EE9063B0-7255-E344-9393-7B1126042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988015" y="1470555"/>
          <a:ext cx="2474482" cy="1714416"/>
        </a:xfrm>
        <a:prstGeom prst="rect">
          <a:avLst/>
        </a:prstGeom>
      </xdr:spPr>
    </xdr:pic>
    <xdr:clientData/>
  </xdr:twoCellAnchor>
  <xdr:twoCellAnchor editAs="oneCell">
    <xdr:from>
      <xdr:col>30</xdr:col>
      <xdr:colOff>128852</xdr:colOff>
      <xdr:row>0</xdr:row>
      <xdr:rowOff>0</xdr:rowOff>
    </xdr:from>
    <xdr:to>
      <xdr:col>33</xdr:col>
      <xdr:colOff>103022</xdr:colOff>
      <xdr:row>7</xdr:row>
      <xdr:rowOff>191738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C8F8FB08-5CA7-144F-803B-521D53B7C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961821" y="0"/>
          <a:ext cx="2474482" cy="1714416"/>
        </a:xfrm>
        <a:prstGeom prst="rect">
          <a:avLst/>
        </a:prstGeom>
      </xdr:spPr>
    </xdr:pic>
    <xdr:clientData/>
  </xdr:twoCellAnchor>
  <xdr:twoCellAnchor editAs="oneCell">
    <xdr:from>
      <xdr:col>33</xdr:col>
      <xdr:colOff>356490</xdr:colOff>
      <xdr:row>48</xdr:row>
      <xdr:rowOff>66841</xdr:rowOff>
    </xdr:from>
    <xdr:to>
      <xdr:col>38</xdr:col>
      <xdr:colOff>18715</xdr:colOff>
      <xdr:row>58</xdr:row>
      <xdr:rowOff>49555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5695E37-F0A3-B49D-9D1E-18DD2FD15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415788" y="9870350"/>
          <a:ext cx="3784155" cy="2212567"/>
        </a:xfrm>
        <a:prstGeom prst="rect">
          <a:avLst/>
        </a:prstGeom>
      </xdr:spPr>
    </xdr:pic>
    <xdr:clientData/>
  </xdr:twoCellAnchor>
  <xdr:twoCellAnchor editAs="oneCell">
    <xdr:from>
      <xdr:col>33</xdr:col>
      <xdr:colOff>24379</xdr:colOff>
      <xdr:row>37</xdr:row>
      <xdr:rowOff>55533</xdr:rowOff>
    </xdr:from>
    <xdr:to>
      <xdr:col>36</xdr:col>
      <xdr:colOff>697666</xdr:colOff>
      <xdr:row>50</xdr:row>
      <xdr:rowOff>208224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CAC7CC10-EC7A-914D-A665-BF7E01B4C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3677" y="7630972"/>
          <a:ext cx="3146445" cy="280409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18</xdr:row>
      <xdr:rowOff>152400</xdr:rowOff>
    </xdr:from>
    <xdr:to>
      <xdr:col>9</xdr:col>
      <xdr:colOff>292799</xdr:colOff>
      <xdr:row>36</xdr:row>
      <xdr:rowOff>30480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F3561695-7C79-B844-9E24-91FC9B8A34AF}"/>
            </a:ext>
          </a:extLst>
        </xdr:cNvPr>
        <xdr:cNvSpPr/>
      </xdr:nvSpPr>
      <xdr:spPr>
        <a:xfrm>
          <a:off x="152400" y="3810000"/>
          <a:ext cx="7569899" cy="353568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="1">
              <a:solidFill>
                <a:schemeClr val="tx1"/>
              </a:solidFill>
            </a:rPr>
            <a:t>INFORMATIONS</a:t>
          </a:r>
        </a:p>
        <a:p>
          <a:pPr algn="l"/>
          <a:endParaRPr lang="de-DE" sz="1100" b="1">
            <a:solidFill>
              <a:schemeClr val="tx1"/>
            </a:solidFill>
          </a:endParaRPr>
        </a:p>
        <a:p>
          <a:pPr algn="l"/>
          <a:r>
            <a:rPr lang="de-DE" sz="1100" b="1">
              <a:solidFill>
                <a:schemeClr val="tx1"/>
              </a:solidFill>
            </a:rPr>
            <a:t>To fill the programm</a:t>
          </a:r>
          <a:r>
            <a:rPr lang="de-DE" sz="1100" b="1" baseline="0">
              <a:solidFill>
                <a:schemeClr val="tx1"/>
              </a:solidFill>
            </a:rPr>
            <a:t> corectly:</a:t>
          </a:r>
        </a:p>
        <a:p>
          <a:pPr algn="l"/>
          <a:r>
            <a:rPr lang="de-DE" sz="1100" b="0" baseline="0">
              <a:solidFill>
                <a:schemeClr val="tx1"/>
              </a:solidFill>
            </a:rPr>
            <a:t>If the roof is tilted and cold: </a:t>
          </a:r>
        </a:p>
        <a:p>
          <a:pPr algn="l"/>
          <a:r>
            <a:rPr lang="de-DE" sz="1100" b="0" baseline="0">
              <a:solidFill>
                <a:schemeClr val="tx1"/>
              </a:solidFill>
            </a:rPr>
            <a:t>Roof = [int_finishing_ceiling, core_flat_roof_(without_seilings), insulation, flooring_attic]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 baseline="0">
              <a:solidFill>
                <a:schemeClr val="tx1"/>
              </a:solidFill>
            </a:rPr>
            <a:t>Tilted_Roof = [empty_layer, load_bearing_construction_tilted_roof , empty_layer, roofing_finishing_(e.g._tiles) ]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de-DE" sz="1100" b="0" baseline="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baseline="0">
              <a:solidFill>
                <a:schemeClr val="tx1"/>
              </a:solidFill>
            </a:rPr>
            <a:t>If the roof is flat: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baseline="0">
              <a:solidFill>
                <a:schemeClr val="tx1"/>
              </a:solidFill>
            </a:rPr>
            <a:t>Roof = [int_finishing_ceiling, core_flat_roof, insulation, roof_ext_surface]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baseline="0">
              <a:solidFill>
                <a:schemeClr val="tx1"/>
              </a:solidFill>
            </a:rPr>
            <a:t>Tilted_Roof  = None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baseline="0">
              <a:solidFill>
                <a:schemeClr val="tx1"/>
              </a:solidFill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baseline="0">
              <a:solidFill>
                <a:schemeClr val="tx1"/>
              </a:solidFill>
            </a:rPr>
            <a:t>-&gt; Acutally no new design with a tilted roof </a:t>
          </a:r>
          <a:endParaRPr lang="de-DE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105440</xdr:colOff>
      <xdr:row>15</xdr:row>
      <xdr:rowOff>26639</xdr:rowOff>
    </xdr:from>
    <xdr:to>
      <xdr:col>4</xdr:col>
      <xdr:colOff>1233457</xdr:colOff>
      <xdr:row>27</xdr:row>
      <xdr:rowOff>77782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6D803FE-1A45-626F-5248-A6443E0A9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417" y="3127802"/>
          <a:ext cx="5115226" cy="25320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3C56-2675-2B4E-B8F9-70485DA6DD7A}">
  <dimension ref="A38:V53"/>
  <sheetViews>
    <sheetView tabSelected="1" topLeftCell="A4" zoomScale="75" workbookViewId="0">
      <selection activeCell="A28" sqref="A28"/>
    </sheetView>
  </sheetViews>
  <sheetFormatPr baseColWidth="10" defaultRowHeight="16" x14ac:dyDescent="0.2"/>
  <cols>
    <col min="1" max="1" width="49.1640625" customWidth="1"/>
    <col min="2" max="2" width="27.33203125" customWidth="1"/>
  </cols>
  <sheetData>
    <row r="38" spans="1:22" ht="27" x14ac:dyDescent="0.35">
      <c r="A38" s="57" t="s">
        <v>244</v>
      </c>
    </row>
    <row r="39" spans="1:22" s="1" customFormat="1" x14ac:dyDescent="0.2">
      <c r="A39" s="1" t="s">
        <v>2</v>
      </c>
      <c r="B39" s="1" t="s">
        <v>245</v>
      </c>
      <c r="C39" s="1" t="s">
        <v>4</v>
      </c>
      <c r="D39" s="2" t="s">
        <v>5</v>
      </c>
      <c r="E39" s="1" t="s">
        <v>6</v>
      </c>
      <c r="F39" s="1" t="s">
        <v>52</v>
      </c>
      <c r="G39" s="1" t="s">
        <v>53</v>
      </c>
      <c r="H39" s="3" t="s">
        <v>9</v>
      </c>
      <c r="I39" s="3" t="s">
        <v>10</v>
      </c>
      <c r="J39" s="3" t="s">
        <v>11</v>
      </c>
      <c r="K39" s="3" t="s">
        <v>12</v>
      </c>
      <c r="L39" s="4" t="s">
        <v>13</v>
      </c>
      <c r="M39" s="4" t="s">
        <v>14</v>
      </c>
      <c r="N39" s="4" t="s">
        <v>54</v>
      </c>
      <c r="O39" s="3" t="s">
        <v>16</v>
      </c>
      <c r="P39" s="1" t="s">
        <v>17</v>
      </c>
      <c r="Q39" s="1" t="s">
        <v>55</v>
      </c>
      <c r="R39" s="5" t="s">
        <v>19</v>
      </c>
      <c r="S39" s="1" t="s">
        <v>20</v>
      </c>
      <c r="T39" s="1" t="s">
        <v>21</v>
      </c>
      <c r="U39" s="1" t="s">
        <v>22</v>
      </c>
      <c r="V39" s="1" t="s">
        <v>23</v>
      </c>
    </row>
    <row r="40" spans="1:22" x14ac:dyDescent="0.2">
      <c r="C40" t="s">
        <v>24</v>
      </c>
      <c r="D40" s="6" t="s">
        <v>25</v>
      </c>
      <c r="E40" t="s">
        <v>26</v>
      </c>
      <c r="F40" t="s">
        <v>27</v>
      </c>
      <c r="H40" t="s">
        <v>28</v>
      </c>
      <c r="I40" t="s">
        <v>28</v>
      </c>
      <c r="J40" s="7" t="s">
        <v>29</v>
      </c>
      <c r="K40" s="7" t="s">
        <v>30</v>
      </c>
      <c r="L40" s="8" t="s">
        <v>31</v>
      </c>
      <c r="M40" s="8" t="s">
        <v>31</v>
      </c>
      <c r="N40" s="8" t="s">
        <v>32</v>
      </c>
      <c r="O40" s="7" t="s">
        <v>31</v>
      </c>
      <c r="P40" t="s">
        <v>33</v>
      </c>
      <c r="Q40" t="s">
        <v>33</v>
      </c>
      <c r="R40" s="9" t="s">
        <v>34</v>
      </c>
      <c r="S40" t="s">
        <v>35</v>
      </c>
    </row>
    <row r="41" spans="1:22" x14ac:dyDescent="0.2">
      <c r="D41" s="6"/>
      <c r="J41" s="7"/>
      <c r="K41" s="7"/>
      <c r="L41" s="8"/>
      <c r="M41" s="8"/>
      <c r="N41" s="8"/>
      <c r="O41" s="7"/>
      <c r="R41" s="9"/>
    </row>
    <row r="42" spans="1:22" s="10" customFormat="1" x14ac:dyDescent="0.2">
      <c r="A42" s="10" t="s">
        <v>2</v>
      </c>
      <c r="B42" s="10" t="s">
        <v>245</v>
      </c>
      <c r="C42" s="10" t="s">
        <v>4</v>
      </c>
      <c r="D42" s="10" t="s">
        <v>5</v>
      </c>
      <c r="E42" s="10" t="s">
        <v>6</v>
      </c>
      <c r="F42" s="10" t="s">
        <v>7</v>
      </c>
      <c r="G42" s="10" t="s">
        <v>8</v>
      </c>
      <c r="H42" s="11" t="s">
        <v>9</v>
      </c>
      <c r="I42" s="11" t="s">
        <v>10</v>
      </c>
      <c r="J42" s="11" t="s">
        <v>11</v>
      </c>
      <c r="K42" s="11" t="s">
        <v>12</v>
      </c>
      <c r="L42" s="11" t="s">
        <v>13</v>
      </c>
      <c r="M42" s="11" t="s">
        <v>14</v>
      </c>
      <c r="N42" s="11" t="s">
        <v>15</v>
      </c>
      <c r="O42" s="11" t="s">
        <v>16</v>
      </c>
      <c r="P42" s="10" t="s">
        <v>17</v>
      </c>
      <c r="Q42" s="10" t="s">
        <v>18</v>
      </c>
      <c r="R42" s="10" t="s">
        <v>19</v>
      </c>
      <c r="S42" s="10" t="s">
        <v>20</v>
      </c>
      <c r="T42" s="10" t="s">
        <v>21</v>
      </c>
      <c r="U42" s="10" t="s">
        <v>22</v>
      </c>
      <c r="V42" s="10" t="s">
        <v>23</v>
      </c>
    </row>
    <row r="43" spans="1:22" s="12" customFormat="1" x14ac:dyDescent="0.2">
      <c r="C43" s="12" t="s">
        <v>24</v>
      </c>
      <c r="D43" s="12" t="s">
        <v>25</v>
      </c>
      <c r="E43" s="12" t="s">
        <v>26</v>
      </c>
      <c r="F43" s="12" t="s">
        <v>27</v>
      </c>
      <c r="H43" s="12" t="s">
        <v>28</v>
      </c>
      <c r="I43" s="12" t="s">
        <v>28</v>
      </c>
      <c r="J43" s="13" t="s">
        <v>29</v>
      </c>
      <c r="K43" s="13" t="s">
        <v>30</v>
      </c>
      <c r="L43" s="12" t="s">
        <v>31</v>
      </c>
      <c r="M43" s="12" t="s">
        <v>31</v>
      </c>
      <c r="N43" s="12" t="s">
        <v>32</v>
      </c>
      <c r="O43" s="13" t="s">
        <v>31</v>
      </c>
      <c r="P43" s="12" t="s">
        <v>33</v>
      </c>
      <c r="Q43" s="12" t="s">
        <v>33</v>
      </c>
      <c r="R43" s="12" t="s">
        <v>34</v>
      </c>
      <c r="S43" s="12" t="s">
        <v>35</v>
      </c>
    </row>
    <row r="44" spans="1:22" s="15" customFormat="1" x14ac:dyDescent="0.2">
      <c r="A44" s="15" t="s">
        <v>246</v>
      </c>
      <c r="B44" s="15" t="s">
        <v>248</v>
      </c>
      <c r="C44" s="15">
        <v>450</v>
      </c>
      <c r="D44" s="15">
        <f>0.2/450</f>
        <v>4.4444444444444447E-4</v>
      </c>
      <c r="F44" s="15">
        <f>10^100</f>
        <v>1E+100</v>
      </c>
      <c r="H44" s="58">
        <v>2.14</v>
      </c>
      <c r="I44" s="58">
        <v>1.9099999999999999E-2</v>
      </c>
      <c r="J44" s="58">
        <v>0</v>
      </c>
      <c r="K44" s="15">
        <f t="shared" ref="K44:K45" si="0">J44*3.66</f>
        <v>0</v>
      </c>
      <c r="L44" s="15">
        <f t="shared" ref="L44:L45" si="1">H44*D44*C44</f>
        <v>0.42800000000000005</v>
      </c>
      <c r="M44" s="15">
        <f t="shared" ref="M44:M45" si="2">C44*D44*I44</f>
        <v>3.82E-3</v>
      </c>
      <c r="N44" s="15">
        <f t="shared" ref="N44:N45" si="3">C44*D44*K44</f>
        <v>0</v>
      </c>
      <c r="T44" s="15" t="s">
        <v>247</v>
      </c>
      <c r="U44" s="15" t="s">
        <v>249</v>
      </c>
    </row>
    <row r="45" spans="1:22" s="15" customFormat="1" x14ac:dyDescent="0.2">
      <c r="A45" s="15" t="s">
        <v>45</v>
      </c>
      <c r="B45" s="15" t="s">
        <v>250</v>
      </c>
      <c r="C45" s="36">
        <v>1540</v>
      </c>
      <c r="D45" s="15">
        <f>0.003-D44</f>
        <v>2.5555555555555557E-3</v>
      </c>
      <c r="E45" s="15">
        <v>0.7</v>
      </c>
      <c r="F45" s="15">
        <f t="shared" ref="F45" si="4">E45/D45</f>
        <v>273.91304347826082</v>
      </c>
      <c r="H45" s="38">
        <v>0.95699999999999996</v>
      </c>
      <c r="I45" s="31">
        <v>1.2699999999999999E-2</v>
      </c>
      <c r="J45" s="32">
        <v>0</v>
      </c>
      <c r="K45" s="15">
        <f t="shared" si="0"/>
        <v>0</v>
      </c>
      <c r="L45" s="15">
        <f t="shared" si="1"/>
        <v>3.7663266666666666</v>
      </c>
      <c r="M45" s="15">
        <f t="shared" si="2"/>
        <v>4.9981555555555557E-2</v>
      </c>
      <c r="N45" s="15">
        <f t="shared" si="3"/>
        <v>0</v>
      </c>
    </row>
    <row r="46" spans="1:22" s="17" customFormat="1" ht="17" thickBot="1" x14ac:dyDescent="0.25">
      <c r="A46" s="17" t="s">
        <v>252</v>
      </c>
      <c r="B46" s="17" t="s">
        <v>251</v>
      </c>
      <c r="F46" s="17" cm="1">
        <f t="array" ref="F46">1/SUM(1/F45:F45)</f>
        <v>273.91304347826082</v>
      </c>
      <c r="L46" s="17">
        <f>SUM(L44:L45)</f>
        <v>4.194326666666667</v>
      </c>
      <c r="M46" s="17">
        <f t="shared" ref="M46:N46" si="5">SUM(M44:M45)</f>
        <v>5.3801555555555554E-2</v>
      </c>
      <c r="N46" s="17">
        <f t="shared" si="5"/>
        <v>0</v>
      </c>
      <c r="P46" s="17">
        <v>30</v>
      </c>
      <c r="S46" s="17" t="s">
        <v>36</v>
      </c>
    </row>
    <row r="47" spans="1:22" ht="17" thickTop="1" x14ac:dyDescent="0.2"/>
    <row r="48" spans="1:22" s="10" customFormat="1" x14ac:dyDescent="0.2">
      <c r="A48" s="10" t="s">
        <v>2</v>
      </c>
      <c r="B48" s="10" t="s">
        <v>245</v>
      </c>
      <c r="C48" s="10" t="s">
        <v>4</v>
      </c>
      <c r="D48" s="10" t="s">
        <v>5</v>
      </c>
      <c r="E48" s="10" t="s">
        <v>6</v>
      </c>
      <c r="F48" s="10" t="s">
        <v>7</v>
      </c>
      <c r="G48" s="10" t="s">
        <v>8</v>
      </c>
      <c r="H48" s="11" t="s">
        <v>9</v>
      </c>
      <c r="I48" s="11" t="s">
        <v>10</v>
      </c>
      <c r="J48" s="11" t="s">
        <v>11</v>
      </c>
      <c r="K48" s="11" t="s">
        <v>12</v>
      </c>
      <c r="L48" s="11" t="s">
        <v>13</v>
      </c>
      <c r="M48" s="11" t="s">
        <v>14</v>
      </c>
      <c r="N48" s="11" t="s">
        <v>15</v>
      </c>
      <c r="O48" s="11" t="s">
        <v>16</v>
      </c>
      <c r="P48" s="10" t="s">
        <v>17</v>
      </c>
      <c r="Q48" s="10" t="s">
        <v>18</v>
      </c>
      <c r="R48" s="10" t="s">
        <v>19</v>
      </c>
      <c r="S48" s="10" t="s">
        <v>20</v>
      </c>
      <c r="T48" s="10" t="s">
        <v>21</v>
      </c>
      <c r="U48" s="10" t="s">
        <v>22</v>
      </c>
      <c r="V48" s="10" t="s">
        <v>23</v>
      </c>
    </row>
    <row r="49" spans="1:21" s="12" customFormat="1" x14ac:dyDescent="0.2">
      <c r="C49" s="12" t="s">
        <v>24</v>
      </c>
      <c r="D49" s="12" t="s">
        <v>25</v>
      </c>
      <c r="E49" s="12" t="s">
        <v>26</v>
      </c>
      <c r="F49" s="12" t="s">
        <v>27</v>
      </c>
      <c r="H49" s="12" t="s">
        <v>28</v>
      </c>
      <c r="I49" s="12" t="s">
        <v>28</v>
      </c>
      <c r="J49" s="13" t="s">
        <v>29</v>
      </c>
      <c r="K49" s="13" t="s">
        <v>30</v>
      </c>
      <c r="L49" s="12" t="s">
        <v>31</v>
      </c>
      <c r="M49" s="12" t="s">
        <v>31</v>
      </c>
      <c r="N49" s="12" t="s">
        <v>32</v>
      </c>
      <c r="O49" s="13" t="s">
        <v>31</v>
      </c>
      <c r="P49" s="12" t="s">
        <v>33</v>
      </c>
      <c r="Q49" s="12" t="s">
        <v>33</v>
      </c>
      <c r="R49" s="12" t="s">
        <v>34</v>
      </c>
      <c r="S49" s="12" t="s">
        <v>35</v>
      </c>
    </row>
    <row r="50" spans="1:21" s="15" customFormat="1" x14ac:dyDescent="0.2">
      <c r="A50" s="15" t="s">
        <v>246</v>
      </c>
      <c r="B50" s="15" t="s">
        <v>248</v>
      </c>
      <c r="C50" s="15">
        <v>450</v>
      </c>
      <c r="D50" s="15">
        <f>0.2/450</f>
        <v>4.4444444444444447E-4</v>
      </c>
      <c r="F50" s="15">
        <f>10^100</f>
        <v>1E+100</v>
      </c>
      <c r="H50" s="58">
        <v>2.14</v>
      </c>
      <c r="I50" s="58">
        <v>1.9099999999999999E-2</v>
      </c>
      <c r="J50" s="58">
        <v>0</v>
      </c>
      <c r="K50" s="15">
        <f t="shared" ref="K50:K51" si="6">J50*3.66</f>
        <v>0</v>
      </c>
      <c r="L50" s="15">
        <f t="shared" ref="L50:L51" si="7">H50*D50*C50</f>
        <v>0.42800000000000005</v>
      </c>
      <c r="M50" s="15">
        <f t="shared" ref="M50:M51" si="8">C50*D50*I50</f>
        <v>3.82E-3</v>
      </c>
      <c r="N50" s="15">
        <f t="shared" ref="N50:N51" si="9">C50*D50*K50</f>
        <v>0</v>
      </c>
      <c r="T50" s="15" t="s">
        <v>247</v>
      </c>
      <c r="U50" s="15" t="s">
        <v>249</v>
      </c>
    </row>
    <row r="51" spans="1:21" s="15" customFormat="1" x14ac:dyDescent="0.2">
      <c r="A51" s="15" t="s">
        <v>221</v>
      </c>
      <c r="B51" s="35" t="s">
        <v>220</v>
      </c>
      <c r="C51" s="15">
        <v>1100</v>
      </c>
      <c r="D51" s="6">
        <f>0.003-D50</f>
        <v>2.5555555555555557E-3</v>
      </c>
      <c r="E51" s="15">
        <v>0.7</v>
      </c>
      <c r="F51" s="15">
        <f>E51/D51</f>
        <v>273.91304347826082</v>
      </c>
      <c r="H51" s="54">
        <v>0.14000000000000001</v>
      </c>
      <c r="I51" s="55">
        <v>1.2699999999999999E-2</v>
      </c>
      <c r="J51" s="53">
        <v>0</v>
      </c>
      <c r="K51" s="15">
        <f t="shared" si="6"/>
        <v>0</v>
      </c>
      <c r="L51" s="8">
        <f t="shared" si="7"/>
        <v>0.3935555555555556</v>
      </c>
      <c r="M51" s="8">
        <f t="shared" si="8"/>
        <v>3.5701111111111114E-2</v>
      </c>
      <c r="N51" s="8">
        <f t="shared" si="9"/>
        <v>0</v>
      </c>
    </row>
    <row r="52" spans="1:21" s="17" customFormat="1" ht="17" thickBot="1" x14ac:dyDescent="0.25">
      <c r="A52" s="17" t="s">
        <v>253</v>
      </c>
      <c r="B52" s="17" t="s">
        <v>254</v>
      </c>
      <c r="F52" s="17" cm="1">
        <f t="array" ref="F52">1/SUM(1/F51:F51)</f>
        <v>273.91304347826082</v>
      </c>
      <c r="L52" s="17">
        <f>SUM(L50:L51)</f>
        <v>0.82155555555555559</v>
      </c>
      <c r="M52" s="17">
        <f t="shared" ref="M52" si="10">SUM(M50:M51)</f>
        <v>3.9521111111111111E-2</v>
      </c>
      <c r="N52" s="17">
        <f t="shared" ref="N52" si="11">SUM(N50:N51)</f>
        <v>0</v>
      </c>
      <c r="P52" s="17">
        <v>30</v>
      </c>
      <c r="S52" s="17" t="s">
        <v>36</v>
      </c>
    </row>
    <row r="53" spans="1:21" ht="17" thickTop="1" x14ac:dyDescent="0.2"/>
  </sheetData>
  <conditionalFormatting sqref="H45:J45">
    <cfRule type="cellIs" dxfId="672" priority="21" operator="equal">
      <formula>0</formula>
    </cfRule>
    <cfRule type="cellIs" dxfId="671" priority="22" operator="greaterThan">
      <formula>100</formula>
    </cfRule>
    <cfRule type="cellIs" dxfId="670" priority="23" operator="between">
      <formula>10</formula>
      <formula>100</formula>
    </cfRule>
    <cfRule type="cellIs" dxfId="669" priority="24" operator="between">
      <formula>1</formula>
      <formula>10</formula>
    </cfRule>
    <cfRule type="cellIs" dxfId="668" priority="25" operator="between">
      <formula>0.00000001</formula>
      <formula>1</formula>
    </cfRule>
  </conditionalFormatting>
  <conditionalFormatting sqref="N44:N45">
    <cfRule type="cellIs" dxfId="667" priority="26" operator="equal">
      <formula>0</formula>
    </cfRule>
    <cfRule type="cellIs" dxfId="666" priority="27" operator="greaterThan">
      <formula>100</formula>
    </cfRule>
    <cfRule type="cellIs" dxfId="665" priority="28" operator="between">
      <formula>10</formula>
      <formula>100</formula>
    </cfRule>
    <cfRule type="cellIs" dxfId="664" priority="29" operator="between">
      <formula>1</formula>
      <formula>10</formula>
    </cfRule>
    <cfRule type="cellIs" dxfId="663" priority="30" operator="between">
      <formula>0.00000001</formula>
      <formula>1</formula>
    </cfRule>
  </conditionalFormatting>
  <conditionalFormatting sqref="N50:N51">
    <cfRule type="cellIs" dxfId="662" priority="1" operator="equal">
      <formula>0</formula>
    </cfRule>
    <cfRule type="cellIs" dxfId="661" priority="2" operator="greaterThan">
      <formula>100</formula>
    </cfRule>
    <cfRule type="cellIs" dxfId="660" priority="3" operator="between">
      <formula>10</formula>
      <formula>100</formula>
    </cfRule>
    <cfRule type="cellIs" dxfId="659" priority="4" operator="between">
      <formula>1</formula>
      <formula>10</formula>
    </cfRule>
    <cfRule type="cellIs" dxfId="658" priority="5" operator="between">
      <formula>0.00000001</formula>
      <formula>1</formula>
    </cfRule>
  </conditionalFormatting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6425-EBCD-CF44-B232-06BCFFC0052F}">
  <dimension ref="A1:Y53"/>
  <sheetViews>
    <sheetView topLeftCell="A16" zoomScale="81" zoomScaleNormal="66" workbookViewId="0">
      <selection activeCell="G52" sqref="G52"/>
    </sheetView>
  </sheetViews>
  <sheetFormatPr baseColWidth="10" defaultRowHeight="16" x14ac:dyDescent="0.2"/>
  <cols>
    <col min="1" max="1" width="28.83203125" customWidth="1"/>
    <col min="3" max="3" width="30.1640625" customWidth="1"/>
    <col min="4" max="4" width="31.5" customWidth="1"/>
    <col min="7" max="7" width="10.83203125" style="6"/>
    <col min="15" max="17" width="10.83203125" style="8"/>
    <col min="20" max="20" width="14.33203125" customWidth="1"/>
    <col min="21" max="21" width="10.83203125" style="9"/>
  </cols>
  <sheetData>
    <row r="1" spans="1:25" s="1" customFormat="1" x14ac:dyDescent="0.2">
      <c r="A1" s="1" t="s">
        <v>0</v>
      </c>
      <c r="B1" s="1" t="s">
        <v>51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52</v>
      </c>
      <c r="J1" s="1" t="s">
        <v>53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4" t="s">
        <v>54</v>
      </c>
      <c r="R1" s="3" t="s">
        <v>16</v>
      </c>
      <c r="S1" s="1" t="s">
        <v>17</v>
      </c>
      <c r="T1" s="1" t="s">
        <v>55</v>
      </c>
      <c r="U1" s="5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F2" t="s">
        <v>24</v>
      </c>
      <c r="G2" s="6" t="s">
        <v>25</v>
      </c>
      <c r="H2" t="s">
        <v>26</v>
      </c>
      <c r="I2" t="s">
        <v>27</v>
      </c>
      <c r="K2" t="s">
        <v>28</v>
      </c>
      <c r="L2" t="s">
        <v>28</v>
      </c>
      <c r="M2" s="7" t="s">
        <v>29</v>
      </c>
      <c r="N2" s="7" t="s">
        <v>30</v>
      </c>
      <c r="O2" s="8" t="s">
        <v>31</v>
      </c>
      <c r="P2" s="8" t="s">
        <v>31</v>
      </c>
      <c r="Q2" s="8" t="s">
        <v>32</v>
      </c>
      <c r="R2" s="7" t="s">
        <v>31</v>
      </c>
      <c r="S2" t="s">
        <v>33</v>
      </c>
      <c r="T2" t="s">
        <v>33</v>
      </c>
      <c r="U2" s="9" t="s">
        <v>34</v>
      </c>
      <c r="V2" t="s">
        <v>35</v>
      </c>
    </row>
    <row r="3" spans="1:25" x14ac:dyDescent="0.2">
      <c r="M3" s="7"/>
      <c r="N3" s="7"/>
      <c r="R3" s="7"/>
    </row>
    <row r="4" spans="1:25" s="10" customFormat="1" x14ac:dyDescent="0.2"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1" t="s">
        <v>9</v>
      </c>
      <c r="L4" s="11" t="s">
        <v>10</v>
      </c>
      <c r="M4" s="11" t="s">
        <v>11</v>
      </c>
      <c r="N4" s="11" t="s">
        <v>12</v>
      </c>
      <c r="O4" s="11" t="s">
        <v>13</v>
      </c>
      <c r="P4" s="11" t="s">
        <v>14</v>
      </c>
      <c r="Q4" s="11" t="s">
        <v>15</v>
      </c>
      <c r="R4" s="11" t="s">
        <v>16</v>
      </c>
      <c r="S4" s="10" t="s">
        <v>17</v>
      </c>
      <c r="T4" s="10" t="s">
        <v>18</v>
      </c>
      <c r="U4" s="10" t="s">
        <v>19</v>
      </c>
      <c r="V4" s="10" t="s">
        <v>20</v>
      </c>
      <c r="W4" s="10" t="s">
        <v>21</v>
      </c>
      <c r="X4" s="10" t="s">
        <v>22</v>
      </c>
      <c r="Y4" s="10" t="s">
        <v>23</v>
      </c>
    </row>
    <row r="5" spans="1:25" s="12" customFormat="1" x14ac:dyDescent="0.2">
      <c r="F5" s="12" t="s">
        <v>24</v>
      </c>
      <c r="G5" s="12" t="s">
        <v>25</v>
      </c>
      <c r="H5" s="12" t="s">
        <v>26</v>
      </c>
      <c r="I5" s="12" t="s">
        <v>27</v>
      </c>
      <c r="K5" s="12" t="s">
        <v>28</v>
      </c>
      <c r="L5" s="12" t="s">
        <v>28</v>
      </c>
      <c r="M5" s="13" t="s">
        <v>29</v>
      </c>
      <c r="N5" s="13" t="s">
        <v>30</v>
      </c>
      <c r="O5" s="12" t="s">
        <v>31</v>
      </c>
      <c r="P5" s="12" t="s">
        <v>31</v>
      </c>
      <c r="Q5" s="12" t="s">
        <v>32</v>
      </c>
      <c r="R5" s="13" t="s">
        <v>31</v>
      </c>
      <c r="S5" s="12" t="s">
        <v>33</v>
      </c>
      <c r="T5" s="12" t="s">
        <v>33</v>
      </c>
      <c r="U5" s="12" t="s">
        <v>34</v>
      </c>
      <c r="V5" s="12" t="s">
        <v>35</v>
      </c>
    </row>
    <row r="6" spans="1:25" s="15" customFormat="1" x14ac:dyDescent="0.2">
      <c r="D6" s="15" t="s">
        <v>252</v>
      </c>
      <c r="E6" s="15" t="s">
        <v>251</v>
      </c>
      <c r="G6" s="15">
        <v>3.0000000000000001E-3</v>
      </c>
      <c r="I6" s="15">
        <v>273.91304347826082</v>
      </c>
      <c r="N6" s="15">
        <f>Q6*3.66</f>
        <v>0</v>
      </c>
      <c r="O6" s="59">
        <v>4.194326666666667</v>
      </c>
      <c r="P6" s="59">
        <v>5.3801555555555554E-2</v>
      </c>
      <c r="Q6" s="59">
        <v>0</v>
      </c>
      <c r="V6" s="15" t="s">
        <v>36</v>
      </c>
      <c r="X6" s="15" t="s">
        <v>255</v>
      </c>
    </row>
    <row r="7" spans="1:25" s="15" customFormat="1" x14ac:dyDescent="0.2">
      <c r="D7" s="15" t="s">
        <v>45</v>
      </c>
      <c r="E7" s="15">
        <v>4.0030000000000001</v>
      </c>
      <c r="F7" s="36">
        <v>1540</v>
      </c>
      <c r="G7" s="15">
        <v>2E-3</v>
      </c>
      <c r="H7" s="15">
        <v>0.7</v>
      </c>
      <c r="I7" s="15">
        <f t="shared" ref="I7" si="0">H7/G7</f>
        <v>349.99999999999994</v>
      </c>
      <c r="K7" s="38">
        <v>0.95699999999999996</v>
      </c>
      <c r="L7" s="31">
        <v>1.2699999999999999E-2</v>
      </c>
      <c r="M7" s="32">
        <v>0</v>
      </c>
      <c r="N7" s="15">
        <f t="shared" ref="N7" si="1">M7*3.66</f>
        <v>0</v>
      </c>
      <c r="O7" s="15">
        <f t="shared" ref="O7" si="2">K7*G7*F7</f>
        <v>2.9475599999999997</v>
      </c>
      <c r="P7" s="15">
        <f t="shared" ref="P7" si="3">F7*G7*L7</f>
        <v>3.9115999999999998E-2</v>
      </c>
      <c r="Q7" s="15">
        <f t="shared" ref="Q7" si="4">F7*G7*N7</f>
        <v>0</v>
      </c>
    </row>
    <row r="8" spans="1:25" s="17" customFormat="1" ht="17" thickBot="1" x14ac:dyDescent="0.25">
      <c r="A8" s="17" t="s">
        <v>44</v>
      </c>
      <c r="B8" s="17" t="s">
        <v>332</v>
      </c>
      <c r="I8" s="17" cm="1">
        <f t="array" ref="I8">1/SUM(1/I6:I7)</f>
        <v>153.65853658536582</v>
      </c>
      <c r="O8" s="17">
        <f>SUM(O6:O7)</f>
        <v>7.1418866666666663</v>
      </c>
      <c r="P8" s="17">
        <f>SUM(P6:P7)</f>
        <v>9.2917555555555559E-2</v>
      </c>
      <c r="Q8" s="17">
        <f>SUM(Q6:Q7)</f>
        <v>0</v>
      </c>
      <c r="S8" s="17">
        <v>30</v>
      </c>
      <c r="V8" s="17" t="s">
        <v>36</v>
      </c>
      <c r="W8" s="17" t="s">
        <v>39</v>
      </c>
    </row>
    <row r="9" spans="1:25" ht="17" thickTop="1" x14ac:dyDescent="0.2"/>
    <row r="11" spans="1:25" s="10" customFormat="1" x14ac:dyDescent="0.2">
      <c r="D11" s="10" t="s">
        <v>2</v>
      </c>
      <c r="E11" s="10" t="s">
        <v>3</v>
      </c>
      <c r="F11" s="10" t="s">
        <v>4</v>
      </c>
      <c r="G11" s="10" t="s">
        <v>5</v>
      </c>
      <c r="H11" s="10" t="s">
        <v>6</v>
      </c>
      <c r="I11" s="10" t="s">
        <v>7</v>
      </c>
      <c r="J11" s="10" t="s">
        <v>8</v>
      </c>
      <c r="K11" s="11" t="s">
        <v>9</v>
      </c>
      <c r="L11" s="11" t="s">
        <v>10</v>
      </c>
      <c r="M11" s="11" t="s">
        <v>11</v>
      </c>
      <c r="N11" s="11" t="s">
        <v>12</v>
      </c>
      <c r="O11" s="11" t="s">
        <v>13</v>
      </c>
      <c r="P11" s="11" t="s">
        <v>14</v>
      </c>
      <c r="Q11" s="11" t="s">
        <v>15</v>
      </c>
      <c r="R11" s="11" t="s">
        <v>16</v>
      </c>
      <c r="S11" s="10" t="s">
        <v>17</v>
      </c>
      <c r="T11" s="10" t="s">
        <v>18</v>
      </c>
      <c r="U11" s="10" t="s">
        <v>19</v>
      </c>
      <c r="V11" s="10" t="s">
        <v>20</v>
      </c>
      <c r="W11" s="10" t="s">
        <v>21</v>
      </c>
      <c r="X11" s="10" t="s">
        <v>22</v>
      </c>
      <c r="Y11" s="10" t="s">
        <v>23</v>
      </c>
    </row>
    <row r="12" spans="1:25" s="12" customFormat="1" x14ac:dyDescent="0.2">
      <c r="F12" s="12" t="s">
        <v>24</v>
      </c>
      <c r="G12" s="12" t="s">
        <v>25</v>
      </c>
      <c r="H12" s="12" t="s">
        <v>26</v>
      </c>
      <c r="I12" s="12" t="s">
        <v>27</v>
      </c>
      <c r="K12" s="12" t="s">
        <v>28</v>
      </c>
      <c r="L12" s="12" t="s">
        <v>28</v>
      </c>
      <c r="M12" s="13" t="s">
        <v>29</v>
      </c>
      <c r="N12" s="13" t="s">
        <v>30</v>
      </c>
      <c r="O12" s="12" t="s">
        <v>31</v>
      </c>
      <c r="P12" s="12" t="s">
        <v>31</v>
      </c>
      <c r="Q12" s="12" t="s">
        <v>32</v>
      </c>
      <c r="R12" s="13" t="s">
        <v>31</v>
      </c>
      <c r="S12" s="12" t="s">
        <v>33</v>
      </c>
      <c r="T12" s="12" t="s">
        <v>33</v>
      </c>
      <c r="U12" s="12" t="s">
        <v>34</v>
      </c>
      <c r="V12" s="12" t="s">
        <v>35</v>
      </c>
    </row>
    <row r="13" spans="1:25" s="15" customFormat="1" x14ac:dyDescent="0.2">
      <c r="D13" s="15" t="s">
        <v>253</v>
      </c>
      <c r="E13" s="15" t="s">
        <v>254</v>
      </c>
      <c r="G13" s="6">
        <v>3.0000000000000001E-3</v>
      </c>
      <c r="I13" s="15">
        <v>273.91304347826082</v>
      </c>
      <c r="O13" s="59">
        <v>0.82155555555555559</v>
      </c>
      <c r="P13" s="59">
        <v>3.9521111111111111E-2</v>
      </c>
      <c r="Q13" s="59">
        <v>0</v>
      </c>
      <c r="V13" s="15" t="s">
        <v>36</v>
      </c>
      <c r="X13" s="15" t="s">
        <v>255</v>
      </c>
    </row>
    <row r="14" spans="1:25" s="15" customFormat="1" x14ac:dyDescent="0.2">
      <c r="D14" s="15" t="s">
        <v>221</v>
      </c>
      <c r="E14" s="35" t="s">
        <v>220</v>
      </c>
      <c r="F14" s="15">
        <v>1100</v>
      </c>
      <c r="G14" s="6">
        <v>8.9999999999999993E-3</v>
      </c>
      <c r="H14" s="15">
        <v>0.7</v>
      </c>
      <c r="I14" s="15">
        <f>H14/G14</f>
        <v>77.777777777777786</v>
      </c>
      <c r="K14" s="27">
        <v>0.13800000000000001</v>
      </c>
      <c r="L14" s="28">
        <v>1.2699999999999999E-2</v>
      </c>
      <c r="M14" s="29">
        <v>0</v>
      </c>
      <c r="N14" s="15">
        <f t="shared" ref="N14" si="5">M14*3.66</f>
        <v>0</v>
      </c>
      <c r="O14" s="8">
        <f t="shared" ref="O14" si="6">K14*G14*F14</f>
        <v>1.3662000000000001</v>
      </c>
      <c r="P14" s="8">
        <f t="shared" ref="P14" si="7">F14*G14*L14</f>
        <v>0.12572999999999998</v>
      </c>
      <c r="Q14" s="8">
        <f t="shared" ref="Q14" si="8">F14*G14*N14</f>
        <v>0</v>
      </c>
      <c r="U14" s="9"/>
    </row>
    <row r="15" spans="1:25" s="17" customFormat="1" ht="17" thickBot="1" x14ac:dyDescent="0.25">
      <c r="A15" s="17" t="s">
        <v>50</v>
      </c>
      <c r="B15" s="17" t="s">
        <v>332</v>
      </c>
      <c r="G15" s="17">
        <v>1.2E-2</v>
      </c>
      <c r="I15" s="17" cm="1">
        <f t="array" ref="I15">1/SUM(1/I13:I14)</f>
        <v>60.57692307692308</v>
      </c>
      <c r="O15" s="17">
        <f>SUM(O13:O14)</f>
        <v>2.1877555555555555</v>
      </c>
      <c r="P15" s="17">
        <f>SUM(P13:P14)</f>
        <v>0.1652511111111111</v>
      </c>
      <c r="Q15" s="17">
        <f>SUM(Q13:Q14)</f>
        <v>0</v>
      </c>
      <c r="S15" s="17">
        <v>30</v>
      </c>
      <c r="V15" s="17" t="s">
        <v>36</v>
      </c>
      <c r="W15" s="17" t="s">
        <v>256</v>
      </c>
    </row>
    <row r="16" spans="1:25" ht="17" thickTop="1" x14ac:dyDescent="0.2"/>
    <row r="18" spans="1:25" s="10" customFormat="1" x14ac:dyDescent="0.2">
      <c r="D18" s="10" t="s">
        <v>2</v>
      </c>
      <c r="E18" s="10" t="s">
        <v>3</v>
      </c>
      <c r="F18" s="10" t="s">
        <v>4</v>
      </c>
      <c r="G18" s="21" t="s">
        <v>5</v>
      </c>
      <c r="H18" s="10" t="s">
        <v>6</v>
      </c>
      <c r="I18" s="10" t="s">
        <v>7</v>
      </c>
      <c r="J18" s="10" t="s">
        <v>8</v>
      </c>
      <c r="K18" s="11" t="s">
        <v>9</v>
      </c>
      <c r="L18" s="11" t="s">
        <v>10</v>
      </c>
      <c r="M18" s="11" t="s">
        <v>11</v>
      </c>
      <c r="N18" s="11" t="s">
        <v>12</v>
      </c>
      <c r="O18" s="25" t="s">
        <v>13</v>
      </c>
      <c r="P18" s="25" t="s">
        <v>14</v>
      </c>
      <c r="Q18" s="25" t="s">
        <v>15</v>
      </c>
      <c r="R18" s="11" t="s">
        <v>16</v>
      </c>
      <c r="S18" s="10" t="s">
        <v>17</v>
      </c>
      <c r="T18" s="10" t="s">
        <v>18</v>
      </c>
      <c r="U18" s="23" t="s">
        <v>19</v>
      </c>
      <c r="V18" s="10" t="s">
        <v>20</v>
      </c>
      <c r="W18" s="10" t="s">
        <v>21</v>
      </c>
      <c r="X18" s="10" t="s">
        <v>22</v>
      </c>
      <c r="Y18" s="10" t="s">
        <v>23</v>
      </c>
    </row>
    <row r="19" spans="1:25" s="12" customFormat="1" x14ac:dyDescent="0.2">
      <c r="F19" s="12" t="s">
        <v>24</v>
      </c>
      <c r="G19" s="6" t="s">
        <v>25</v>
      </c>
      <c r="H19" s="12" t="s">
        <v>26</v>
      </c>
      <c r="I19" s="12" t="s">
        <v>27</v>
      </c>
      <c r="K19" s="12" t="s">
        <v>28</v>
      </c>
      <c r="L19" s="12" t="s">
        <v>28</v>
      </c>
      <c r="M19" s="13" t="s">
        <v>29</v>
      </c>
      <c r="N19" s="13" t="s">
        <v>30</v>
      </c>
      <c r="O19" s="8" t="s">
        <v>31</v>
      </c>
      <c r="P19" s="8" t="s">
        <v>31</v>
      </c>
      <c r="Q19" s="8" t="s">
        <v>32</v>
      </c>
      <c r="R19" s="13" t="s">
        <v>31</v>
      </c>
      <c r="S19" s="12" t="s">
        <v>33</v>
      </c>
      <c r="T19" s="12" t="s">
        <v>33</v>
      </c>
      <c r="U19" s="9" t="s">
        <v>34</v>
      </c>
      <c r="V19" s="12" t="s">
        <v>35</v>
      </c>
    </row>
    <row r="20" spans="1:25" s="15" customFormat="1" x14ac:dyDescent="0.2">
      <c r="D20" s="15" t="s">
        <v>41</v>
      </c>
      <c r="E20" s="15" t="s">
        <v>42</v>
      </c>
      <c r="F20" s="15">
        <v>1670</v>
      </c>
      <c r="G20" s="15">
        <v>3.0000000000000001E-3</v>
      </c>
      <c r="H20" s="15">
        <v>0.8</v>
      </c>
      <c r="I20" s="15">
        <f t="shared" ref="I20:I21" si="9">H20/G20</f>
        <v>266.66666666666669</v>
      </c>
      <c r="K20" s="30">
        <v>0.76400000000000001</v>
      </c>
      <c r="L20" s="31">
        <v>1.2699999999999999E-2</v>
      </c>
      <c r="M20" s="32">
        <v>0</v>
      </c>
      <c r="N20" s="15">
        <f t="shared" ref="N20:N21" si="10">M20*3.66</f>
        <v>0</v>
      </c>
      <c r="O20" s="15">
        <f>F20*G20*K20</f>
        <v>3.8276399999999997</v>
      </c>
      <c r="P20" s="15">
        <f>F20*G20*L20</f>
        <v>6.3626999999999989E-2</v>
      </c>
      <c r="Q20" s="15">
        <f t="shared" ref="Q20:Q21" si="11">F20*G20*N20</f>
        <v>0</v>
      </c>
      <c r="W20" s="15" t="s">
        <v>40</v>
      </c>
    </row>
    <row r="21" spans="1:25" s="15" customFormat="1" x14ac:dyDescent="0.2">
      <c r="D21" s="15" t="s">
        <v>43</v>
      </c>
      <c r="E21" s="15" t="s">
        <v>38</v>
      </c>
      <c r="F21" s="15">
        <v>30</v>
      </c>
      <c r="G21" s="15">
        <v>0.08</v>
      </c>
      <c r="H21" s="15">
        <v>3.5999999999999997E-2</v>
      </c>
      <c r="I21" s="15">
        <f t="shared" si="9"/>
        <v>0.44999999999999996</v>
      </c>
      <c r="K21" s="33">
        <v>11.3</v>
      </c>
      <c r="L21" s="34">
        <v>3.09</v>
      </c>
      <c r="M21" s="34">
        <v>0</v>
      </c>
      <c r="N21" s="15">
        <f t="shared" si="10"/>
        <v>0</v>
      </c>
      <c r="O21" s="15">
        <f>F21*G21*K21</f>
        <v>27.12</v>
      </c>
      <c r="P21" s="16">
        <f t="shared" ref="P21" si="12">F21*G21*L21</f>
        <v>7.4159999999999995</v>
      </c>
      <c r="Q21" s="15">
        <f t="shared" si="11"/>
        <v>0</v>
      </c>
      <c r="W21" s="15" t="s">
        <v>39</v>
      </c>
    </row>
    <row r="22" spans="1:25" s="17" customFormat="1" ht="17" thickBot="1" x14ac:dyDescent="0.25">
      <c r="A22" s="17" t="s">
        <v>37</v>
      </c>
      <c r="B22" s="17" t="s">
        <v>199</v>
      </c>
      <c r="I22" s="17" cm="1">
        <f t="array" ref="I22">1/SUM(1/I20:I21)</f>
        <v>0.44924190428651645</v>
      </c>
      <c r="O22" s="17">
        <f>SUM(O20:O21)</f>
        <v>30.94764</v>
      </c>
      <c r="P22" s="17">
        <f>SUM(P20:P21)</f>
        <v>7.4796269999999998</v>
      </c>
      <c r="Q22" s="17">
        <f>SUM(Q20:Q21)</f>
        <v>0</v>
      </c>
      <c r="S22" s="17">
        <v>30</v>
      </c>
      <c r="V22" s="17" t="s">
        <v>36</v>
      </c>
      <c r="W22" s="17" t="s">
        <v>39</v>
      </c>
    </row>
    <row r="23" spans="1:25" ht="17" thickTop="1" x14ac:dyDescent="0.2"/>
    <row r="24" spans="1:25" s="10" customFormat="1" x14ac:dyDescent="0.2">
      <c r="D24" s="10" t="s">
        <v>2</v>
      </c>
      <c r="E24" s="10" t="s">
        <v>3</v>
      </c>
      <c r="F24" s="10" t="s">
        <v>4</v>
      </c>
      <c r="G24" s="21" t="s">
        <v>5</v>
      </c>
      <c r="H24" s="10" t="s">
        <v>6</v>
      </c>
      <c r="I24" s="10" t="s">
        <v>7</v>
      </c>
      <c r="J24" s="10" t="s">
        <v>8</v>
      </c>
      <c r="K24" s="11" t="s">
        <v>9</v>
      </c>
      <c r="L24" s="11" t="s">
        <v>10</v>
      </c>
      <c r="M24" s="11" t="s">
        <v>11</v>
      </c>
      <c r="N24" s="11" t="s">
        <v>12</v>
      </c>
      <c r="O24" s="25" t="s">
        <v>13</v>
      </c>
      <c r="P24" s="25" t="s">
        <v>14</v>
      </c>
      <c r="Q24" s="25" t="s">
        <v>15</v>
      </c>
      <c r="R24" s="11" t="s">
        <v>16</v>
      </c>
      <c r="S24" s="10" t="s">
        <v>17</v>
      </c>
      <c r="T24" s="10" t="s">
        <v>18</v>
      </c>
      <c r="U24" s="23" t="s">
        <v>19</v>
      </c>
      <c r="V24" s="10" t="s">
        <v>20</v>
      </c>
      <c r="W24" s="10" t="s">
        <v>21</v>
      </c>
      <c r="X24" s="10" t="s">
        <v>22</v>
      </c>
      <c r="Y24" s="10" t="s">
        <v>23</v>
      </c>
    </row>
    <row r="25" spans="1:25" s="12" customFormat="1" x14ac:dyDescent="0.2">
      <c r="F25" s="12" t="s">
        <v>24</v>
      </c>
      <c r="G25" s="6" t="s">
        <v>25</v>
      </c>
      <c r="H25" s="12" t="s">
        <v>26</v>
      </c>
      <c r="I25" s="12" t="s">
        <v>27</v>
      </c>
      <c r="K25" s="12" t="s">
        <v>28</v>
      </c>
      <c r="L25" s="12" t="s">
        <v>28</v>
      </c>
      <c r="M25" s="13" t="s">
        <v>29</v>
      </c>
      <c r="N25" s="13" t="s">
        <v>30</v>
      </c>
      <c r="O25" s="8" t="s">
        <v>31</v>
      </c>
      <c r="P25" s="8" t="s">
        <v>31</v>
      </c>
      <c r="Q25" s="8" t="s">
        <v>32</v>
      </c>
      <c r="R25" s="13" t="s">
        <v>31</v>
      </c>
      <c r="S25" s="12" t="s">
        <v>33</v>
      </c>
      <c r="T25" s="12" t="s">
        <v>33</v>
      </c>
      <c r="U25" s="9" t="s">
        <v>34</v>
      </c>
      <c r="V25" s="12" t="s">
        <v>35</v>
      </c>
    </row>
    <row r="26" spans="1:25" s="15" customFormat="1" x14ac:dyDescent="0.2">
      <c r="D26" s="15" t="s">
        <v>41</v>
      </c>
      <c r="E26" s="15" t="s">
        <v>42</v>
      </c>
      <c r="F26" s="15">
        <v>1670</v>
      </c>
      <c r="G26" s="15">
        <v>3.0000000000000001E-3</v>
      </c>
      <c r="H26" s="15">
        <v>0.8</v>
      </c>
      <c r="I26" s="15">
        <f t="shared" ref="I26:I27" si="13">H26/G26</f>
        <v>266.66666666666669</v>
      </c>
      <c r="K26" s="30">
        <v>0.76400000000000001</v>
      </c>
      <c r="L26" s="31">
        <v>1.2699999999999999E-2</v>
      </c>
      <c r="M26" s="32">
        <v>0</v>
      </c>
      <c r="N26" s="15">
        <f t="shared" ref="N26:N27" si="14">M26*3.66</f>
        <v>0</v>
      </c>
      <c r="O26" s="15">
        <f>F26*G26*K26</f>
        <v>3.8276399999999997</v>
      </c>
      <c r="P26" s="15">
        <f>F26*G26*L26</f>
        <v>6.3626999999999989E-2</v>
      </c>
      <c r="Q26" s="15">
        <f t="shared" ref="Q26:Q27" si="15">F26*G26*N26</f>
        <v>0</v>
      </c>
      <c r="W26" s="15" t="s">
        <v>40</v>
      </c>
    </row>
    <row r="27" spans="1:25" s="15" customFormat="1" x14ac:dyDescent="0.2">
      <c r="D27" s="15" t="s">
        <v>43</v>
      </c>
      <c r="E27" s="15" t="s">
        <v>38</v>
      </c>
      <c r="F27" s="15">
        <v>30</v>
      </c>
      <c r="G27" s="15">
        <v>0.16</v>
      </c>
      <c r="H27" s="15">
        <v>3.5999999999999997E-2</v>
      </c>
      <c r="I27" s="15">
        <f t="shared" si="13"/>
        <v>0.22499999999999998</v>
      </c>
      <c r="K27" s="33">
        <v>11.3</v>
      </c>
      <c r="L27" s="34">
        <v>3.09</v>
      </c>
      <c r="M27" s="34">
        <v>0</v>
      </c>
      <c r="N27" s="15">
        <f t="shared" si="14"/>
        <v>0</v>
      </c>
      <c r="O27" s="15">
        <f>F27*G27*K27</f>
        <v>54.24</v>
      </c>
      <c r="P27" s="16">
        <f t="shared" ref="P27" si="16">F27*G27*L27</f>
        <v>14.831999999999999</v>
      </c>
      <c r="Q27" s="15">
        <f t="shared" si="15"/>
        <v>0</v>
      </c>
      <c r="W27" s="15" t="s">
        <v>39</v>
      </c>
    </row>
    <row r="28" spans="1:25" s="17" customFormat="1" ht="17" thickBot="1" x14ac:dyDescent="0.25">
      <c r="A28" s="17" t="s">
        <v>46</v>
      </c>
      <c r="B28" s="17" t="s">
        <v>199</v>
      </c>
      <c r="I28" s="17" cm="1">
        <f t="array" ref="I28">1/SUM(1/I26:I27)</f>
        <v>0.22481031629562556</v>
      </c>
      <c r="O28" s="17">
        <f>SUM(O26:O27)</f>
        <v>58.067640000000004</v>
      </c>
      <c r="P28" s="17">
        <f>SUM(P26:P27)</f>
        <v>14.895626999999999</v>
      </c>
      <c r="Q28" s="17">
        <f>SUM(Q26:Q27)</f>
        <v>0</v>
      </c>
      <c r="S28" s="17">
        <v>30</v>
      </c>
      <c r="V28" s="17" t="s">
        <v>36</v>
      </c>
      <c r="W28" s="17" t="s">
        <v>39</v>
      </c>
    </row>
    <row r="29" spans="1:25" ht="17" thickTop="1" x14ac:dyDescent="0.2"/>
    <row r="30" spans="1:25" s="10" customFormat="1" x14ac:dyDescent="0.2">
      <c r="D30" s="10" t="s">
        <v>2</v>
      </c>
      <c r="E30" s="10" t="s">
        <v>3</v>
      </c>
      <c r="F30" s="10" t="s">
        <v>4</v>
      </c>
      <c r="G30" s="21" t="s">
        <v>5</v>
      </c>
      <c r="H30" s="10" t="s">
        <v>6</v>
      </c>
      <c r="I30" s="10" t="s">
        <v>7</v>
      </c>
      <c r="J30" s="10" t="s">
        <v>8</v>
      </c>
      <c r="K30" s="11" t="s">
        <v>9</v>
      </c>
      <c r="L30" s="11" t="s">
        <v>10</v>
      </c>
      <c r="M30" s="11" t="s">
        <v>11</v>
      </c>
      <c r="N30" s="11" t="s">
        <v>12</v>
      </c>
      <c r="O30" s="25" t="s">
        <v>13</v>
      </c>
      <c r="P30" s="25" t="s">
        <v>14</v>
      </c>
      <c r="Q30" s="25" t="s">
        <v>15</v>
      </c>
      <c r="R30" s="11" t="s">
        <v>16</v>
      </c>
      <c r="S30" s="10" t="s">
        <v>17</v>
      </c>
      <c r="T30" s="10" t="s">
        <v>18</v>
      </c>
      <c r="U30" s="23" t="s">
        <v>19</v>
      </c>
      <c r="V30" s="10" t="s">
        <v>20</v>
      </c>
      <c r="W30" s="10" t="s">
        <v>21</v>
      </c>
      <c r="X30" s="10" t="s">
        <v>22</v>
      </c>
      <c r="Y30" s="10" t="s">
        <v>23</v>
      </c>
    </row>
    <row r="31" spans="1:25" s="12" customFormat="1" x14ac:dyDescent="0.2">
      <c r="F31" s="12" t="s">
        <v>24</v>
      </c>
      <c r="G31" s="6" t="s">
        <v>25</v>
      </c>
      <c r="H31" s="12" t="s">
        <v>26</v>
      </c>
      <c r="I31" s="12" t="s">
        <v>27</v>
      </c>
      <c r="K31" s="12" t="s">
        <v>28</v>
      </c>
      <c r="L31" s="12" t="s">
        <v>28</v>
      </c>
      <c r="M31" s="13" t="s">
        <v>29</v>
      </c>
      <c r="N31" s="13" t="s">
        <v>30</v>
      </c>
      <c r="O31" s="8" t="s">
        <v>31</v>
      </c>
      <c r="P31" s="8" t="s">
        <v>31</v>
      </c>
      <c r="Q31" s="8" t="s">
        <v>32</v>
      </c>
      <c r="R31" s="13" t="s">
        <v>31</v>
      </c>
      <c r="S31" s="12" t="s">
        <v>33</v>
      </c>
      <c r="T31" s="12" t="s">
        <v>33</v>
      </c>
      <c r="U31" s="9" t="s">
        <v>34</v>
      </c>
      <c r="V31" s="12" t="s">
        <v>35</v>
      </c>
    </row>
    <row r="32" spans="1:25" s="15" customFormat="1" x14ac:dyDescent="0.2">
      <c r="D32" s="15" t="s">
        <v>41</v>
      </c>
      <c r="E32" s="15" t="s">
        <v>42</v>
      </c>
      <c r="F32" s="15">
        <v>1670</v>
      </c>
      <c r="G32" s="15">
        <v>3.0000000000000001E-3</v>
      </c>
      <c r="H32" s="15">
        <v>0.8</v>
      </c>
      <c r="I32" s="15">
        <f t="shared" ref="I32:I33" si="17">H32/G32</f>
        <v>266.66666666666669</v>
      </c>
      <c r="K32" s="30">
        <v>0.76400000000000001</v>
      </c>
      <c r="L32" s="31">
        <v>1.2699999999999999E-2</v>
      </c>
      <c r="M32" s="32">
        <v>0</v>
      </c>
      <c r="N32" s="15">
        <f t="shared" ref="N32:N33" si="18">M32*3.66</f>
        <v>0</v>
      </c>
      <c r="O32" s="15">
        <f>F32*G32*K32</f>
        <v>3.8276399999999997</v>
      </c>
      <c r="P32" s="15">
        <f>F32*G32*L32</f>
        <v>6.3626999999999989E-2</v>
      </c>
      <c r="Q32" s="15">
        <f t="shared" ref="Q32:Q33" si="19">F32*G32*N32</f>
        <v>0</v>
      </c>
      <c r="W32" s="15" t="s">
        <v>40</v>
      </c>
    </row>
    <row r="33" spans="1:25" s="15" customFormat="1" x14ac:dyDescent="0.2">
      <c r="D33" s="15" t="s">
        <v>43</v>
      </c>
      <c r="E33" s="15" t="s">
        <v>38</v>
      </c>
      <c r="F33" s="15">
        <v>30</v>
      </c>
      <c r="G33" s="15">
        <v>0.24</v>
      </c>
      <c r="H33" s="15">
        <v>3.5999999999999997E-2</v>
      </c>
      <c r="I33" s="15">
        <f t="shared" si="17"/>
        <v>0.15</v>
      </c>
      <c r="K33" s="33">
        <v>11.3</v>
      </c>
      <c r="L33" s="34">
        <v>3.09</v>
      </c>
      <c r="M33" s="34">
        <v>0</v>
      </c>
      <c r="N33" s="15">
        <f t="shared" si="18"/>
        <v>0</v>
      </c>
      <c r="O33" s="15">
        <f>F33*G33*K33</f>
        <v>81.36</v>
      </c>
      <c r="P33" s="16">
        <f t="shared" ref="P33" si="20">F33*G33*L33</f>
        <v>22.247999999999998</v>
      </c>
      <c r="Q33" s="15">
        <f t="shared" si="19"/>
        <v>0</v>
      </c>
      <c r="W33" s="15" t="s">
        <v>39</v>
      </c>
    </row>
    <row r="34" spans="1:25" s="17" customFormat="1" ht="17" thickBot="1" x14ac:dyDescent="0.25">
      <c r="A34" s="17" t="s">
        <v>47</v>
      </c>
      <c r="B34" s="17" t="s">
        <v>199</v>
      </c>
      <c r="I34" s="17" cm="1">
        <f t="array" ref="I34">1/SUM(1/I32:I33)</f>
        <v>0.14991567243425571</v>
      </c>
      <c r="O34" s="17">
        <f>SUM(O32:O33)</f>
        <v>85.187640000000002</v>
      </c>
      <c r="P34" s="17">
        <f>SUM(P32:P33)</f>
        <v>22.311626999999998</v>
      </c>
      <c r="Q34" s="17">
        <f>SUM(Q32:Q33)</f>
        <v>0</v>
      </c>
      <c r="S34" s="17">
        <v>30</v>
      </c>
      <c r="V34" s="17" t="s">
        <v>36</v>
      </c>
      <c r="W34" s="17" t="s">
        <v>39</v>
      </c>
    </row>
    <row r="35" spans="1:25" ht="17" thickTop="1" x14ac:dyDescent="0.2"/>
    <row r="36" spans="1:25" s="10" customFormat="1" x14ac:dyDescent="0.2">
      <c r="D36" s="10" t="s">
        <v>2</v>
      </c>
      <c r="E36" s="10" t="s">
        <v>3</v>
      </c>
      <c r="F36" s="10" t="s">
        <v>4</v>
      </c>
      <c r="G36" s="21" t="s">
        <v>5</v>
      </c>
      <c r="H36" s="10" t="s">
        <v>6</v>
      </c>
      <c r="I36" s="10" t="s">
        <v>7</v>
      </c>
      <c r="J36" s="10" t="s">
        <v>8</v>
      </c>
      <c r="K36" s="11" t="s">
        <v>9</v>
      </c>
      <c r="L36" s="11" t="s">
        <v>10</v>
      </c>
      <c r="M36" s="11" t="s">
        <v>11</v>
      </c>
      <c r="N36" s="11" t="s">
        <v>12</v>
      </c>
      <c r="O36" s="25" t="s">
        <v>13</v>
      </c>
      <c r="P36" s="25" t="s">
        <v>14</v>
      </c>
      <c r="Q36" s="25" t="s">
        <v>15</v>
      </c>
      <c r="R36" s="11" t="s">
        <v>16</v>
      </c>
      <c r="S36" s="10" t="s">
        <v>17</v>
      </c>
      <c r="T36" s="10" t="s">
        <v>18</v>
      </c>
      <c r="U36" s="23" t="s">
        <v>19</v>
      </c>
      <c r="V36" s="10" t="s">
        <v>20</v>
      </c>
      <c r="W36" s="10" t="s">
        <v>21</v>
      </c>
      <c r="X36" s="10" t="s">
        <v>22</v>
      </c>
      <c r="Y36" s="10" t="s">
        <v>23</v>
      </c>
    </row>
    <row r="37" spans="1:25" s="12" customFormat="1" x14ac:dyDescent="0.2">
      <c r="F37" s="12" t="s">
        <v>24</v>
      </c>
      <c r="G37" s="6" t="s">
        <v>25</v>
      </c>
      <c r="H37" s="12" t="s">
        <v>26</v>
      </c>
      <c r="I37" s="12" t="s">
        <v>27</v>
      </c>
      <c r="K37" s="12" t="s">
        <v>28</v>
      </c>
      <c r="L37" s="12" t="s">
        <v>28</v>
      </c>
      <c r="M37" s="13" t="s">
        <v>29</v>
      </c>
      <c r="N37" s="13" t="s">
        <v>30</v>
      </c>
      <c r="O37" s="8" t="s">
        <v>31</v>
      </c>
      <c r="P37" s="8" t="s">
        <v>31</v>
      </c>
      <c r="Q37" s="8" t="s">
        <v>32</v>
      </c>
      <c r="R37" s="13" t="s">
        <v>31</v>
      </c>
      <c r="S37" s="12" t="s">
        <v>33</v>
      </c>
      <c r="T37" s="12" t="s">
        <v>33</v>
      </c>
      <c r="U37" s="9" t="s">
        <v>34</v>
      </c>
      <c r="V37" s="12" t="s">
        <v>35</v>
      </c>
    </row>
    <row r="38" spans="1:25" s="15" customFormat="1" x14ac:dyDescent="0.2">
      <c r="D38" s="15" t="s">
        <v>41</v>
      </c>
      <c r="E38" s="15" t="s">
        <v>42</v>
      </c>
      <c r="F38" s="15">
        <v>1670</v>
      </c>
      <c r="G38" s="15">
        <v>3.0000000000000001E-3</v>
      </c>
      <c r="H38" s="15">
        <v>0.8</v>
      </c>
      <c r="I38" s="15">
        <f t="shared" ref="I38:I39" si="21">H38/G38</f>
        <v>266.66666666666669</v>
      </c>
      <c r="K38" s="30">
        <v>0.76400000000000001</v>
      </c>
      <c r="L38" s="31">
        <v>1.2699999999999999E-2</v>
      </c>
      <c r="M38" s="32">
        <v>0</v>
      </c>
      <c r="N38" s="15">
        <f t="shared" ref="N38:N39" si="22">M38*3.66</f>
        <v>0</v>
      </c>
      <c r="O38" s="15">
        <f>F38*G38*K38</f>
        <v>3.8276399999999997</v>
      </c>
      <c r="P38" s="15">
        <f>F38*G38*L38</f>
        <v>6.3626999999999989E-2</v>
      </c>
      <c r="Q38" s="15">
        <f t="shared" ref="Q38:Q39" si="23">F38*G38*N38</f>
        <v>0</v>
      </c>
      <c r="W38" s="15" t="s">
        <v>40</v>
      </c>
    </row>
    <row r="39" spans="1:25" s="15" customFormat="1" x14ac:dyDescent="0.2">
      <c r="D39" s="15" t="s">
        <v>43</v>
      </c>
      <c r="E39" s="15" t="s">
        <v>38</v>
      </c>
      <c r="F39" s="15">
        <v>30</v>
      </c>
      <c r="G39" s="15">
        <v>0.32</v>
      </c>
      <c r="H39" s="15">
        <v>3.5999999999999997E-2</v>
      </c>
      <c r="I39" s="15">
        <f t="shared" si="21"/>
        <v>0.11249999999999999</v>
      </c>
      <c r="K39" s="33">
        <v>11.3</v>
      </c>
      <c r="L39" s="34">
        <v>3.09</v>
      </c>
      <c r="M39" s="34">
        <v>0</v>
      </c>
      <c r="N39" s="15">
        <f t="shared" si="22"/>
        <v>0</v>
      </c>
      <c r="O39" s="15">
        <f>F39*G39*K39</f>
        <v>108.48</v>
      </c>
      <c r="P39" s="16">
        <f t="shared" ref="P39" si="24">F39*G39*L39</f>
        <v>29.663999999999998</v>
      </c>
      <c r="Q39" s="15">
        <f t="shared" si="23"/>
        <v>0</v>
      </c>
      <c r="W39" s="15" t="s">
        <v>39</v>
      </c>
    </row>
    <row r="40" spans="1:25" s="17" customFormat="1" ht="17" thickBot="1" x14ac:dyDescent="0.25">
      <c r="A40" s="17" t="s">
        <v>48</v>
      </c>
      <c r="B40" s="17" t="s">
        <v>199</v>
      </c>
      <c r="I40" s="17" cm="1">
        <f t="array" ref="I40">1/SUM(1/I38:I39)</f>
        <v>0.11245255907663954</v>
      </c>
      <c r="O40" s="17">
        <f>SUM(O38:O39)</f>
        <v>112.30764000000001</v>
      </c>
      <c r="P40" s="17">
        <f>SUM(P38:P39)</f>
        <v>29.727626999999998</v>
      </c>
      <c r="Q40" s="17">
        <f>SUM(Q38:Q39)</f>
        <v>0</v>
      </c>
      <c r="S40" s="17">
        <v>30</v>
      </c>
      <c r="V40" s="17" t="s">
        <v>36</v>
      </c>
      <c r="W40" s="17" t="s">
        <v>39</v>
      </c>
    </row>
    <row r="41" spans="1:25" ht="17" thickTop="1" x14ac:dyDescent="0.2"/>
    <row r="42" spans="1:25" s="10" customFormat="1" x14ac:dyDescent="0.2">
      <c r="D42" s="10" t="s">
        <v>2</v>
      </c>
      <c r="E42" s="10" t="s">
        <v>3</v>
      </c>
      <c r="F42" s="10" t="s">
        <v>4</v>
      </c>
      <c r="G42" s="21" t="s">
        <v>5</v>
      </c>
      <c r="H42" s="10" t="s">
        <v>6</v>
      </c>
      <c r="I42" s="10" t="s">
        <v>7</v>
      </c>
      <c r="J42" s="10" t="s">
        <v>8</v>
      </c>
      <c r="K42" s="11" t="s">
        <v>9</v>
      </c>
      <c r="L42" s="11" t="s">
        <v>10</v>
      </c>
      <c r="M42" s="11" t="s">
        <v>11</v>
      </c>
      <c r="N42" s="11" t="s">
        <v>12</v>
      </c>
      <c r="O42" s="25" t="s">
        <v>13</v>
      </c>
      <c r="P42" s="25" t="s">
        <v>14</v>
      </c>
      <c r="Q42" s="25" t="s">
        <v>15</v>
      </c>
      <c r="R42" s="11" t="s">
        <v>16</v>
      </c>
      <c r="S42" s="10" t="s">
        <v>17</v>
      </c>
      <c r="T42" s="10" t="s">
        <v>18</v>
      </c>
      <c r="U42" s="23" t="s">
        <v>19</v>
      </c>
      <c r="V42" s="10" t="s">
        <v>20</v>
      </c>
      <c r="W42" s="10" t="s">
        <v>21</v>
      </c>
      <c r="X42" s="10" t="s">
        <v>22</v>
      </c>
      <c r="Y42" s="10" t="s">
        <v>23</v>
      </c>
    </row>
    <row r="43" spans="1:25" s="12" customFormat="1" x14ac:dyDescent="0.2">
      <c r="F43" s="12" t="s">
        <v>24</v>
      </c>
      <c r="G43" s="6" t="s">
        <v>25</v>
      </c>
      <c r="H43" s="12" t="s">
        <v>26</v>
      </c>
      <c r="I43" s="12" t="s">
        <v>27</v>
      </c>
      <c r="K43" s="12" t="s">
        <v>28</v>
      </c>
      <c r="L43" s="12" t="s">
        <v>28</v>
      </c>
      <c r="M43" s="13" t="s">
        <v>29</v>
      </c>
      <c r="N43" s="13" t="s">
        <v>30</v>
      </c>
      <c r="O43" s="8" t="s">
        <v>31</v>
      </c>
      <c r="P43" s="8" t="s">
        <v>31</v>
      </c>
      <c r="Q43" s="8" t="s">
        <v>32</v>
      </c>
      <c r="R43" s="13" t="s">
        <v>31</v>
      </c>
      <c r="S43" s="12" t="s">
        <v>33</v>
      </c>
      <c r="T43" s="12" t="s">
        <v>33</v>
      </c>
      <c r="U43" s="9" t="s">
        <v>34</v>
      </c>
      <c r="V43" s="12" t="s">
        <v>35</v>
      </c>
    </row>
    <row r="44" spans="1:25" s="15" customFormat="1" x14ac:dyDescent="0.2">
      <c r="D44" s="15" t="s">
        <v>41</v>
      </c>
      <c r="E44" s="15" t="s">
        <v>42</v>
      </c>
      <c r="F44" s="15">
        <v>1670</v>
      </c>
      <c r="G44" s="15">
        <v>3.0000000000000001E-3</v>
      </c>
      <c r="H44" s="15">
        <v>0.8</v>
      </c>
      <c r="I44" s="15">
        <f t="shared" ref="I44:I45" si="25">H44/G44</f>
        <v>266.66666666666669</v>
      </c>
      <c r="K44" s="30">
        <v>0.76400000000000001</v>
      </c>
      <c r="L44" s="31">
        <v>1.2699999999999999E-2</v>
      </c>
      <c r="M44" s="32">
        <v>0</v>
      </c>
      <c r="N44" s="15">
        <f t="shared" ref="N44:N45" si="26">M44*3.66</f>
        <v>0</v>
      </c>
      <c r="O44" s="15">
        <f>F44*G44*K44</f>
        <v>3.8276399999999997</v>
      </c>
      <c r="P44" s="15">
        <f>F44*G44*L44</f>
        <v>6.3626999999999989E-2</v>
      </c>
      <c r="Q44" s="15">
        <f t="shared" ref="Q44:Q45" si="27">F44*G44*N44</f>
        <v>0</v>
      </c>
      <c r="W44" s="15" t="s">
        <v>40</v>
      </c>
    </row>
    <row r="45" spans="1:25" s="15" customFormat="1" x14ac:dyDescent="0.2">
      <c r="D45" s="15" t="s">
        <v>43</v>
      </c>
      <c r="E45" s="15" t="s">
        <v>38</v>
      </c>
      <c r="F45" s="15">
        <v>30</v>
      </c>
      <c r="G45" s="15">
        <v>0.64</v>
      </c>
      <c r="H45" s="15">
        <v>3.5999999999999997E-2</v>
      </c>
      <c r="I45" s="15">
        <f t="shared" si="25"/>
        <v>5.6249999999999994E-2</v>
      </c>
      <c r="K45" s="33">
        <v>11.3</v>
      </c>
      <c r="L45" s="34">
        <v>3.09</v>
      </c>
      <c r="M45" s="34">
        <v>0</v>
      </c>
      <c r="N45" s="15">
        <f t="shared" si="26"/>
        <v>0</v>
      </c>
      <c r="O45" s="15">
        <f>F45*G45*K45</f>
        <v>216.96</v>
      </c>
      <c r="P45" s="16">
        <f t="shared" ref="P45" si="28">F45*G45*L45</f>
        <v>59.327999999999996</v>
      </c>
      <c r="Q45" s="15">
        <f t="shared" si="27"/>
        <v>0</v>
      </c>
      <c r="W45" s="15" t="s">
        <v>39</v>
      </c>
    </row>
    <row r="46" spans="1:25" s="17" customFormat="1" ht="17" thickBot="1" x14ac:dyDescent="0.25">
      <c r="A46" s="17" t="s">
        <v>49</v>
      </c>
      <c r="B46" s="17" t="s">
        <v>199</v>
      </c>
      <c r="I46" s="17" cm="1">
        <f t="array" ref="I46">1/SUM(1/I44:I45)</f>
        <v>5.6238137267920048E-2</v>
      </c>
      <c r="O46" s="17">
        <f>SUM(O44:O45)</f>
        <v>220.78764000000001</v>
      </c>
      <c r="P46" s="17">
        <f>SUM(P44:P45)</f>
        <v>59.391626999999993</v>
      </c>
      <c r="Q46" s="17">
        <f>SUM(Q44:Q45)</f>
        <v>0</v>
      </c>
      <c r="S46" s="17">
        <v>30</v>
      </c>
      <c r="V46" s="17" t="s">
        <v>36</v>
      </c>
      <c r="W46" s="17" t="s">
        <v>39</v>
      </c>
    </row>
    <row r="47" spans="1:25" ht="17" thickTop="1" x14ac:dyDescent="0.2"/>
    <row r="48" spans="1:25" s="10" customFormat="1" x14ac:dyDescent="0.2">
      <c r="D48" s="10" t="s">
        <v>2</v>
      </c>
      <c r="E48" s="10" t="s">
        <v>3</v>
      </c>
      <c r="F48" s="10" t="s">
        <v>4</v>
      </c>
      <c r="G48" s="21" t="s">
        <v>5</v>
      </c>
      <c r="H48" s="10" t="s">
        <v>6</v>
      </c>
      <c r="I48" s="10" t="s">
        <v>7</v>
      </c>
      <c r="J48" s="10" t="s">
        <v>8</v>
      </c>
      <c r="K48" s="11" t="s">
        <v>9</v>
      </c>
      <c r="L48" s="11" t="s">
        <v>10</v>
      </c>
      <c r="M48" s="11" t="s">
        <v>11</v>
      </c>
      <c r="N48" s="11" t="s">
        <v>12</v>
      </c>
      <c r="O48" s="25" t="s">
        <v>13</v>
      </c>
      <c r="P48" s="25" t="s">
        <v>14</v>
      </c>
      <c r="Q48" s="25" t="s">
        <v>15</v>
      </c>
      <c r="R48" s="11" t="s">
        <v>16</v>
      </c>
      <c r="S48" s="10" t="s">
        <v>17</v>
      </c>
      <c r="T48" s="10" t="s">
        <v>18</v>
      </c>
      <c r="U48" s="23" t="s">
        <v>19</v>
      </c>
      <c r="V48" s="10" t="s">
        <v>20</v>
      </c>
      <c r="W48" s="10" t="s">
        <v>21</v>
      </c>
      <c r="X48" s="10" t="s">
        <v>22</v>
      </c>
      <c r="Y48" s="10" t="s">
        <v>23</v>
      </c>
    </row>
    <row r="49" spans="1:23" s="12" customFormat="1" x14ac:dyDescent="0.2">
      <c r="F49" s="12" t="s">
        <v>24</v>
      </c>
      <c r="G49" s="6" t="s">
        <v>25</v>
      </c>
      <c r="H49" s="12" t="s">
        <v>26</v>
      </c>
      <c r="I49" s="12" t="s">
        <v>27</v>
      </c>
      <c r="K49" s="12" t="s">
        <v>28</v>
      </c>
      <c r="L49" s="12" t="s">
        <v>28</v>
      </c>
      <c r="M49" s="13" t="s">
        <v>29</v>
      </c>
      <c r="N49" s="13" t="s">
        <v>30</v>
      </c>
      <c r="O49" s="8" t="s">
        <v>31</v>
      </c>
      <c r="P49" s="8" t="s">
        <v>31</v>
      </c>
      <c r="Q49" s="8" t="s">
        <v>32</v>
      </c>
      <c r="R49" s="13" t="s">
        <v>31</v>
      </c>
      <c r="S49" s="12" t="s">
        <v>33</v>
      </c>
      <c r="T49" s="12" t="s">
        <v>33</v>
      </c>
      <c r="U49" s="9" t="s">
        <v>34</v>
      </c>
      <c r="V49" s="12" t="s">
        <v>35</v>
      </c>
    </row>
    <row r="50" spans="1:23" s="15" customFormat="1" x14ac:dyDescent="0.2">
      <c r="D50" s="15" t="s">
        <v>41</v>
      </c>
      <c r="E50" s="15" t="s">
        <v>42</v>
      </c>
      <c r="F50" s="15">
        <v>1670</v>
      </c>
      <c r="G50" s="15">
        <v>3.0000000000000001E-3</v>
      </c>
      <c r="H50" s="15">
        <v>0.8</v>
      </c>
      <c r="I50" s="15">
        <f t="shared" ref="I50:I51" si="29">H50/G50</f>
        <v>266.66666666666669</v>
      </c>
      <c r="K50" s="30">
        <v>0.76400000000000001</v>
      </c>
      <c r="L50" s="31">
        <v>1.2699999999999999E-2</v>
      </c>
      <c r="M50" s="32">
        <v>0</v>
      </c>
      <c r="N50" s="15">
        <f t="shared" ref="N50:N51" si="30">M50*3.66</f>
        <v>0</v>
      </c>
      <c r="O50" s="15">
        <f>F50*G50*K50</f>
        <v>3.8276399999999997</v>
      </c>
      <c r="P50" s="15">
        <f>F50*G50*L50</f>
        <v>6.3626999999999989E-2</v>
      </c>
      <c r="Q50" s="15">
        <f t="shared" ref="Q50:Q51" si="31">F50*G50*N50</f>
        <v>0</v>
      </c>
      <c r="W50" s="15" t="s">
        <v>40</v>
      </c>
    </row>
    <row r="51" spans="1:23" s="15" customFormat="1" x14ac:dyDescent="0.2">
      <c r="D51" s="15" t="s">
        <v>43</v>
      </c>
      <c r="E51" s="15" t="s">
        <v>38</v>
      </c>
      <c r="F51" s="15">
        <v>30</v>
      </c>
      <c r="G51" s="15">
        <v>0.48</v>
      </c>
      <c r="H51" s="15">
        <v>3.5999999999999997E-2</v>
      </c>
      <c r="I51" s="15">
        <f t="shared" si="29"/>
        <v>7.4999999999999997E-2</v>
      </c>
      <c r="K51" s="33">
        <v>11.3</v>
      </c>
      <c r="L51" s="34">
        <v>3.09</v>
      </c>
      <c r="M51" s="34">
        <v>0</v>
      </c>
      <c r="N51" s="15">
        <f t="shared" si="30"/>
        <v>0</v>
      </c>
      <c r="O51" s="15">
        <f>F51*G51*K51</f>
        <v>162.72</v>
      </c>
      <c r="P51" s="16">
        <f t="shared" ref="P51" si="32">F51*G51*L51</f>
        <v>44.495999999999995</v>
      </c>
      <c r="Q51" s="15">
        <f t="shared" si="31"/>
        <v>0</v>
      </c>
      <c r="W51" s="15" t="s">
        <v>39</v>
      </c>
    </row>
    <row r="52" spans="1:23" s="17" customFormat="1" ht="17" thickBot="1" x14ac:dyDescent="0.25">
      <c r="A52" s="17" t="s">
        <v>337</v>
      </c>
      <c r="B52" s="17" t="s">
        <v>199</v>
      </c>
      <c r="I52" s="17" cm="1">
        <f t="array" ref="I52">1/SUM(1/I50:I51)</f>
        <v>7.4978912180949098E-2</v>
      </c>
      <c r="O52" s="17">
        <f>SUM(O50:O51)</f>
        <v>166.54764</v>
      </c>
      <c r="P52" s="17">
        <f>SUM(P50:P51)</f>
        <v>44.559626999999992</v>
      </c>
      <c r="Q52" s="17">
        <f>SUM(Q50:Q51)</f>
        <v>0</v>
      </c>
      <c r="S52" s="17">
        <v>30</v>
      </c>
      <c r="V52" s="17" t="s">
        <v>36</v>
      </c>
      <c r="W52" s="17" t="s">
        <v>39</v>
      </c>
    </row>
    <row r="53" spans="1:23" ht="17" thickTop="1" x14ac:dyDescent="0.2"/>
  </sheetData>
  <conditionalFormatting sqref="K7:M7">
    <cfRule type="cellIs" dxfId="657" priority="160" operator="between">
      <formula>0.00000001</formula>
      <formula>1</formula>
    </cfRule>
    <cfRule type="cellIs" dxfId="656" priority="159" operator="between">
      <formula>1</formula>
      <formula>10</formula>
    </cfRule>
    <cfRule type="cellIs" dxfId="655" priority="158" operator="between">
      <formula>10</formula>
      <formula>100</formula>
    </cfRule>
    <cfRule type="cellIs" dxfId="654" priority="157" operator="greaterThan">
      <formula>100</formula>
    </cfRule>
    <cfRule type="cellIs" dxfId="653" priority="156" operator="equal">
      <formula>0</formula>
    </cfRule>
  </conditionalFormatting>
  <conditionalFormatting sqref="K14:M14">
    <cfRule type="cellIs" dxfId="652" priority="11" operator="equal">
      <formula>0</formula>
    </cfRule>
    <cfRule type="cellIs" dxfId="651" priority="12" operator="greaterThan">
      <formula>100</formula>
    </cfRule>
    <cfRule type="cellIs" dxfId="650" priority="13" operator="between">
      <formula>10</formula>
      <formula>100</formula>
    </cfRule>
    <cfRule type="cellIs" dxfId="649" priority="14" operator="between">
      <formula>1</formula>
      <formula>10</formula>
    </cfRule>
    <cfRule type="cellIs" dxfId="648" priority="15" operator="between">
      <formula>0.00000001</formula>
      <formula>1</formula>
    </cfRule>
  </conditionalFormatting>
  <conditionalFormatting sqref="K20:M21">
    <cfRule type="cellIs" dxfId="647" priority="170" operator="between">
      <formula>0.00000001</formula>
      <formula>1</formula>
    </cfRule>
    <cfRule type="cellIs" dxfId="646" priority="169" operator="between">
      <formula>1</formula>
      <formula>10</formula>
    </cfRule>
    <cfRule type="cellIs" dxfId="645" priority="168" operator="between">
      <formula>10</formula>
      <formula>100</formula>
    </cfRule>
    <cfRule type="cellIs" dxfId="644" priority="167" operator="greaterThan">
      <formula>100</formula>
    </cfRule>
    <cfRule type="cellIs" dxfId="643" priority="166" operator="equal">
      <formula>0</formula>
    </cfRule>
  </conditionalFormatting>
  <conditionalFormatting sqref="K26:M27">
    <cfRule type="cellIs" dxfId="642" priority="145" operator="between">
      <formula>0.00000001</formula>
      <formula>1</formula>
    </cfRule>
    <cfRule type="cellIs" dxfId="641" priority="141" operator="equal">
      <formula>0</formula>
    </cfRule>
    <cfRule type="cellIs" dxfId="640" priority="142" operator="greaterThan">
      <formula>100</formula>
    </cfRule>
    <cfRule type="cellIs" dxfId="639" priority="143" operator="between">
      <formula>10</formula>
      <formula>100</formula>
    </cfRule>
    <cfRule type="cellIs" dxfId="638" priority="144" operator="between">
      <formula>1</formula>
      <formula>10</formula>
    </cfRule>
  </conditionalFormatting>
  <conditionalFormatting sqref="K32:M33">
    <cfRule type="cellIs" dxfId="637" priority="127" operator="greaterThan">
      <formula>100</formula>
    </cfRule>
    <cfRule type="cellIs" dxfId="636" priority="126" operator="equal">
      <formula>0</formula>
    </cfRule>
    <cfRule type="cellIs" dxfId="635" priority="130" operator="between">
      <formula>0.00000001</formula>
      <formula>1</formula>
    </cfRule>
    <cfRule type="cellIs" dxfId="634" priority="129" operator="between">
      <formula>1</formula>
      <formula>10</formula>
    </cfRule>
    <cfRule type="cellIs" dxfId="633" priority="128" operator="between">
      <formula>10</formula>
      <formula>100</formula>
    </cfRule>
  </conditionalFormatting>
  <conditionalFormatting sqref="K38:M39">
    <cfRule type="cellIs" dxfId="632" priority="111" operator="equal">
      <formula>0</formula>
    </cfRule>
    <cfRule type="cellIs" dxfId="631" priority="112" operator="greaterThan">
      <formula>100</formula>
    </cfRule>
    <cfRule type="cellIs" dxfId="630" priority="113" operator="between">
      <formula>10</formula>
      <formula>100</formula>
    </cfRule>
    <cfRule type="cellIs" dxfId="629" priority="114" operator="between">
      <formula>1</formula>
      <formula>10</formula>
    </cfRule>
    <cfRule type="cellIs" dxfId="628" priority="115" operator="between">
      <formula>0.00000001</formula>
      <formula>1</formula>
    </cfRule>
  </conditionalFormatting>
  <conditionalFormatting sqref="K44:M45">
    <cfRule type="cellIs" dxfId="627" priority="97" operator="greaterThan">
      <formula>100</formula>
    </cfRule>
    <cfRule type="cellIs" dxfId="626" priority="98" operator="between">
      <formula>10</formula>
      <formula>100</formula>
    </cfRule>
    <cfRule type="cellIs" dxfId="625" priority="99" operator="between">
      <formula>1</formula>
      <formula>10</formula>
    </cfRule>
    <cfRule type="cellIs" dxfId="624" priority="100" operator="between">
      <formula>0.00000001</formula>
      <formula>1</formula>
    </cfRule>
    <cfRule type="cellIs" dxfId="623" priority="96" operator="equal">
      <formula>0</formula>
    </cfRule>
  </conditionalFormatting>
  <conditionalFormatting sqref="K50:M51">
    <cfRule type="cellIs" dxfId="622" priority="5" operator="between">
      <formula>0.00000001</formula>
      <formula>1</formula>
    </cfRule>
    <cfRule type="cellIs" dxfId="621" priority="4" operator="between">
      <formula>1</formula>
      <formula>10</formula>
    </cfRule>
    <cfRule type="cellIs" dxfId="620" priority="3" operator="between">
      <formula>10</formula>
      <formula>100</formula>
    </cfRule>
    <cfRule type="cellIs" dxfId="619" priority="2" operator="greaterThan">
      <formula>100</formula>
    </cfRule>
    <cfRule type="cellIs" dxfId="618" priority="1" operator="equal">
      <formula>0</formula>
    </cfRule>
  </conditionalFormatting>
  <conditionalFormatting sqref="Q6:Q7 Q20:Q21">
    <cfRule type="cellIs" dxfId="617" priority="180" operator="between">
      <formula>0.00000001</formula>
      <formula>1</formula>
    </cfRule>
    <cfRule type="cellIs" dxfId="616" priority="179" operator="between">
      <formula>1</formula>
      <formula>10</formula>
    </cfRule>
    <cfRule type="cellIs" dxfId="615" priority="178" operator="between">
      <formula>10</formula>
      <formula>100</formula>
    </cfRule>
    <cfRule type="cellIs" dxfId="614" priority="177" operator="greaterThan">
      <formula>100</formula>
    </cfRule>
    <cfRule type="cellIs" dxfId="613" priority="176" operator="equal">
      <formula>0</formula>
    </cfRule>
  </conditionalFormatting>
  <conditionalFormatting sqref="Q13:Q14">
    <cfRule type="cellIs" dxfId="612" priority="20" operator="between">
      <formula>0.00000001</formula>
      <formula>1</formula>
    </cfRule>
    <cfRule type="cellIs" dxfId="611" priority="16" operator="equal">
      <formula>0</formula>
    </cfRule>
    <cfRule type="cellIs" dxfId="610" priority="17" operator="greaterThan">
      <formula>100</formula>
    </cfRule>
    <cfRule type="cellIs" dxfId="609" priority="18" operator="between">
      <formula>10</formula>
      <formula>100</formula>
    </cfRule>
    <cfRule type="cellIs" dxfId="608" priority="19" operator="between">
      <formula>1</formula>
      <formula>10</formula>
    </cfRule>
  </conditionalFormatting>
  <conditionalFormatting sqref="Q26:Q27">
    <cfRule type="cellIs" dxfId="607" priority="151" operator="equal">
      <formula>0</formula>
    </cfRule>
    <cfRule type="cellIs" dxfId="606" priority="152" operator="greaterThan">
      <formula>100</formula>
    </cfRule>
    <cfRule type="cellIs" dxfId="605" priority="153" operator="between">
      <formula>10</formula>
      <formula>100</formula>
    </cfRule>
    <cfRule type="cellIs" dxfId="604" priority="154" operator="between">
      <formula>1</formula>
      <formula>10</formula>
    </cfRule>
    <cfRule type="cellIs" dxfId="603" priority="155" operator="between">
      <formula>0.00000001</formula>
      <formula>1</formula>
    </cfRule>
  </conditionalFormatting>
  <conditionalFormatting sqref="Q32:Q33">
    <cfRule type="cellIs" dxfId="602" priority="136" operator="equal">
      <formula>0</formula>
    </cfRule>
    <cfRule type="cellIs" dxfId="601" priority="137" operator="greaterThan">
      <formula>100</formula>
    </cfRule>
    <cfRule type="cellIs" dxfId="600" priority="138" operator="between">
      <formula>10</formula>
      <formula>100</formula>
    </cfRule>
    <cfRule type="cellIs" dxfId="599" priority="139" operator="between">
      <formula>1</formula>
      <formula>10</formula>
    </cfRule>
    <cfRule type="cellIs" dxfId="598" priority="140" operator="between">
      <formula>0.00000001</formula>
      <formula>1</formula>
    </cfRule>
  </conditionalFormatting>
  <conditionalFormatting sqref="Q38:Q39">
    <cfRule type="cellIs" dxfId="597" priority="125" operator="between">
      <formula>0.00000001</formula>
      <formula>1</formula>
    </cfRule>
    <cfRule type="cellIs" dxfId="596" priority="121" operator="equal">
      <formula>0</formula>
    </cfRule>
    <cfRule type="cellIs" dxfId="595" priority="122" operator="greaterThan">
      <formula>100</formula>
    </cfRule>
    <cfRule type="cellIs" dxfId="594" priority="124" operator="between">
      <formula>1</formula>
      <formula>10</formula>
    </cfRule>
    <cfRule type="cellIs" dxfId="593" priority="123" operator="between">
      <formula>10</formula>
      <formula>100</formula>
    </cfRule>
  </conditionalFormatting>
  <conditionalFormatting sqref="Q44:Q45">
    <cfRule type="cellIs" dxfId="592" priority="106" operator="equal">
      <formula>0</formula>
    </cfRule>
    <cfRule type="cellIs" dxfId="591" priority="107" operator="greaterThan">
      <formula>100</formula>
    </cfRule>
    <cfRule type="cellIs" dxfId="590" priority="108" operator="between">
      <formula>10</formula>
      <formula>100</formula>
    </cfRule>
    <cfRule type="cellIs" dxfId="589" priority="109" operator="between">
      <formula>1</formula>
      <formula>10</formula>
    </cfRule>
    <cfRule type="cellIs" dxfId="588" priority="110" operator="between">
      <formula>0.00000001</formula>
      <formula>1</formula>
    </cfRule>
  </conditionalFormatting>
  <conditionalFormatting sqref="Q50:Q51">
    <cfRule type="cellIs" dxfId="587" priority="10" operator="between">
      <formula>0.00000001</formula>
      <formula>1</formula>
    </cfRule>
    <cfRule type="cellIs" dxfId="586" priority="9" operator="between">
      <formula>1</formula>
      <formula>10</formula>
    </cfRule>
    <cfRule type="cellIs" dxfId="585" priority="8" operator="between">
      <formula>10</formula>
      <formula>100</formula>
    </cfRule>
    <cfRule type="cellIs" dxfId="584" priority="7" operator="greaterThan">
      <formula>100</formula>
    </cfRule>
    <cfRule type="cellIs" dxfId="583" priority="6" operator="equal">
      <formula>0</formula>
    </cfRule>
  </conditionalFormatting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B8D3-E2E3-654B-84F0-95FDE84358BD}">
  <dimension ref="A1:Y55"/>
  <sheetViews>
    <sheetView topLeftCell="A42" zoomScale="75" zoomScaleNormal="75" workbookViewId="0">
      <selection activeCell="B9" sqref="B9"/>
    </sheetView>
  </sheetViews>
  <sheetFormatPr baseColWidth="10" defaultRowHeight="16" x14ac:dyDescent="0.2"/>
  <cols>
    <col min="1" max="1" width="35.1640625" customWidth="1"/>
    <col min="4" max="4" width="38.1640625" customWidth="1"/>
    <col min="7" max="7" width="10.83203125" style="6"/>
    <col min="15" max="17" width="10.83203125" style="8"/>
    <col min="21" max="21" width="10.83203125" style="9"/>
  </cols>
  <sheetData>
    <row r="1" spans="1:25" s="1" customFormat="1" x14ac:dyDescent="0.2">
      <c r="A1" s="1" t="s">
        <v>0</v>
      </c>
      <c r="B1" s="1" t="s">
        <v>51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52</v>
      </c>
      <c r="J1" s="1" t="s">
        <v>53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4" t="s">
        <v>54</v>
      </c>
      <c r="R1" s="3" t="s">
        <v>16</v>
      </c>
      <c r="S1" s="1" t="s">
        <v>17</v>
      </c>
      <c r="T1" s="1" t="s">
        <v>55</v>
      </c>
      <c r="U1" s="5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F2" t="s">
        <v>24</v>
      </c>
      <c r="G2" s="6" t="s">
        <v>25</v>
      </c>
      <c r="H2" t="s">
        <v>26</v>
      </c>
      <c r="I2" t="s">
        <v>27</v>
      </c>
      <c r="K2" t="s">
        <v>28</v>
      </c>
      <c r="L2" t="s">
        <v>28</v>
      </c>
      <c r="M2" s="7" t="s">
        <v>29</v>
      </c>
      <c r="N2" s="7" t="s">
        <v>30</v>
      </c>
      <c r="O2" s="8" t="s">
        <v>31</v>
      </c>
      <c r="P2" s="8" t="s">
        <v>31</v>
      </c>
      <c r="Q2" s="8" t="s">
        <v>32</v>
      </c>
      <c r="R2" s="7" t="s">
        <v>31</v>
      </c>
      <c r="S2" t="s">
        <v>33</v>
      </c>
      <c r="T2" t="s">
        <v>33</v>
      </c>
      <c r="U2" s="9" t="s">
        <v>34</v>
      </c>
      <c r="V2" t="s">
        <v>35</v>
      </c>
    </row>
    <row r="3" spans="1:25" x14ac:dyDescent="0.2">
      <c r="M3" s="7"/>
      <c r="N3" s="7"/>
      <c r="R3" s="7"/>
    </row>
    <row r="4" spans="1:25" s="10" customFormat="1" x14ac:dyDescent="0.2">
      <c r="D4" s="10" t="s">
        <v>2</v>
      </c>
      <c r="E4" s="10" t="s">
        <v>3</v>
      </c>
      <c r="F4" s="10" t="s">
        <v>4</v>
      </c>
      <c r="G4" s="21" t="s">
        <v>5</v>
      </c>
      <c r="H4" s="10" t="s">
        <v>6</v>
      </c>
      <c r="I4" s="10" t="s">
        <v>7</v>
      </c>
      <c r="J4" s="10" t="s">
        <v>8</v>
      </c>
      <c r="K4" s="11" t="s">
        <v>9</v>
      </c>
      <c r="L4" s="11" t="s">
        <v>10</v>
      </c>
      <c r="M4" s="11" t="s">
        <v>11</v>
      </c>
      <c r="N4" s="11" t="s">
        <v>12</v>
      </c>
      <c r="O4" s="25" t="s">
        <v>13</v>
      </c>
      <c r="P4" s="25" t="s">
        <v>14</v>
      </c>
      <c r="Q4" s="25" t="s">
        <v>15</v>
      </c>
      <c r="R4" s="11" t="s">
        <v>16</v>
      </c>
      <c r="S4" s="10" t="s">
        <v>17</v>
      </c>
      <c r="T4" s="10" t="s">
        <v>18</v>
      </c>
      <c r="U4" s="23" t="s">
        <v>19</v>
      </c>
      <c r="V4" s="10" t="s">
        <v>20</v>
      </c>
      <c r="W4" s="10" t="s">
        <v>21</v>
      </c>
      <c r="X4" s="10" t="s">
        <v>22</v>
      </c>
      <c r="Y4" s="10" t="s">
        <v>23</v>
      </c>
    </row>
    <row r="5" spans="1:25" s="12" customFormat="1" x14ac:dyDescent="0.2">
      <c r="F5" s="12" t="s">
        <v>24</v>
      </c>
      <c r="G5" s="6" t="s">
        <v>25</v>
      </c>
      <c r="H5" s="12" t="s">
        <v>26</v>
      </c>
      <c r="I5" s="12" t="s">
        <v>27</v>
      </c>
      <c r="K5" s="12" t="s">
        <v>28</v>
      </c>
      <c r="L5" s="12" t="s">
        <v>28</v>
      </c>
      <c r="M5" s="13" t="s">
        <v>29</v>
      </c>
      <c r="N5" s="13" t="s">
        <v>30</v>
      </c>
      <c r="O5" s="8" t="s">
        <v>31</v>
      </c>
      <c r="P5" s="8" t="s">
        <v>31</v>
      </c>
      <c r="Q5" s="8" t="s">
        <v>32</v>
      </c>
      <c r="R5" s="13" t="s">
        <v>31</v>
      </c>
      <c r="S5" s="12" t="s">
        <v>33</v>
      </c>
      <c r="T5" s="12" t="s">
        <v>33</v>
      </c>
      <c r="U5" s="9" t="s">
        <v>34</v>
      </c>
      <c r="V5" s="12" t="s">
        <v>35</v>
      </c>
    </row>
    <row r="6" spans="1:25" s="15" customFormat="1" x14ac:dyDescent="0.2">
      <c r="D6" s="15" t="s">
        <v>80</v>
      </c>
      <c r="E6" s="20" t="s">
        <v>82</v>
      </c>
      <c r="F6" s="15">
        <v>1800</v>
      </c>
      <c r="G6" s="6">
        <f>16/F6</f>
        <v>8.8888888888888889E-3</v>
      </c>
      <c r="H6" s="15">
        <v>0.8</v>
      </c>
      <c r="K6" s="37">
        <v>0.63600000000000001</v>
      </c>
      <c r="L6" s="42">
        <v>1.32E-2</v>
      </c>
      <c r="M6" s="29">
        <v>0</v>
      </c>
      <c r="N6" s="15">
        <f t="shared" ref="N6:N8" si="0">M6*3.66</f>
        <v>0</v>
      </c>
      <c r="O6" s="8">
        <f t="shared" ref="O6:O8" si="1">K6*G6*F6</f>
        <v>10.176</v>
      </c>
      <c r="P6" s="8">
        <f t="shared" ref="P6:P8" si="2">F6*G6*L6</f>
        <v>0.2112</v>
      </c>
      <c r="Q6" s="8">
        <f t="shared" ref="Q6:Q8" si="3">F6*G6*N6</f>
        <v>0</v>
      </c>
      <c r="U6" s="9"/>
      <c r="X6" s="15" t="s">
        <v>259</v>
      </c>
    </row>
    <row r="7" spans="1:25" s="15" customFormat="1" x14ac:dyDescent="0.2">
      <c r="D7" s="15" t="s">
        <v>89</v>
      </c>
      <c r="E7" s="39">
        <v>7.0090000000000003</v>
      </c>
      <c r="F7" s="15">
        <v>485</v>
      </c>
      <c r="G7" s="6">
        <f>0.04*0.06*1.5</f>
        <v>3.5999999999999999E-3</v>
      </c>
      <c r="H7" s="15">
        <v>0.13</v>
      </c>
      <c r="K7" s="43">
        <v>9.0399999999999994E-2</v>
      </c>
      <c r="L7" s="28">
        <v>3.9E-2</v>
      </c>
      <c r="M7" s="29">
        <v>0.41299999999999998</v>
      </c>
      <c r="N7" s="15">
        <f t="shared" ref="N7" si="4">M7*3.66</f>
        <v>1.5115799999999999</v>
      </c>
      <c r="O7" s="8">
        <f t="shared" ref="O7" si="5">K7*G7*F7</f>
        <v>0.15783839999999999</v>
      </c>
      <c r="P7" s="8">
        <f t="shared" ref="P7" si="6">F7*G7*L7</f>
        <v>6.8094000000000002E-2</v>
      </c>
      <c r="Q7" s="8">
        <f t="shared" ref="Q7" si="7">F7*G7*N7</f>
        <v>2.6392186799999999</v>
      </c>
      <c r="U7" s="9"/>
      <c r="X7" s="15" t="s">
        <v>83</v>
      </c>
    </row>
    <row r="8" spans="1:25" s="15" customFormat="1" x14ac:dyDescent="0.2">
      <c r="D8" s="15" t="s">
        <v>283</v>
      </c>
      <c r="E8" s="20" t="s">
        <v>85</v>
      </c>
      <c r="F8" s="36">
        <v>650</v>
      </c>
      <c r="G8" s="6">
        <v>5.0000000000000001E-4</v>
      </c>
      <c r="H8" s="15">
        <v>0.7</v>
      </c>
      <c r="K8" s="27">
        <v>1.61</v>
      </c>
      <c r="L8" s="42">
        <v>5.8000000000000003E-2</v>
      </c>
      <c r="M8" s="29">
        <v>0.40400000000000003</v>
      </c>
      <c r="N8" s="15">
        <f t="shared" si="0"/>
        <v>1.4786400000000002</v>
      </c>
      <c r="O8" s="8">
        <f t="shared" si="1"/>
        <v>0.52324999999999999</v>
      </c>
      <c r="P8" s="8">
        <f t="shared" si="2"/>
        <v>1.8850000000000002E-2</v>
      </c>
      <c r="Q8" s="8">
        <f t="shared" si="3"/>
        <v>0.4805580000000001</v>
      </c>
      <c r="U8" s="9"/>
      <c r="X8" s="15" t="s">
        <v>88</v>
      </c>
    </row>
    <row r="9" spans="1:25" s="17" customFormat="1" ht="17" thickBot="1" x14ac:dyDescent="0.25">
      <c r="A9" s="17" t="s">
        <v>95</v>
      </c>
      <c r="B9" s="17" t="s">
        <v>331</v>
      </c>
      <c r="I9" s="60"/>
      <c r="O9" s="17">
        <f>SUM(O6:O8)</f>
        <v>10.857088399999999</v>
      </c>
      <c r="P9" s="17">
        <f>SUM(P6:P8)</f>
        <v>0.29814399999999996</v>
      </c>
      <c r="Q9" s="17">
        <f>SUM(Q6:Q8)</f>
        <v>3.1197766800000002</v>
      </c>
      <c r="S9" s="17">
        <v>30</v>
      </c>
      <c r="T9" s="17">
        <v>80</v>
      </c>
      <c r="V9" s="17" t="s">
        <v>36</v>
      </c>
      <c r="W9" s="17" t="s">
        <v>84</v>
      </c>
      <c r="X9" s="17" t="s">
        <v>260</v>
      </c>
      <c r="Y9" s="17" t="s">
        <v>76</v>
      </c>
    </row>
    <row r="10" spans="1:25" ht="17" thickTop="1" x14ac:dyDescent="0.2"/>
    <row r="12" spans="1:25" s="10" customFormat="1" x14ac:dyDescent="0.2">
      <c r="D12" s="10" t="s">
        <v>2</v>
      </c>
      <c r="E12" s="10" t="s">
        <v>3</v>
      </c>
      <c r="F12" s="10" t="s">
        <v>4</v>
      </c>
      <c r="G12" s="21" t="s">
        <v>5</v>
      </c>
      <c r="H12" s="10" t="s">
        <v>6</v>
      </c>
      <c r="I12" s="10" t="s">
        <v>7</v>
      </c>
      <c r="J12" s="10" t="s">
        <v>8</v>
      </c>
      <c r="K12" s="11" t="s">
        <v>9</v>
      </c>
      <c r="L12" s="11" t="s">
        <v>10</v>
      </c>
      <c r="M12" s="11" t="s">
        <v>11</v>
      </c>
      <c r="N12" s="11" t="s">
        <v>12</v>
      </c>
      <c r="O12" s="25" t="s">
        <v>13</v>
      </c>
      <c r="P12" s="25" t="s">
        <v>14</v>
      </c>
      <c r="Q12" s="25" t="s">
        <v>15</v>
      </c>
      <c r="R12" s="11" t="s">
        <v>16</v>
      </c>
      <c r="S12" s="10" t="s">
        <v>17</v>
      </c>
      <c r="T12" s="10" t="s">
        <v>18</v>
      </c>
      <c r="U12" s="23" t="s">
        <v>19</v>
      </c>
      <c r="V12" s="10" t="s">
        <v>20</v>
      </c>
      <c r="W12" s="10" t="s">
        <v>21</v>
      </c>
      <c r="X12" s="10" t="s">
        <v>22</v>
      </c>
      <c r="Y12" s="10" t="s">
        <v>23</v>
      </c>
    </row>
    <row r="13" spans="1:25" s="12" customFormat="1" x14ac:dyDescent="0.2">
      <c r="F13" s="12" t="s">
        <v>24</v>
      </c>
      <c r="G13" s="6" t="s">
        <v>25</v>
      </c>
      <c r="H13" s="12" t="s">
        <v>26</v>
      </c>
      <c r="I13" s="12" t="s">
        <v>27</v>
      </c>
      <c r="K13" s="12" t="s">
        <v>28</v>
      </c>
      <c r="L13" s="12" t="s">
        <v>28</v>
      </c>
      <c r="M13" s="13" t="s">
        <v>29</v>
      </c>
      <c r="N13" s="13" t="s">
        <v>30</v>
      </c>
      <c r="O13" s="8" t="s">
        <v>31</v>
      </c>
      <c r="P13" s="8" t="s">
        <v>31</v>
      </c>
      <c r="Q13" s="8" t="s">
        <v>32</v>
      </c>
      <c r="R13" s="13" t="s">
        <v>31</v>
      </c>
      <c r="S13" s="12" t="s">
        <v>33</v>
      </c>
      <c r="T13" s="12" t="s">
        <v>33</v>
      </c>
      <c r="U13" s="9" t="s">
        <v>34</v>
      </c>
      <c r="V13" s="12" t="s">
        <v>35</v>
      </c>
    </row>
    <row r="14" spans="1:25" s="15" customFormat="1" x14ac:dyDescent="0.2">
      <c r="D14" s="15" t="s">
        <v>202</v>
      </c>
      <c r="E14" s="20" t="s">
        <v>203</v>
      </c>
      <c r="F14" s="36">
        <v>1200</v>
      </c>
      <c r="G14" s="6">
        <v>1.2500000000000001E-2</v>
      </c>
      <c r="H14" s="15">
        <v>0.32</v>
      </c>
      <c r="I14" s="15">
        <f t="shared" ref="I14:I16" si="8">H14/G14</f>
        <v>25.599999999999998</v>
      </c>
      <c r="K14" s="37">
        <v>0.53300000000000003</v>
      </c>
      <c r="L14" s="42">
        <v>1.8599999999999998E-2</v>
      </c>
      <c r="M14" s="29">
        <v>4.4900000000000002E-2</v>
      </c>
      <c r="N14" s="15">
        <f t="shared" ref="N14:N16" si="9">M14*3.66</f>
        <v>0.16433400000000001</v>
      </c>
      <c r="O14" s="8">
        <f t="shared" ref="O14:O16" si="10">K14*G14*F14</f>
        <v>7.995000000000001</v>
      </c>
      <c r="P14" s="8">
        <f t="shared" ref="P14:P16" si="11">F14*G14*L14</f>
        <v>0.27899999999999997</v>
      </c>
      <c r="Q14" s="8">
        <f t="shared" ref="Q14:Q16" si="12">F14*G14*N14</f>
        <v>2.4650099999999999</v>
      </c>
      <c r="U14" s="9"/>
      <c r="X14" s="15" t="s">
        <v>258</v>
      </c>
    </row>
    <row r="15" spans="1:25" s="15" customFormat="1" x14ac:dyDescent="0.2">
      <c r="D15" s="15" t="s">
        <v>257</v>
      </c>
      <c r="E15" s="39">
        <v>7.0090000000000003</v>
      </c>
      <c r="F15" s="15">
        <v>485</v>
      </c>
      <c r="G15" s="6">
        <f>0.04*0.06*1.5</f>
        <v>3.5999999999999999E-3</v>
      </c>
      <c r="H15" s="15">
        <v>0.13</v>
      </c>
      <c r="I15" s="15">
        <f t="shared" si="8"/>
        <v>36.111111111111114</v>
      </c>
      <c r="K15" s="43">
        <v>9.0399999999999994E-2</v>
      </c>
      <c r="L15" s="28">
        <v>3.9E-2</v>
      </c>
      <c r="M15" s="29">
        <v>0.41299999999999998</v>
      </c>
      <c r="N15" s="15">
        <f t="shared" si="9"/>
        <v>1.5115799999999999</v>
      </c>
      <c r="O15" s="8">
        <f t="shared" si="10"/>
        <v>0.15783839999999999</v>
      </c>
      <c r="P15" s="8">
        <f t="shared" si="11"/>
        <v>6.8094000000000002E-2</v>
      </c>
      <c r="Q15" s="8">
        <f t="shared" si="12"/>
        <v>2.6392186799999999</v>
      </c>
      <c r="U15" s="9"/>
      <c r="X15" s="15" t="s">
        <v>83</v>
      </c>
    </row>
    <row r="16" spans="1:25" s="15" customFormat="1" x14ac:dyDescent="0.2">
      <c r="D16" s="15" t="s">
        <v>81</v>
      </c>
      <c r="E16" s="20" t="s">
        <v>85</v>
      </c>
      <c r="F16" s="36">
        <v>650</v>
      </c>
      <c r="G16" s="6">
        <v>5.0000000000000001E-4</v>
      </c>
      <c r="H16" s="15">
        <v>0.7</v>
      </c>
      <c r="I16" s="15">
        <f t="shared" si="8"/>
        <v>1399.9999999999998</v>
      </c>
      <c r="K16" s="27">
        <v>1.61</v>
      </c>
      <c r="L16" s="42">
        <v>5.8000000000000003E-2</v>
      </c>
      <c r="M16" s="29">
        <v>0.40400000000000003</v>
      </c>
      <c r="N16" s="15">
        <f t="shared" si="9"/>
        <v>1.4786400000000002</v>
      </c>
      <c r="O16" s="8">
        <f t="shared" si="10"/>
        <v>0.52324999999999999</v>
      </c>
      <c r="P16" s="8">
        <f t="shared" si="11"/>
        <v>1.8850000000000002E-2</v>
      </c>
      <c r="Q16" s="8">
        <f t="shared" si="12"/>
        <v>0.4805580000000001</v>
      </c>
      <c r="U16" s="9"/>
      <c r="X16" s="15" t="s">
        <v>88</v>
      </c>
    </row>
    <row r="17" spans="1:25" s="17" customFormat="1" ht="17" thickBot="1" x14ac:dyDescent="0.25">
      <c r="A17" s="17" t="s">
        <v>96</v>
      </c>
      <c r="B17" s="17" t="s">
        <v>331</v>
      </c>
      <c r="I17" s="17" cm="1">
        <f t="array" ref="I17">1/SUM(1/I14:I16)</f>
        <v>14.821601262279232</v>
      </c>
      <c r="O17" s="17">
        <f>SUM(O14:O16)</f>
        <v>8.6760884000000011</v>
      </c>
      <c r="P17" s="17">
        <f>SUM(P14:P16)</f>
        <v>0.36594399999999994</v>
      </c>
      <c r="Q17" s="17">
        <f>SUM(Q14:Q16)</f>
        <v>5.5847866800000006</v>
      </c>
      <c r="S17" s="17">
        <v>30</v>
      </c>
      <c r="T17" s="17">
        <v>80</v>
      </c>
      <c r="V17" s="17" t="s">
        <v>36</v>
      </c>
      <c r="W17" s="17" t="s">
        <v>84</v>
      </c>
    </row>
    <row r="18" spans="1:25" ht="17" thickTop="1" x14ac:dyDescent="0.2"/>
    <row r="20" spans="1:25" s="10" customFormat="1" x14ac:dyDescent="0.2">
      <c r="D20" s="10" t="s">
        <v>2</v>
      </c>
      <c r="E20" s="10" t="s">
        <v>3</v>
      </c>
      <c r="F20" s="10" t="s">
        <v>4</v>
      </c>
      <c r="G20" s="21" t="s">
        <v>5</v>
      </c>
      <c r="H20" s="10" t="s">
        <v>6</v>
      </c>
      <c r="I20" s="10" t="s">
        <v>7</v>
      </c>
      <c r="J20" s="10" t="s">
        <v>8</v>
      </c>
      <c r="K20" s="11" t="s">
        <v>9</v>
      </c>
      <c r="L20" s="11" t="s">
        <v>10</v>
      </c>
      <c r="M20" s="11" t="s">
        <v>11</v>
      </c>
      <c r="N20" s="11" t="s">
        <v>12</v>
      </c>
      <c r="O20" s="25" t="s">
        <v>13</v>
      </c>
      <c r="P20" s="25" t="s">
        <v>14</v>
      </c>
      <c r="Q20" s="25" t="s">
        <v>15</v>
      </c>
      <c r="R20" s="11" t="s">
        <v>16</v>
      </c>
      <c r="S20" s="10" t="s">
        <v>17</v>
      </c>
      <c r="T20" s="10" t="s">
        <v>18</v>
      </c>
      <c r="U20" s="23" t="s">
        <v>19</v>
      </c>
      <c r="V20" s="10" t="s">
        <v>20</v>
      </c>
      <c r="W20" s="10" t="s">
        <v>21</v>
      </c>
      <c r="X20" s="10" t="s">
        <v>22</v>
      </c>
      <c r="Y20" s="10" t="s">
        <v>23</v>
      </c>
    </row>
    <row r="21" spans="1:25" s="12" customFormat="1" x14ac:dyDescent="0.2">
      <c r="F21" s="12" t="s">
        <v>24</v>
      </c>
      <c r="G21" s="6" t="s">
        <v>25</v>
      </c>
      <c r="H21" s="12" t="s">
        <v>26</v>
      </c>
      <c r="I21" s="12" t="s">
        <v>27</v>
      </c>
      <c r="K21" s="12" t="s">
        <v>28</v>
      </c>
      <c r="L21" s="12" t="s">
        <v>28</v>
      </c>
      <c r="M21" s="13" t="s">
        <v>29</v>
      </c>
      <c r="N21" s="13" t="s">
        <v>30</v>
      </c>
      <c r="O21" s="8" t="s">
        <v>31</v>
      </c>
      <c r="P21" s="8" t="s">
        <v>31</v>
      </c>
      <c r="Q21" s="8" t="s">
        <v>32</v>
      </c>
      <c r="R21" s="13" t="s">
        <v>31</v>
      </c>
      <c r="S21" s="12" t="s">
        <v>33</v>
      </c>
      <c r="T21" s="12" t="s">
        <v>33</v>
      </c>
      <c r="U21" s="9" t="s">
        <v>34</v>
      </c>
      <c r="V21" s="12" t="s">
        <v>35</v>
      </c>
    </row>
    <row r="22" spans="1:25" s="15" customFormat="1" x14ac:dyDescent="0.2">
      <c r="D22" s="15" t="s">
        <v>99</v>
      </c>
      <c r="E22" s="20" t="s">
        <v>87</v>
      </c>
      <c r="F22" s="15">
        <v>50</v>
      </c>
      <c r="G22" s="6">
        <v>0.08</v>
      </c>
      <c r="H22" s="15">
        <v>3.4000000000000002E-2</v>
      </c>
      <c r="I22" s="15">
        <f>H22/G22</f>
        <v>0.42500000000000004</v>
      </c>
      <c r="K22" s="27">
        <v>1.1299999999999999</v>
      </c>
      <c r="L22" s="42">
        <v>5.9200000000000003E-2</v>
      </c>
      <c r="M22" s="42">
        <v>0</v>
      </c>
      <c r="N22" s="15">
        <f t="shared" ref="N22:N23" si="13">M22*3.66</f>
        <v>0</v>
      </c>
      <c r="O22" s="8">
        <f t="shared" ref="O22:O23" si="14">K22*G22*F22</f>
        <v>4.5199999999999996</v>
      </c>
      <c r="P22" s="8">
        <f t="shared" ref="P22:P23" si="15">F22*G22*L22</f>
        <v>0.23680000000000001</v>
      </c>
      <c r="Q22" s="8">
        <f t="shared" ref="Q22:Q23" si="16">F22*G22*N22</f>
        <v>0</v>
      </c>
      <c r="U22" s="9"/>
    </row>
    <row r="23" spans="1:25" s="15" customFormat="1" x14ac:dyDescent="0.2">
      <c r="D23" s="15" t="s">
        <v>94</v>
      </c>
      <c r="E23" s="39">
        <v>7.0090000000000003</v>
      </c>
      <c r="F23" s="15">
        <v>485</v>
      </c>
      <c r="G23" s="6">
        <f>0.04*0.06*1</f>
        <v>2.3999999999999998E-3</v>
      </c>
      <c r="H23" s="15">
        <v>0.13</v>
      </c>
      <c r="K23" s="43">
        <v>9.0399999999999994E-2</v>
      </c>
      <c r="L23" s="28">
        <v>3.9E-2</v>
      </c>
      <c r="M23" s="29">
        <v>0.41299999999999998</v>
      </c>
      <c r="N23" s="15">
        <f t="shared" si="13"/>
        <v>1.5115799999999999</v>
      </c>
      <c r="O23" s="8">
        <f t="shared" si="14"/>
        <v>0.10522559999999997</v>
      </c>
      <c r="P23" s="8">
        <f t="shared" si="15"/>
        <v>4.5395999999999999E-2</v>
      </c>
      <c r="Q23" s="8">
        <f t="shared" si="16"/>
        <v>1.7594791199999997</v>
      </c>
      <c r="U23" s="9"/>
      <c r="X23" s="15" t="s">
        <v>107</v>
      </c>
    </row>
    <row r="24" spans="1:25" s="17" customFormat="1" ht="17" thickBot="1" x14ac:dyDescent="0.25">
      <c r="A24" s="17" t="s">
        <v>86</v>
      </c>
      <c r="B24" s="17" t="s">
        <v>199</v>
      </c>
      <c r="G24" s="22"/>
      <c r="I24" s="17">
        <f>I22</f>
        <v>0.42500000000000004</v>
      </c>
      <c r="O24" s="26">
        <f>SUM(O22:O23)</f>
        <v>4.6252255999999994</v>
      </c>
      <c r="P24" s="26">
        <f>SUM(P22:P23)</f>
        <v>0.282196</v>
      </c>
      <c r="Q24" s="26">
        <f>SUM(Q22:Q23)</f>
        <v>1.7594791199999997</v>
      </c>
      <c r="S24" s="17">
        <v>30</v>
      </c>
      <c r="T24" s="17">
        <v>80</v>
      </c>
      <c r="U24" s="24"/>
      <c r="V24" s="17" t="s">
        <v>36</v>
      </c>
      <c r="W24" s="17" t="s">
        <v>100</v>
      </c>
      <c r="X24" s="17" t="s">
        <v>98</v>
      </c>
      <c r="Y24" s="17" t="s">
        <v>76</v>
      </c>
    </row>
    <row r="25" spans="1:25" ht="17" thickTop="1" x14ac:dyDescent="0.2"/>
    <row r="26" spans="1:25" s="10" customFormat="1" x14ac:dyDescent="0.2">
      <c r="D26" s="10" t="s">
        <v>2</v>
      </c>
      <c r="E26" s="10" t="s">
        <v>3</v>
      </c>
      <c r="F26" s="10" t="s">
        <v>4</v>
      </c>
      <c r="G26" s="21" t="s">
        <v>5</v>
      </c>
      <c r="H26" s="10" t="s">
        <v>6</v>
      </c>
      <c r="I26" s="10" t="s">
        <v>7</v>
      </c>
      <c r="J26" s="10" t="s">
        <v>8</v>
      </c>
      <c r="K26" s="11" t="s">
        <v>9</v>
      </c>
      <c r="L26" s="11" t="s">
        <v>10</v>
      </c>
      <c r="M26" s="11" t="s">
        <v>11</v>
      </c>
      <c r="N26" s="11" t="s">
        <v>12</v>
      </c>
      <c r="O26" s="25" t="s">
        <v>13</v>
      </c>
      <c r="P26" s="25" t="s">
        <v>14</v>
      </c>
      <c r="Q26" s="25" t="s">
        <v>15</v>
      </c>
      <c r="R26" s="11" t="s">
        <v>16</v>
      </c>
      <c r="S26" s="10" t="s">
        <v>17</v>
      </c>
      <c r="T26" s="10" t="s">
        <v>18</v>
      </c>
      <c r="U26" s="23" t="s">
        <v>19</v>
      </c>
      <c r="V26" s="10" t="s">
        <v>20</v>
      </c>
      <c r="W26" s="10" t="s">
        <v>21</v>
      </c>
      <c r="X26" s="10" t="s">
        <v>22</v>
      </c>
      <c r="Y26" s="10" t="s">
        <v>23</v>
      </c>
    </row>
    <row r="27" spans="1:25" s="12" customFormat="1" x14ac:dyDescent="0.2">
      <c r="F27" s="12" t="s">
        <v>24</v>
      </c>
      <c r="G27" s="6" t="s">
        <v>25</v>
      </c>
      <c r="H27" s="12" t="s">
        <v>26</v>
      </c>
      <c r="I27" s="12" t="s">
        <v>27</v>
      </c>
      <c r="K27" s="12" t="s">
        <v>28</v>
      </c>
      <c r="L27" s="12" t="s">
        <v>28</v>
      </c>
      <c r="M27" s="13" t="s">
        <v>29</v>
      </c>
      <c r="N27" s="13" t="s">
        <v>30</v>
      </c>
      <c r="O27" s="8" t="s">
        <v>31</v>
      </c>
      <c r="P27" s="8" t="s">
        <v>31</v>
      </c>
      <c r="Q27" s="8" t="s">
        <v>32</v>
      </c>
      <c r="R27" s="13" t="s">
        <v>31</v>
      </c>
      <c r="S27" s="12" t="s">
        <v>33</v>
      </c>
      <c r="T27" s="12" t="s">
        <v>33</v>
      </c>
      <c r="U27" s="9" t="s">
        <v>34</v>
      </c>
      <c r="V27" s="12" t="s">
        <v>35</v>
      </c>
    </row>
    <row r="28" spans="1:25" s="15" customFormat="1" x14ac:dyDescent="0.2">
      <c r="D28" s="15" t="s">
        <v>99</v>
      </c>
      <c r="E28" s="20" t="s">
        <v>87</v>
      </c>
      <c r="F28" s="15">
        <v>50</v>
      </c>
      <c r="G28" s="6">
        <v>0.16</v>
      </c>
      <c r="H28" s="15">
        <v>3.4000000000000002E-2</v>
      </c>
      <c r="I28" s="15">
        <f>H28/G28</f>
        <v>0.21250000000000002</v>
      </c>
      <c r="K28" s="27">
        <v>1.1299999999999999</v>
      </c>
      <c r="L28" s="42">
        <v>5.9200000000000003E-2</v>
      </c>
      <c r="M28" s="42">
        <v>0</v>
      </c>
      <c r="N28" s="15">
        <f t="shared" ref="N28:N29" si="17">M28*3.66</f>
        <v>0</v>
      </c>
      <c r="O28" s="8">
        <f t="shared" ref="O28:O29" si="18">K28*G28*F28</f>
        <v>9.0399999999999991</v>
      </c>
      <c r="P28" s="8">
        <f t="shared" ref="P28:P29" si="19">F28*G28*L28</f>
        <v>0.47360000000000002</v>
      </c>
      <c r="Q28" s="8">
        <f t="shared" ref="Q28:Q29" si="20">F28*G28*N28</f>
        <v>0</v>
      </c>
      <c r="U28" s="9"/>
    </row>
    <row r="29" spans="1:25" s="15" customFormat="1" x14ac:dyDescent="0.2">
      <c r="D29" s="15" t="s">
        <v>93</v>
      </c>
      <c r="E29" s="39">
        <v>7.0090000000000003</v>
      </c>
      <c r="F29" s="15">
        <v>485</v>
      </c>
      <c r="G29" s="6">
        <f>0.08*0.06*1</f>
        <v>4.7999999999999996E-3</v>
      </c>
      <c r="H29" s="15">
        <v>0.13</v>
      </c>
      <c r="K29" s="43">
        <v>9.0399999999999994E-2</v>
      </c>
      <c r="L29" s="28">
        <v>3.9E-2</v>
      </c>
      <c r="M29" s="29">
        <v>0.41299999999999998</v>
      </c>
      <c r="N29" s="15">
        <f t="shared" si="17"/>
        <v>1.5115799999999999</v>
      </c>
      <c r="O29" s="8">
        <f t="shared" si="18"/>
        <v>0.21045119999999995</v>
      </c>
      <c r="P29" s="8">
        <f t="shared" si="19"/>
        <v>9.0791999999999998E-2</v>
      </c>
      <c r="Q29" s="8">
        <f t="shared" si="20"/>
        <v>3.5189582399999995</v>
      </c>
      <c r="U29" s="9"/>
      <c r="X29" s="15" t="s">
        <v>107</v>
      </c>
    </row>
    <row r="30" spans="1:25" s="17" customFormat="1" ht="17" thickBot="1" x14ac:dyDescent="0.25">
      <c r="A30" s="17" t="s">
        <v>90</v>
      </c>
      <c r="B30" s="17" t="s">
        <v>199</v>
      </c>
      <c r="G30" s="22"/>
      <c r="I30" s="17">
        <f>I28</f>
        <v>0.21250000000000002</v>
      </c>
      <c r="O30" s="26">
        <f>SUM(O28:O29)</f>
        <v>9.2504511999999988</v>
      </c>
      <c r="P30" s="26">
        <f>SUM(P28:P29)</f>
        <v>0.564392</v>
      </c>
      <c r="Q30" s="26">
        <f>SUM(Q28:Q29)</f>
        <v>3.5189582399999995</v>
      </c>
      <c r="S30" s="17">
        <v>30</v>
      </c>
      <c r="T30" s="17">
        <v>80</v>
      </c>
      <c r="U30" s="24"/>
      <c r="V30" s="17" t="s">
        <v>36</v>
      </c>
      <c r="W30" s="17" t="s">
        <v>100</v>
      </c>
      <c r="X30" s="17" t="s">
        <v>98</v>
      </c>
      <c r="Y30" s="17" t="s">
        <v>76</v>
      </c>
    </row>
    <row r="31" spans="1:25" ht="17" thickTop="1" x14ac:dyDescent="0.2"/>
    <row r="32" spans="1:25" s="10" customFormat="1" x14ac:dyDescent="0.2">
      <c r="D32" s="10" t="s">
        <v>2</v>
      </c>
      <c r="E32" s="10" t="s">
        <v>3</v>
      </c>
      <c r="F32" s="10" t="s">
        <v>4</v>
      </c>
      <c r="G32" s="21" t="s">
        <v>5</v>
      </c>
      <c r="H32" s="10" t="s">
        <v>6</v>
      </c>
      <c r="I32" s="10" t="s">
        <v>7</v>
      </c>
      <c r="J32" s="10" t="s">
        <v>8</v>
      </c>
      <c r="K32" s="11" t="s">
        <v>9</v>
      </c>
      <c r="L32" s="11" t="s">
        <v>10</v>
      </c>
      <c r="M32" s="11" t="s">
        <v>11</v>
      </c>
      <c r="N32" s="11" t="s">
        <v>12</v>
      </c>
      <c r="O32" s="25" t="s">
        <v>13</v>
      </c>
      <c r="P32" s="25" t="s">
        <v>14</v>
      </c>
      <c r="Q32" s="25" t="s">
        <v>15</v>
      </c>
      <c r="R32" s="11" t="s">
        <v>16</v>
      </c>
      <c r="S32" s="10" t="s">
        <v>17</v>
      </c>
      <c r="T32" s="10" t="s">
        <v>18</v>
      </c>
      <c r="U32" s="23" t="s">
        <v>19</v>
      </c>
      <c r="V32" s="10" t="s">
        <v>20</v>
      </c>
      <c r="W32" s="10" t="s">
        <v>21</v>
      </c>
      <c r="X32" s="10" t="s">
        <v>22</v>
      </c>
      <c r="Y32" s="10" t="s">
        <v>23</v>
      </c>
    </row>
    <row r="33" spans="1:25" s="12" customFormat="1" x14ac:dyDescent="0.2">
      <c r="F33" s="12" t="s">
        <v>24</v>
      </c>
      <c r="G33" s="6" t="s">
        <v>25</v>
      </c>
      <c r="H33" s="12" t="s">
        <v>26</v>
      </c>
      <c r="I33" s="12" t="s">
        <v>27</v>
      </c>
      <c r="K33" s="12" t="s">
        <v>28</v>
      </c>
      <c r="L33" s="12" t="s">
        <v>28</v>
      </c>
      <c r="M33" s="13" t="s">
        <v>29</v>
      </c>
      <c r="N33" s="13" t="s">
        <v>30</v>
      </c>
      <c r="O33" s="8" t="s">
        <v>31</v>
      </c>
      <c r="P33" s="8" t="s">
        <v>31</v>
      </c>
      <c r="Q33" s="8" t="s">
        <v>32</v>
      </c>
      <c r="R33" s="13" t="s">
        <v>31</v>
      </c>
      <c r="S33" s="12" t="s">
        <v>33</v>
      </c>
      <c r="T33" s="12" t="s">
        <v>33</v>
      </c>
      <c r="U33" s="9" t="s">
        <v>34</v>
      </c>
      <c r="V33" s="12" t="s">
        <v>35</v>
      </c>
    </row>
    <row r="34" spans="1:25" s="15" customFormat="1" x14ac:dyDescent="0.2">
      <c r="D34" s="15" t="s">
        <v>99</v>
      </c>
      <c r="E34" s="20" t="s">
        <v>87</v>
      </c>
      <c r="F34" s="15">
        <v>50</v>
      </c>
      <c r="G34" s="6">
        <v>0.24</v>
      </c>
      <c r="H34" s="15">
        <v>3.4000000000000002E-2</v>
      </c>
      <c r="I34" s="15">
        <f>H34/G34</f>
        <v>0.14166666666666669</v>
      </c>
      <c r="K34" s="27">
        <v>1.1299999999999999</v>
      </c>
      <c r="L34" s="42">
        <v>5.9200000000000003E-2</v>
      </c>
      <c r="M34" s="42">
        <v>0</v>
      </c>
      <c r="N34" s="15">
        <f t="shared" ref="N34:N35" si="21">M34*3.66</f>
        <v>0</v>
      </c>
      <c r="O34" s="8">
        <f t="shared" ref="O34:O35" si="22">K34*G34*F34</f>
        <v>13.559999999999997</v>
      </c>
      <c r="P34" s="8">
        <f t="shared" ref="P34:P35" si="23">F34*G34*L34</f>
        <v>0.71040000000000003</v>
      </c>
      <c r="Q34" s="8">
        <f t="shared" ref="Q34:Q35" si="24">F34*G34*N34</f>
        <v>0</v>
      </c>
      <c r="U34" s="9"/>
    </row>
    <row r="35" spans="1:25" s="15" customFormat="1" x14ac:dyDescent="0.2">
      <c r="D35" s="15" t="s">
        <v>93</v>
      </c>
      <c r="E35" s="39">
        <v>7.0090000000000003</v>
      </c>
      <c r="F35" s="15">
        <v>485</v>
      </c>
      <c r="G35" s="6">
        <f>0.08*0.06*1</f>
        <v>4.7999999999999996E-3</v>
      </c>
      <c r="H35" s="15">
        <v>0.13</v>
      </c>
      <c r="K35" s="43">
        <v>9.0399999999999994E-2</v>
      </c>
      <c r="L35" s="28">
        <v>3.9E-2</v>
      </c>
      <c r="M35" s="29">
        <v>0.41299999999999998</v>
      </c>
      <c r="N35" s="15">
        <f t="shared" si="21"/>
        <v>1.5115799999999999</v>
      </c>
      <c r="O35" s="8">
        <f t="shared" si="22"/>
        <v>0.21045119999999995</v>
      </c>
      <c r="P35" s="8">
        <f t="shared" si="23"/>
        <v>9.0791999999999998E-2</v>
      </c>
      <c r="Q35" s="8">
        <f t="shared" si="24"/>
        <v>3.5189582399999995</v>
      </c>
      <c r="U35" s="9"/>
      <c r="X35" s="15" t="s">
        <v>107</v>
      </c>
    </row>
    <row r="36" spans="1:25" s="17" customFormat="1" ht="17" thickBot="1" x14ac:dyDescent="0.25">
      <c r="A36" s="17" t="s">
        <v>91</v>
      </c>
      <c r="B36" s="17" t="s">
        <v>199</v>
      </c>
      <c r="G36" s="22"/>
      <c r="I36" s="17">
        <f>I34</f>
        <v>0.14166666666666669</v>
      </c>
      <c r="O36" s="26">
        <f>SUM(O34:O35)</f>
        <v>13.770451199999997</v>
      </c>
      <c r="P36" s="26">
        <f>SUM(P34:P35)</f>
        <v>0.80119200000000002</v>
      </c>
      <c r="Q36" s="26">
        <f>SUM(Q34:Q35)</f>
        <v>3.5189582399999995</v>
      </c>
      <c r="S36" s="17">
        <v>30</v>
      </c>
      <c r="T36" s="17">
        <v>80</v>
      </c>
      <c r="U36" s="24"/>
      <c r="V36" s="17" t="s">
        <v>36</v>
      </c>
      <c r="W36" s="17" t="s">
        <v>100</v>
      </c>
      <c r="X36" s="17" t="s">
        <v>98</v>
      </c>
      <c r="Y36" s="17" t="s">
        <v>76</v>
      </c>
    </row>
    <row r="37" spans="1:25" ht="17" thickTop="1" x14ac:dyDescent="0.2"/>
    <row r="38" spans="1:25" s="10" customFormat="1" x14ac:dyDescent="0.2">
      <c r="D38" s="10" t="s">
        <v>2</v>
      </c>
      <c r="E38" s="10" t="s">
        <v>3</v>
      </c>
      <c r="F38" s="10" t="s">
        <v>4</v>
      </c>
      <c r="G38" s="21" t="s">
        <v>5</v>
      </c>
      <c r="H38" s="10" t="s">
        <v>6</v>
      </c>
      <c r="I38" s="10" t="s">
        <v>7</v>
      </c>
      <c r="J38" s="10" t="s">
        <v>8</v>
      </c>
      <c r="K38" s="11" t="s">
        <v>9</v>
      </c>
      <c r="L38" s="11" t="s">
        <v>10</v>
      </c>
      <c r="M38" s="11" t="s">
        <v>11</v>
      </c>
      <c r="N38" s="11" t="s">
        <v>12</v>
      </c>
      <c r="O38" s="25" t="s">
        <v>13</v>
      </c>
      <c r="P38" s="25" t="s">
        <v>14</v>
      </c>
      <c r="Q38" s="25" t="s">
        <v>15</v>
      </c>
      <c r="R38" s="11" t="s">
        <v>16</v>
      </c>
      <c r="S38" s="10" t="s">
        <v>17</v>
      </c>
      <c r="T38" s="10" t="s">
        <v>18</v>
      </c>
      <c r="U38" s="23" t="s">
        <v>19</v>
      </c>
      <c r="V38" s="10" t="s">
        <v>20</v>
      </c>
      <c r="W38" s="10" t="s">
        <v>21</v>
      </c>
      <c r="X38" s="10" t="s">
        <v>22</v>
      </c>
      <c r="Y38" s="10" t="s">
        <v>23</v>
      </c>
    </row>
    <row r="39" spans="1:25" s="12" customFormat="1" x14ac:dyDescent="0.2">
      <c r="F39" s="12" t="s">
        <v>24</v>
      </c>
      <c r="G39" s="6" t="s">
        <v>25</v>
      </c>
      <c r="H39" s="12" t="s">
        <v>26</v>
      </c>
      <c r="I39" s="12" t="s">
        <v>27</v>
      </c>
      <c r="K39" s="12" t="s">
        <v>28</v>
      </c>
      <c r="L39" s="12" t="s">
        <v>28</v>
      </c>
      <c r="M39" s="13" t="s">
        <v>29</v>
      </c>
      <c r="N39" s="13" t="s">
        <v>30</v>
      </c>
      <c r="O39" s="8" t="s">
        <v>31</v>
      </c>
      <c r="P39" s="8" t="s">
        <v>31</v>
      </c>
      <c r="Q39" s="8" t="s">
        <v>32</v>
      </c>
      <c r="R39" s="13" t="s">
        <v>31</v>
      </c>
      <c r="S39" s="12" t="s">
        <v>33</v>
      </c>
      <c r="T39" s="12" t="s">
        <v>33</v>
      </c>
      <c r="U39" s="9" t="s">
        <v>34</v>
      </c>
      <c r="V39" s="12" t="s">
        <v>35</v>
      </c>
    </row>
    <row r="40" spans="1:25" s="15" customFormat="1" x14ac:dyDescent="0.2">
      <c r="D40" s="15" t="s">
        <v>99</v>
      </c>
      <c r="E40" s="20" t="s">
        <v>87</v>
      </c>
      <c r="F40" s="15">
        <v>50</v>
      </c>
      <c r="G40" s="6">
        <v>0.32</v>
      </c>
      <c r="H40" s="15">
        <v>3.4000000000000002E-2</v>
      </c>
      <c r="I40" s="15">
        <f>H40/G40</f>
        <v>0.10625000000000001</v>
      </c>
      <c r="K40" s="27">
        <v>1.1299999999999999</v>
      </c>
      <c r="L40" s="42">
        <v>5.9200000000000003E-2</v>
      </c>
      <c r="M40" s="42">
        <v>0</v>
      </c>
      <c r="N40" s="15">
        <f t="shared" ref="N40:N41" si="25">M40*3.66</f>
        <v>0</v>
      </c>
      <c r="O40" s="8">
        <f t="shared" ref="O40:O41" si="26">K40*G40*F40</f>
        <v>18.079999999999998</v>
      </c>
      <c r="P40" s="8">
        <f t="shared" ref="P40:P41" si="27">F40*G40*L40</f>
        <v>0.94720000000000004</v>
      </c>
      <c r="Q40" s="8">
        <f t="shared" ref="Q40:Q41" si="28">F40*G40*N40</f>
        <v>0</v>
      </c>
      <c r="U40" s="9"/>
    </row>
    <row r="41" spans="1:25" s="15" customFormat="1" x14ac:dyDescent="0.2">
      <c r="D41" s="15" t="s">
        <v>93</v>
      </c>
      <c r="E41" s="39">
        <v>7.0090000000000003</v>
      </c>
      <c r="F41" s="15">
        <v>485</v>
      </c>
      <c r="G41" s="6">
        <f>0.08*0.06*1</f>
        <v>4.7999999999999996E-3</v>
      </c>
      <c r="H41" s="15">
        <v>0.13</v>
      </c>
      <c r="K41" s="43">
        <v>9.0399999999999994E-2</v>
      </c>
      <c r="L41" s="28">
        <v>3.9E-2</v>
      </c>
      <c r="M41" s="29">
        <v>0.41299999999999998</v>
      </c>
      <c r="N41" s="15">
        <f t="shared" si="25"/>
        <v>1.5115799999999999</v>
      </c>
      <c r="O41" s="8">
        <f t="shared" si="26"/>
        <v>0.21045119999999995</v>
      </c>
      <c r="P41" s="8">
        <f t="shared" si="27"/>
        <v>9.0791999999999998E-2</v>
      </c>
      <c r="Q41" s="8">
        <f t="shared" si="28"/>
        <v>3.5189582399999995</v>
      </c>
      <c r="U41" s="9"/>
      <c r="X41" s="15" t="s">
        <v>107</v>
      </c>
    </row>
    <row r="42" spans="1:25" s="17" customFormat="1" ht="17" thickBot="1" x14ac:dyDescent="0.25">
      <c r="A42" s="17" t="s">
        <v>92</v>
      </c>
      <c r="B42" s="17" t="s">
        <v>199</v>
      </c>
      <c r="G42" s="22"/>
      <c r="I42" s="17">
        <f>I40</f>
        <v>0.10625000000000001</v>
      </c>
      <c r="O42" s="26">
        <f>SUM(O40:O41)</f>
        <v>18.2904512</v>
      </c>
      <c r="P42" s="26">
        <f>SUM(P40:P41)</f>
        <v>1.037992</v>
      </c>
      <c r="Q42" s="26">
        <f>SUM(Q40:Q41)</f>
        <v>3.5189582399999995</v>
      </c>
      <c r="S42" s="17">
        <v>30</v>
      </c>
      <c r="T42" s="17">
        <v>80</v>
      </c>
      <c r="U42" s="24"/>
      <c r="V42" s="17" t="s">
        <v>36</v>
      </c>
      <c r="W42" s="17" t="s">
        <v>100</v>
      </c>
      <c r="X42" s="17" t="s">
        <v>98</v>
      </c>
      <c r="Y42" s="17" t="s">
        <v>76</v>
      </c>
    </row>
    <row r="43" spans="1:25" ht="17" thickTop="1" x14ac:dyDescent="0.2"/>
    <row r="44" spans="1:25" s="10" customFormat="1" x14ac:dyDescent="0.2">
      <c r="D44" s="10" t="s">
        <v>2</v>
      </c>
      <c r="E44" s="10" t="s">
        <v>3</v>
      </c>
      <c r="F44" s="10" t="s">
        <v>4</v>
      </c>
      <c r="G44" s="21" t="s">
        <v>5</v>
      </c>
      <c r="H44" s="10" t="s">
        <v>6</v>
      </c>
      <c r="I44" s="10" t="s">
        <v>7</v>
      </c>
      <c r="J44" s="10" t="s">
        <v>8</v>
      </c>
      <c r="K44" s="11" t="s">
        <v>9</v>
      </c>
      <c r="L44" s="11" t="s">
        <v>10</v>
      </c>
      <c r="M44" s="11" t="s">
        <v>11</v>
      </c>
      <c r="N44" s="11" t="s">
        <v>12</v>
      </c>
      <c r="O44" s="25" t="s">
        <v>13</v>
      </c>
      <c r="P44" s="25" t="s">
        <v>14</v>
      </c>
      <c r="Q44" s="25" t="s">
        <v>15</v>
      </c>
      <c r="R44" s="11" t="s">
        <v>16</v>
      </c>
      <c r="S44" s="10" t="s">
        <v>17</v>
      </c>
      <c r="T44" s="10" t="s">
        <v>18</v>
      </c>
      <c r="U44" s="23" t="s">
        <v>19</v>
      </c>
      <c r="V44" s="10" t="s">
        <v>20</v>
      </c>
      <c r="W44" s="10" t="s">
        <v>21</v>
      </c>
      <c r="X44" s="10" t="s">
        <v>22</v>
      </c>
      <c r="Y44" s="10" t="s">
        <v>23</v>
      </c>
    </row>
    <row r="45" spans="1:25" s="12" customFormat="1" x14ac:dyDescent="0.2">
      <c r="F45" s="12" t="s">
        <v>24</v>
      </c>
      <c r="G45" s="6" t="s">
        <v>25</v>
      </c>
      <c r="H45" s="12" t="s">
        <v>26</v>
      </c>
      <c r="I45" s="12" t="s">
        <v>27</v>
      </c>
      <c r="K45" s="12" t="s">
        <v>28</v>
      </c>
      <c r="L45" s="12" t="s">
        <v>28</v>
      </c>
      <c r="M45" s="13" t="s">
        <v>29</v>
      </c>
      <c r="N45" s="13" t="s">
        <v>30</v>
      </c>
      <c r="O45" s="8" t="s">
        <v>31</v>
      </c>
      <c r="P45" s="8" t="s">
        <v>31</v>
      </c>
      <c r="Q45" s="8" t="s">
        <v>32</v>
      </c>
      <c r="R45" s="13" t="s">
        <v>31</v>
      </c>
      <c r="S45" s="12" t="s">
        <v>33</v>
      </c>
      <c r="T45" s="12" t="s">
        <v>33</v>
      </c>
      <c r="U45" s="9" t="s">
        <v>34</v>
      </c>
      <c r="V45" s="12" t="s">
        <v>35</v>
      </c>
    </row>
    <row r="46" spans="1:25" s="15" customFormat="1" x14ac:dyDescent="0.2">
      <c r="D46" s="15" t="s">
        <v>99</v>
      </c>
      <c r="E46" s="20" t="s">
        <v>87</v>
      </c>
      <c r="F46" s="15">
        <v>50</v>
      </c>
      <c r="G46" s="6">
        <v>0.64</v>
      </c>
      <c r="H46" s="15">
        <v>3.4000000000000002E-2</v>
      </c>
      <c r="I46" s="15">
        <f>H46/G46</f>
        <v>5.3125000000000006E-2</v>
      </c>
      <c r="K46" s="27">
        <v>1.1299999999999999</v>
      </c>
      <c r="L46" s="42">
        <v>5.9200000000000003E-2</v>
      </c>
      <c r="M46" s="42">
        <v>0</v>
      </c>
      <c r="N46" s="15">
        <f t="shared" ref="N46:N47" si="29">M46*3.66</f>
        <v>0</v>
      </c>
      <c r="O46" s="8">
        <f t="shared" ref="O46:O47" si="30">K46*G46*F46</f>
        <v>36.159999999999997</v>
      </c>
      <c r="P46" s="8">
        <f t="shared" ref="P46:P47" si="31">F46*G46*L46</f>
        <v>1.8944000000000001</v>
      </c>
      <c r="Q46" s="8">
        <f t="shared" ref="Q46:Q47" si="32">F46*G46*N46</f>
        <v>0</v>
      </c>
      <c r="U46" s="9"/>
    </row>
    <row r="47" spans="1:25" s="15" customFormat="1" x14ac:dyDescent="0.2">
      <c r="D47" s="15" t="s">
        <v>93</v>
      </c>
      <c r="E47" s="39">
        <v>7.0090000000000003</v>
      </c>
      <c r="F47" s="15">
        <v>485</v>
      </c>
      <c r="G47" s="6">
        <f>0.08*0.06*1</f>
        <v>4.7999999999999996E-3</v>
      </c>
      <c r="H47" s="15">
        <v>0.13</v>
      </c>
      <c r="K47" s="43">
        <v>9.0399999999999994E-2</v>
      </c>
      <c r="L47" s="28">
        <v>3.9E-2</v>
      </c>
      <c r="M47" s="29">
        <v>0.41299999999999998</v>
      </c>
      <c r="N47" s="15">
        <f t="shared" si="29"/>
        <v>1.5115799999999999</v>
      </c>
      <c r="O47" s="8">
        <f t="shared" si="30"/>
        <v>0.21045119999999995</v>
      </c>
      <c r="P47" s="8">
        <f t="shared" si="31"/>
        <v>9.0791999999999998E-2</v>
      </c>
      <c r="Q47" s="8">
        <f t="shared" si="32"/>
        <v>3.5189582399999995</v>
      </c>
      <c r="U47" s="9"/>
      <c r="X47" s="15" t="s">
        <v>107</v>
      </c>
    </row>
    <row r="48" spans="1:25" s="17" customFormat="1" ht="17" thickBot="1" x14ac:dyDescent="0.25">
      <c r="A48" s="17" t="s">
        <v>97</v>
      </c>
      <c r="B48" s="17" t="s">
        <v>199</v>
      </c>
      <c r="G48" s="22"/>
      <c r="I48" s="17">
        <f>I46</f>
        <v>5.3125000000000006E-2</v>
      </c>
      <c r="O48" s="26">
        <f>SUM(O46:O47)</f>
        <v>36.370451199999998</v>
      </c>
      <c r="P48" s="26">
        <f>SUM(P46:P47)</f>
        <v>1.9851920000000001</v>
      </c>
      <c r="Q48" s="26">
        <f>SUM(Q46:Q47)</f>
        <v>3.5189582399999995</v>
      </c>
      <c r="S48" s="17">
        <v>30</v>
      </c>
      <c r="T48" s="17">
        <v>80</v>
      </c>
      <c r="U48" s="24"/>
      <c r="V48" s="17" t="s">
        <v>36</v>
      </c>
      <c r="W48" s="17" t="s">
        <v>100</v>
      </c>
      <c r="X48" s="17" t="s">
        <v>98</v>
      </c>
      <c r="Y48" s="17" t="s">
        <v>76</v>
      </c>
    </row>
    <row r="49" spans="1:25" ht="17" thickTop="1" x14ac:dyDescent="0.2"/>
    <row r="50" spans="1:25" s="10" customFormat="1" x14ac:dyDescent="0.2">
      <c r="D50" s="10" t="s">
        <v>2</v>
      </c>
      <c r="E50" s="10" t="s">
        <v>3</v>
      </c>
      <c r="F50" s="10" t="s">
        <v>4</v>
      </c>
      <c r="G50" s="21" t="s">
        <v>5</v>
      </c>
      <c r="H50" s="10" t="s">
        <v>6</v>
      </c>
      <c r="I50" s="10" t="s">
        <v>7</v>
      </c>
      <c r="J50" s="10" t="s">
        <v>8</v>
      </c>
      <c r="K50" s="11" t="s">
        <v>9</v>
      </c>
      <c r="L50" s="11" t="s">
        <v>10</v>
      </c>
      <c r="M50" s="11" t="s">
        <v>11</v>
      </c>
      <c r="N50" s="11" t="s">
        <v>12</v>
      </c>
      <c r="O50" s="25" t="s">
        <v>13</v>
      </c>
      <c r="P50" s="25" t="s">
        <v>14</v>
      </c>
      <c r="Q50" s="25" t="s">
        <v>15</v>
      </c>
      <c r="R50" s="11" t="s">
        <v>16</v>
      </c>
      <c r="S50" s="10" t="s">
        <v>17</v>
      </c>
      <c r="T50" s="10" t="s">
        <v>18</v>
      </c>
      <c r="U50" s="23" t="s">
        <v>19</v>
      </c>
      <c r="V50" s="10" t="s">
        <v>20</v>
      </c>
      <c r="W50" s="10" t="s">
        <v>21</v>
      </c>
      <c r="X50" s="10" t="s">
        <v>22</v>
      </c>
      <c r="Y50" s="10" t="s">
        <v>23</v>
      </c>
    </row>
    <row r="51" spans="1:25" s="12" customFormat="1" x14ac:dyDescent="0.2">
      <c r="F51" s="12" t="s">
        <v>24</v>
      </c>
      <c r="G51" s="6" t="s">
        <v>25</v>
      </c>
      <c r="H51" s="12" t="s">
        <v>26</v>
      </c>
      <c r="I51" s="12" t="s">
        <v>27</v>
      </c>
      <c r="K51" s="12" t="s">
        <v>28</v>
      </c>
      <c r="L51" s="12" t="s">
        <v>28</v>
      </c>
      <c r="M51" s="13" t="s">
        <v>29</v>
      </c>
      <c r="N51" s="13" t="s">
        <v>30</v>
      </c>
      <c r="O51" s="8" t="s">
        <v>31</v>
      </c>
      <c r="P51" s="8" t="s">
        <v>31</v>
      </c>
      <c r="Q51" s="8" t="s">
        <v>32</v>
      </c>
      <c r="R51" s="13" t="s">
        <v>31</v>
      </c>
      <c r="S51" s="12" t="s">
        <v>33</v>
      </c>
      <c r="T51" s="12" t="s">
        <v>33</v>
      </c>
      <c r="U51" s="9" t="s">
        <v>34</v>
      </c>
      <c r="V51" s="12" t="s">
        <v>35</v>
      </c>
    </row>
    <row r="52" spans="1:25" s="15" customFormat="1" x14ac:dyDescent="0.2">
      <c r="D52" s="15" t="s">
        <v>99</v>
      </c>
      <c r="E52" s="20" t="s">
        <v>87</v>
      </c>
      <c r="F52" s="15">
        <v>50</v>
      </c>
      <c r="G52" s="6">
        <v>0.48</v>
      </c>
      <c r="H52" s="15">
        <v>3.4000000000000002E-2</v>
      </c>
      <c r="I52" s="15">
        <f>H52/G52</f>
        <v>7.0833333333333345E-2</v>
      </c>
      <c r="K52" s="27">
        <v>1.1299999999999999</v>
      </c>
      <c r="L52" s="42">
        <v>5.9200000000000003E-2</v>
      </c>
      <c r="M52" s="42">
        <v>0</v>
      </c>
      <c r="N52" s="15">
        <f t="shared" ref="N52:N53" si="33">M52*3.66</f>
        <v>0</v>
      </c>
      <c r="O52" s="8">
        <f t="shared" ref="O52:O53" si="34">K52*G52*F52</f>
        <v>27.119999999999994</v>
      </c>
      <c r="P52" s="8">
        <f t="shared" ref="P52:P53" si="35">F52*G52*L52</f>
        <v>1.4208000000000001</v>
      </c>
      <c r="Q52" s="8">
        <f t="shared" ref="Q52:Q53" si="36">F52*G52*N52</f>
        <v>0</v>
      </c>
      <c r="U52" s="9"/>
    </row>
    <row r="53" spans="1:25" s="15" customFormat="1" x14ac:dyDescent="0.2">
      <c r="D53" s="15" t="s">
        <v>93</v>
      </c>
      <c r="E53" s="39">
        <v>7.0090000000000003</v>
      </c>
      <c r="F53" s="15">
        <v>485</v>
      </c>
      <c r="G53" s="6">
        <f>0.08*0.06*1</f>
        <v>4.7999999999999996E-3</v>
      </c>
      <c r="H53" s="15">
        <v>0.13</v>
      </c>
      <c r="K53" s="43">
        <v>9.0399999999999994E-2</v>
      </c>
      <c r="L53" s="28">
        <v>3.9E-2</v>
      </c>
      <c r="M53" s="29">
        <v>0.41299999999999998</v>
      </c>
      <c r="N53" s="15">
        <f t="shared" si="33"/>
        <v>1.5115799999999999</v>
      </c>
      <c r="O53" s="8">
        <f t="shared" si="34"/>
        <v>0.21045119999999995</v>
      </c>
      <c r="P53" s="8">
        <f t="shared" si="35"/>
        <v>9.0791999999999998E-2</v>
      </c>
      <c r="Q53" s="8">
        <f t="shared" si="36"/>
        <v>3.5189582399999995</v>
      </c>
      <c r="U53" s="9"/>
      <c r="X53" s="15" t="s">
        <v>107</v>
      </c>
    </row>
    <row r="54" spans="1:25" s="17" customFormat="1" ht="17" thickBot="1" x14ac:dyDescent="0.25">
      <c r="A54" s="17" t="s">
        <v>338</v>
      </c>
      <c r="B54" s="17" t="s">
        <v>199</v>
      </c>
      <c r="G54" s="22"/>
      <c r="I54" s="17">
        <f>I52</f>
        <v>7.0833333333333345E-2</v>
      </c>
      <c r="O54" s="26">
        <f>SUM(O52:O53)</f>
        <v>27.330451199999995</v>
      </c>
      <c r="P54" s="26">
        <f>SUM(P52:P53)</f>
        <v>1.511592</v>
      </c>
      <c r="Q54" s="26">
        <f>SUM(Q52:Q53)</f>
        <v>3.5189582399999995</v>
      </c>
      <c r="S54" s="17">
        <v>30</v>
      </c>
      <c r="T54" s="17">
        <v>80</v>
      </c>
      <c r="U54" s="24"/>
      <c r="V54" s="17" t="s">
        <v>36</v>
      </c>
      <c r="W54" s="17" t="s">
        <v>100</v>
      </c>
      <c r="X54" s="17" t="s">
        <v>98</v>
      </c>
      <c r="Y54" s="17" t="s">
        <v>76</v>
      </c>
    </row>
    <row r="55" spans="1:25" ht="17" thickTop="1" x14ac:dyDescent="0.2"/>
  </sheetData>
  <conditionalFormatting sqref="K6:M8">
    <cfRule type="cellIs" dxfId="582" priority="205" operator="between">
      <formula>0.00000001</formula>
      <formula>1</formula>
    </cfRule>
    <cfRule type="cellIs" dxfId="581" priority="204" operator="between">
      <formula>1</formula>
      <formula>10</formula>
    </cfRule>
    <cfRule type="cellIs" dxfId="580" priority="203" operator="between">
      <formula>10</formula>
      <formula>100</formula>
    </cfRule>
    <cfRule type="cellIs" dxfId="579" priority="202" operator="greaterThan">
      <formula>100</formula>
    </cfRule>
    <cfRule type="cellIs" dxfId="578" priority="201" operator="equal">
      <formula>0</formula>
    </cfRule>
  </conditionalFormatting>
  <conditionalFormatting sqref="K14:M16">
    <cfRule type="cellIs" dxfId="577" priority="11" operator="equal">
      <formula>0</formula>
    </cfRule>
    <cfRule type="cellIs" dxfId="576" priority="12" operator="greaterThan">
      <formula>100</formula>
    </cfRule>
    <cfRule type="cellIs" dxfId="575" priority="13" operator="between">
      <formula>10</formula>
      <formula>100</formula>
    </cfRule>
    <cfRule type="cellIs" dxfId="574" priority="14" operator="between">
      <formula>1</formula>
      <formula>10</formula>
    </cfRule>
    <cfRule type="cellIs" dxfId="573" priority="15" operator="between">
      <formula>0.00000001</formula>
      <formula>1</formula>
    </cfRule>
  </conditionalFormatting>
  <conditionalFormatting sqref="K22:M23">
    <cfRule type="cellIs" dxfId="572" priority="175" operator="between">
      <formula>0.00000001</formula>
      <formula>1</formula>
    </cfRule>
    <cfRule type="cellIs" dxfId="571" priority="174" operator="between">
      <formula>1</formula>
      <formula>10</formula>
    </cfRule>
    <cfRule type="cellIs" dxfId="570" priority="173" operator="between">
      <formula>10</formula>
      <formula>100</formula>
    </cfRule>
    <cfRule type="cellIs" dxfId="569" priority="172" operator="greaterThan">
      <formula>100</formula>
    </cfRule>
    <cfRule type="cellIs" dxfId="568" priority="171" operator="equal">
      <formula>0</formula>
    </cfRule>
  </conditionalFormatting>
  <conditionalFormatting sqref="K28:M29">
    <cfRule type="cellIs" dxfId="567" priority="151" operator="equal">
      <formula>0</formula>
    </cfRule>
    <cfRule type="cellIs" dxfId="566" priority="155" operator="between">
      <formula>0.00000001</formula>
      <formula>1</formula>
    </cfRule>
    <cfRule type="cellIs" dxfId="565" priority="154" operator="between">
      <formula>1</formula>
      <formula>10</formula>
    </cfRule>
    <cfRule type="cellIs" dxfId="564" priority="153" operator="between">
      <formula>10</formula>
      <formula>100</formula>
    </cfRule>
    <cfRule type="cellIs" dxfId="563" priority="152" operator="greaterThan">
      <formula>100</formula>
    </cfRule>
  </conditionalFormatting>
  <conditionalFormatting sqref="K34:M35">
    <cfRule type="cellIs" dxfId="562" priority="131" operator="equal">
      <formula>0</formula>
    </cfRule>
    <cfRule type="cellIs" dxfId="561" priority="135" operator="between">
      <formula>0.00000001</formula>
      <formula>1</formula>
    </cfRule>
    <cfRule type="cellIs" dxfId="560" priority="134" operator="between">
      <formula>1</formula>
      <formula>10</formula>
    </cfRule>
    <cfRule type="cellIs" dxfId="559" priority="133" operator="between">
      <formula>10</formula>
      <formula>100</formula>
    </cfRule>
    <cfRule type="cellIs" dxfId="558" priority="132" operator="greaterThan">
      <formula>100</formula>
    </cfRule>
  </conditionalFormatting>
  <conditionalFormatting sqref="K40:M41">
    <cfRule type="cellIs" dxfId="557" priority="111" operator="equal">
      <formula>0</formula>
    </cfRule>
    <cfRule type="cellIs" dxfId="556" priority="112" operator="greaterThan">
      <formula>100</formula>
    </cfRule>
    <cfRule type="cellIs" dxfId="555" priority="113" operator="between">
      <formula>10</formula>
      <formula>100</formula>
    </cfRule>
    <cfRule type="cellIs" dxfId="554" priority="114" operator="between">
      <formula>1</formula>
      <formula>10</formula>
    </cfRule>
    <cfRule type="cellIs" dxfId="553" priority="115" operator="between">
      <formula>0.00000001</formula>
      <formula>1</formula>
    </cfRule>
  </conditionalFormatting>
  <conditionalFormatting sqref="K46:M47">
    <cfRule type="cellIs" dxfId="552" priority="42" operator="greaterThan">
      <formula>100</formula>
    </cfRule>
    <cfRule type="cellIs" dxfId="551" priority="43" operator="between">
      <formula>10</formula>
      <formula>100</formula>
    </cfRule>
    <cfRule type="cellIs" dxfId="550" priority="44" operator="between">
      <formula>1</formula>
      <formula>10</formula>
    </cfRule>
    <cfRule type="cellIs" dxfId="549" priority="45" operator="between">
      <formula>0.00000001</formula>
      <formula>1</formula>
    </cfRule>
    <cfRule type="cellIs" dxfId="548" priority="41" operator="equal">
      <formula>0</formula>
    </cfRule>
  </conditionalFormatting>
  <conditionalFormatting sqref="K52:M53">
    <cfRule type="cellIs" dxfId="547" priority="1" operator="equal">
      <formula>0</formula>
    </cfRule>
    <cfRule type="cellIs" dxfId="546" priority="2" operator="greaterThan">
      <formula>100</formula>
    </cfRule>
    <cfRule type="cellIs" dxfId="545" priority="3" operator="between">
      <formula>10</formula>
      <formula>100</formula>
    </cfRule>
    <cfRule type="cellIs" dxfId="544" priority="4" operator="between">
      <formula>1</formula>
      <formula>10</formula>
    </cfRule>
    <cfRule type="cellIs" dxfId="543" priority="5" operator="between">
      <formula>0.00000001</formula>
      <formula>1</formula>
    </cfRule>
  </conditionalFormatting>
  <conditionalFormatting sqref="Q6:Q8">
    <cfRule type="cellIs" dxfId="542" priority="230" operator="between">
      <formula>0.00000001</formula>
      <formula>1</formula>
    </cfRule>
    <cfRule type="cellIs" dxfId="541" priority="229" operator="between">
      <formula>1</formula>
      <formula>10</formula>
    </cfRule>
    <cfRule type="cellIs" dxfId="540" priority="228" operator="between">
      <formula>10</formula>
      <formula>100</formula>
    </cfRule>
    <cfRule type="cellIs" dxfId="539" priority="227" operator="greaterThan">
      <formula>100</formula>
    </cfRule>
    <cfRule type="cellIs" dxfId="538" priority="226" operator="equal">
      <formula>0</formula>
    </cfRule>
  </conditionalFormatting>
  <conditionalFormatting sqref="Q14:Q16">
    <cfRule type="cellIs" dxfId="537" priority="21" operator="equal">
      <formula>0</formula>
    </cfRule>
    <cfRule type="cellIs" dxfId="536" priority="25" operator="between">
      <formula>0.00000001</formula>
      <formula>1</formula>
    </cfRule>
    <cfRule type="cellIs" dxfId="535" priority="24" operator="between">
      <formula>1</formula>
      <formula>10</formula>
    </cfRule>
    <cfRule type="cellIs" dxfId="534" priority="23" operator="between">
      <formula>10</formula>
      <formula>100</formula>
    </cfRule>
    <cfRule type="cellIs" dxfId="533" priority="22" operator="greaterThan">
      <formula>100</formula>
    </cfRule>
  </conditionalFormatting>
  <conditionalFormatting sqref="Q22:Q23">
    <cfRule type="cellIs" dxfId="532" priority="200" operator="between">
      <formula>0.00000001</formula>
      <formula>1</formula>
    </cfRule>
    <cfRule type="cellIs" dxfId="531" priority="199" operator="between">
      <formula>1</formula>
      <formula>10</formula>
    </cfRule>
    <cfRule type="cellIs" dxfId="530" priority="198" operator="between">
      <formula>10</formula>
      <formula>100</formula>
    </cfRule>
    <cfRule type="cellIs" dxfId="529" priority="197" operator="greaterThan">
      <formula>100</formula>
    </cfRule>
    <cfRule type="cellIs" dxfId="528" priority="196" operator="equal">
      <formula>0</formula>
    </cfRule>
  </conditionalFormatting>
  <conditionalFormatting sqref="Q28:Q29">
    <cfRule type="cellIs" dxfId="527" priority="169" operator="between">
      <formula>1</formula>
      <formula>10</formula>
    </cfRule>
    <cfRule type="cellIs" dxfId="526" priority="167" operator="greaterThan">
      <formula>100</formula>
    </cfRule>
    <cfRule type="cellIs" dxfId="525" priority="168" operator="between">
      <formula>10</formula>
      <formula>100</formula>
    </cfRule>
    <cfRule type="cellIs" dxfId="524" priority="166" operator="equal">
      <formula>0</formula>
    </cfRule>
    <cfRule type="cellIs" dxfId="523" priority="170" operator="between">
      <formula>0.00000001</formula>
      <formula>1</formula>
    </cfRule>
  </conditionalFormatting>
  <conditionalFormatting sqref="Q34:Q35">
    <cfRule type="cellIs" dxfId="522" priority="147" operator="greaterThan">
      <formula>100</formula>
    </cfRule>
    <cfRule type="cellIs" dxfId="521" priority="150" operator="between">
      <formula>0.00000001</formula>
      <formula>1</formula>
    </cfRule>
    <cfRule type="cellIs" dxfId="520" priority="149" operator="between">
      <formula>1</formula>
      <formula>10</formula>
    </cfRule>
    <cfRule type="cellIs" dxfId="519" priority="148" operator="between">
      <formula>10</formula>
      <formula>100</formula>
    </cfRule>
    <cfRule type="cellIs" dxfId="518" priority="146" operator="equal">
      <formula>0</formula>
    </cfRule>
  </conditionalFormatting>
  <conditionalFormatting sqref="Q40:Q41">
    <cfRule type="cellIs" dxfId="517" priority="126" operator="equal">
      <formula>0</formula>
    </cfRule>
    <cfRule type="cellIs" dxfId="516" priority="130" operator="between">
      <formula>0.00000001</formula>
      <formula>1</formula>
    </cfRule>
    <cfRule type="cellIs" dxfId="515" priority="129" operator="between">
      <formula>1</formula>
      <formula>10</formula>
    </cfRule>
    <cfRule type="cellIs" dxfId="514" priority="128" operator="between">
      <formula>10</formula>
      <formula>100</formula>
    </cfRule>
    <cfRule type="cellIs" dxfId="513" priority="127" operator="greaterThan">
      <formula>100</formula>
    </cfRule>
  </conditionalFormatting>
  <conditionalFormatting sqref="Q46:Q47">
    <cfRule type="cellIs" dxfId="512" priority="56" operator="equal">
      <formula>0</formula>
    </cfRule>
    <cfRule type="cellIs" dxfId="511" priority="57" operator="greaterThan">
      <formula>100</formula>
    </cfRule>
    <cfRule type="cellIs" dxfId="510" priority="58" operator="between">
      <formula>10</formula>
      <formula>100</formula>
    </cfRule>
    <cfRule type="cellIs" dxfId="509" priority="59" operator="between">
      <formula>1</formula>
      <formula>10</formula>
    </cfRule>
    <cfRule type="cellIs" dxfId="508" priority="60" operator="between">
      <formula>0.00000001</formula>
      <formula>1</formula>
    </cfRule>
  </conditionalFormatting>
  <conditionalFormatting sqref="Q52:Q53">
    <cfRule type="cellIs" dxfId="507" priority="10" operator="between">
      <formula>0.00000001</formula>
      <formula>1</formula>
    </cfRule>
    <cfRule type="cellIs" dxfId="506" priority="9" operator="between">
      <formula>1</formula>
      <formula>10</formula>
    </cfRule>
    <cfRule type="cellIs" dxfId="505" priority="8" operator="between">
      <formula>10</formula>
      <formula>100</formula>
    </cfRule>
    <cfRule type="cellIs" dxfId="504" priority="7" operator="greaterThan">
      <formula>100</formula>
    </cfRule>
    <cfRule type="cellIs" dxfId="503" priority="6" operator="equal">
      <formula>0</formula>
    </cfRule>
  </conditionalFormatting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BB0F6-ABC4-E44A-B7CB-BA737EBD0995}">
  <dimension ref="A1:Y49"/>
  <sheetViews>
    <sheetView topLeftCell="A14" zoomScale="75" workbookViewId="0">
      <selection activeCell="D59" sqref="D59"/>
    </sheetView>
  </sheetViews>
  <sheetFormatPr baseColWidth="10" defaultRowHeight="16" x14ac:dyDescent="0.2"/>
  <cols>
    <col min="1" max="1" width="30.33203125" customWidth="1"/>
    <col min="4" max="4" width="30" customWidth="1"/>
  </cols>
  <sheetData>
    <row r="1" spans="1:25" s="1" customFormat="1" x14ac:dyDescent="0.2">
      <c r="A1" s="1" t="s">
        <v>0</v>
      </c>
      <c r="B1" s="1" t="s">
        <v>51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52</v>
      </c>
      <c r="J1" s="1" t="s">
        <v>53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4" t="s">
        <v>54</v>
      </c>
      <c r="R1" s="3" t="s">
        <v>16</v>
      </c>
      <c r="S1" s="1" t="s">
        <v>17</v>
      </c>
      <c r="T1" s="1" t="s">
        <v>55</v>
      </c>
      <c r="U1" s="5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F2" t="s">
        <v>24</v>
      </c>
      <c r="G2" s="6" t="s">
        <v>25</v>
      </c>
      <c r="H2" t="s">
        <v>26</v>
      </c>
      <c r="I2" t="s">
        <v>27</v>
      </c>
      <c r="K2" t="s">
        <v>28</v>
      </c>
      <c r="L2" t="s">
        <v>28</v>
      </c>
      <c r="M2" s="7" t="s">
        <v>29</v>
      </c>
      <c r="N2" s="7" t="s">
        <v>30</v>
      </c>
      <c r="O2" s="8" t="s">
        <v>31</v>
      </c>
      <c r="P2" s="8" t="s">
        <v>31</v>
      </c>
      <c r="Q2" s="8" t="s">
        <v>32</v>
      </c>
      <c r="R2" s="7" t="s">
        <v>31</v>
      </c>
      <c r="S2" t="s">
        <v>33</v>
      </c>
      <c r="T2" t="s">
        <v>33</v>
      </c>
      <c r="U2" s="9" t="s">
        <v>34</v>
      </c>
      <c r="V2" t="s">
        <v>35</v>
      </c>
    </row>
    <row r="3" spans="1:25" x14ac:dyDescent="0.2">
      <c r="G3" s="6"/>
      <c r="M3" s="7"/>
      <c r="N3" s="7"/>
      <c r="O3" s="8"/>
      <c r="P3" s="8"/>
      <c r="Q3" s="8"/>
      <c r="R3" s="7"/>
      <c r="U3" s="9"/>
    </row>
    <row r="4" spans="1:25" s="10" customFormat="1" x14ac:dyDescent="0.2">
      <c r="D4" s="10" t="s">
        <v>2</v>
      </c>
      <c r="E4" s="10" t="s">
        <v>3</v>
      </c>
      <c r="F4" s="10" t="s">
        <v>4</v>
      </c>
      <c r="G4" s="21" t="s">
        <v>5</v>
      </c>
      <c r="H4" s="10" t="s">
        <v>6</v>
      </c>
      <c r="I4" s="10" t="s">
        <v>7</v>
      </c>
      <c r="J4" s="10" t="s">
        <v>8</v>
      </c>
      <c r="K4" s="11" t="s">
        <v>9</v>
      </c>
      <c r="L4" s="11" t="s">
        <v>10</v>
      </c>
      <c r="M4" s="11" t="s">
        <v>11</v>
      </c>
      <c r="N4" s="11" t="s">
        <v>12</v>
      </c>
      <c r="O4" s="25" t="s">
        <v>13</v>
      </c>
      <c r="P4" s="25" t="s">
        <v>14</v>
      </c>
      <c r="Q4" s="25" t="s">
        <v>15</v>
      </c>
      <c r="R4" s="11" t="s">
        <v>16</v>
      </c>
      <c r="S4" s="10" t="s">
        <v>17</v>
      </c>
      <c r="T4" s="10" t="s">
        <v>18</v>
      </c>
      <c r="U4" s="23" t="s">
        <v>19</v>
      </c>
      <c r="V4" s="10" t="s">
        <v>20</v>
      </c>
      <c r="W4" s="10" t="s">
        <v>21</v>
      </c>
      <c r="X4" s="10" t="s">
        <v>22</v>
      </c>
      <c r="Y4" s="10" t="s">
        <v>23</v>
      </c>
    </row>
    <row r="5" spans="1:25" s="12" customFormat="1" x14ac:dyDescent="0.2">
      <c r="F5" s="12" t="s">
        <v>24</v>
      </c>
      <c r="G5" s="6" t="s">
        <v>25</v>
      </c>
      <c r="H5" s="12" t="s">
        <v>26</v>
      </c>
      <c r="I5" s="12" t="s">
        <v>27</v>
      </c>
      <c r="K5" s="12" t="s">
        <v>28</v>
      </c>
      <c r="L5" s="12" t="s">
        <v>28</v>
      </c>
      <c r="M5" s="13" t="s">
        <v>29</v>
      </c>
      <c r="N5" s="13" t="s">
        <v>30</v>
      </c>
      <c r="O5" s="8" t="s">
        <v>31</v>
      </c>
      <c r="P5" s="8" t="s">
        <v>31</v>
      </c>
      <c r="Q5" s="8" t="s">
        <v>32</v>
      </c>
      <c r="R5" s="13" t="s">
        <v>31</v>
      </c>
      <c r="S5" s="12" t="s">
        <v>33</v>
      </c>
      <c r="T5" s="12" t="s">
        <v>33</v>
      </c>
      <c r="U5" s="9" t="s">
        <v>34</v>
      </c>
      <c r="V5" s="12" t="s">
        <v>35</v>
      </c>
    </row>
    <row r="6" spans="1:25" s="15" customFormat="1" x14ac:dyDescent="0.2">
      <c r="D6" s="15" t="s">
        <v>102</v>
      </c>
      <c r="E6" s="35" t="s">
        <v>104</v>
      </c>
      <c r="F6" s="15">
        <v>1350</v>
      </c>
      <c r="G6" s="6">
        <v>5.0000000000000001E-3</v>
      </c>
      <c r="H6" s="15">
        <v>0.8</v>
      </c>
      <c r="I6" s="15">
        <f>H6/G6</f>
        <v>160</v>
      </c>
      <c r="K6" s="43">
        <v>0.497</v>
      </c>
      <c r="L6" s="28">
        <v>1.2699999999999999E-2</v>
      </c>
      <c r="M6" s="29">
        <v>0</v>
      </c>
      <c r="N6" s="15">
        <f t="shared" ref="N6" si="0">M6*3.66</f>
        <v>0</v>
      </c>
      <c r="O6" s="8">
        <f t="shared" ref="O6" si="1">K6*G6*F6</f>
        <v>3.3547500000000001</v>
      </c>
      <c r="P6" s="8">
        <f t="shared" ref="P6" si="2">F6*G6*L6</f>
        <v>8.5724999999999996E-2</v>
      </c>
      <c r="Q6" s="8">
        <f t="shared" ref="Q6" si="3">F6*G6*N6</f>
        <v>0</v>
      </c>
      <c r="U6" s="9"/>
    </row>
    <row r="7" spans="1:25" s="15" customFormat="1" x14ac:dyDescent="0.2">
      <c r="D7" s="15" t="s">
        <v>103</v>
      </c>
      <c r="E7" s="20" t="s">
        <v>105</v>
      </c>
      <c r="F7" s="36">
        <v>1800</v>
      </c>
      <c r="G7" s="6">
        <v>0.02</v>
      </c>
      <c r="H7" s="15">
        <v>0.5</v>
      </c>
      <c r="I7" s="15">
        <f>H7/G7</f>
        <v>25</v>
      </c>
      <c r="K7" s="37">
        <v>1.95E-2</v>
      </c>
      <c r="L7" s="28">
        <v>1.2699999999999999E-2</v>
      </c>
      <c r="M7" s="29">
        <v>0</v>
      </c>
      <c r="N7" s="15">
        <f>M7*3.66</f>
        <v>0</v>
      </c>
      <c r="O7" s="8">
        <f>K7*G7*F7</f>
        <v>0.70199999999999996</v>
      </c>
      <c r="P7" s="8">
        <f>F7*G7*L7</f>
        <v>0.4572</v>
      </c>
      <c r="Q7" s="8">
        <f>F7*G7*N7</f>
        <v>0</v>
      </c>
      <c r="U7" s="9"/>
    </row>
    <row r="8" spans="1:25" s="15" customFormat="1" x14ac:dyDescent="0.2">
      <c r="D8" s="15" t="s">
        <v>333</v>
      </c>
      <c r="E8" s="35" t="s">
        <v>111</v>
      </c>
      <c r="F8" s="15">
        <v>100</v>
      </c>
      <c r="G8" s="6">
        <v>5.0000000000000001E-3</v>
      </c>
      <c r="H8" s="15">
        <v>0.5</v>
      </c>
      <c r="I8" s="15">
        <f>H8/G8</f>
        <v>100</v>
      </c>
      <c r="K8" s="27">
        <v>9.5600000000000004E-2</v>
      </c>
      <c r="L8" s="42">
        <v>0</v>
      </c>
      <c r="M8" s="42">
        <v>0.36799999999999999</v>
      </c>
      <c r="N8" s="15">
        <f t="shared" ref="N8" si="4">M8*3.66</f>
        <v>1.3468800000000001</v>
      </c>
      <c r="O8" s="8">
        <f t="shared" ref="O8" si="5">K8*G8*F8</f>
        <v>4.7800000000000002E-2</v>
      </c>
      <c r="P8" s="8">
        <f t="shared" ref="P8" si="6">F8*G8*L8</f>
        <v>0</v>
      </c>
      <c r="Q8" s="8">
        <f t="shared" ref="Q8" si="7">F8*G8*N8</f>
        <v>0.67344000000000004</v>
      </c>
      <c r="U8" s="9"/>
      <c r="X8" s="15" t="s">
        <v>334</v>
      </c>
    </row>
    <row r="9" spans="1:25" s="17" customFormat="1" ht="17" thickBot="1" x14ac:dyDescent="0.25">
      <c r="A9" s="17" t="s">
        <v>101</v>
      </c>
      <c r="B9" s="17" t="s">
        <v>332</v>
      </c>
      <c r="G9" s="22"/>
      <c r="I9" s="17" cm="1">
        <f t="array" ref="I9">1/SUM(1/I6:I8)</f>
        <v>17.777777777777779</v>
      </c>
      <c r="O9" s="26">
        <f>SUM(O6:O8)</f>
        <v>4.1045499999999997</v>
      </c>
      <c r="P9" s="26">
        <f>SUM(P6:P8)</f>
        <v>0.54292499999999999</v>
      </c>
      <c r="Q9" s="26">
        <f>SUM(Q6:Q8)</f>
        <v>0.67344000000000004</v>
      </c>
      <c r="S9" s="17">
        <v>30</v>
      </c>
      <c r="T9" s="17">
        <v>1</v>
      </c>
      <c r="U9" s="24"/>
      <c r="V9" s="17" t="s">
        <v>36</v>
      </c>
      <c r="W9" s="17" t="s">
        <v>61</v>
      </c>
    </row>
    <row r="10" spans="1:25" ht="17" thickTop="1" x14ac:dyDescent="0.2"/>
    <row r="12" spans="1:25" s="10" customFormat="1" x14ac:dyDescent="0.2">
      <c r="D12" s="10" t="s">
        <v>2</v>
      </c>
      <c r="E12" s="10" t="s">
        <v>3</v>
      </c>
      <c r="F12" s="10" t="s">
        <v>4</v>
      </c>
      <c r="G12" s="21" t="s">
        <v>5</v>
      </c>
      <c r="H12" s="10" t="s">
        <v>6</v>
      </c>
      <c r="I12" s="10" t="s">
        <v>7</v>
      </c>
      <c r="J12" s="10" t="s">
        <v>8</v>
      </c>
      <c r="K12" s="11" t="s">
        <v>9</v>
      </c>
      <c r="L12" s="11" t="s">
        <v>10</v>
      </c>
      <c r="M12" s="11" t="s">
        <v>11</v>
      </c>
      <c r="N12" s="11" t="s">
        <v>12</v>
      </c>
      <c r="O12" s="25" t="s">
        <v>13</v>
      </c>
      <c r="P12" s="25" t="s">
        <v>14</v>
      </c>
      <c r="Q12" s="25" t="s">
        <v>15</v>
      </c>
      <c r="R12" s="11" t="s">
        <v>16</v>
      </c>
      <c r="S12" s="10" t="s">
        <v>17</v>
      </c>
      <c r="T12" s="10" t="s">
        <v>18</v>
      </c>
      <c r="U12" s="23" t="s">
        <v>19</v>
      </c>
      <c r="V12" s="10" t="s">
        <v>20</v>
      </c>
      <c r="W12" s="10" t="s">
        <v>21</v>
      </c>
      <c r="X12" s="10" t="s">
        <v>22</v>
      </c>
      <c r="Y12" s="10" t="s">
        <v>23</v>
      </c>
    </row>
    <row r="13" spans="1:25" s="12" customFormat="1" x14ac:dyDescent="0.2">
      <c r="F13" s="12" t="s">
        <v>24</v>
      </c>
      <c r="G13" s="6" t="s">
        <v>25</v>
      </c>
      <c r="H13" s="12" t="s">
        <v>26</v>
      </c>
      <c r="I13" s="12" t="s">
        <v>27</v>
      </c>
      <c r="K13" s="12" t="s">
        <v>28</v>
      </c>
      <c r="L13" s="12" t="s">
        <v>28</v>
      </c>
      <c r="M13" s="13" t="s">
        <v>29</v>
      </c>
      <c r="N13" s="13" t="s">
        <v>30</v>
      </c>
      <c r="O13" s="8" t="s">
        <v>31</v>
      </c>
      <c r="P13" s="8" t="s">
        <v>31</v>
      </c>
      <c r="Q13" s="8" t="s">
        <v>32</v>
      </c>
      <c r="R13" s="13" t="s">
        <v>31</v>
      </c>
      <c r="S13" s="12" t="s">
        <v>33</v>
      </c>
      <c r="T13" s="12" t="s">
        <v>33</v>
      </c>
      <c r="U13" s="9" t="s">
        <v>34</v>
      </c>
      <c r="V13" s="12" t="s">
        <v>35</v>
      </c>
    </row>
    <row r="14" spans="1:25" s="15" customFormat="1" x14ac:dyDescent="0.2">
      <c r="D14" s="15" t="s">
        <v>280</v>
      </c>
      <c r="E14" s="20" t="s">
        <v>85</v>
      </c>
      <c r="F14" s="36">
        <v>650</v>
      </c>
      <c r="G14" s="6">
        <v>5.0000000000000001E-4</v>
      </c>
      <c r="H14" s="15">
        <v>0.7</v>
      </c>
      <c r="I14" s="15">
        <f>10^100</f>
        <v>1E+100</v>
      </c>
      <c r="K14" s="27">
        <v>1.61</v>
      </c>
      <c r="L14" s="42">
        <v>5.8000000000000003E-2</v>
      </c>
      <c r="M14" s="29">
        <v>0.40400000000000003</v>
      </c>
      <c r="N14" s="15">
        <f t="shared" ref="N14" si="8">M14*3.66</f>
        <v>1.4786400000000002</v>
      </c>
      <c r="O14" s="8">
        <f t="shared" ref="O14" si="9">K14*G14*F14</f>
        <v>0.52324999999999999</v>
      </c>
      <c r="P14" s="8">
        <f t="shared" ref="P14" si="10">F14*G14*L14</f>
        <v>1.8850000000000002E-2</v>
      </c>
      <c r="Q14" s="8">
        <f t="shared" ref="Q14" si="11">F14*G14*N14</f>
        <v>0.4805580000000001</v>
      </c>
      <c r="U14" s="9"/>
      <c r="X14" s="15" t="s">
        <v>88</v>
      </c>
    </row>
    <row r="15" spans="1:25" s="15" customFormat="1" x14ac:dyDescent="0.2">
      <c r="D15" s="15" t="s">
        <v>214</v>
      </c>
      <c r="E15" s="20" t="s">
        <v>158</v>
      </c>
      <c r="F15" s="15">
        <v>465</v>
      </c>
      <c r="G15" s="6">
        <v>5.7600000000000004E-3</v>
      </c>
      <c r="I15" s="15">
        <f>10^100</f>
        <v>1E+100</v>
      </c>
      <c r="K15" s="37">
        <v>0.13400000000000001</v>
      </c>
      <c r="L15" s="42">
        <v>3.9E-2</v>
      </c>
      <c r="M15" s="29">
        <v>0.45100000000000001</v>
      </c>
      <c r="N15" s="15">
        <f t="shared" ref="N15:N16" si="12">M15*3.66</f>
        <v>1.65066</v>
      </c>
      <c r="O15" s="8">
        <f t="shared" ref="O15:O16" si="13">K15*G15*F15</f>
        <v>0.35890560000000005</v>
      </c>
      <c r="P15" s="8">
        <f t="shared" ref="P15:P16" si="14">F15*G15*L15</f>
        <v>0.10445760000000001</v>
      </c>
      <c r="Q15" s="8">
        <f t="shared" ref="Q15:Q16" si="15">F15*G15*N15</f>
        <v>4.4211277440000005</v>
      </c>
      <c r="U15" s="9"/>
      <c r="X15" s="15" t="s">
        <v>159</v>
      </c>
    </row>
    <row r="16" spans="1:25" s="15" customFormat="1" x14ac:dyDescent="0.2">
      <c r="D16" s="15" t="s">
        <v>279</v>
      </c>
      <c r="E16" s="39">
        <v>7.0090000000000003</v>
      </c>
      <c r="F16" s="15">
        <v>485</v>
      </c>
      <c r="G16" s="6">
        <v>0.02</v>
      </c>
      <c r="H16" s="15">
        <v>0.13</v>
      </c>
      <c r="I16" s="15">
        <f t="shared" ref="I16" si="16">H16/G16</f>
        <v>6.5</v>
      </c>
      <c r="K16" s="43">
        <v>9.0399999999999994E-2</v>
      </c>
      <c r="L16" s="28">
        <v>3.9E-2</v>
      </c>
      <c r="M16" s="29">
        <v>0.41299999999999998</v>
      </c>
      <c r="N16" s="15">
        <f t="shared" si="12"/>
        <v>1.5115799999999999</v>
      </c>
      <c r="O16" s="8">
        <f t="shared" si="13"/>
        <v>0.87687999999999999</v>
      </c>
      <c r="P16" s="8">
        <f t="shared" si="14"/>
        <v>0.37830000000000003</v>
      </c>
      <c r="Q16" s="8">
        <f t="shared" si="15"/>
        <v>14.662326</v>
      </c>
      <c r="U16" s="9"/>
    </row>
    <row r="17" spans="1:25" s="17" customFormat="1" ht="17" thickBot="1" x14ac:dyDescent="0.25">
      <c r="A17" s="17" t="s">
        <v>106</v>
      </c>
      <c r="B17" s="17" t="s">
        <v>332</v>
      </c>
      <c r="I17" s="17" cm="1">
        <f t="array" ref="I17">1/SUM(1/I14:I16)</f>
        <v>6.5</v>
      </c>
      <c r="O17" s="17">
        <f>SUM(O15:O16)</f>
        <v>1.2357856</v>
      </c>
      <c r="P17" s="17">
        <f>SUM(P15:P16)</f>
        <v>0.48275760000000001</v>
      </c>
      <c r="Q17" s="17">
        <f>SUM(Q15:Q16)</f>
        <v>19.083453744</v>
      </c>
      <c r="S17" s="17">
        <v>30</v>
      </c>
      <c r="T17" s="17">
        <v>80</v>
      </c>
      <c r="V17" s="17" t="s">
        <v>36</v>
      </c>
      <c r="W17" s="17" t="s">
        <v>61</v>
      </c>
    </row>
    <row r="18" spans="1:25" ht="17" thickTop="1" x14ac:dyDescent="0.2"/>
    <row r="20" spans="1:25" s="10" customFormat="1" x14ac:dyDescent="0.2">
      <c r="D20" s="10" t="s">
        <v>2</v>
      </c>
      <c r="E20" s="10" t="s">
        <v>3</v>
      </c>
      <c r="F20" s="10" t="s">
        <v>4</v>
      </c>
      <c r="G20" s="21" t="s">
        <v>5</v>
      </c>
      <c r="H20" s="10" t="s">
        <v>6</v>
      </c>
      <c r="I20" s="10" t="s">
        <v>7</v>
      </c>
      <c r="J20" s="10" t="s">
        <v>8</v>
      </c>
      <c r="K20" s="11" t="s">
        <v>9</v>
      </c>
      <c r="L20" s="11" t="s">
        <v>10</v>
      </c>
      <c r="M20" s="11" t="s">
        <v>11</v>
      </c>
      <c r="N20" s="11" t="s">
        <v>12</v>
      </c>
      <c r="O20" s="25" t="s">
        <v>13</v>
      </c>
      <c r="P20" s="25" t="s">
        <v>14</v>
      </c>
      <c r="Q20" s="25" t="s">
        <v>15</v>
      </c>
      <c r="R20" s="11" t="s">
        <v>16</v>
      </c>
      <c r="S20" s="10" t="s">
        <v>17</v>
      </c>
      <c r="T20" s="10" t="s">
        <v>18</v>
      </c>
      <c r="U20" s="23" t="s">
        <v>19</v>
      </c>
      <c r="V20" s="10" t="s">
        <v>20</v>
      </c>
      <c r="W20" s="10" t="s">
        <v>21</v>
      </c>
      <c r="X20" s="10" t="s">
        <v>22</v>
      </c>
      <c r="Y20" s="10" t="s">
        <v>23</v>
      </c>
    </row>
    <row r="21" spans="1:25" s="12" customFormat="1" x14ac:dyDescent="0.2">
      <c r="F21" s="12" t="s">
        <v>24</v>
      </c>
      <c r="G21" s="6" t="s">
        <v>25</v>
      </c>
      <c r="H21" s="12" t="s">
        <v>26</v>
      </c>
      <c r="I21" s="12" t="s">
        <v>27</v>
      </c>
      <c r="K21" s="12" t="s">
        <v>28</v>
      </c>
      <c r="L21" s="12" t="s">
        <v>28</v>
      </c>
      <c r="M21" s="13" t="s">
        <v>29</v>
      </c>
      <c r="N21" s="13" t="s">
        <v>30</v>
      </c>
      <c r="O21" s="8" t="s">
        <v>31</v>
      </c>
      <c r="P21" s="8" t="s">
        <v>31</v>
      </c>
      <c r="Q21" s="8" t="s">
        <v>32</v>
      </c>
      <c r="R21" s="13" t="s">
        <v>31</v>
      </c>
      <c r="S21" s="12" t="s">
        <v>33</v>
      </c>
      <c r="T21" s="12" t="s">
        <v>33</v>
      </c>
      <c r="U21" s="9" t="s">
        <v>34</v>
      </c>
      <c r="V21" s="12" t="s">
        <v>35</v>
      </c>
    </row>
    <row r="22" spans="1:25" s="15" customFormat="1" x14ac:dyDescent="0.2">
      <c r="D22" s="15" t="s">
        <v>110</v>
      </c>
      <c r="E22" s="35" t="s">
        <v>111</v>
      </c>
      <c r="F22" s="15">
        <v>100</v>
      </c>
      <c r="G22" s="6">
        <v>0.08</v>
      </c>
      <c r="H22" s="15">
        <v>0.05</v>
      </c>
      <c r="I22" s="15">
        <f>H22/G22</f>
        <v>0.625</v>
      </c>
      <c r="K22" s="27">
        <v>9.5600000000000004E-2</v>
      </c>
      <c r="L22" s="42">
        <v>0</v>
      </c>
      <c r="M22" s="42">
        <v>0.36799999999999999</v>
      </c>
      <c r="N22" s="15">
        <f t="shared" ref="N22" si="17">M22*3.66</f>
        <v>1.3468800000000001</v>
      </c>
      <c r="O22" s="8">
        <f t="shared" ref="O22" si="18">K22*G22*F22</f>
        <v>0.76480000000000004</v>
      </c>
      <c r="P22" s="8">
        <f t="shared" ref="P22" si="19">F22*G22*L22</f>
        <v>0</v>
      </c>
      <c r="Q22" s="8">
        <f t="shared" ref="Q22" si="20">F22*G22*N22</f>
        <v>10.775040000000001</v>
      </c>
      <c r="U22" s="9"/>
    </row>
    <row r="23" spans="1:25" s="17" customFormat="1" ht="17" thickBot="1" x14ac:dyDescent="0.25">
      <c r="A23" s="17" t="s">
        <v>108</v>
      </c>
      <c r="B23" s="17" t="s">
        <v>199</v>
      </c>
      <c r="I23" s="17" cm="1">
        <f t="array" ref="I23">1/SUM(1/I22:I22)</f>
        <v>0.625</v>
      </c>
      <c r="O23" s="17">
        <f>SUM(O22:O22)</f>
        <v>0.76480000000000004</v>
      </c>
      <c r="P23" s="17">
        <f>SUM(P22:P22)</f>
        <v>0</v>
      </c>
      <c r="Q23" s="17">
        <f>SUM(Q22:Q22)</f>
        <v>10.775040000000001</v>
      </c>
      <c r="S23" s="17">
        <v>30</v>
      </c>
      <c r="T23" s="17">
        <v>1</v>
      </c>
      <c r="V23" s="17" t="s">
        <v>36</v>
      </c>
      <c r="W23" s="17" t="s">
        <v>112</v>
      </c>
      <c r="X23" s="17" t="s">
        <v>109</v>
      </c>
    </row>
    <row r="24" spans="1:25" ht="17" thickTop="1" x14ac:dyDescent="0.2"/>
    <row r="25" spans="1:25" s="10" customFormat="1" x14ac:dyDescent="0.2">
      <c r="D25" s="10" t="s">
        <v>2</v>
      </c>
      <c r="E25" s="10" t="s">
        <v>3</v>
      </c>
      <c r="F25" s="10" t="s">
        <v>4</v>
      </c>
      <c r="G25" s="21" t="s">
        <v>5</v>
      </c>
      <c r="H25" s="10" t="s">
        <v>6</v>
      </c>
      <c r="I25" s="10" t="s">
        <v>7</v>
      </c>
      <c r="J25" s="10" t="s">
        <v>8</v>
      </c>
      <c r="K25" s="11" t="s">
        <v>9</v>
      </c>
      <c r="L25" s="11" t="s">
        <v>10</v>
      </c>
      <c r="M25" s="11" t="s">
        <v>11</v>
      </c>
      <c r="N25" s="11" t="s">
        <v>12</v>
      </c>
      <c r="O25" s="25" t="s">
        <v>13</v>
      </c>
      <c r="P25" s="25" t="s">
        <v>14</v>
      </c>
      <c r="Q25" s="25" t="s">
        <v>15</v>
      </c>
      <c r="R25" s="11" t="s">
        <v>16</v>
      </c>
      <c r="S25" s="10" t="s">
        <v>17</v>
      </c>
      <c r="T25" s="10" t="s">
        <v>18</v>
      </c>
      <c r="U25" s="23" t="s">
        <v>19</v>
      </c>
      <c r="V25" s="10" t="s">
        <v>20</v>
      </c>
      <c r="W25" s="10" t="s">
        <v>21</v>
      </c>
      <c r="X25" s="10" t="s">
        <v>22</v>
      </c>
      <c r="Y25" s="10" t="s">
        <v>23</v>
      </c>
    </row>
    <row r="26" spans="1:25" s="12" customFormat="1" x14ac:dyDescent="0.2">
      <c r="F26" s="12" t="s">
        <v>24</v>
      </c>
      <c r="G26" s="6" t="s">
        <v>25</v>
      </c>
      <c r="H26" s="12" t="s">
        <v>26</v>
      </c>
      <c r="I26" s="12" t="s">
        <v>27</v>
      </c>
      <c r="K26" s="12" t="s">
        <v>28</v>
      </c>
      <c r="L26" s="12" t="s">
        <v>28</v>
      </c>
      <c r="M26" s="13" t="s">
        <v>29</v>
      </c>
      <c r="N26" s="13" t="s">
        <v>30</v>
      </c>
      <c r="O26" s="8" t="s">
        <v>31</v>
      </c>
      <c r="P26" s="8" t="s">
        <v>31</v>
      </c>
      <c r="Q26" s="8" t="s">
        <v>32</v>
      </c>
      <c r="R26" s="13" t="s">
        <v>31</v>
      </c>
      <c r="S26" s="12" t="s">
        <v>33</v>
      </c>
      <c r="T26" s="12" t="s">
        <v>33</v>
      </c>
      <c r="U26" s="9" t="s">
        <v>34</v>
      </c>
      <c r="V26" s="12" t="s">
        <v>35</v>
      </c>
    </row>
    <row r="27" spans="1:25" s="15" customFormat="1" x14ac:dyDescent="0.2">
      <c r="D27" s="15" t="s">
        <v>110</v>
      </c>
      <c r="E27" s="35" t="s">
        <v>111</v>
      </c>
      <c r="F27" s="15">
        <v>100</v>
      </c>
      <c r="G27" s="6">
        <v>0.16</v>
      </c>
      <c r="H27" s="15">
        <v>0.05</v>
      </c>
      <c r="I27" s="15">
        <f>H27/G27</f>
        <v>0.3125</v>
      </c>
      <c r="K27" s="27">
        <v>9.5600000000000004E-2</v>
      </c>
      <c r="L27" s="42">
        <v>0</v>
      </c>
      <c r="M27" s="42">
        <v>0.36799999999999999</v>
      </c>
      <c r="N27" s="15">
        <f t="shared" ref="N27" si="21">M27*3.66</f>
        <v>1.3468800000000001</v>
      </c>
      <c r="O27" s="8">
        <f t="shared" ref="O27" si="22">K27*G27*F27</f>
        <v>1.5296000000000001</v>
      </c>
      <c r="P27" s="8">
        <f t="shared" ref="P27" si="23">F27*G27*L27</f>
        <v>0</v>
      </c>
      <c r="Q27" s="8">
        <f t="shared" ref="Q27" si="24">F27*G27*N27</f>
        <v>21.550080000000001</v>
      </c>
      <c r="U27" s="9"/>
    </row>
    <row r="28" spans="1:25" s="17" customFormat="1" ht="17" thickBot="1" x14ac:dyDescent="0.25">
      <c r="A28" s="17" t="s">
        <v>113</v>
      </c>
      <c r="B28" s="17" t="s">
        <v>199</v>
      </c>
      <c r="I28" s="17" cm="1">
        <f t="array" ref="I28">1/SUM(1/I27:I27)</f>
        <v>0.3125</v>
      </c>
      <c r="O28" s="17">
        <f>SUM(O27:O27)</f>
        <v>1.5296000000000001</v>
      </c>
      <c r="P28" s="17">
        <f>SUM(P27:P27)</f>
        <v>0</v>
      </c>
      <c r="Q28" s="17">
        <f>SUM(Q27:Q27)</f>
        <v>21.550080000000001</v>
      </c>
      <c r="S28" s="17">
        <v>30</v>
      </c>
      <c r="T28" s="17">
        <v>1</v>
      </c>
      <c r="V28" s="17" t="s">
        <v>36</v>
      </c>
      <c r="W28" s="17" t="s">
        <v>112</v>
      </c>
      <c r="X28" s="17" t="s">
        <v>109</v>
      </c>
    </row>
    <row r="29" spans="1:25" ht="17" thickTop="1" x14ac:dyDescent="0.2"/>
    <row r="30" spans="1:25" s="10" customFormat="1" x14ac:dyDescent="0.2">
      <c r="D30" s="10" t="s">
        <v>2</v>
      </c>
      <c r="E30" s="10" t="s">
        <v>3</v>
      </c>
      <c r="F30" s="10" t="s">
        <v>4</v>
      </c>
      <c r="G30" s="21" t="s">
        <v>5</v>
      </c>
      <c r="H30" s="10" t="s">
        <v>6</v>
      </c>
      <c r="I30" s="10" t="s">
        <v>7</v>
      </c>
      <c r="J30" s="10" t="s">
        <v>8</v>
      </c>
      <c r="K30" s="11" t="s">
        <v>9</v>
      </c>
      <c r="L30" s="11" t="s">
        <v>10</v>
      </c>
      <c r="M30" s="11" t="s">
        <v>11</v>
      </c>
      <c r="N30" s="11" t="s">
        <v>12</v>
      </c>
      <c r="O30" s="25" t="s">
        <v>13</v>
      </c>
      <c r="P30" s="25" t="s">
        <v>14</v>
      </c>
      <c r="Q30" s="25" t="s">
        <v>15</v>
      </c>
      <c r="R30" s="11" t="s">
        <v>16</v>
      </c>
      <c r="S30" s="10" t="s">
        <v>17</v>
      </c>
      <c r="T30" s="10" t="s">
        <v>18</v>
      </c>
      <c r="U30" s="23" t="s">
        <v>19</v>
      </c>
      <c r="V30" s="10" t="s">
        <v>20</v>
      </c>
      <c r="W30" s="10" t="s">
        <v>21</v>
      </c>
      <c r="X30" s="10" t="s">
        <v>22</v>
      </c>
      <c r="Y30" s="10" t="s">
        <v>23</v>
      </c>
    </row>
    <row r="31" spans="1:25" s="12" customFormat="1" x14ac:dyDescent="0.2">
      <c r="F31" s="12" t="s">
        <v>24</v>
      </c>
      <c r="G31" s="6" t="s">
        <v>25</v>
      </c>
      <c r="H31" s="12" t="s">
        <v>26</v>
      </c>
      <c r="I31" s="12" t="s">
        <v>27</v>
      </c>
      <c r="K31" s="12" t="s">
        <v>28</v>
      </c>
      <c r="L31" s="12" t="s">
        <v>28</v>
      </c>
      <c r="M31" s="13" t="s">
        <v>29</v>
      </c>
      <c r="N31" s="13" t="s">
        <v>30</v>
      </c>
      <c r="O31" s="8" t="s">
        <v>31</v>
      </c>
      <c r="P31" s="8" t="s">
        <v>31</v>
      </c>
      <c r="Q31" s="8" t="s">
        <v>32</v>
      </c>
      <c r="R31" s="13" t="s">
        <v>31</v>
      </c>
      <c r="S31" s="12" t="s">
        <v>33</v>
      </c>
      <c r="T31" s="12" t="s">
        <v>33</v>
      </c>
      <c r="U31" s="9" t="s">
        <v>34</v>
      </c>
      <c r="V31" s="12" t="s">
        <v>35</v>
      </c>
    </row>
    <row r="32" spans="1:25" s="15" customFormat="1" x14ac:dyDescent="0.2">
      <c r="D32" s="15" t="s">
        <v>110</v>
      </c>
      <c r="E32" s="35" t="s">
        <v>111</v>
      </c>
      <c r="F32" s="15">
        <v>100</v>
      </c>
      <c r="G32" s="6">
        <v>0.24</v>
      </c>
      <c r="H32" s="15">
        <v>0.05</v>
      </c>
      <c r="I32" s="15">
        <f>H32/G32</f>
        <v>0.20833333333333334</v>
      </c>
      <c r="K32" s="27">
        <v>9.5600000000000004E-2</v>
      </c>
      <c r="L32" s="42">
        <v>0</v>
      </c>
      <c r="M32" s="42">
        <v>0.36799999999999999</v>
      </c>
      <c r="N32" s="15">
        <f t="shared" ref="N32" si="25">M32*3.66</f>
        <v>1.3468800000000001</v>
      </c>
      <c r="O32" s="8">
        <f t="shared" ref="O32" si="26">K32*G32*F32</f>
        <v>2.2944</v>
      </c>
      <c r="P32" s="8">
        <f t="shared" ref="P32" si="27">F32*G32*L32</f>
        <v>0</v>
      </c>
      <c r="Q32" s="8">
        <f t="shared" ref="Q32" si="28">F32*G32*N32</f>
        <v>32.325119999999998</v>
      </c>
      <c r="U32" s="9"/>
    </row>
    <row r="33" spans="1:25" s="17" customFormat="1" ht="17" thickBot="1" x14ac:dyDescent="0.25">
      <c r="A33" s="17" t="s">
        <v>114</v>
      </c>
      <c r="B33" s="17" t="s">
        <v>199</v>
      </c>
      <c r="I33" s="17" cm="1">
        <f t="array" ref="I33">1/SUM(1/I32:I32)</f>
        <v>0.20833333333333334</v>
      </c>
      <c r="O33" s="17">
        <f>SUM(O32:O32)</f>
        <v>2.2944</v>
      </c>
      <c r="P33" s="17">
        <f>SUM(P32:P32)</f>
        <v>0</v>
      </c>
      <c r="Q33" s="17">
        <f>SUM(Q32:Q32)</f>
        <v>32.325119999999998</v>
      </c>
      <c r="S33" s="17">
        <v>30</v>
      </c>
      <c r="T33" s="17">
        <v>1</v>
      </c>
      <c r="V33" s="17" t="s">
        <v>36</v>
      </c>
      <c r="W33" s="17" t="s">
        <v>112</v>
      </c>
      <c r="X33" s="17" t="s">
        <v>109</v>
      </c>
    </row>
    <row r="34" spans="1:25" ht="17" thickTop="1" x14ac:dyDescent="0.2"/>
    <row r="35" spans="1:25" s="10" customFormat="1" x14ac:dyDescent="0.2">
      <c r="D35" s="10" t="s">
        <v>2</v>
      </c>
      <c r="E35" s="10" t="s">
        <v>3</v>
      </c>
      <c r="F35" s="10" t="s">
        <v>4</v>
      </c>
      <c r="G35" s="21" t="s">
        <v>5</v>
      </c>
      <c r="H35" s="10" t="s">
        <v>6</v>
      </c>
      <c r="I35" s="10" t="s">
        <v>7</v>
      </c>
      <c r="J35" s="10" t="s">
        <v>8</v>
      </c>
      <c r="K35" s="11" t="s">
        <v>9</v>
      </c>
      <c r="L35" s="11" t="s">
        <v>10</v>
      </c>
      <c r="M35" s="11" t="s">
        <v>11</v>
      </c>
      <c r="N35" s="11" t="s">
        <v>12</v>
      </c>
      <c r="O35" s="25" t="s">
        <v>13</v>
      </c>
      <c r="P35" s="25" t="s">
        <v>14</v>
      </c>
      <c r="Q35" s="25" t="s">
        <v>15</v>
      </c>
      <c r="R35" s="11" t="s">
        <v>16</v>
      </c>
      <c r="S35" s="10" t="s">
        <v>17</v>
      </c>
      <c r="T35" s="10" t="s">
        <v>18</v>
      </c>
      <c r="U35" s="23" t="s">
        <v>19</v>
      </c>
      <c r="V35" s="10" t="s">
        <v>20</v>
      </c>
      <c r="W35" s="10" t="s">
        <v>21</v>
      </c>
      <c r="X35" s="10" t="s">
        <v>22</v>
      </c>
      <c r="Y35" s="10" t="s">
        <v>23</v>
      </c>
    </row>
    <row r="36" spans="1:25" s="12" customFormat="1" x14ac:dyDescent="0.2">
      <c r="F36" s="12" t="s">
        <v>24</v>
      </c>
      <c r="G36" s="6" t="s">
        <v>25</v>
      </c>
      <c r="H36" s="12" t="s">
        <v>26</v>
      </c>
      <c r="I36" s="12" t="s">
        <v>27</v>
      </c>
      <c r="K36" s="12" t="s">
        <v>28</v>
      </c>
      <c r="L36" s="12" t="s">
        <v>28</v>
      </c>
      <c r="M36" s="13" t="s">
        <v>29</v>
      </c>
      <c r="N36" s="13" t="s">
        <v>30</v>
      </c>
      <c r="O36" s="8" t="s">
        <v>31</v>
      </c>
      <c r="P36" s="8" t="s">
        <v>31</v>
      </c>
      <c r="Q36" s="8" t="s">
        <v>32</v>
      </c>
      <c r="R36" s="13" t="s">
        <v>31</v>
      </c>
      <c r="S36" s="12" t="s">
        <v>33</v>
      </c>
      <c r="T36" s="12" t="s">
        <v>33</v>
      </c>
      <c r="U36" s="9" t="s">
        <v>34</v>
      </c>
      <c r="V36" s="12" t="s">
        <v>35</v>
      </c>
    </row>
    <row r="37" spans="1:25" s="15" customFormat="1" x14ac:dyDescent="0.2">
      <c r="D37" s="15" t="s">
        <v>110</v>
      </c>
      <c r="E37" s="35" t="s">
        <v>111</v>
      </c>
      <c r="F37" s="15">
        <v>100</v>
      </c>
      <c r="G37" s="6">
        <v>0.32</v>
      </c>
      <c r="H37" s="15">
        <v>0.05</v>
      </c>
      <c r="I37" s="15">
        <f>H37/G37</f>
        <v>0.15625</v>
      </c>
      <c r="K37" s="27">
        <v>9.5600000000000004E-2</v>
      </c>
      <c r="L37" s="42">
        <v>0</v>
      </c>
      <c r="M37" s="42">
        <v>0.36799999999999999</v>
      </c>
      <c r="N37" s="15">
        <f t="shared" ref="N37" si="29">M37*3.66</f>
        <v>1.3468800000000001</v>
      </c>
      <c r="O37" s="8">
        <f t="shared" ref="O37" si="30">K37*G37*F37</f>
        <v>3.0592000000000001</v>
      </c>
      <c r="P37" s="8">
        <f t="shared" ref="P37" si="31">F37*G37*L37</f>
        <v>0</v>
      </c>
      <c r="Q37" s="8">
        <f t="shared" ref="Q37" si="32">F37*G37*N37</f>
        <v>43.100160000000002</v>
      </c>
      <c r="U37" s="9"/>
    </row>
    <row r="38" spans="1:25" s="17" customFormat="1" ht="17" thickBot="1" x14ac:dyDescent="0.25">
      <c r="A38" s="17" t="s">
        <v>115</v>
      </c>
      <c r="B38" s="17" t="s">
        <v>199</v>
      </c>
      <c r="I38" s="17" cm="1">
        <f t="array" ref="I38">1/SUM(1/I37:I37)</f>
        <v>0.15625</v>
      </c>
      <c r="O38" s="17">
        <f>SUM(O37:O37)</f>
        <v>3.0592000000000001</v>
      </c>
      <c r="P38" s="17">
        <f>SUM(P37:P37)</f>
        <v>0</v>
      </c>
      <c r="Q38" s="17">
        <f>SUM(Q37:Q37)</f>
        <v>43.100160000000002</v>
      </c>
      <c r="S38" s="17">
        <v>30</v>
      </c>
      <c r="T38" s="17">
        <v>1</v>
      </c>
      <c r="V38" s="17" t="s">
        <v>36</v>
      </c>
      <c r="W38" s="17" t="s">
        <v>112</v>
      </c>
      <c r="X38" s="17" t="s">
        <v>109</v>
      </c>
    </row>
    <row r="39" spans="1:25" ht="17" thickTop="1" x14ac:dyDescent="0.2"/>
    <row r="40" spans="1:25" s="10" customFormat="1" x14ac:dyDescent="0.2">
      <c r="D40" s="10" t="s">
        <v>2</v>
      </c>
      <c r="E40" s="10" t="s">
        <v>3</v>
      </c>
      <c r="F40" s="10" t="s">
        <v>4</v>
      </c>
      <c r="G40" s="21" t="s">
        <v>5</v>
      </c>
      <c r="H40" s="10" t="s">
        <v>6</v>
      </c>
      <c r="I40" s="10" t="s">
        <v>7</v>
      </c>
      <c r="J40" s="10" t="s">
        <v>8</v>
      </c>
      <c r="K40" s="11" t="s">
        <v>9</v>
      </c>
      <c r="L40" s="11" t="s">
        <v>10</v>
      </c>
      <c r="M40" s="11" t="s">
        <v>11</v>
      </c>
      <c r="N40" s="11" t="s">
        <v>12</v>
      </c>
      <c r="O40" s="25" t="s">
        <v>13</v>
      </c>
      <c r="P40" s="25" t="s">
        <v>14</v>
      </c>
      <c r="Q40" s="25" t="s">
        <v>15</v>
      </c>
      <c r="R40" s="11" t="s">
        <v>16</v>
      </c>
      <c r="S40" s="10" t="s">
        <v>17</v>
      </c>
      <c r="T40" s="10" t="s">
        <v>18</v>
      </c>
      <c r="U40" s="23" t="s">
        <v>19</v>
      </c>
      <c r="V40" s="10" t="s">
        <v>20</v>
      </c>
      <c r="W40" s="10" t="s">
        <v>21</v>
      </c>
      <c r="X40" s="10" t="s">
        <v>22</v>
      </c>
      <c r="Y40" s="10" t="s">
        <v>23</v>
      </c>
    </row>
    <row r="41" spans="1:25" s="12" customFormat="1" x14ac:dyDescent="0.2">
      <c r="F41" s="12" t="s">
        <v>24</v>
      </c>
      <c r="G41" s="6" t="s">
        <v>25</v>
      </c>
      <c r="H41" s="12" t="s">
        <v>26</v>
      </c>
      <c r="I41" s="12" t="s">
        <v>27</v>
      </c>
      <c r="K41" s="12" t="s">
        <v>28</v>
      </c>
      <c r="L41" s="12" t="s">
        <v>28</v>
      </c>
      <c r="M41" s="13" t="s">
        <v>29</v>
      </c>
      <c r="N41" s="13" t="s">
        <v>30</v>
      </c>
      <c r="O41" s="8" t="s">
        <v>31</v>
      </c>
      <c r="P41" s="8" t="s">
        <v>31</v>
      </c>
      <c r="Q41" s="8" t="s">
        <v>32</v>
      </c>
      <c r="R41" s="13" t="s">
        <v>31</v>
      </c>
      <c r="S41" s="12" t="s">
        <v>33</v>
      </c>
      <c r="T41" s="12" t="s">
        <v>33</v>
      </c>
      <c r="U41" s="9" t="s">
        <v>34</v>
      </c>
      <c r="V41" s="12" t="s">
        <v>35</v>
      </c>
    </row>
    <row r="42" spans="1:25" s="15" customFormat="1" x14ac:dyDescent="0.2">
      <c r="D42" s="15" t="s">
        <v>110</v>
      </c>
      <c r="E42" s="35" t="s">
        <v>111</v>
      </c>
      <c r="F42" s="15">
        <v>100</v>
      </c>
      <c r="G42" s="6">
        <v>0.64</v>
      </c>
      <c r="H42" s="15">
        <v>0.05</v>
      </c>
      <c r="I42" s="15">
        <f>H42/G42</f>
        <v>7.8125E-2</v>
      </c>
      <c r="K42" s="27">
        <v>9.5600000000000004E-2</v>
      </c>
      <c r="L42" s="42">
        <v>0</v>
      </c>
      <c r="M42" s="42">
        <v>0.36799999999999999</v>
      </c>
      <c r="N42" s="15">
        <f t="shared" ref="N42" si="33">M42*3.66</f>
        <v>1.3468800000000001</v>
      </c>
      <c r="O42" s="8">
        <f t="shared" ref="O42" si="34">K42*G42*F42</f>
        <v>6.1184000000000003</v>
      </c>
      <c r="P42" s="8">
        <f t="shared" ref="P42" si="35">F42*G42*L42</f>
        <v>0</v>
      </c>
      <c r="Q42" s="8">
        <f t="shared" ref="Q42" si="36">F42*G42*N42</f>
        <v>86.200320000000005</v>
      </c>
      <c r="U42" s="9"/>
    </row>
    <row r="43" spans="1:25" s="17" customFormat="1" ht="17" thickBot="1" x14ac:dyDescent="0.25">
      <c r="A43" s="17" t="s">
        <v>116</v>
      </c>
      <c r="B43" s="17" t="s">
        <v>199</v>
      </c>
      <c r="I43" s="17" cm="1">
        <f t="array" ref="I43">1/SUM(1/I42:I42)</f>
        <v>7.8125E-2</v>
      </c>
      <c r="O43" s="17">
        <f>SUM(O42:O42)</f>
        <v>6.1184000000000003</v>
      </c>
      <c r="P43" s="17">
        <f>SUM(P42:P42)</f>
        <v>0</v>
      </c>
      <c r="Q43" s="17">
        <f>SUM(Q42:Q42)</f>
        <v>86.200320000000005</v>
      </c>
      <c r="S43" s="17">
        <v>30</v>
      </c>
      <c r="T43" s="17">
        <v>1</v>
      </c>
      <c r="V43" s="17" t="s">
        <v>36</v>
      </c>
      <c r="W43" s="17" t="s">
        <v>112</v>
      </c>
      <c r="X43" s="17" t="s">
        <v>109</v>
      </c>
    </row>
    <row r="44" spans="1:25" ht="17" thickTop="1" x14ac:dyDescent="0.2"/>
    <row r="45" spans="1:25" s="10" customFormat="1" x14ac:dyDescent="0.2">
      <c r="D45" s="10" t="s">
        <v>2</v>
      </c>
      <c r="E45" s="10" t="s">
        <v>3</v>
      </c>
      <c r="F45" s="10" t="s">
        <v>4</v>
      </c>
      <c r="G45" s="21" t="s">
        <v>5</v>
      </c>
      <c r="H45" s="10" t="s">
        <v>6</v>
      </c>
      <c r="I45" s="10" t="s">
        <v>7</v>
      </c>
      <c r="J45" s="10" t="s">
        <v>8</v>
      </c>
      <c r="K45" s="11" t="s">
        <v>9</v>
      </c>
      <c r="L45" s="11" t="s">
        <v>10</v>
      </c>
      <c r="M45" s="11" t="s">
        <v>11</v>
      </c>
      <c r="N45" s="11" t="s">
        <v>12</v>
      </c>
      <c r="O45" s="25" t="s">
        <v>13</v>
      </c>
      <c r="P45" s="25" t="s">
        <v>14</v>
      </c>
      <c r="Q45" s="25" t="s">
        <v>15</v>
      </c>
      <c r="R45" s="11" t="s">
        <v>16</v>
      </c>
      <c r="S45" s="10" t="s">
        <v>17</v>
      </c>
      <c r="T45" s="10" t="s">
        <v>18</v>
      </c>
      <c r="U45" s="23" t="s">
        <v>19</v>
      </c>
      <c r="V45" s="10" t="s">
        <v>20</v>
      </c>
      <c r="W45" s="10" t="s">
        <v>21</v>
      </c>
      <c r="X45" s="10" t="s">
        <v>22</v>
      </c>
      <c r="Y45" s="10" t="s">
        <v>23</v>
      </c>
    </row>
    <row r="46" spans="1:25" s="12" customFormat="1" x14ac:dyDescent="0.2">
      <c r="F46" s="12" t="s">
        <v>24</v>
      </c>
      <c r="G46" s="6" t="s">
        <v>25</v>
      </c>
      <c r="H46" s="12" t="s">
        <v>26</v>
      </c>
      <c r="I46" s="12" t="s">
        <v>27</v>
      </c>
      <c r="K46" s="12" t="s">
        <v>28</v>
      </c>
      <c r="L46" s="12" t="s">
        <v>28</v>
      </c>
      <c r="M46" s="13" t="s">
        <v>29</v>
      </c>
      <c r="N46" s="13" t="s">
        <v>30</v>
      </c>
      <c r="O46" s="8" t="s">
        <v>31</v>
      </c>
      <c r="P46" s="8" t="s">
        <v>31</v>
      </c>
      <c r="Q46" s="8" t="s">
        <v>32</v>
      </c>
      <c r="R46" s="13" t="s">
        <v>31</v>
      </c>
      <c r="S46" s="12" t="s">
        <v>33</v>
      </c>
      <c r="T46" s="12" t="s">
        <v>33</v>
      </c>
      <c r="U46" s="9" t="s">
        <v>34</v>
      </c>
      <c r="V46" s="12" t="s">
        <v>35</v>
      </c>
    </row>
    <row r="47" spans="1:25" s="15" customFormat="1" x14ac:dyDescent="0.2">
      <c r="D47" s="15" t="s">
        <v>110</v>
      </c>
      <c r="E47" s="35" t="s">
        <v>111</v>
      </c>
      <c r="F47" s="15">
        <v>100</v>
      </c>
      <c r="G47" s="6">
        <v>0.48</v>
      </c>
      <c r="H47" s="15">
        <v>0.05</v>
      </c>
      <c r="I47" s="15">
        <f>H47/G47</f>
        <v>0.10416666666666667</v>
      </c>
      <c r="K47" s="27">
        <v>9.5600000000000004E-2</v>
      </c>
      <c r="L47" s="42">
        <v>0</v>
      </c>
      <c r="M47" s="42">
        <v>0.36799999999999999</v>
      </c>
      <c r="N47" s="15">
        <f t="shared" ref="N47" si="37">M47*3.66</f>
        <v>1.3468800000000001</v>
      </c>
      <c r="O47" s="8">
        <f t="shared" ref="O47" si="38">K47*G47*F47</f>
        <v>4.5888</v>
      </c>
      <c r="P47" s="8">
        <f t="shared" ref="P47" si="39">F47*G47*L47</f>
        <v>0</v>
      </c>
      <c r="Q47" s="8">
        <f t="shared" ref="Q47" si="40">F47*G47*N47</f>
        <v>64.650239999999997</v>
      </c>
      <c r="U47" s="9"/>
    </row>
    <row r="48" spans="1:25" s="17" customFormat="1" ht="17" thickBot="1" x14ac:dyDescent="0.25">
      <c r="A48" s="17" t="s">
        <v>339</v>
      </c>
      <c r="B48" s="17" t="s">
        <v>199</v>
      </c>
      <c r="I48" s="17" cm="1">
        <f t="array" ref="I48">1/SUM(1/I47:I47)</f>
        <v>0.10416666666666667</v>
      </c>
      <c r="O48" s="17">
        <f>SUM(O47:O47)</f>
        <v>4.5888</v>
      </c>
      <c r="P48" s="17">
        <f>SUM(P47:P47)</f>
        <v>0</v>
      </c>
      <c r="Q48" s="17">
        <f>SUM(Q47:Q47)</f>
        <v>64.650239999999997</v>
      </c>
      <c r="S48" s="17">
        <v>30</v>
      </c>
      <c r="T48" s="17">
        <v>1</v>
      </c>
      <c r="V48" s="17" t="s">
        <v>36</v>
      </c>
      <c r="W48" s="17" t="s">
        <v>112</v>
      </c>
      <c r="X48" s="17" t="s">
        <v>109</v>
      </c>
    </row>
    <row r="49" ht="17" thickTop="1" x14ac:dyDescent="0.2"/>
  </sheetData>
  <conditionalFormatting sqref="K6:M8">
    <cfRule type="cellIs" dxfId="502" priority="11" operator="equal">
      <formula>0</formula>
    </cfRule>
    <cfRule type="cellIs" dxfId="501" priority="12" operator="greaterThan">
      <formula>100</formula>
    </cfRule>
    <cfRule type="cellIs" dxfId="500" priority="13" operator="between">
      <formula>10</formula>
      <formula>100</formula>
    </cfRule>
    <cfRule type="cellIs" dxfId="499" priority="14" operator="between">
      <formula>1</formula>
      <formula>10</formula>
    </cfRule>
    <cfRule type="cellIs" dxfId="498" priority="15" operator="between">
      <formula>0.00000001</formula>
      <formula>1</formula>
    </cfRule>
  </conditionalFormatting>
  <conditionalFormatting sqref="K14:M16">
    <cfRule type="cellIs" dxfId="497" priority="25" operator="between">
      <formula>0.00000001</formula>
      <formula>1</formula>
    </cfRule>
    <cfRule type="cellIs" dxfId="496" priority="22" operator="greaterThan">
      <formula>100</formula>
    </cfRule>
    <cfRule type="cellIs" dxfId="495" priority="23" operator="between">
      <formula>10</formula>
      <formula>100</formula>
    </cfRule>
    <cfRule type="cellIs" dxfId="494" priority="21" operator="equal">
      <formula>0</formula>
    </cfRule>
    <cfRule type="cellIs" dxfId="493" priority="24" operator="between">
      <formula>1</formula>
      <formula>10</formula>
    </cfRule>
  </conditionalFormatting>
  <conditionalFormatting sqref="K22:M22">
    <cfRule type="cellIs" dxfId="492" priority="85" operator="between">
      <formula>0.00000001</formula>
      <formula>1</formula>
    </cfRule>
    <cfRule type="cellIs" dxfId="491" priority="84" operator="between">
      <formula>1</formula>
      <formula>10</formula>
    </cfRule>
    <cfRule type="cellIs" dxfId="490" priority="83" operator="between">
      <formula>10</formula>
      <formula>100</formula>
    </cfRule>
    <cfRule type="cellIs" dxfId="489" priority="82" operator="greaterThan">
      <formula>100</formula>
    </cfRule>
    <cfRule type="cellIs" dxfId="488" priority="81" operator="equal">
      <formula>0</formula>
    </cfRule>
  </conditionalFormatting>
  <conditionalFormatting sqref="K27:M27">
    <cfRule type="cellIs" dxfId="487" priority="74" operator="between">
      <formula>1</formula>
      <formula>10</formula>
    </cfRule>
    <cfRule type="cellIs" dxfId="486" priority="73" operator="between">
      <formula>10</formula>
      <formula>100</formula>
    </cfRule>
    <cfRule type="cellIs" dxfId="485" priority="72" operator="greaterThan">
      <formula>100</formula>
    </cfRule>
    <cfRule type="cellIs" dxfId="484" priority="71" operator="equal">
      <formula>0</formula>
    </cfRule>
    <cfRule type="cellIs" dxfId="483" priority="75" operator="between">
      <formula>0.00000001</formula>
      <formula>1</formula>
    </cfRule>
  </conditionalFormatting>
  <conditionalFormatting sqref="K32:M32">
    <cfRule type="cellIs" dxfId="482" priority="61" operator="equal">
      <formula>0</formula>
    </cfRule>
    <cfRule type="cellIs" dxfId="481" priority="65" operator="between">
      <formula>0.00000001</formula>
      <formula>1</formula>
    </cfRule>
    <cfRule type="cellIs" dxfId="480" priority="64" operator="between">
      <formula>1</formula>
      <formula>10</formula>
    </cfRule>
    <cfRule type="cellIs" dxfId="479" priority="63" operator="between">
      <formula>10</formula>
      <formula>100</formula>
    </cfRule>
    <cfRule type="cellIs" dxfId="478" priority="62" operator="greaterThan">
      <formula>100</formula>
    </cfRule>
  </conditionalFormatting>
  <conditionalFormatting sqref="K37:M37">
    <cfRule type="cellIs" dxfId="477" priority="51" operator="equal">
      <formula>0</formula>
    </cfRule>
    <cfRule type="cellIs" dxfId="476" priority="55" operator="between">
      <formula>0.00000001</formula>
      <formula>1</formula>
    </cfRule>
    <cfRule type="cellIs" dxfId="475" priority="54" operator="between">
      <formula>1</formula>
      <formula>10</formula>
    </cfRule>
    <cfRule type="cellIs" dxfId="474" priority="53" operator="between">
      <formula>10</formula>
      <formula>100</formula>
    </cfRule>
    <cfRule type="cellIs" dxfId="473" priority="52" operator="greaterThan">
      <formula>100</formula>
    </cfRule>
  </conditionalFormatting>
  <conditionalFormatting sqref="K42:M42">
    <cfRule type="cellIs" dxfId="472" priority="41" operator="equal">
      <formula>0</formula>
    </cfRule>
    <cfRule type="cellIs" dxfId="471" priority="42" operator="greaterThan">
      <formula>100</formula>
    </cfRule>
    <cfRule type="cellIs" dxfId="470" priority="43" operator="between">
      <formula>10</formula>
      <formula>100</formula>
    </cfRule>
    <cfRule type="cellIs" dxfId="469" priority="44" operator="between">
      <formula>1</formula>
      <formula>10</formula>
    </cfRule>
    <cfRule type="cellIs" dxfId="468" priority="45" operator="between">
      <formula>0.00000001</formula>
      <formula>1</formula>
    </cfRule>
  </conditionalFormatting>
  <conditionalFormatting sqref="K47:M47">
    <cfRule type="cellIs" dxfId="467" priority="1" operator="equal">
      <formula>0</formula>
    </cfRule>
    <cfRule type="cellIs" dxfId="466" priority="2" operator="greaterThan">
      <formula>100</formula>
    </cfRule>
    <cfRule type="cellIs" dxfId="465" priority="5" operator="between">
      <formula>0.00000001</formula>
      <formula>1</formula>
    </cfRule>
    <cfRule type="cellIs" dxfId="464" priority="4" operator="between">
      <formula>1</formula>
      <formula>10</formula>
    </cfRule>
    <cfRule type="cellIs" dxfId="463" priority="3" operator="between">
      <formula>10</formula>
      <formula>100</formula>
    </cfRule>
  </conditionalFormatting>
  <conditionalFormatting sqref="Q6:Q8">
    <cfRule type="cellIs" dxfId="462" priority="16" operator="equal">
      <formula>0</formula>
    </cfRule>
    <cfRule type="cellIs" dxfId="461" priority="20" operator="between">
      <formula>0.00000001</formula>
      <formula>1</formula>
    </cfRule>
    <cfRule type="cellIs" dxfId="460" priority="19" operator="between">
      <formula>1</formula>
      <formula>10</formula>
    </cfRule>
    <cfRule type="cellIs" dxfId="459" priority="18" operator="between">
      <formula>10</formula>
      <formula>100</formula>
    </cfRule>
    <cfRule type="cellIs" dxfId="458" priority="17" operator="greaterThan">
      <formula>100</formula>
    </cfRule>
  </conditionalFormatting>
  <conditionalFormatting sqref="Q14:Q16">
    <cfRule type="cellIs" dxfId="457" priority="30" operator="between">
      <formula>0.00000001</formula>
      <formula>1</formula>
    </cfRule>
    <cfRule type="cellIs" dxfId="456" priority="29" operator="between">
      <formula>1</formula>
      <formula>10</formula>
    </cfRule>
    <cfRule type="cellIs" dxfId="455" priority="28" operator="between">
      <formula>10</formula>
      <formula>100</formula>
    </cfRule>
    <cfRule type="cellIs" dxfId="454" priority="27" operator="greaterThan">
      <formula>100</formula>
    </cfRule>
    <cfRule type="cellIs" dxfId="453" priority="26" operator="equal">
      <formula>0</formula>
    </cfRule>
  </conditionalFormatting>
  <conditionalFormatting sqref="Q22">
    <cfRule type="cellIs" dxfId="452" priority="106" operator="equal">
      <formula>0</formula>
    </cfRule>
    <cfRule type="cellIs" dxfId="451" priority="107" operator="greaterThan">
      <formula>100</formula>
    </cfRule>
    <cfRule type="cellIs" dxfId="450" priority="108" operator="between">
      <formula>10</formula>
      <formula>100</formula>
    </cfRule>
    <cfRule type="cellIs" dxfId="449" priority="109" operator="between">
      <formula>1</formula>
      <formula>10</formula>
    </cfRule>
    <cfRule type="cellIs" dxfId="448" priority="110" operator="between">
      <formula>0.00000001</formula>
      <formula>1</formula>
    </cfRule>
  </conditionalFormatting>
  <conditionalFormatting sqref="Q27">
    <cfRule type="cellIs" dxfId="447" priority="80" operator="between">
      <formula>0.00000001</formula>
      <formula>1</formula>
    </cfRule>
    <cfRule type="cellIs" dxfId="446" priority="79" operator="between">
      <formula>1</formula>
      <formula>10</formula>
    </cfRule>
    <cfRule type="cellIs" dxfId="445" priority="78" operator="between">
      <formula>10</formula>
      <formula>100</formula>
    </cfRule>
    <cfRule type="cellIs" dxfId="444" priority="77" operator="greaterThan">
      <formula>100</formula>
    </cfRule>
    <cfRule type="cellIs" dxfId="443" priority="76" operator="equal">
      <formula>0</formula>
    </cfRule>
  </conditionalFormatting>
  <conditionalFormatting sqref="Q32">
    <cfRule type="cellIs" dxfId="442" priority="69" operator="between">
      <formula>1</formula>
      <formula>10</formula>
    </cfRule>
    <cfRule type="cellIs" dxfId="441" priority="70" operator="between">
      <formula>0.00000001</formula>
      <formula>1</formula>
    </cfRule>
    <cfRule type="cellIs" dxfId="440" priority="68" operator="between">
      <formula>10</formula>
      <formula>100</formula>
    </cfRule>
    <cfRule type="cellIs" dxfId="439" priority="67" operator="greaterThan">
      <formula>100</formula>
    </cfRule>
    <cfRule type="cellIs" dxfId="438" priority="66" operator="equal">
      <formula>0</formula>
    </cfRule>
  </conditionalFormatting>
  <conditionalFormatting sqref="Q37">
    <cfRule type="cellIs" dxfId="437" priority="60" operator="between">
      <formula>0.00000001</formula>
      <formula>1</formula>
    </cfRule>
    <cfRule type="cellIs" dxfId="436" priority="59" operator="between">
      <formula>1</formula>
      <formula>10</formula>
    </cfRule>
    <cfRule type="cellIs" dxfId="435" priority="58" operator="between">
      <formula>10</formula>
      <formula>100</formula>
    </cfRule>
    <cfRule type="cellIs" dxfId="434" priority="57" operator="greaterThan">
      <formula>100</formula>
    </cfRule>
    <cfRule type="cellIs" dxfId="433" priority="56" operator="equal">
      <formula>0</formula>
    </cfRule>
  </conditionalFormatting>
  <conditionalFormatting sqref="Q42">
    <cfRule type="cellIs" dxfId="432" priority="46" operator="equal">
      <formula>0</formula>
    </cfRule>
    <cfRule type="cellIs" dxfId="431" priority="50" operator="between">
      <formula>0.00000001</formula>
      <formula>1</formula>
    </cfRule>
    <cfRule type="cellIs" dxfId="430" priority="49" operator="between">
      <formula>1</formula>
      <formula>10</formula>
    </cfRule>
    <cfRule type="cellIs" dxfId="429" priority="48" operator="between">
      <formula>10</formula>
      <formula>100</formula>
    </cfRule>
    <cfRule type="cellIs" dxfId="428" priority="47" operator="greaterThan">
      <formula>100</formula>
    </cfRule>
  </conditionalFormatting>
  <conditionalFormatting sqref="Q47">
    <cfRule type="cellIs" dxfId="427" priority="10" operator="between">
      <formula>0.00000001</formula>
      <formula>1</formula>
    </cfRule>
    <cfRule type="cellIs" dxfId="426" priority="9" operator="between">
      <formula>1</formula>
      <formula>10</formula>
    </cfRule>
    <cfRule type="cellIs" dxfId="425" priority="8" operator="between">
      <formula>10</formula>
      <formula>100</formula>
    </cfRule>
    <cfRule type="cellIs" dxfId="424" priority="7" operator="greaterThan">
      <formula>100</formula>
    </cfRule>
    <cfRule type="cellIs" dxfId="423" priority="6" operator="equal">
      <formula>0</formula>
    </cfRule>
  </conditionalFormatting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AB6E-284C-9941-BCA4-BE29C63677FB}">
  <dimension ref="A1:Y56"/>
  <sheetViews>
    <sheetView topLeftCell="A32" zoomScale="75" workbookViewId="0">
      <selection activeCell="A55" sqref="A55"/>
    </sheetView>
  </sheetViews>
  <sheetFormatPr baseColWidth="10" defaultRowHeight="16" x14ac:dyDescent="0.2"/>
  <cols>
    <col min="1" max="1" width="31.5" customWidth="1"/>
    <col min="4" max="4" width="50.33203125" customWidth="1"/>
  </cols>
  <sheetData>
    <row r="1" spans="1:25" s="1" customFormat="1" x14ac:dyDescent="0.2">
      <c r="A1" s="1" t="s">
        <v>0</v>
      </c>
      <c r="B1" s="1" t="s">
        <v>51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52</v>
      </c>
      <c r="J1" s="1" t="s">
        <v>53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4" t="s">
        <v>54</v>
      </c>
      <c r="R1" s="3" t="s">
        <v>16</v>
      </c>
      <c r="S1" s="1" t="s">
        <v>17</v>
      </c>
      <c r="T1" s="1" t="s">
        <v>55</v>
      </c>
      <c r="U1" s="5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F2" t="s">
        <v>24</v>
      </c>
      <c r="G2" s="6" t="s">
        <v>25</v>
      </c>
      <c r="H2" t="s">
        <v>26</v>
      </c>
      <c r="I2" t="s">
        <v>27</v>
      </c>
      <c r="K2" t="s">
        <v>28</v>
      </c>
      <c r="L2" t="s">
        <v>28</v>
      </c>
      <c r="M2" s="7" t="s">
        <v>29</v>
      </c>
      <c r="N2" s="7" t="s">
        <v>30</v>
      </c>
      <c r="O2" s="8" t="s">
        <v>31</v>
      </c>
      <c r="P2" s="8" t="s">
        <v>31</v>
      </c>
      <c r="Q2" s="8" t="s">
        <v>32</v>
      </c>
      <c r="R2" s="7" t="s">
        <v>31</v>
      </c>
      <c r="S2" t="s">
        <v>33</v>
      </c>
      <c r="T2" t="s">
        <v>33</v>
      </c>
      <c r="U2" s="9" t="s">
        <v>34</v>
      </c>
      <c r="V2" t="s">
        <v>35</v>
      </c>
    </row>
    <row r="3" spans="1:25" x14ac:dyDescent="0.2">
      <c r="B3" s="1" t="s">
        <v>73</v>
      </c>
    </row>
    <row r="4" spans="1:25" s="10" customFormat="1" x14ac:dyDescent="0.2"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1" t="s">
        <v>9</v>
      </c>
      <c r="L4" s="11" t="s">
        <v>10</v>
      </c>
      <c r="M4" s="11" t="s">
        <v>11</v>
      </c>
      <c r="N4" s="11" t="s">
        <v>12</v>
      </c>
      <c r="O4" s="11" t="s">
        <v>13</v>
      </c>
      <c r="P4" s="11" t="s">
        <v>14</v>
      </c>
      <c r="Q4" s="11" t="s">
        <v>15</v>
      </c>
      <c r="R4" s="11" t="s">
        <v>16</v>
      </c>
      <c r="S4" s="10" t="s">
        <v>17</v>
      </c>
      <c r="T4" s="10" t="s">
        <v>18</v>
      </c>
      <c r="U4" s="10" t="s">
        <v>19</v>
      </c>
      <c r="V4" s="10" t="s">
        <v>20</v>
      </c>
      <c r="W4" s="10" t="s">
        <v>21</v>
      </c>
      <c r="X4" s="10" t="s">
        <v>22</v>
      </c>
      <c r="Y4" s="10" t="s">
        <v>23</v>
      </c>
    </row>
    <row r="5" spans="1:25" s="12" customFormat="1" x14ac:dyDescent="0.2">
      <c r="F5" s="12" t="s">
        <v>24</v>
      </c>
      <c r="G5" s="12" t="s">
        <v>25</v>
      </c>
      <c r="H5" s="12" t="s">
        <v>26</v>
      </c>
      <c r="I5" s="12" t="s">
        <v>27</v>
      </c>
      <c r="K5" s="12" t="s">
        <v>28</v>
      </c>
      <c r="L5" s="12" t="s">
        <v>28</v>
      </c>
      <c r="M5" s="13" t="s">
        <v>29</v>
      </c>
      <c r="N5" s="13" t="s">
        <v>30</v>
      </c>
      <c r="O5" s="12" t="s">
        <v>31</v>
      </c>
      <c r="P5" s="12" t="s">
        <v>31</v>
      </c>
      <c r="Q5" s="12" t="s">
        <v>32</v>
      </c>
      <c r="R5" s="13" t="s">
        <v>31</v>
      </c>
      <c r="S5" s="12" t="s">
        <v>33</v>
      </c>
      <c r="T5" s="12" t="s">
        <v>33</v>
      </c>
      <c r="U5" s="12" t="s">
        <v>34</v>
      </c>
      <c r="V5" s="12" t="s">
        <v>35</v>
      </c>
    </row>
    <row r="6" spans="1:25" s="14" customFormat="1" x14ac:dyDescent="0.2">
      <c r="D6" s="14" t="s">
        <v>56</v>
      </c>
      <c r="E6" s="39">
        <v>5.0010000000000003</v>
      </c>
      <c r="I6" s="14">
        <v>1.1000000000000001</v>
      </c>
      <c r="N6" s="14">
        <f t="shared" ref="N6:N7" si="0">M6*3.66</f>
        <v>0</v>
      </c>
      <c r="O6" s="18">
        <v>40.700000000000003</v>
      </c>
      <c r="P6" s="19">
        <v>3.6</v>
      </c>
      <c r="Q6" s="29">
        <f>0*3.66</f>
        <v>0</v>
      </c>
      <c r="V6" s="14" t="s">
        <v>36</v>
      </c>
      <c r="X6" s="14" t="s">
        <v>78</v>
      </c>
    </row>
    <row r="7" spans="1:25" s="15" customFormat="1" x14ac:dyDescent="0.2">
      <c r="D7" s="15" t="s">
        <v>59</v>
      </c>
      <c r="E7" s="20" t="s">
        <v>60</v>
      </c>
      <c r="I7" s="15">
        <v>1.4</v>
      </c>
      <c r="N7" s="15">
        <f t="shared" si="0"/>
        <v>0</v>
      </c>
      <c r="O7" s="40">
        <v>58.6</v>
      </c>
      <c r="P7" s="41">
        <v>7.11</v>
      </c>
      <c r="Q7" s="29">
        <f>6.25*3.66</f>
        <v>22.875</v>
      </c>
      <c r="V7" s="15" t="s">
        <v>36</v>
      </c>
      <c r="X7" s="15" t="s">
        <v>79</v>
      </c>
    </row>
    <row r="8" spans="1:25" s="17" customFormat="1" ht="17" thickBot="1" x14ac:dyDescent="0.25">
      <c r="A8" s="17" t="s">
        <v>62</v>
      </c>
      <c r="B8" s="17" t="s">
        <v>200</v>
      </c>
      <c r="I8" s="17">
        <f>I6*0.75+I7*0.25</f>
        <v>1.175</v>
      </c>
      <c r="J8" s="17">
        <v>0.55000000000000004</v>
      </c>
      <c r="O8" s="17">
        <f>O7+O6*0.75</f>
        <v>89.125</v>
      </c>
      <c r="P8" s="17">
        <f t="shared" ref="P8:Q8" si="1">P7+P6*0.75</f>
        <v>9.81</v>
      </c>
      <c r="Q8" s="17">
        <f t="shared" si="1"/>
        <v>22.875</v>
      </c>
      <c r="S8" s="17">
        <v>30</v>
      </c>
      <c r="T8" s="17">
        <v>80</v>
      </c>
      <c r="V8" s="17" t="s">
        <v>36</v>
      </c>
      <c r="W8" s="17" t="s">
        <v>77</v>
      </c>
      <c r="X8" s="17" t="s">
        <v>66</v>
      </c>
      <c r="Y8" s="17" t="s">
        <v>76</v>
      </c>
    </row>
    <row r="9" spans="1:25" ht="17" thickTop="1" x14ac:dyDescent="0.2"/>
    <row r="11" spans="1:25" s="10" customFormat="1" x14ac:dyDescent="0.2">
      <c r="D11" s="10" t="s">
        <v>2</v>
      </c>
      <c r="E11" s="10" t="s">
        <v>3</v>
      </c>
      <c r="F11" s="10" t="s">
        <v>4</v>
      </c>
      <c r="G11" s="10" t="s">
        <v>5</v>
      </c>
      <c r="H11" s="10" t="s">
        <v>6</v>
      </c>
      <c r="I11" s="10" t="s">
        <v>7</v>
      </c>
      <c r="J11" s="10" t="s">
        <v>8</v>
      </c>
      <c r="K11" s="11" t="s">
        <v>9</v>
      </c>
      <c r="L11" s="11" t="s">
        <v>10</v>
      </c>
      <c r="M11" s="11" t="s">
        <v>11</v>
      </c>
      <c r="N11" s="11" t="s">
        <v>12</v>
      </c>
      <c r="O11" s="11" t="s">
        <v>13</v>
      </c>
      <c r="P11" s="11" t="s">
        <v>14</v>
      </c>
      <c r="Q11" s="11" t="s">
        <v>15</v>
      </c>
      <c r="R11" s="11" t="s">
        <v>16</v>
      </c>
      <c r="S11" s="10" t="s">
        <v>17</v>
      </c>
      <c r="T11" s="10" t="s">
        <v>18</v>
      </c>
      <c r="U11" s="10" t="s">
        <v>19</v>
      </c>
      <c r="V11" s="10" t="s">
        <v>20</v>
      </c>
      <c r="W11" s="10" t="s">
        <v>21</v>
      </c>
      <c r="X11" s="10" t="s">
        <v>22</v>
      </c>
      <c r="Y11" s="10" t="s">
        <v>23</v>
      </c>
    </row>
    <row r="12" spans="1:25" s="12" customFormat="1" x14ac:dyDescent="0.2">
      <c r="F12" s="12" t="s">
        <v>24</v>
      </c>
      <c r="G12" s="12" t="s">
        <v>25</v>
      </c>
      <c r="H12" s="12" t="s">
        <v>26</v>
      </c>
      <c r="I12" s="12" t="s">
        <v>27</v>
      </c>
      <c r="K12" s="12" t="s">
        <v>28</v>
      </c>
      <c r="L12" s="12" t="s">
        <v>28</v>
      </c>
      <c r="M12" s="13" t="s">
        <v>29</v>
      </c>
      <c r="N12" s="13" t="s">
        <v>30</v>
      </c>
      <c r="O12" s="12" t="s">
        <v>31</v>
      </c>
      <c r="P12" s="12" t="s">
        <v>31</v>
      </c>
      <c r="Q12" s="12" t="s">
        <v>32</v>
      </c>
      <c r="R12" s="13" t="s">
        <v>31</v>
      </c>
      <c r="S12" s="12" t="s">
        <v>33</v>
      </c>
      <c r="T12" s="12" t="s">
        <v>33</v>
      </c>
      <c r="U12" s="12" t="s">
        <v>34</v>
      </c>
      <c r="V12" s="12" t="s">
        <v>35</v>
      </c>
    </row>
    <row r="13" spans="1:25" s="14" customFormat="1" x14ac:dyDescent="0.2">
      <c r="D13" s="14" t="s">
        <v>57</v>
      </c>
      <c r="E13" s="35" t="s">
        <v>58</v>
      </c>
      <c r="I13" s="14">
        <v>0.6</v>
      </c>
      <c r="N13" s="14">
        <f t="shared" ref="N13:N14" si="2">M13*3.66</f>
        <v>0</v>
      </c>
      <c r="O13" s="18">
        <v>62.1</v>
      </c>
      <c r="P13" s="19">
        <v>5.7</v>
      </c>
      <c r="Q13" s="29">
        <f>0*3.66</f>
        <v>0</v>
      </c>
      <c r="V13" s="14" t="s">
        <v>36</v>
      </c>
      <c r="X13" s="14" t="s">
        <v>78</v>
      </c>
    </row>
    <row r="14" spans="1:25" s="15" customFormat="1" x14ac:dyDescent="0.2">
      <c r="D14" s="15" t="s">
        <v>59</v>
      </c>
      <c r="E14" s="20" t="s">
        <v>60</v>
      </c>
      <c r="I14" s="15">
        <v>1.4</v>
      </c>
      <c r="N14" s="15">
        <f t="shared" si="2"/>
        <v>0</v>
      </c>
      <c r="O14" s="40">
        <v>58.6</v>
      </c>
      <c r="P14" s="41">
        <v>7.11</v>
      </c>
      <c r="Q14" s="29">
        <f>6.25*3.66</f>
        <v>22.875</v>
      </c>
      <c r="V14" s="15" t="s">
        <v>36</v>
      </c>
      <c r="X14" s="15" t="s">
        <v>79</v>
      </c>
    </row>
    <row r="15" spans="1:25" s="17" customFormat="1" ht="17" thickBot="1" x14ac:dyDescent="0.25">
      <c r="A15" s="17" t="s">
        <v>63</v>
      </c>
      <c r="B15" s="17" t="s">
        <v>200</v>
      </c>
      <c r="I15" s="17">
        <f>I13*0.75+I14*0.25</f>
        <v>0.79999999999999993</v>
      </c>
      <c r="J15" s="17">
        <v>0.5</v>
      </c>
      <c r="O15" s="17">
        <f>O14+O13*0.75</f>
        <v>105.17500000000001</v>
      </c>
      <c r="P15" s="17">
        <f t="shared" ref="P15" si="3">P14+P13*0.75</f>
        <v>11.385000000000002</v>
      </c>
      <c r="Q15" s="17">
        <f t="shared" ref="Q15" si="4">Q14+Q13*0.75</f>
        <v>22.875</v>
      </c>
      <c r="S15" s="17">
        <v>30</v>
      </c>
      <c r="T15" s="17">
        <v>80</v>
      </c>
      <c r="V15" s="17" t="s">
        <v>36</v>
      </c>
      <c r="W15" s="17" t="s">
        <v>77</v>
      </c>
      <c r="X15" s="17" t="s">
        <v>66</v>
      </c>
      <c r="Y15" s="17" t="s">
        <v>76</v>
      </c>
    </row>
    <row r="16" spans="1:25" ht="17" thickTop="1" x14ac:dyDescent="0.2"/>
    <row r="17" spans="1:25" s="10" customFormat="1" x14ac:dyDescent="0.2">
      <c r="D17" s="10" t="s">
        <v>2</v>
      </c>
      <c r="E17" s="10" t="s">
        <v>3</v>
      </c>
      <c r="F17" s="10" t="s">
        <v>4</v>
      </c>
      <c r="G17" s="10" t="s">
        <v>5</v>
      </c>
      <c r="H17" s="10" t="s">
        <v>6</v>
      </c>
      <c r="I17" s="10" t="s">
        <v>7</v>
      </c>
      <c r="J17" s="10" t="s">
        <v>8</v>
      </c>
      <c r="K17" s="11" t="s">
        <v>9</v>
      </c>
      <c r="L17" s="11" t="s">
        <v>10</v>
      </c>
      <c r="M17" s="11" t="s">
        <v>11</v>
      </c>
      <c r="N17" s="11" t="s">
        <v>12</v>
      </c>
      <c r="O17" s="11" t="s">
        <v>13</v>
      </c>
      <c r="P17" s="11" t="s">
        <v>14</v>
      </c>
      <c r="Q17" s="11" t="s">
        <v>15</v>
      </c>
      <c r="R17" s="11" t="s">
        <v>16</v>
      </c>
      <c r="S17" s="10" t="s">
        <v>17</v>
      </c>
      <c r="T17" s="10" t="s">
        <v>18</v>
      </c>
      <c r="U17" s="10" t="s">
        <v>19</v>
      </c>
      <c r="V17" s="10" t="s">
        <v>20</v>
      </c>
      <c r="W17" s="10" t="s">
        <v>21</v>
      </c>
      <c r="X17" s="10" t="s">
        <v>22</v>
      </c>
      <c r="Y17" s="10" t="s">
        <v>23</v>
      </c>
    </row>
    <row r="18" spans="1:25" s="12" customFormat="1" x14ac:dyDescent="0.2">
      <c r="F18" s="12" t="s">
        <v>24</v>
      </c>
      <c r="G18" s="12" t="s">
        <v>25</v>
      </c>
      <c r="H18" s="12" t="s">
        <v>26</v>
      </c>
      <c r="I18" s="12" t="s">
        <v>27</v>
      </c>
      <c r="K18" s="12" t="s">
        <v>28</v>
      </c>
      <c r="L18" s="12" t="s">
        <v>28</v>
      </c>
      <c r="M18" s="13" t="s">
        <v>29</v>
      </c>
      <c r="N18" s="13" t="s">
        <v>30</v>
      </c>
      <c r="O18" s="12" t="s">
        <v>31</v>
      </c>
      <c r="P18" s="12" t="s">
        <v>31</v>
      </c>
      <c r="Q18" s="12" t="s">
        <v>32</v>
      </c>
      <c r="R18" s="13" t="s">
        <v>31</v>
      </c>
      <c r="S18" s="12" t="s">
        <v>33</v>
      </c>
      <c r="T18" s="12" t="s">
        <v>33</v>
      </c>
      <c r="U18" s="12" t="s">
        <v>34</v>
      </c>
      <c r="V18" s="12" t="s">
        <v>35</v>
      </c>
    </row>
    <row r="19" spans="1:25" s="14" customFormat="1" x14ac:dyDescent="0.2">
      <c r="D19" s="14" t="s">
        <v>56</v>
      </c>
      <c r="E19" s="39">
        <v>5.0010000000000003</v>
      </c>
      <c r="I19" s="14">
        <v>1.1000000000000001</v>
      </c>
      <c r="N19" s="14">
        <f t="shared" ref="N19:N20" si="5">M19*3.66</f>
        <v>0</v>
      </c>
      <c r="O19" s="18">
        <v>40.700000000000003</v>
      </c>
      <c r="P19" s="19">
        <v>3.6</v>
      </c>
      <c r="Q19" s="29">
        <f>0*3.66</f>
        <v>0</v>
      </c>
      <c r="V19" s="14" t="s">
        <v>36</v>
      </c>
      <c r="X19" s="14" t="s">
        <v>78</v>
      </c>
    </row>
    <row r="20" spans="1:25" s="15" customFormat="1" x14ac:dyDescent="0.2">
      <c r="D20" s="15" t="s">
        <v>59</v>
      </c>
      <c r="E20" s="20" t="s">
        <v>60</v>
      </c>
      <c r="I20" s="15">
        <v>1.4</v>
      </c>
      <c r="N20" s="15">
        <f t="shared" si="5"/>
        <v>0</v>
      </c>
      <c r="O20" s="40">
        <v>58.6</v>
      </c>
      <c r="P20" s="41">
        <v>7.11</v>
      </c>
      <c r="Q20" s="29">
        <f>6.25*3.66</f>
        <v>22.875</v>
      </c>
      <c r="V20" s="15" t="s">
        <v>36</v>
      </c>
      <c r="X20" s="15" t="s">
        <v>79</v>
      </c>
    </row>
    <row r="21" spans="1:25" s="17" customFormat="1" ht="17" thickBot="1" x14ac:dyDescent="0.25">
      <c r="A21" s="17" t="s">
        <v>64</v>
      </c>
      <c r="B21" s="17" t="s">
        <v>200</v>
      </c>
      <c r="I21" s="17">
        <f>I19*0.9+I20*0.1</f>
        <v>1.1300000000000001</v>
      </c>
      <c r="J21" s="17">
        <v>0.55000000000000004</v>
      </c>
      <c r="O21" s="17">
        <f>O20+O19*0.9</f>
        <v>95.23</v>
      </c>
      <c r="P21" s="17">
        <f>P20+P19*0.9</f>
        <v>10.350000000000001</v>
      </c>
      <c r="Q21" s="17">
        <f>Q20+Q19*0.9</f>
        <v>22.875</v>
      </c>
      <c r="S21" s="17">
        <v>30</v>
      </c>
      <c r="T21" s="17">
        <v>80</v>
      </c>
      <c r="V21" s="17" t="s">
        <v>36</v>
      </c>
      <c r="W21" s="17" t="s">
        <v>77</v>
      </c>
      <c r="X21" s="17" t="s">
        <v>67</v>
      </c>
      <c r="Y21" s="17" t="s">
        <v>76</v>
      </c>
    </row>
    <row r="22" spans="1:25" ht="17" thickTop="1" x14ac:dyDescent="0.2"/>
    <row r="24" spans="1:25" s="10" customFormat="1" x14ac:dyDescent="0.2">
      <c r="D24" s="10" t="s">
        <v>2</v>
      </c>
      <c r="E24" s="10" t="s">
        <v>3</v>
      </c>
      <c r="F24" s="10" t="s">
        <v>4</v>
      </c>
      <c r="G24" s="10" t="s">
        <v>5</v>
      </c>
      <c r="H24" s="10" t="s">
        <v>6</v>
      </c>
      <c r="I24" s="10" t="s">
        <v>7</v>
      </c>
      <c r="J24" s="10" t="s">
        <v>8</v>
      </c>
      <c r="K24" s="11" t="s">
        <v>9</v>
      </c>
      <c r="L24" s="11" t="s">
        <v>10</v>
      </c>
      <c r="M24" s="11" t="s">
        <v>11</v>
      </c>
      <c r="N24" s="11" t="s">
        <v>12</v>
      </c>
      <c r="O24" s="11" t="s">
        <v>13</v>
      </c>
      <c r="P24" s="11" t="s">
        <v>14</v>
      </c>
      <c r="Q24" s="11" t="s">
        <v>15</v>
      </c>
      <c r="R24" s="11" t="s">
        <v>16</v>
      </c>
      <c r="S24" s="10" t="s">
        <v>17</v>
      </c>
      <c r="T24" s="10" t="s">
        <v>18</v>
      </c>
      <c r="U24" s="10" t="s">
        <v>19</v>
      </c>
      <c r="V24" s="10" t="s">
        <v>20</v>
      </c>
      <c r="W24" s="10" t="s">
        <v>21</v>
      </c>
      <c r="X24" s="10" t="s">
        <v>22</v>
      </c>
      <c r="Y24" s="10" t="s">
        <v>23</v>
      </c>
    </row>
    <row r="25" spans="1:25" s="12" customFormat="1" x14ac:dyDescent="0.2">
      <c r="F25" s="12" t="s">
        <v>24</v>
      </c>
      <c r="G25" s="12" t="s">
        <v>25</v>
      </c>
      <c r="H25" s="12" t="s">
        <v>26</v>
      </c>
      <c r="I25" s="12" t="s">
        <v>27</v>
      </c>
      <c r="K25" s="12" t="s">
        <v>28</v>
      </c>
      <c r="L25" s="12" t="s">
        <v>28</v>
      </c>
      <c r="M25" s="13" t="s">
        <v>29</v>
      </c>
      <c r="N25" s="13" t="s">
        <v>30</v>
      </c>
      <c r="O25" s="12" t="s">
        <v>31</v>
      </c>
      <c r="P25" s="12" t="s">
        <v>31</v>
      </c>
      <c r="Q25" s="12" t="s">
        <v>32</v>
      </c>
      <c r="R25" s="13" t="s">
        <v>31</v>
      </c>
      <c r="S25" s="12" t="s">
        <v>33</v>
      </c>
      <c r="T25" s="12" t="s">
        <v>33</v>
      </c>
      <c r="U25" s="12" t="s">
        <v>34</v>
      </c>
      <c r="V25" s="12" t="s">
        <v>35</v>
      </c>
    </row>
    <row r="26" spans="1:25" s="14" customFormat="1" x14ac:dyDescent="0.2">
      <c r="D26" s="14" t="s">
        <v>57</v>
      </c>
      <c r="E26" s="35" t="s">
        <v>58</v>
      </c>
      <c r="I26" s="14">
        <v>0.6</v>
      </c>
      <c r="N26" s="14">
        <f t="shared" ref="N26:N27" si="6">M26*3.66</f>
        <v>0</v>
      </c>
      <c r="O26" s="18">
        <v>62.1</v>
      </c>
      <c r="P26" s="19">
        <v>5.7</v>
      </c>
      <c r="Q26" s="29">
        <f>0*3.66</f>
        <v>0</v>
      </c>
      <c r="V26" s="14" t="s">
        <v>36</v>
      </c>
      <c r="X26" s="14" t="s">
        <v>78</v>
      </c>
    </row>
    <row r="27" spans="1:25" s="15" customFormat="1" x14ac:dyDescent="0.2">
      <c r="D27" s="15" t="s">
        <v>59</v>
      </c>
      <c r="E27" s="20" t="s">
        <v>60</v>
      </c>
      <c r="I27" s="15">
        <v>1.4</v>
      </c>
      <c r="N27" s="15">
        <f t="shared" si="6"/>
        <v>0</v>
      </c>
      <c r="O27" s="40">
        <v>58.6</v>
      </c>
      <c r="P27" s="41">
        <v>7.11</v>
      </c>
      <c r="Q27" s="29">
        <f>6.25*3.66</f>
        <v>22.875</v>
      </c>
      <c r="V27" s="15" t="s">
        <v>36</v>
      </c>
      <c r="X27" s="15" t="s">
        <v>79</v>
      </c>
    </row>
    <row r="28" spans="1:25" s="17" customFormat="1" ht="17" thickBot="1" x14ac:dyDescent="0.25">
      <c r="A28" s="17" t="s">
        <v>65</v>
      </c>
      <c r="B28" s="17" t="s">
        <v>200</v>
      </c>
      <c r="I28" s="17">
        <f>I26*0.9+I27*0.1</f>
        <v>0.68</v>
      </c>
      <c r="J28" s="17">
        <v>0.5</v>
      </c>
      <c r="O28" s="17">
        <f>O27+O26*0.9</f>
        <v>114.49000000000001</v>
      </c>
      <c r="P28" s="17">
        <f>P27+P26*0.9</f>
        <v>12.24</v>
      </c>
      <c r="Q28" s="17">
        <f>Q27+Q26*0.9</f>
        <v>22.875</v>
      </c>
      <c r="S28" s="17">
        <v>30</v>
      </c>
      <c r="T28" s="17">
        <v>80</v>
      </c>
      <c r="V28" s="17" t="s">
        <v>36</v>
      </c>
      <c r="W28" s="17" t="s">
        <v>77</v>
      </c>
      <c r="X28" s="17" t="s">
        <v>67</v>
      </c>
      <c r="Y28" s="17" t="s">
        <v>76</v>
      </c>
    </row>
    <row r="29" spans="1:25" ht="17" thickTop="1" x14ac:dyDescent="0.2"/>
    <row r="30" spans="1:25" x14ac:dyDescent="0.2">
      <c r="B30" s="1" t="s">
        <v>72</v>
      </c>
    </row>
    <row r="31" spans="1:25" s="10" customFormat="1" x14ac:dyDescent="0.2">
      <c r="D31" s="10" t="s">
        <v>2</v>
      </c>
      <c r="E31" s="10" t="s">
        <v>3</v>
      </c>
      <c r="F31" s="10" t="s">
        <v>4</v>
      </c>
      <c r="G31" s="10" t="s">
        <v>5</v>
      </c>
      <c r="H31" s="10" t="s">
        <v>6</v>
      </c>
      <c r="I31" s="10" t="s">
        <v>7</v>
      </c>
      <c r="J31" s="10" t="s">
        <v>8</v>
      </c>
      <c r="K31" s="11" t="s">
        <v>9</v>
      </c>
      <c r="L31" s="11" t="s">
        <v>10</v>
      </c>
      <c r="M31" s="11" t="s">
        <v>11</v>
      </c>
      <c r="N31" s="11" t="s">
        <v>12</v>
      </c>
      <c r="O31" s="11" t="s">
        <v>13</v>
      </c>
      <c r="P31" s="11" t="s">
        <v>14</v>
      </c>
      <c r="Q31" s="11" t="s">
        <v>15</v>
      </c>
      <c r="R31" s="11" t="s">
        <v>16</v>
      </c>
      <c r="S31" s="10" t="s">
        <v>17</v>
      </c>
      <c r="T31" s="10" t="s">
        <v>18</v>
      </c>
      <c r="U31" s="10" t="s">
        <v>19</v>
      </c>
      <c r="V31" s="10" t="s">
        <v>20</v>
      </c>
      <c r="W31" s="10" t="s">
        <v>21</v>
      </c>
      <c r="X31" s="10" t="s">
        <v>22</v>
      </c>
      <c r="Y31" s="10" t="s">
        <v>23</v>
      </c>
    </row>
    <row r="32" spans="1:25" s="12" customFormat="1" x14ac:dyDescent="0.2">
      <c r="F32" s="12" t="s">
        <v>24</v>
      </c>
      <c r="G32" s="12" t="s">
        <v>25</v>
      </c>
      <c r="H32" s="12" t="s">
        <v>26</v>
      </c>
      <c r="I32" s="12" t="s">
        <v>27</v>
      </c>
      <c r="K32" s="12" t="s">
        <v>28</v>
      </c>
      <c r="L32" s="12" t="s">
        <v>28</v>
      </c>
      <c r="M32" s="13" t="s">
        <v>29</v>
      </c>
      <c r="N32" s="13" t="s">
        <v>30</v>
      </c>
      <c r="O32" s="12" t="s">
        <v>31</v>
      </c>
      <c r="P32" s="12" t="s">
        <v>31</v>
      </c>
      <c r="Q32" s="12" t="s">
        <v>32</v>
      </c>
      <c r="R32" s="13" t="s">
        <v>31</v>
      </c>
      <c r="S32" s="12" t="s">
        <v>33</v>
      </c>
      <c r="T32" s="12" t="s">
        <v>33</v>
      </c>
      <c r="U32" s="12" t="s">
        <v>34</v>
      </c>
      <c r="V32" s="12" t="s">
        <v>35</v>
      </c>
    </row>
    <row r="33" spans="1:25" s="14" customFormat="1" x14ac:dyDescent="0.2">
      <c r="D33" s="14" t="s">
        <v>56</v>
      </c>
      <c r="E33" s="39">
        <v>5.0010000000000003</v>
      </c>
      <c r="I33" s="14">
        <v>1.1000000000000001</v>
      </c>
      <c r="N33" s="14">
        <f t="shared" ref="N33:N34" si="7">M33*3.66</f>
        <v>0</v>
      </c>
      <c r="O33" s="18">
        <v>40.700000000000003</v>
      </c>
      <c r="P33" s="19">
        <v>3.6</v>
      </c>
      <c r="Q33" s="29">
        <f>0*3.66</f>
        <v>0</v>
      </c>
      <c r="V33" s="14" t="s">
        <v>36</v>
      </c>
      <c r="X33" s="14" t="s">
        <v>78</v>
      </c>
    </row>
    <row r="34" spans="1:25" s="15" customFormat="1" x14ac:dyDescent="0.2">
      <c r="D34" s="15" t="s">
        <v>75</v>
      </c>
      <c r="E34" s="20" t="s">
        <v>74</v>
      </c>
      <c r="I34" s="15">
        <v>1.4</v>
      </c>
      <c r="N34" s="15">
        <f t="shared" si="7"/>
        <v>0</v>
      </c>
      <c r="O34" s="40">
        <v>30.3</v>
      </c>
      <c r="P34" s="41">
        <v>5.89</v>
      </c>
      <c r="Q34" s="29">
        <f>7.5*3.66</f>
        <v>27.450000000000003</v>
      </c>
      <c r="V34" s="15" t="s">
        <v>36</v>
      </c>
      <c r="X34" s="15" t="s">
        <v>79</v>
      </c>
    </row>
    <row r="35" spans="1:25" s="17" customFormat="1" ht="17" thickBot="1" x14ac:dyDescent="0.25">
      <c r="A35" s="17" t="s">
        <v>68</v>
      </c>
      <c r="B35" s="17" t="s">
        <v>200</v>
      </c>
      <c r="I35" s="17">
        <f>I33*0.75+I34*0.25</f>
        <v>1.175</v>
      </c>
      <c r="J35" s="17">
        <v>0.55000000000000004</v>
      </c>
      <c r="O35" s="17">
        <f>O34+O33*0.75</f>
        <v>60.825000000000003</v>
      </c>
      <c r="P35" s="17">
        <f t="shared" ref="P35" si="8">P34+P33*0.75</f>
        <v>8.59</v>
      </c>
      <c r="Q35" s="17">
        <f t="shared" ref="Q35" si="9">Q34+Q33*0.75</f>
        <v>27.450000000000003</v>
      </c>
      <c r="S35" s="17">
        <v>30</v>
      </c>
      <c r="T35" s="17">
        <v>80</v>
      </c>
      <c r="V35" s="17" t="s">
        <v>36</v>
      </c>
      <c r="W35" s="17" t="s">
        <v>77</v>
      </c>
      <c r="X35" s="17" t="s">
        <v>66</v>
      </c>
      <c r="Y35" s="17" t="s">
        <v>76</v>
      </c>
    </row>
    <row r="36" spans="1:25" ht="17" thickTop="1" x14ac:dyDescent="0.2"/>
    <row r="38" spans="1:25" s="10" customFormat="1" x14ac:dyDescent="0.2">
      <c r="D38" s="10" t="s">
        <v>2</v>
      </c>
      <c r="E38" s="10" t="s">
        <v>3</v>
      </c>
      <c r="F38" s="10" t="s">
        <v>4</v>
      </c>
      <c r="G38" s="10" t="s">
        <v>5</v>
      </c>
      <c r="H38" s="10" t="s">
        <v>6</v>
      </c>
      <c r="I38" s="10" t="s">
        <v>7</v>
      </c>
      <c r="J38" s="10" t="s">
        <v>8</v>
      </c>
      <c r="K38" s="11" t="s">
        <v>9</v>
      </c>
      <c r="L38" s="11" t="s">
        <v>10</v>
      </c>
      <c r="M38" s="11" t="s">
        <v>11</v>
      </c>
      <c r="N38" s="11" t="s">
        <v>12</v>
      </c>
      <c r="O38" s="11" t="s">
        <v>13</v>
      </c>
      <c r="P38" s="11" t="s">
        <v>14</v>
      </c>
      <c r="Q38" s="11" t="s">
        <v>15</v>
      </c>
      <c r="R38" s="11" t="s">
        <v>16</v>
      </c>
      <c r="S38" s="10" t="s">
        <v>17</v>
      </c>
      <c r="T38" s="10" t="s">
        <v>18</v>
      </c>
      <c r="U38" s="10" t="s">
        <v>19</v>
      </c>
      <c r="V38" s="10" t="s">
        <v>20</v>
      </c>
      <c r="W38" s="10" t="s">
        <v>21</v>
      </c>
      <c r="X38" s="10" t="s">
        <v>22</v>
      </c>
      <c r="Y38" s="10" t="s">
        <v>23</v>
      </c>
    </row>
    <row r="39" spans="1:25" s="12" customFormat="1" x14ac:dyDescent="0.2">
      <c r="F39" s="12" t="s">
        <v>24</v>
      </c>
      <c r="G39" s="12" t="s">
        <v>25</v>
      </c>
      <c r="H39" s="12" t="s">
        <v>26</v>
      </c>
      <c r="I39" s="12" t="s">
        <v>27</v>
      </c>
      <c r="K39" s="12" t="s">
        <v>28</v>
      </c>
      <c r="L39" s="12" t="s">
        <v>28</v>
      </c>
      <c r="M39" s="13" t="s">
        <v>29</v>
      </c>
      <c r="N39" s="13" t="s">
        <v>30</v>
      </c>
      <c r="O39" s="12" t="s">
        <v>31</v>
      </c>
      <c r="P39" s="12" t="s">
        <v>31</v>
      </c>
      <c r="Q39" s="12" t="s">
        <v>32</v>
      </c>
      <c r="R39" s="13" t="s">
        <v>31</v>
      </c>
      <c r="S39" s="12" t="s">
        <v>33</v>
      </c>
      <c r="T39" s="12" t="s">
        <v>33</v>
      </c>
      <c r="U39" s="12" t="s">
        <v>34</v>
      </c>
      <c r="V39" s="12" t="s">
        <v>35</v>
      </c>
    </row>
    <row r="40" spans="1:25" s="14" customFormat="1" x14ac:dyDescent="0.2">
      <c r="D40" s="14" t="s">
        <v>57</v>
      </c>
      <c r="E40" s="35" t="s">
        <v>58</v>
      </c>
      <c r="I40" s="14">
        <v>0.6</v>
      </c>
      <c r="N40" s="14">
        <f t="shared" ref="N40:N41" si="10">M40*3.66</f>
        <v>0</v>
      </c>
      <c r="O40" s="18">
        <v>62.1</v>
      </c>
      <c r="P40" s="19">
        <v>5.7</v>
      </c>
      <c r="Q40" s="29">
        <f>0*3.66</f>
        <v>0</v>
      </c>
      <c r="V40" s="14" t="s">
        <v>36</v>
      </c>
      <c r="X40" s="14" t="s">
        <v>78</v>
      </c>
    </row>
    <row r="41" spans="1:25" s="15" customFormat="1" x14ac:dyDescent="0.2">
      <c r="D41" s="15" t="s">
        <v>75</v>
      </c>
      <c r="E41" s="20" t="s">
        <v>74</v>
      </c>
      <c r="I41" s="15">
        <v>1.4</v>
      </c>
      <c r="N41" s="15">
        <f t="shared" si="10"/>
        <v>0</v>
      </c>
      <c r="O41" s="40">
        <v>30.3</v>
      </c>
      <c r="P41" s="41">
        <v>5.89</v>
      </c>
      <c r="Q41" s="29">
        <f>7.5*3.66</f>
        <v>27.450000000000003</v>
      </c>
      <c r="V41" s="15" t="s">
        <v>36</v>
      </c>
      <c r="X41" s="15" t="s">
        <v>79</v>
      </c>
    </row>
    <row r="42" spans="1:25" s="17" customFormat="1" ht="17" thickBot="1" x14ac:dyDescent="0.25">
      <c r="A42" s="17" t="s">
        <v>69</v>
      </c>
      <c r="B42" s="17" t="s">
        <v>200</v>
      </c>
      <c r="I42" s="17">
        <f>I40*0.75+I41*0.25</f>
        <v>0.79999999999999993</v>
      </c>
      <c r="J42" s="17">
        <v>0.5</v>
      </c>
      <c r="O42" s="17">
        <f>O41+O40*0.75</f>
        <v>76.875</v>
      </c>
      <c r="P42" s="17">
        <f t="shared" ref="P42" si="11">P41+P40*0.75</f>
        <v>10.164999999999999</v>
      </c>
      <c r="Q42" s="17">
        <f t="shared" ref="Q42" si="12">Q41+Q40*0.75</f>
        <v>27.450000000000003</v>
      </c>
      <c r="S42" s="17">
        <v>30</v>
      </c>
      <c r="T42" s="17">
        <v>80</v>
      </c>
      <c r="V42" s="17" t="s">
        <v>36</v>
      </c>
      <c r="W42" s="17" t="s">
        <v>77</v>
      </c>
      <c r="X42" s="17" t="s">
        <v>66</v>
      </c>
      <c r="Y42" s="17" t="s">
        <v>76</v>
      </c>
    </row>
    <row r="43" spans="1:25" ht="17" thickTop="1" x14ac:dyDescent="0.2"/>
    <row r="44" spans="1:25" s="10" customFormat="1" x14ac:dyDescent="0.2">
      <c r="D44" s="10" t="s">
        <v>2</v>
      </c>
      <c r="E44" s="10" t="s">
        <v>3</v>
      </c>
      <c r="F44" s="10" t="s">
        <v>4</v>
      </c>
      <c r="G44" s="10" t="s">
        <v>5</v>
      </c>
      <c r="H44" s="10" t="s">
        <v>6</v>
      </c>
      <c r="I44" s="10" t="s">
        <v>7</v>
      </c>
      <c r="J44" s="10" t="s">
        <v>8</v>
      </c>
      <c r="K44" s="11" t="s">
        <v>9</v>
      </c>
      <c r="L44" s="11" t="s">
        <v>10</v>
      </c>
      <c r="M44" s="11" t="s">
        <v>11</v>
      </c>
      <c r="N44" s="11" t="s">
        <v>12</v>
      </c>
      <c r="O44" s="11" t="s">
        <v>13</v>
      </c>
      <c r="P44" s="11" t="s">
        <v>14</v>
      </c>
      <c r="Q44" s="11" t="s">
        <v>15</v>
      </c>
      <c r="R44" s="11" t="s">
        <v>16</v>
      </c>
      <c r="S44" s="10" t="s">
        <v>17</v>
      </c>
      <c r="T44" s="10" t="s">
        <v>18</v>
      </c>
      <c r="U44" s="10" t="s">
        <v>19</v>
      </c>
      <c r="V44" s="10" t="s">
        <v>20</v>
      </c>
      <c r="W44" s="10" t="s">
        <v>21</v>
      </c>
      <c r="X44" s="10" t="s">
        <v>22</v>
      </c>
      <c r="Y44" s="10" t="s">
        <v>23</v>
      </c>
    </row>
    <row r="45" spans="1:25" s="12" customFormat="1" x14ac:dyDescent="0.2">
      <c r="F45" s="12" t="s">
        <v>24</v>
      </c>
      <c r="G45" s="12" t="s">
        <v>25</v>
      </c>
      <c r="H45" s="12" t="s">
        <v>26</v>
      </c>
      <c r="I45" s="12" t="s">
        <v>27</v>
      </c>
      <c r="K45" s="12" t="s">
        <v>28</v>
      </c>
      <c r="L45" s="12" t="s">
        <v>28</v>
      </c>
      <c r="M45" s="13" t="s">
        <v>29</v>
      </c>
      <c r="N45" s="13" t="s">
        <v>30</v>
      </c>
      <c r="O45" s="12" t="s">
        <v>31</v>
      </c>
      <c r="P45" s="12" t="s">
        <v>31</v>
      </c>
      <c r="Q45" s="12" t="s">
        <v>32</v>
      </c>
      <c r="R45" s="13" t="s">
        <v>31</v>
      </c>
      <c r="S45" s="12" t="s">
        <v>33</v>
      </c>
      <c r="T45" s="12" t="s">
        <v>33</v>
      </c>
      <c r="U45" s="12" t="s">
        <v>34</v>
      </c>
      <c r="V45" s="12" t="s">
        <v>35</v>
      </c>
    </row>
    <row r="46" spans="1:25" s="14" customFormat="1" x14ac:dyDescent="0.2">
      <c r="D46" s="14" t="s">
        <v>56</v>
      </c>
      <c r="E46" s="39">
        <v>5.0010000000000003</v>
      </c>
      <c r="I46" s="14">
        <v>1.1000000000000001</v>
      </c>
      <c r="N46" s="14">
        <f t="shared" ref="N46:N47" si="13">M46*3.66</f>
        <v>0</v>
      </c>
      <c r="O46" s="18">
        <v>40.700000000000003</v>
      </c>
      <c r="P46" s="19">
        <v>3.6</v>
      </c>
      <c r="Q46" s="29">
        <f>0*3.66</f>
        <v>0</v>
      </c>
      <c r="V46" s="14" t="s">
        <v>36</v>
      </c>
      <c r="X46" s="14" t="s">
        <v>78</v>
      </c>
    </row>
    <row r="47" spans="1:25" s="15" customFormat="1" x14ac:dyDescent="0.2">
      <c r="D47" s="15" t="s">
        <v>75</v>
      </c>
      <c r="E47" s="20" t="s">
        <v>74</v>
      </c>
      <c r="I47" s="15">
        <v>1.4</v>
      </c>
      <c r="N47" s="15">
        <f t="shared" si="13"/>
        <v>0</v>
      </c>
      <c r="O47" s="40">
        <v>30.3</v>
      </c>
      <c r="P47" s="41">
        <v>5.89</v>
      </c>
      <c r="Q47" s="29">
        <f>7.5*3.66</f>
        <v>27.450000000000003</v>
      </c>
      <c r="V47" s="15" t="s">
        <v>36</v>
      </c>
      <c r="X47" s="15" t="s">
        <v>79</v>
      </c>
    </row>
    <row r="48" spans="1:25" s="17" customFormat="1" ht="17" thickBot="1" x14ac:dyDescent="0.25">
      <c r="A48" s="17" t="s">
        <v>70</v>
      </c>
      <c r="B48" s="17" t="s">
        <v>200</v>
      </c>
      <c r="I48" s="17">
        <f>I46*0.9+I47*0.1</f>
        <v>1.1300000000000001</v>
      </c>
      <c r="J48" s="17">
        <v>0.55000000000000004</v>
      </c>
      <c r="O48" s="17">
        <f>O47+O46*0.9</f>
        <v>66.930000000000007</v>
      </c>
      <c r="P48" s="17">
        <f>P47+P46*0.9</f>
        <v>9.129999999999999</v>
      </c>
      <c r="Q48" s="17">
        <f>Q47+Q46*0.9</f>
        <v>27.450000000000003</v>
      </c>
      <c r="S48" s="17">
        <v>30</v>
      </c>
      <c r="T48" s="17">
        <v>80</v>
      </c>
      <c r="V48" s="17" t="s">
        <v>36</v>
      </c>
      <c r="W48" s="17" t="s">
        <v>77</v>
      </c>
      <c r="X48" s="17" t="s">
        <v>67</v>
      </c>
      <c r="Y48" s="17" t="s">
        <v>76</v>
      </c>
    </row>
    <row r="49" spans="1:25" ht="17" thickTop="1" x14ac:dyDescent="0.2"/>
    <row r="51" spans="1:25" s="10" customFormat="1" x14ac:dyDescent="0.2">
      <c r="D51" s="10" t="s">
        <v>2</v>
      </c>
      <c r="E51" s="10" t="s">
        <v>3</v>
      </c>
      <c r="F51" s="10" t="s">
        <v>4</v>
      </c>
      <c r="G51" s="10" t="s">
        <v>5</v>
      </c>
      <c r="H51" s="10" t="s">
        <v>6</v>
      </c>
      <c r="I51" s="10" t="s">
        <v>7</v>
      </c>
      <c r="J51" s="10" t="s">
        <v>8</v>
      </c>
      <c r="K51" s="11" t="s">
        <v>9</v>
      </c>
      <c r="L51" s="11" t="s">
        <v>10</v>
      </c>
      <c r="M51" s="11" t="s">
        <v>11</v>
      </c>
      <c r="N51" s="11" t="s">
        <v>12</v>
      </c>
      <c r="O51" s="11" t="s">
        <v>13</v>
      </c>
      <c r="P51" s="11" t="s">
        <v>14</v>
      </c>
      <c r="Q51" s="11" t="s">
        <v>15</v>
      </c>
      <c r="R51" s="11" t="s">
        <v>16</v>
      </c>
      <c r="S51" s="10" t="s">
        <v>17</v>
      </c>
      <c r="T51" s="10" t="s">
        <v>18</v>
      </c>
      <c r="U51" s="10" t="s">
        <v>19</v>
      </c>
      <c r="V51" s="10" t="s">
        <v>20</v>
      </c>
      <c r="W51" s="10" t="s">
        <v>21</v>
      </c>
      <c r="X51" s="10" t="s">
        <v>22</v>
      </c>
      <c r="Y51" s="10" t="s">
        <v>23</v>
      </c>
    </row>
    <row r="52" spans="1:25" s="12" customFormat="1" x14ac:dyDescent="0.2">
      <c r="F52" s="12" t="s">
        <v>24</v>
      </c>
      <c r="G52" s="12" t="s">
        <v>25</v>
      </c>
      <c r="H52" s="12" t="s">
        <v>26</v>
      </c>
      <c r="I52" s="12" t="s">
        <v>27</v>
      </c>
      <c r="K52" s="12" t="s">
        <v>28</v>
      </c>
      <c r="L52" s="12" t="s">
        <v>28</v>
      </c>
      <c r="M52" s="13" t="s">
        <v>29</v>
      </c>
      <c r="N52" s="13" t="s">
        <v>30</v>
      </c>
      <c r="O52" s="12" t="s">
        <v>31</v>
      </c>
      <c r="P52" s="12" t="s">
        <v>31</v>
      </c>
      <c r="Q52" s="12" t="s">
        <v>32</v>
      </c>
      <c r="R52" s="13" t="s">
        <v>31</v>
      </c>
      <c r="S52" s="12" t="s">
        <v>33</v>
      </c>
      <c r="T52" s="12" t="s">
        <v>33</v>
      </c>
      <c r="U52" s="12" t="s">
        <v>34</v>
      </c>
      <c r="V52" s="12" t="s">
        <v>35</v>
      </c>
    </row>
    <row r="53" spans="1:25" s="14" customFormat="1" x14ac:dyDescent="0.2">
      <c r="D53" s="14" t="s">
        <v>57</v>
      </c>
      <c r="E53" s="35" t="s">
        <v>58</v>
      </c>
      <c r="I53" s="14">
        <v>0.6</v>
      </c>
      <c r="N53" s="14">
        <f t="shared" ref="N53:N54" si="14">M53*3.66</f>
        <v>0</v>
      </c>
      <c r="O53" s="18">
        <v>62.1</v>
      </c>
      <c r="P53" s="19">
        <v>5.7</v>
      </c>
      <c r="Q53" s="29">
        <f>0*3.66</f>
        <v>0</v>
      </c>
      <c r="V53" s="14" t="s">
        <v>36</v>
      </c>
      <c r="X53" s="14" t="s">
        <v>78</v>
      </c>
    </row>
    <row r="54" spans="1:25" s="15" customFormat="1" x14ac:dyDescent="0.2">
      <c r="D54" s="15" t="s">
        <v>75</v>
      </c>
      <c r="E54" s="20" t="s">
        <v>74</v>
      </c>
      <c r="I54" s="15">
        <v>1.4</v>
      </c>
      <c r="N54" s="15">
        <f t="shared" si="14"/>
        <v>0</v>
      </c>
      <c r="O54" s="40">
        <v>30.3</v>
      </c>
      <c r="P54" s="41">
        <v>5.89</v>
      </c>
      <c r="Q54" s="29">
        <f>7.5*3.66</f>
        <v>27.450000000000003</v>
      </c>
      <c r="V54" s="15" t="s">
        <v>36</v>
      </c>
      <c r="X54" s="15" t="s">
        <v>79</v>
      </c>
    </row>
    <row r="55" spans="1:25" s="17" customFormat="1" ht="17" thickBot="1" x14ac:dyDescent="0.25">
      <c r="A55" s="17" t="s">
        <v>71</v>
      </c>
      <c r="B55" s="17" t="s">
        <v>200</v>
      </c>
      <c r="I55" s="17">
        <f>I53*0.9+I54*0.1</f>
        <v>0.68</v>
      </c>
      <c r="J55" s="17">
        <v>0.5</v>
      </c>
      <c r="O55" s="17">
        <f>O54+O53*0.9</f>
        <v>86.19</v>
      </c>
      <c r="P55" s="17">
        <f>P54+P53*0.9</f>
        <v>11.02</v>
      </c>
      <c r="Q55" s="17">
        <f>Q54+Q53*0.9</f>
        <v>27.450000000000003</v>
      </c>
      <c r="S55" s="17">
        <v>30</v>
      </c>
      <c r="T55" s="17">
        <v>80</v>
      </c>
      <c r="V55" s="17" t="s">
        <v>36</v>
      </c>
      <c r="W55" s="17" t="s">
        <v>77</v>
      </c>
      <c r="X55" s="17" t="s">
        <v>67</v>
      </c>
      <c r="Y55" s="17" t="s">
        <v>76</v>
      </c>
    </row>
    <row r="56" spans="1:25" ht="17" thickTop="1" x14ac:dyDescent="0.2"/>
  </sheetData>
  <conditionalFormatting sqref="O6:Q7">
    <cfRule type="cellIs" dxfId="422" priority="165" operator="between">
      <formula>0.00000001</formula>
      <formula>1</formula>
    </cfRule>
    <cfRule type="cellIs" dxfId="421" priority="164" operator="between">
      <formula>1</formula>
      <formula>10</formula>
    </cfRule>
    <cfRule type="cellIs" dxfId="420" priority="163" operator="between">
      <formula>10</formula>
      <formula>100</formula>
    </cfRule>
    <cfRule type="cellIs" dxfId="419" priority="162" operator="greaterThan">
      <formula>100</formula>
    </cfRule>
    <cfRule type="cellIs" dxfId="418" priority="161" operator="equal">
      <formula>0</formula>
    </cfRule>
  </conditionalFormatting>
  <conditionalFormatting sqref="O13:Q14">
    <cfRule type="cellIs" dxfId="417" priority="175" operator="between">
      <formula>0.00000001</formula>
      <formula>1</formula>
    </cfRule>
    <cfRule type="cellIs" dxfId="416" priority="174" operator="between">
      <formula>1</formula>
      <formula>10</formula>
    </cfRule>
    <cfRule type="cellIs" dxfId="415" priority="173" operator="between">
      <formula>10</formula>
      <formula>100</formula>
    </cfRule>
    <cfRule type="cellIs" dxfId="414" priority="172" operator="greaterThan">
      <formula>100</formula>
    </cfRule>
    <cfRule type="cellIs" dxfId="413" priority="171" operator="equal">
      <formula>0</formula>
    </cfRule>
  </conditionalFormatting>
  <conditionalFormatting sqref="O19:Q20">
    <cfRule type="cellIs" dxfId="412" priority="121" operator="equal">
      <formula>0</formula>
    </cfRule>
    <cfRule type="cellIs" dxfId="411" priority="122" operator="greaterThan">
      <formula>100</formula>
    </cfRule>
    <cfRule type="cellIs" dxfId="410" priority="125" operator="between">
      <formula>0.00000001</formula>
      <formula>1</formula>
    </cfRule>
    <cfRule type="cellIs" dxfId="409" priority="124" operator="between">
      <formula>1</formula>
      <formula>10</formula>
    </cfRule>
    <cfRule type="cellIs" dxfId="408" priority="123" operator="between">
      <formula>10</formula>
      <formula>100</formula>
    </cfRule>
  </conditionalFormatting>
  <conditionalFormatting sqref="O26:Q27">
    <cfRule type="cellIs" dxfId="407" priority="135" operator="between">
      <formula>0.00000001</formula>
      <formula>1</formula>
    </cfRule>
    <cfRule type="cellIs" dxfId="406" priority="134" operator="between">
      <formula>1</formula>
      <formula>10</formula>
    </cfRule>
    <cfRule type="cellIs" dxfId="405" priority="133" operator="between">
      <formula>10</formula>
      <formula>100</formula>
    </cfRule>
    <cfRule type="cellIs" dxfId="404" priority="132" operator="greaterThan">
      <formula>100</formula>
    </cfRule>
    <cfRule type="cellIs" dxfId="403" priority="131" operator="equal">
      <formula>0</formula>
    </cfRule>
  </conditionalFormatting>
  <conditionalFormatting sqref="O33:Q34">
    <cfRule type="cellIs" dxfId="402" priority="1" operator="equal">
      <formula>0</formula>
    </cfRule>
    <cfRule type="cellIs" dxfId="401" priority="5" operator="between">
      <formula>0.00000001</formula>
      <formula>1</formula>
    </cfRule>
    <cfRule type="cellIs" dxfId="400" priority="4" operator="between">
      <formula>1</formula>
      <formula>10</formula>
    </cfRule>
    <cfRule type="cellIs" dxfId="399" priority="3" operator="between">
      <formula>10</formula>
      <formula>100</formula>
    </cfRule>
    <cfRule type="cellIs" dxfId="398" priority="2" operator="greaterThan">
      <formula>100</formula>
    </cfRule>
  </conditionalFormatting>
  <conditionalFormatting sqref="O40:Q41">
    <cfRule type="cellIs" dxfId="397" priority="35" operator="between">
      <formula>0.00000001</formula>
      <formula>1</formula>
    </cfRule>
    <cfRule type="cellIs" dxfId="396" priority="34" operator="between">
      <formula>1</formula>
      <formula>10</formula>
    </cfRule>
    <cfRule type="cellIs" dxfId="395" priority="33" operator="between">
      <formula>10</formula>
      <formula>100</formula>
    </cfRule>
    <cfRule type="cellIs" dxfId="394" priority="32" operator="greaterThan">
      <formula>100</formula>
    </cfRule>
    <cfRule type="cellIs" dxfId="393" priority="31" operator="equal">
      <formula>0</formula>
    </cfRule>
  </conditionalFormatting>
  <conditionalFormatting sqref="O46:Q47">
    <cfRule type="cellIs" dxfId="392" priority="21" operator="equal">
      <formula>0</formula>
    </cfRule>
    <cfRule type="cellIs" dxfId="391" priority="25" operator="between">
      <formula>0.00000001</formula>
      <formula>1</formula>
    </cfRule>
    <cfRule type="cellIs" dxfId="390" priority="24" operator="between">
      <formula>1</formula>
      <formula>10</formula>
    </cfRule>
    <cfRule type="cellIs" dxfId="389" priority="23" operator="between">
      <formula>10</formula>
      <formula>100</formula>
    </cfRule>
    <cfRule type="cellIs" dxfId="388" priority="22" operator="greaterThan">
      <formula>100</formula>
    </cfRule>
  </conditionalFormatting>
  <conditionalFormatting sqref="O53:Q54">
    <cfRule type="cellIs" dxfId="387" priority="15" operator="between">
      <formula>0.00000001</formula>
      <formula>1</formula>
    </cfRule>
    <cfRule type="cellIs" dxfId="386" priority="14" operator="between">
      <formula>1</formula>
      <formula>10</formula>
    </cfRule>
    <cfRule type="cellIs" dxfId="385" priority="13" operator="between">
      <formula>10</formula>
      <formula>100</formula>
    </cfRule>
    <cfRule type="cellIs" dxfId="384" priority="12" operator="greaterThan">
      <formula>100</formula>
    </cfRule>
    <cfRule type="cellIs" dxfId="383" priority="11" operator="equal">
      <formula>0</formula>
    </cfRule>
  </conditionalFormatting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63FF3-A853-AD4F-89A1-3AA628BE251E}">
  <dimension ref="A1:Y33"/>
  <sheetViews>
    <sheetView zoomScale="75" workbookViewId="0">
      <selection activeCell="N42" sqref="N42"/>
    </sheetView>
  </sheetViews>
  <sheetFormatPr baseColWidth="10" defaultRowHeight="16" x14ac:dyDescent="0.2"/>
  <cols>
    <col min="1" max="1" width="38.1640625" customWidth="1"/>
    <col min="4" max="4" width="42.83203125" customWidth="1"/>
  </cols>
  <sheetData>
    <row r="1" spans="1:25" s="1" customFormat="1" x14ac:dyDescent="0.2">
      <c r="A1" s="1" t="s">
        <v>0</v>
      </c>
      <c r="B1" s="1" t="s">
        <v>51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52</v>
      </c>
      <c r="J1" s="1" t="s">
        <v>53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4" t="s">
        <v>54</v>
      </c>
      <c r="R1" s="3" t="s">
        <v>16</v>
      </c>
      <c r="S1" s="1" t="s">
        <v>17</v>
      </c>
      <c r="T1" s="1" t="s">
        <v>55</v>
      </c>
      <c r="U1" s="5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3" spans="1:25" s="10" customFormat="1" x14ac:dyDescent="0.2">
      <c r="D3" s="10" t="s">
        <v>2</v>
      </c>
      <c r="E3" s="10" t="s">
        <v>3</v>
      </c>
      <c r="F3" s="10" t="s">
        <v>4</v>
      </c>
      <c r="G3" s="21" t="s">
        <v>5</v>
      </c>
      <c r="H3" s="10" t="s">
        <v>6</v>
      </c>
      <c r="I3" s="10" t="s">
        <v>7</v>
      </c>
      <c r="J3" s="10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25" t="s">
        <v>13</v>
      </c>
      <c r="P3" s="25" t="s">
        <v>14</v>
      </c>
      <c r="Q3" s="25" t="s">
        <v>15</v>
      </c>
      <c r="R3" s="11" t="s">
        <v>16</v>
      </c>
      <c r="S3" s="10" t="s">
        <v>17</v>
      </c>
      <c r="T3" s="10" t="s">
        <v>18</v>
      </c>
      <c r="U3" s="23" t="s">
        <v>19</v>
      </c>
      <c r="V3" s="10" t="s">
        <v>20</v>
      </c>
      <c r="W3" s="10" t="s">
        <v>21</v>
      </c>
      <c r="X3" s="10" t="s">
        <v>22</v>
      </c>
      <c r="Y3" s="10" t="s">
        <v>23</v>
      </c>
    </row>
    <row r="4" spans="1:25" s="12" customFormat="1" x14ac:dyDescent="0.2">
      <c r="F4" s="12" t="s">
        <v>24</v>
      </c>
      <c r="G4" s="6" t="s">
        <v>25</v>
      </c>
      <c r="H4" s="12" t="s">
        <v>26</v>
      </c>
      <c r="I4" s="12" t="s">
        <v>27</v>
      </c>
      <c r="K4" s="12" t="s">
        <v>28</v>
      </c>
      <c r="L4" s="12" t="s">
        <v>28</v>
      </c>
      <c r="M4" s="13" t="s">
        <v>29</v>
      </c>
      <c r="N4" s="13" t="s">
        <v>30</v>
      </c>
      <c r="O4" s="8" t="s">
        <v>31</v>
      </c>
      <c r="P4" s="8" t="s">
        <v>31</v>
      </c>
      <c r="Q4" s="8" t="s">
        <v>32</v>
      </c>
      <c r="R4" s="13" t="s">
        <v>31</v>
      </c>
      <c r="S4" s="12" t="s">
        <v>33</v>
      </c>
      <c r="T4" s="12" t="s">
        <v>33</v>
      </c>
      <c r="U4" s="9" t="s">
        <v>34</v>
      </c>
      <c r="V4" s="12" t="s">
        <v>35</v>
      </c>
    </row>
    <row r="5" spans="1:25" s="15" customFormat="1" x14ac:dyDescent="0.2">
      <c r="D5" s="15" t="s">
        <v>214</v>
      </c>
      <c r="E5" s="20" t="s">
        <v>158</v>
      </c>
      <c r="F5" s="15">
        <v>465</v>
      </c>
      <c r="G5" s="6">
        <v>5.7600000000000004E-3</v>
      </c>
      <c r="I5" s="15">
        <f>10^100</f>
        <v>1E+100</v>
      </c>
      <c r="K5" s="37">
        <v>0.13400000000000001</v>
      </c>
      <c r="L5" s="42">
        <v>3.9E-2</v>
      </c>
      <c r="M5" s="29">
        <v>0.45100000000000001</v>
      </c>
      <c r="N5" s="15">
        <f t="shared" ref="N5:N6" si="0">M5*3.66</f>
        <v>1.65066</v>
      </c>
      <c r="O5" s="8">
        <f t="shared" ref="O5:O6" si="1">K5*G5*F5</f>
        <v>0.35890560000000005</v>
      </c>
      <c r="P5" s="8">
        <f t="shared" ref="P5:P6" si="2">F5*G5*L5</f>
        <v>0.10445760000000001</v>
      </c>
      <c r="Q5" s="8">
        <f t="shared" ref="Q5:Q6" si="3">F5*G5*N5</f>
        <v>4.4211277440000005</v>
      </c>
      <c r="U5" s="9"/>
      <c r="X5" s="15" t="s">
        <v>159</v>
      </c>
    </row>
    <row r="6" spans="1:25" s="15" customFormat="1" x14ac:dyDescent="0.2">
      <c r="D6" s="15" t="s">
        <v>215</v>
      </c>
      <c r="E6" s="20" t="s">
        <v>158</v>
      </c>
      <c r="F6" s="15">
        <v>465</v>
      </c>
      <c r="G6" s="6">
        <v>0.02</v>
      </c>
      <c r="H6" s="15">
        <v>0.13</v>
      </c>
      <c r="I6" s="15">
        <f>H6/G6</f>
        <v>6.5</v>
      </c>
      <c r="K6" s="37">
        <v>0.13400000000000001</v>
      </c>
      <c r="L6" s="42">
        <v>3.9E-2</v>
      </c>
      <c r="M6" s="29">
        <v>0.45100000000000001</v>
      </c>
      <c r="N6" s="15">
        <f t="shared" si="0"/>
        <v>1.65066</v>
      </c>
      <c r="O6" s="8">
        <f t="shared" si="1"/>
        <v>1.2462</v>
      </c>
      <c r="P6" s="8">
        <f t="shared" si="2"/>
        <v>0.36270000000000002</v>
      </c>
      <c r="Q6" s="8">
        <f t="shared" si="3"/>
        <v>15.351138000000001</v>
      </c>
      <c r="U6" s="9"/>
    </row>
    <row r="7" spans="1:25" s="17" customFormat="1" ht="17" thickBot="1" x14ac:dyDescent="0.25">
      <c r="A7" s="17" t="s">
        <v>213</v>
      </c>
      <c r="B7" s="17" t="s">
        <v>224</v>
      </c>
      <c r="G7" s="22"/>
      <c r="I7" s="17" cm="1">
        <f t="array" ref="I7">1/SUM(1/I5:I6)</f>
        <v>6.5</v>
      </c>
      <c r="O7" s="26">
        <f>SUM(O5:O6)</f>
        <v>1.6051055999999999</v>
      </c>
      <c r="P7" s="26">
        <f>SUM(P5:P6)</f>
        <v>0.46715760000000006</v>
      </c>
      <c r="Q7" s="26">
        <f>SUM(Q5:Q6)</f>
        <v>19.772265744000002</v>
      </c>
      <c r="S7" s="17">
        <v>30</v>
      </c>
      <c r="T7" s="17">
        <v>80</v>
      </c>
      <c r="U7" s="24"/>
      <c r="V7" s="17" t="s">
        <v>36</v>
      </c>
      <c r="W7" s="17" t="s">
        <v>219</v>
      </c>
      <c r="Y7" s="17" t="s">
        <v>76</v>
      </c>
    </row>
    <row r="8" spans="1:25" ht="17" thickTop="1" x14ac:dyDescent="0.2"/>
    <row r="9" spans="1:25" s="10" customFormat="1" x14ac:dyDescent="0.2">
      <c r="D9" s="10" t="s">
        <v>2</v>
      </c>
      <c r="E9" s="10" t="s">
        <v>3</v>
      </c>
      <c r="F9" s="10" t="s">
        <v>4</v>
      </c>
      <c r="G9" s="21" t="s">
        <v>5</v>
      </c>
      <c r="H9" s="10" t="s">
        <v>6</v>
      </c>
      <c r="I9" s="10" t="s">
        <v>7</v>
      </c>
      <c r="J9" s="10" t="s">
        <v>8</v>
      </c>
      <c r="K9" s="11" t="s">
        <v>9</v>
      </c>
      <c r="L9" s="11" t="s">
        <v>10</v>
      </c>
      <c r="M9" s="11" t="s">
        <v>11</v>
      </c>
      <c r="N9" s="11" t="s">
        <v>12</v>
      </c>
      <c r="O9" s="25" t="s">
        <v>13</v>
      </c>
      <c r="P9" s="25" t="s">
        <v>14</v>
      </c>
      <c r="Q9" s="25" t="s">
        <v>15</v>
      </c>
      <c r="R9" s="11" t="s">
        <v>16</v>
      </c>
      <c r="S9" s="10" t="s">
        <v>17</v>
      </c>
      <c r="T9" s="10" t="s">
        <v>18</v>
      </c>
      <c r="U9" s="23" t="s">
        <v>19</v>
      </c>
      <c r="V9" s="10" t="s">
        <v>20</v>
      </c>
      <c r="W9" s="10" t="s">
        <v>21</v>
      </c>
      <c r="X9" s="10" t="s">
        <v>22</v>
      </c>
      <c r="Y9" s="10" t="s">
        <v>23</v>
      </c>
    </row>
    <row r="10" spans="1:25" s="12" customFormat="1" x14ac:dyDescent="0.2">
      <c r="F10" s="12" t="s">
        <v>24</v>
      </c>
      <c r="G10" s="6" t="s">
        <v>25</v>
      </c>
      <c r="H10" s="12" t="s">
        <v>26</v>
      </c>
      <c r="I10" s="12" t="s">
        <v>27</v>
      </c>
      <c r="K10" s="12" t="s">
        <v>28</v>
      </c>
      <c r="L10" s="12" t="s">
        <v>28</v>
      </c>
      <c r="M10" s="13" t="s">
        <v>29</v>
      </c>
      <c r="N10" s="13" t="s">
        <v>30</v>
      </c>
      <c r="O10" s="8" t="s">
        <v>31</v>
      </c>
      <c r="P10" s="8" t="s">
        <v>31</v>
      </c>
      <c r="Q10" s="8" t="s">
        <v>32</v>
      </c>
      <c r="R10" s="13" t="s">
        <v>31</v>
      </c>
      <c r="S10" s="12" t="s">
        <v>33</v>
      </c>
      <c r="T10" s="12" t="s">
        <v>33</v>
      </c>
      <c r="U10" s="9" t="s">
        <v>34</v>
      </c>
      <c r="V10" s="12" t="s">
        <v>35</v>
      </c>
    </row>
    <row r="11" spans="1:25" s="15" customFormat="1" x14ac:dyDescent="0.2">
      <c r="D11" s="15" t="s">
        <v>221</v>
      </c>
      <c r="E11" s="35" t="s">
        <v>220</v>
      </c>
      <c r="F11" s="15">
        <v>1100</v>
      </c>
      <c r="G11" s="6">
        <v>1.2E-2</v>
      </c>
      <c r="H11" s="15">
        <v>0.7</v>
      </c>
      <c r="I11" s="15">
        <f>H11/G11</f>
        <v>58.333333333333329</v>
      </c>
      <c r="K11" s="27">
        <v>0.13800000000000001</v>
      </c>
      <c r="L11" s="28">
        <v>1.2699999999999999E-2</v>
      </c>
      <c r="M11" s="29">
        <v>0</v>
      </c>
      <c r="N11" s="15">
        <f t="shared" ref="N11" si="4">M11*3.66</f>
        <v>0</v>
      </c>
      <c r="O11" s="8">
        <f t="shared" ref="O11" si="5">K11*G11*F11</f>
        <v>1.8216000000000001</v>
      </c>
      <c r="P11" s="8">
        <f t="shared" ref="P11" si="6">F11*G11*L11</f>
        <v>0.16764000000000001</v>
      </c>
      <c r="Q11" s="8">
        <f t="shared" ref="Q11" si="7">F11*G11*N11</f>
        <v>0</v>
      </c>
      <c r="U11" s="9"/>
    </row>
    <row r="12" spans="1:25" s="15" customFormat="1" x14ac:dyDescent="0.2">
      <c r="D12" s="15" t="s">
        <v>222</v>
      </c>
      <c r="E12" s="35">
        <v>14.000999999999999</v>
      </c>
      <c r="G12" s="6"/>
      <c r="I12" s="15">
        <f>10^100</f>
        <v>1E+100</v>
      </c>
      <c r="K12" s="54"/>
      <c r="L12" s="55"/>
      <c r="M12" s="53"/>
      <c r="N12" s="15">
        <f t="shared" ref="N12" si="8">M12*3.66</f>
        <v>0</v>
      </c>
      <c r="O12" s="37">
        <v>0.64500000000000002</v>
      </c>
      <c r="P12" s="45">
        <v>5.62E-2</v>
      </c>
      <c r="Q12" s="8">
        <f t="shared" ref="Q12" si="9">F12*G12*N12</f>
        <v>0</v>
      </c>
      <c r="U12" s="9"/>
    </row>
    <row r="13" spans="1:25" s="17" customFormat="1" ht="17" thickBot="1" x14ac:dyDescent="0.25">
      <c r="A13" s="17" t="s">
        <v>216</v>
      </c>
      <c r="B13" s="17" t="s">
        <v>224</v>
      </c>
      <c r="G13" s="22"/>
      <c r="I13" s="17" cm="1">
        <f t="array" ref="I13">1/SUM(1/I11:I12)</f>
        <v>58.333333333333329</v>
      </c>
      <c r="O13" s="26">
        <f>SUM(O11:O12)</f>
        <v>2.4666000000000001</v>
      </c>
      <c r="P13" s="26">
        <f t="shared" ref="P13:Q13" si="10">SUM(P11:P12)</f>
        <v>0.22384000000000001</v>
      </c>
      <c r="Q13" s="26">
        <f t="shared" si="10"/>
        <v>0</v>
      </c>
      <c r="S13" s="17">
        <v>30</v>
      </c>
      <c r="U13" s="24"/>
      <c r="V13" s="17" t="s">
        <v>36</v>
      </c>
      <c r="W13" s="17" t="s">
        <v>39</v>
      </c>
    </row>
    <row r="14" spans="1:25" ht="17" thickTop="1" x14ac:dyDescent="0.2"/>
    <row r="15" spans="1:25" s="10" customFormat="1" x14ac:dyDescent="0.2">
      <c r="D15" s="10" t="s">
        <v>2</v>
      </c>
      <c r="E15" s="10" t="s">
        <v>3</v>
      </c>
      <c r="F15" s="10" t="s">
        <v>4</v>
      </c>
      <c r="G15" s="21" t="s">
        <v>5</v>
      </c>
      <c r="H15" s="10" t="s">
        <v>6</v>
      </c>
      <c r="I15" s="10" t="s">
        <v>7</v>
      </c>
      <c r="J15" s="10" t="s">
        <v>8</v>
      </c>
      <c r="K15" s="11" t="s">
        <v>9</v>
      </c>
      <c r="L15" s="11" t="s">
        <v>10</v>
      </c>
      <c r="M15" s="11" t="s">
        <v>11</v>
      </c>
      <c r="N15" s="11" t="s">
        <v>12</v>
      </c>
      <c r="O15" s="25" t="s">
        <v>13</v>
      </c>
      <c r="P15" s="25" t="s">
        <v>14</v>
      </c>
      <c r="Q15" s="25" t="s">
        <v>15</v>
      </c>
      <c r="R15" s="11" t="s">
        <v>16</v>
      </c>
      <c r="S15" s="10" t="s">
        <v>17</v>
      </c>
      <c r="T15" s="10" t="s">
        <v>18</v>
      </c>
      <c r="U15" s="23" t="s">
        <v>19</v>
      </c>
      <c r="V15" s="10" t="s">
        <v>20</v>
      </c>
      <c r="W15" s="10" t="s">
        <v>21</v>
      </c>
      <c r="X15" s="10" t="s">
        <v>22</v>
      </c>
      <c r="Y15" s="10" t="s">
        <v>23</v>
      </c>
    </row>
    <row r="16" spans="1:25" s="12" customFormat="1" x14ac:dyDescent="0.2">
      <c r="F16" s="12" t="s">
        <v>24</v>
      </c>
      <c r="G16" s="6" t="s">
        <v>25</v>
      </c>
      <c r="H16" s="12" t="s">
        <v>26</v>
      </c>
      <c r="I16" s="12" t="s">
        <v>27</v>
      </c>
      <c r="K16" s="12" t="s">
        <v>28</v>
      </c>
      <c r="L16" s="12" t="s">
        <v>28</v>
      </c>
      <c r="M16" s="13" t="s">
        <v>29</v>
      </c>
      <c r="N16" s="13" t="s">
        <v>30</v>
      </c>
      <c r="O16" s="8" t="s">
        <v>31</v>
      </c>
      <c r="P16" s="8" t="s">
        <v>31</v>
      </c>
      <c r="Q16" s="8" t="s">
        <v>32</v>
      </c>
      <c r="R16" s="13" t="s">
        <v>31</v>
      </c>
      <c r="S16" s="12" t="s">
        <v>33</v>
      </c>
      <c r="T16" s="12" t="s">
        <v>33</v>
      </c>
      <c r="U16" s="9" t="s">
        <v>34</v>
      </c>
      <c r="V16" s="12" t="s">
        <v>35</v>
      </c>
    </row>
    <row r="17" spans="1:25" s="15" customFormat="1" x14ac:dyDescent="0.2">
      <c r="D17" s="15" t="s">
        <v>278</v>
      </c>
      <c r="E17" s="35" t="s">
        <v>111</v>
      </c>
      <c r="F17" s="15">
        <v>100</v>
      </c>
      <c r="G17" s="6">
        <v>5.0000000000000001E-3</v>
      </c>
      <c r="H17" s="15">
        <v>0.5</v>
      </c>
      <c r="I17" s="15">
        <f>H17/G17</f>
        <v>100</v>
      </c>
      <c r="K17" s="27">
        <v>9.5600000000000004E-2</v>
      </c>
      <c r="L17" s="42">
        <v>0</v>
      </c>
      <c r="M17" s="42">
        <v>0.36799999999999999</v>
      </c>
      <c r="N17" s="15">
        <f t="shared" ref="N17:N18" si="11">M17*3.66</f>
        <v>1.3468800000000001</v>
      </c>
      <c r="O17" s="8">
        <f t="shared" ref="O17" si="12">K17*G17*F17</f>
        <v>4.7800000000000002E-2</v>
      </c>
      <c r="P17" s="8">
        <f t="shared" ref="P17" si="13">F17*G17*L17</f>
        <v>0</v>
      </c>
      <c r="Q17" s="8">
        <f t="shared" ref="Q17" si="14">F17*G17*N17</f>
        <v>0.67344000000000004</v>
      </c>
      <c r="U17" s="9"/>
      <c r="X17" s="15" t="s">
        <v>335</v>
      </c>
    </row>
    <row r="18" spans="1:25" s="15" customFormat="1" x14ac:dyDescent="0.2">
      <c r="D18" s="15" t="s">
        <v>225</v>
      </c>
      <c r="E18" s="20" t="s">
        <v>105</v>
      </c>
      <c r="F18" s="36">
        <v>1800</v>
      </c>
      <c r="G18" s="6">
        <v>0.02</v>
      </c>
      <c r="H18" s="15">
        <v>0.5</v>
      </c>
      <c r="I18" s="15">
        <f>H18/G18</f>
        <v>25</v>
      </c>
      <c r="K18" s="37">
        <v>1.95E-2</v>
      </c>
      <c r="L18" s="28">
        <v>1.2699999999999999E-2</v>
      </c>
      <c r="M18" s="29">
        <v>0</v>
      </c>
      <c r="N18" s="15">
        <f t="shared" si="11"/>
        <v>0</v>
      </c>
      <c r="O18" s="8">
        <f t="shared" ref="O18" si="15">K18*G18*F18</f>
        <v>0.70199999999999996</v>
      </c>
      <c r="P18" s="8">
        <f>F18*G18*L18</f>
        <v>0.4572</v>
      </c>
      <c r="Q18" s="8">
        <f t="shared" ref="Q18" si="16">F18*G18*N18</f>
        <v>0</v>
      </c>
      <c r="U18" s="9"/>
    </row>
    <row r="19" spans="1:25" s="17" customFormat="1" ht="17" thickBot="1" x14ac:dyDescent="0.25">
      <c r="A19" s="17" t="s">
        <v>223</v>
      </c>
      <c r="B19" s="17" t="s">
        <v>224</v>
      </c>
      <c r="G19" s="22"/>
      <c r="I19" s="17" cm="1">
        <f t="array" ref="I19">1/SUM(1/I17:I18)</f>
        <v>20</v>
      </c>
      <c r="O19" s="26">
        <f>SUM(O17:O18)</f>
        <v>0.74979999999999991</v>
      </c>
      <c r="P19" s="26">
        <f t="shared" ref="P19" si="17">SUM(P17:P18)</f>
        <v>0.4572</v>
      </c>
      <c r="Q19" s="26">
        <f t="shared" ref="Q19" si="18">SUM(Q17:Q18)</f>
        <v>0.67344000000000004</v>
      </c>
      <c r="S19" s="17">
        <v>30</v>
      </c>
      <c r="T19" s="17">
        <v>1</v>
      </c>
      <c r="U19" s="24"/>
      <c r="V19" s="17" t="s">
        <v>36</v>
      </c>
      <c r="W19" s="17" t="s">
        <v>226</v>
      </c>
    </row>
    <row r="20" spans="1:25" ht="17" thickTop="1" x14ac:dyDescent="0.2"/>
    <row r="21" spans="1:25" s="10" customFormat="1" x14ac:dyDescent="0.2">
      <c r="D21" s="10" t="s">
        <v>2</v>
      </c>
      <c r="E21" s="10" t="s">
        <v>3</v>
      </c>
      <c r="F21" s="10" t="s">
        <v>4</v>
      </c>
      <c r="G21" s="21" t="s">
        <v>5</v>
      </c>
      <c r="H21" s="10" t="s">
        <v>6</v>
      </c>
      <c r="I21" s="10" t="s">
        <v>7</v>
      </c>
      <c r="J21" s="10" t="s">
        <v>8</v>
      </c>
      <c r="K21" s="11" t="s">
        <v>9</v>
      </c>
      <c r="L21" s="11" t="s">
        <v>10</v>
      </c>
      <c r="M21" s="11" t="s">
        <v>11</v>
      </c>
      <c r="N21" s="11" t="s">
        <v>12</v>
      </c>
      <c r="O21" s="25" t="s">
        <v>13</v>
      </c>
      <c r="P21" s="25" t="s">
        <v>14</v>
      </c>
      <c r="Q21" s="25" t="s">
        <v>15</v>
      </c>
      <c r="R21" s="11" t="s">
        <v>16</v>
      </c>
      <c r="S21" s="10" t="s">
        <v>17</v>
      </c>
      <c r="T21" s="10" t="s">
        <v>18</v>
      </c>
      <c r="U21" s="23" t="s">
        <v>19</v>
      </c>
      <c r="V21" s="10" t="s">
        <v>20</v>
      </c>
      <c r="W21" s="10" t="s">
        <v>21</v>
      </c>
      <c r="X21" s="10" t="s">
        <v>22</v>
      </c>
      <c r="Y21" s="10" t="s">
        <v>23</v>
      </c>
    </row>
    <row r="22" spans="1:25" s="12" customFormat="1" x14ac:dyDescent="0.2">
      <c r="F22" s="12" t="s">
        <v>24</v>
      </c>
      <c r="G22" s="6" t="s">
        <v>25</v>
      </c>
      <c r="H22" s="12" t="s">
        <v>26</v>
      </c>
      <c r="I22" s="12" t="s">
        <v>27</v>
      </c>
      <c r="K22" s="12" t="s">
        <v>28</v>
      </c>
      <c r="L22" s="12" t="s">
        <v>28</v>
      </c>
      <c r="M22" s="13" t="s">
        <v>29</v>
      </c>
      <c r="N22" s="13" t="s">
        <v>30</v>
      </c>
      <c r="O22" s="8" t="s">
        <v>31</v>
      </c>
      <c r="P22" s="8" t="s">
        <v>31</v>
      </c>
      <c r="Q22" s="8" t="s">
        <v>32</v>
      </c>
      <c r="R22" s="13" t="s">
        <v>31</v>
      </c>
      <c r="S22" s="12" t="s">
        <v>33</v>
      </c>
      <c r="T22" s="12" t="s">
        <v>33</v>
      </c>
      <c r="U22" s="9" t="s">
        <v>34</v>
      </c>
      <c r="V22" s="12" t="s">
        <v>35</v>
      </c>
    </row>
    <row r="23" spans="1:25" s="15" customFormat="1" x14ac:dyDescent="0.2">
      <c r="D23" s="15" t="s">
        <v>41</v>
      </c>
      <c r="E23" s="20">
        <v>4.0019999999999998</v>
      </c>
      <c r="F23" s="36">
        <v>1670</v>
      </c>
      <c r="G23" s="6">
        <v>3.0000000000000001E-3</v>
      </c>
      <c r="H23" s="15">
        <v>0.8</v>
      </c>
      <c r="I23" s="15">
        <f>H23/G23</f>
        <v>266.66666666666669</v>
      </c>
      <c r="K23" s="27">
        <v>0.76400000000000001</v>
      </c>
      <c r="L23" s="28">
        <v>1.2699999999999999E-2</v>
      </c>
      <c r="M23" s="29">
        <v>0</v>
      </c>
      <c r="N23" s="15">
        <f t="shared" ref="N23:N24" si="19">M23*3.66</f>
        <v>0</v>
      </c>
      <c r="O23" s="8">
        <f t="shared" ref="O23" si="20">K23*G23*F23</f>
        <v>3.8276400000000002</v>
      </c>
      <c r="P23" s="8">
        <f t="shared" ref="P23" si="21">F23*G23*L23</f>
        <v>6.3626999999999989E-2</v>
      </c>
      <c r="Q23" s="8">
        <f t="shared" ref="Q23" si="22">F23*G23*N23</f>
        <v>0</v>
      </c>
      <c r="U23" s="9"/>
    </row>
    <row r="24" spans="1:25" s="15" customFormat="1" x14ac:dyDescent="0.2">
      <c r="D24" s="15" t="s">
        <v>229</v>
      </c>
      <c r="E24" s="56" t="s">
        <v>230</v>
      </c>
      <c r="F24" s="36"/>
      <c r="G24" s="6">
        <v>1.0999999999999999E-2</v>
      </c>
      <c r="H24" s="15">
        <v>0.15</v>
      </c>
      <c r="I24" s="15">
        <f>H24/G24</f>
        <v>13.636363636363637</v>
      </c>
      <c r="K24" s="37"/>
      <c r="L24" s="28"/>
      <c r="M24" s="29"/>
      <c r="N24" s="15">
        <f t="shared" si="19"/>
        <v>0</v>
      </c>
      <c r="O24" s="27">
        <v>7.46</v>
      </c>
      <c r="P24" s="19">
        <v>0.33700000000000002</v>
      </c>
      <c r="Q24" s="29">
        <v>2.69</v>
      </c>
      <c r="U24" s="9"/>
    </row>
    <row r="25" spans="1:25" s="17" customFormat="1" ht="17" thickBot="1" x14ac:dyDescent="0.25">
      <c r="A25" s="17" t="s">
        <v>227</v>
      </c>
      <c r="B25" s="17" t="s">
        <v>228</v>
      </c>
      <c r="G25" s="22"/>
      <c r="I25" s="17" cm="1">
        <f t="array" ref="I25">1/SUM(1/I23:I24)</f>
        <v>12.972972972972972</v>
      </c>
      <c r="O25" s="26">
        <f>SUM(O23:O24)</f>
        <v>11.28764</v>
      </c>
      <c r="P25" s="26">
        <f t="shared" ref="P25" si="23">SUM(P23:P24)</f>
        <v>0.40062700000000001</v>
      </c>
      <c r="Q25" s="26">
        <f t="shared" ref="Q25" si="24">SUM(Q23:Q24)</f>
        <v>2.69</v>
      </c>
      <c r="S25" s="17">
        <v>30</v>
      </c>
      <c r="T25" s="17">
        <v>80</v>
      </c>
      <c r="U25" s="24"/>
      <c r="V25" s="17" t="s">
        <v>36</v>
      </c>
      <c r="W25" s="17" t="s">
        <v>231</v>
      </c>
      <c r="Y25" s="17" t="s">
        <v>76</v>
      </c>
    </row>
    <row r="26" spans="1:25" ht="17" thickTop="1" x14ac:dyDescent="0.2"/>
    <row r="28" spans="1:25" s="10" customFormat="1" x14ac:dyDescent="0.2">
      <c r="D28" s="10" t="s">
        <v>2</v>
      </c>
      <c r="E28" s="10" t="s">
        <v>3</v>
      </c>
      <c r="F28" s="10" t="s">
        <v>4</v>
      </c>
      <c r="G28" s="21" t="s">
        <v>5</v>
      </c>
      <c r="H28" s="10" t="s">
        <v>6</v>
      </c>
      <c r="I28" s="10" t="s">
        <v>7</v>
      </c>
      <c r="J28" s="10" t="s">
        <v>8</v>
      </c>
      <c r="K28" s="11" t="s">
        <v>9</v>
      </c>
      <c r="L28" s="11" t="s">
        <v>10</v>
      </c>
      <c r="M28" s="11" t="s">
        <v>11</v>
      </c>
      <c r="N28" s="11" t="s">
        <v>12</v>
      </c>
      <c r="O28" s="25" t="s">
        <v>13</v>
      </c>
      <c r="P28" s="25" t="s">
        <v>14</v>
      </c>
      <c r="Q28" s="25" t="s">
        <v>15</v>
      </c>
      <c r="R28" s="11" t="s">
        <v>16</v>
      </c>
      <c r="S28" s="10" t="s">
        <v>17</v>
      </c>
      <c r="T28" s="10" t="s">
        <v>18</v>
      </c>
      <c r="U28" s="23" t="s">
        <v>19</v>
      </c>
      <c r="V28" s="10" t="s">
        <v>20</v>
      </c>
      <c r="W28" s="10" t="s">
        <v>21</v>
      </c>
      <c r="X28" s="10" t="s">
        <v>22</v>
      </c>
      <c r="Y28" s="10" t="s">
        <v>23</v>
      </c>
    </row>
    <row r="29" spans="1:25" s="12" customFormat="1" x14ac:dyDescent="0.2">
      <c r="F29" s="12" t="s">
        <v>24</v>
      </c>
      <c r="G29" s="6" t="s">
        <v>25</v>
      </c>
      <c r="H29" s="12" t="s">
        <v>26</v>
      </c>
      <c r="I29" s="12" t="s">
        <v>27</v>
      </c>
      <c r="K29" s="12" t="s">
        <v>28</v>
      </c>
      <c r="L29" s="12" t="s">
        <v>28</v>
      </c>
      <c r="M29" s="13" t="s">
        <v>29</v>
      </c>
      <c r="N29" s="13" t="s">
        <v>30</v>
      </c>
      <c r="O29" s="8" t="s">
        <v>31</v>
      </c>
      <c r="P29" s="8" t="s">
        <v>31</v>
      </c>
      <c r="Q29" s="8" t="s">
        <v>32</v>
      </c>
      <c r="R29" s="13" t="s">
        <v>31</v>
      </c>
      <c r="S29" s="12" t="s">
        <v>33</v>
      </c>
      <c r="T29" s="12" t="s">
        <v>33</v>
      </c>
      <c r="U29" s="9" t="s">
        <v>34</v>
      </c>
      <c r="V29" s="12" t="s">
        <v>35</v>
      </c>
    </row>
    <row r="30" spans="1:25" s="15" customFormat="1" x14ac:dyDescent="0.2">
      <c r="D30" s="15" t="s">
        <v>233</v>
      </c>
      <c r="E30" s="20" t="s">
        <v>197</v>
      </c>
      <c r="F30" s="36">
        <v>920</v>
      </c>
      <c r="G30" s="6">
        <v>1E-3</v>
      </c>
      <c r="H30" s="15">
        <v>0.7</v>
      </c>
      <c r="I30" s="15">
        <f>H30/G30</f>
        <v>699.99999999999989</v>
      </c>
      <c r="K30" s="27">
        <v>2.96</v>
      </c>
      <c r="L30" s="19">
        <v>2.67</v>
      </c>
      <c r="M30" s="29">
        <v>0</v>
      </c>
      <c r="N30" s="15">
        <f t="shared" ref="N30:N31" si="25">M30*3.66</f>
        <v>0</v>
      </c>
      <c r="O30" s="8">
        <f t="shared" ref="O30" si="26">K30*G30*F30</f>
        <v>2.7231999999999998</v>
      </c>
      <c r="P30" s="8">
        <f t="shared" ref="P30" si="27">F30*G30*L30</f>
        <v>2.4563999999999999</v>
      </c>
      <c r="Q30" s="8">
        <f t="shared" ref="Q30" si="28">F30*G30*N30</f>
        <v>0</v>
      </c>
      <c r="U30" s="9"/>
    </row>
    <row r="31" spans="1:25" s="15" customFormat="1" x14ac:dyDescent="0.2">
      <c r="D31" s="15" t="s">
        <v>229</v>
      </c>
      <c r="E31" s="56" t="s">
        <v>230</v>
      </c>
      <c r="F31" s="36"/>
      <c r="G31" s="6">
        <v>1.0999999999999999E-2</v>
      </c>
      <c r="H31" s="15">
        <v>0.15</v>
      </c>
      <c r="I31" s="15">
        <f>H31/G31</f>
        <v>13.636363636363637</v>
      </c>
      <c r="K31" s="37"/>
      <c r="L31" s="28"/>
      <c r="M31" s="29"/>
      <c r="N31" s="15">
        <f t="shared" si="25"/>
        <v>0</v>
      </c>
      <c r="O31" s="27">
        <v>7.46</v>
      </c>
      <c r="P31" s="19">
        <v>0.33700000000000002</v>
      </c>
      <c r="Q31" s="29">
        <v>2.69</v>
      </c>
      <c r="U31" s="9"/>
    </row>
    <row r="32" spans="1:25" s="17" customFormat="1" ht="17" thickBot="1" x14ac:dyDescent="0.25">
      <c r="A32" s="17" t="s">
        <v>232</v>
      </c>
      <c r="B32" s="17" t="s">
        <v>228</v>
      </c>
      <c r="G32" s="22"/>
      <c r="I32" s="17" cm="1">
        <f t="array" ref="I32">1/SUM(1/I30:I31)</f>
        <v>13.375796178343949</v>
      </c>
      <c r="O32" s="26">
        <f>SUM(O30:O31)</f>
        <v>10.183199999999999</v>
      </c>
      <c r="P32" s="26">
        <f t="shared" ref="P32" si="29">SUM(P30:P31)</f>
        <v>2.7934000000000001</v>
      </c>
      <c r="Q32" s="26">
        <f t="shared" ref="Q32" si="30">SUM(Q30:Q31)</f>
        <v>2.69</v>
      </c>
      <c r="S32" s="17">
        <v>30</v>
      </c>
      <c r="T32" s="17">
        <v>80</v>
      </c>
      <c r="U32" s="24"/>
      <c r="V32" s="17" t="s">
        <v>36</v>
      </c>
      <c r="W32" s="17" t="s">
        <v>234</v>
      </c>
      <c r="Y32" s="17" t="s">
        <v>76</v>
      </c>
    </row>
    <row r="33" ht="17" thickTop="1" x14ac:dyDescent="0.2"/>
  </sheetData>
  <conditionalFormatting sqref="K5:M6 Q5:Q6">
    <cfRule type="cellIs" dxfId="382" priority="90" operator="between">
      <formula>0.00000001</formula>
      <formula>1</formula>
    </cfRule>
    <cfRule type="cellIs" dxfId="381" priority="89" operator="between">
      <formula>1</formula>
      <formula>10</formula>
    </cfRule>
    <cfRule type="cellIs" dxfId="380" priority="88" operator="between">
      <formula>10</formula>
      <formula>100</formula>
    </cfRule>
    <cfRule type="cellIs" dxfId="379" priority="87" operator="greaterThan">
      <formula>100</formula>
    </cfRule>
    <cfRule type="cellIs" dxfId="378" priority="86" operator="equal">
      <formula>0</formula>
    </cfRule>
  </conditionalFormatting>
  <conditionalFormatting sqref="K11:M11">
    <cfRule type="cellIs" dxfId="377" priority="1" operator="equal">
      <formula>0</formula>
    </cfRule>
    <cfRule type="cellIs" dxfId="376" priority="2" operator="greaterThan">
      <formula>100</formula>
    </cfRule>
    <cfRule type="cellIs" dxfId="375" priority="3" operator="between">
      <formula>10</formula>
      <formula>100</formula>
    </cfRule>
    <cfRule type="cellIs" dxfId="374" priority="4" operator="between">
      <formula>1</formula>
      <formula>10</formula>
    </cfRule>
    <cfRule type="cellIs" dxfId="373" priority="5" operator="between">
      <formula>0.00000001</formula>
      <formula>1</formula>
    </cfRule>
  </conditionalFormatting>
  <conditionalFormatting sqref="K17:M18">
    <cfRule type="cellIs" dxfId="372" priority="56" operator="equal">
      <formula>0</formula>
    </cfRule>
    <cfRule type="cellIs" dxfId="371" priority="57" operator="greaterThan">
      <formula>100</formula>
    </cfRule>
    <cfRule type="cellIs" dxfId="370" priority="58" operator="between">
      <formula>10</formula>
      <formula>100</formula>
    </cfRule>
    <cfRule type="cellIs" dxfId="369" priority="60" operator="between">
      <formula>0.00000001</formula>
      <formula>1</formula>
    </cfRule>
    <cfRule type="cellIs" dxfId="368" priority="59" operator="between">
      <formula>1</formula>
      <formula>10</formula>
    </cfRule>
  </conditionalFormatting>
  <conditionalFormatting sqref="K23:M24">
    <cfRule type="cellIs" dxfId="367" priority="31" operator="equal">
      <formula>0</formula>
    </cfRule>
    <cfRule type="cellIs" dxfId="366" priority="35" operator="between">
      <formula>0.00000001</formula>
      <formula>1</formula>
    </cfRule>
    <cfRule type="cellIs" dxfId="365" priority="34" operator="between">
      <formula>1</formula>
      <formula>10</formula>
    </cfRule>
    <cfRule type="cellIs" dxfId="364" priority="33" operator="between">
      <formula>10</formula>
      <formula>100</formula>
    </cfRule>
    <cfRule type="cellIs" dxfId="363" priority="32" operator="greaterThan">
      <formula>100</formula>
    </cfRule>
  </conditionalFormatting>
  <conditionalFormatting sqref="K30:M31">
    <cfRule type="cellIs" dxfId="362" priority="6" operator="equal">
      <formula>0</formula>
    </cfRule>
    <cfRule type="cellIs" dxfId="361" priority="10" operator="between">
      <formula>0.00000001</formula>
      <formula>1</formula>
    </cfRule>
    <cfRule type="cellIs" dxfId="360" priority="9" operator="between">
      <formula>1</formula>
      <formula>10</formula>
    </cfRule>
    <cfRule type="cellIs" dxfId="359" priority="8" operator="between">
      <formula>10</formula>
      <formula>100</formula>
    </cfRule>
    <cfRule type="cellIs" dxfId="358" priority="7" operator="greaterThan">
      <formula>100</formula>
    </cfRule>
  </conditionalFormatting>
  <conditionalFormatting sqref="O12:P12">
    <cfRule type="cellIs" dxfId="357" priority="76" operator="equal">
      <formula>0</formula>
    </cfRule>
    <cfRule type="cellIs" dxfId="356" priority="77" operator="greaterThan">
      <formula>100</formula>
    </cfRule>
    <cfRule type="cellIs" dxfId="355" priority="78" operator="between">
      <formula>10</formula>
      <formula>100</formula>
    </cfRule>
    <cfRule type="cellIs" dxfId="354" priority="79" operator="between">
      <formula>1</formula>
      <formula>10</formula>
    </cfRule>
    <cfRule type="cellIs" dxfId="353" priority="80" operator="between">
      <formula>0.00000001</formula>
      <formula>1</formula>
    </cfRule>
  </conditionalFormatting>
  <conditionalFormatting sqref="O24:Q24">
    <cfRule type="cellIs" dxfId="352" priority="39" operator="between">
      <formula>1</formula>
      <formula>10</formula>
    </cfRule>
    <cfRule type="cellIs" dxfId="351" priority="40" operator="between">
      <formula>0.00000001</formula>
      <formula>1</formula>
    </cfRule>
    <cfRule type="cellIs" dxfId="350" priority="38" operator="between">
      <formula>10</formula>
      <formula>100</formula>
    </cfRule>
    <cfRule type="cellIs" dxfId="349" priority="37" operator="greaterThan">
      <formula>100</formula>
    </cfRule>
    <cfRule type="cellIs" dxfId="348" priority="36" operator="equal">
      <formula>0</formula>
    </cfRule>
  </conditionalFormatting>
  <conditionalFormatting sqref="O31:Q31">
    <cfRule type="cellIs" dxfId="347" priority="20" operator="between">
      <formula>0.00000001</formula>
      <formula>1</formula>
    </cfRule>
    <cfRule type="cellIs" dxfId="346" priority="19" operator="between">
      <formula>1</formula>
      <formula>10</formula>
    </cfRule>
    <cfRule type="cellIs" dxfId="345" priority="18" operator="between">
      <formula>10</formula>
      <formula>100</formula>
    </cfRule>
    <cfRule type="cellIs" dxfId="344" priority="17" operator="greaterThan">
      <formula>100</formula>
    </cfRule>
    <cfRule type="cellIs" dxfId="343" priority="16" operator="equal">
      <formula>0</formula>
    </cfRule>
  </conditionalFormatting>
  <conditionalFormatting sqref="Q11:Q12">
    <cfRule type="cellIs" dxfId="342" priority="84" operator="between">
      <formula>1</formula>
      <formula>10</formula>
    </cfRule>
    <cfRule type="cellIs" dxfId="341" priority="83" operator="between">
      <formula>10</formula>
      <formula>100</formula>
    </cfRule>
    <cfRule type="cellIs" dxfId="340" priority="82" operator="greaterThan">
      <formula>100</formula>
    </cfRule>
    <cfRule type="cellIs" dxfId="339" priority="85" operator="between">
      <formula>0.00000001</formula>
      <formula>1</formula>
    </cfRule>
    <cfRule type="cellIs" dxfId="338" priority="81" operator="equal">
      <formula>0</formula>
    </cfRule>
  </conditionalFormatting>
  <conditionalFormatting sqref="Q17:Q18">
    <cfRule type="cellIs" dxfId="337" priority="71" operator="equal">
      <formula>0</formula>
    </cfRule>
    <cfRule type="cellIs" dxfId="336" priority="72" operator="greaterThan">
      <formula>100</formula>
    </cfRule>
    <cfRule type="cellIs" dxfId="335" priority="73" operator="between">
      <formula>10</formula>
      <formula>100</formula>
    </cfRule>
    <cfRule type="cellIs" dxfId="334" priority="74" operator="between">
      <formula>1</formula>
      <formula>10</formula>
    </cfRule>
    <cfRule type="cellIs" dxfId="333" priority="75" operator="between">
      <formula>0.00000001</formula>
      <formula>1</formula>
    </cfRule>
  </conditionalFormatting>
  <conditionalFormatting sqref="Q23">
    <cfRule type="cellIs" dxfId="332" priority="54" operator="between">
      <formula>1</formula>
      <formula>10</formula>
    </cfRule>
    <cfRule type="cellIs" dxfId="331" priority="55" operator="between">
      <formula>0.00000001</formula>
      <formula>1</formula>
    </cfRule>
    <cfRule type="cellIs" dxfId="330" priority="53" operator="between">
      <formula>10</formula>
      <formula>100</formula>
    </cfRule>
    <cfRule type="cellIs" dxfId="329" priority="52" operator="greaterThan">
      <formula>100</formula>
    </cfRule>
    <cfRule type="cellIs" dxfId="328" priority="51" operator="equal">
      <formula>0</formula>
    </cfRule>
  </conditionalFormatting>
  <conditionalFormatting sqref="Q30">
    <cfRule type="cellIs" dxfId="327" priority="30" operator="between">
      <formula>0.00000001</formula>
      <formula>1</formula>
    </cfRule>
    <cfRule type="cellIs" dxfId="326" priority="29" operator="between">
      <formula>1</formula>
      <formula>10</formula>
    </cfRule>
    <cfRule type="cellIs" dxfId="325" priority="28" operator="between">
      <formula>10</formula>
      <formula>100</formula>
    </cfRule>
    <cfRule type="cellIs" dxfId="324" priority="27" operator="greaterThan">
      <formula>100</formula>
    </cfRule>
    <cfRule type="cellIs" dxfId="323" priority="26" operator="equal">
      <formula>0</formula>
    </cfRule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9AD6-F1AD-DA47-90CA-DD74A8E0ED56}">
  <dimension ref="A1:Y35"/>
  <sheetViews>
    <sheetView topLeftCell="A39" zoomScale="86" workbookViewId="0">
      <selection activeCell="D62" sqref="D62"/>
    </sheetView>
  </sheetViews>
  <sheetFormatPr baseColWidth="10" defaultRowHeight="16" x14ac:dyDescent="0.2"/>
  <cols>
    <col min="1" max="1" width="37.83203125" customWidth="1"/>
    <col min="4" max="4" width="27.5" customWidth="1"/>
  </cols>
  <sheetData>
    <row r="1" spans="1:25" s="1" customFormat="1" x14ac:dyDescent="0.2">
      <c r="A1" s="1" t="s">
        <v>0</v>
      </c>
      <c r="B1" s="1" t="s">
        <v>51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52</v>
      </c>
      <c r="J1" s="1" t="s">
        <v>53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4" t="s">
        <v>54</v>
      </c>
      <c r="R1" s="3" t="s">
        <v>16</v>
      </c>
      <c r="S1" s="1" t="s">
        <v>17</v>
      </c>
      <c r="T1" s="1" t="s">
        <v>55</v>
      </c>
      <c r="U1" s="5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F2" t="s">
        <v>24</v>
      </c>
      <c r="G2" s="6" t="s">
        <v>25</v>
      </c>
      <c r="H2" t="s">
        <v>26</v>
      </c>
      <c r="I2" t="s">
        <v>27</v>
      </c>
      <c r="K2" t="s">
        <v>28</v>
      </c>
      <c r="L2" t="s">
        <v>28</v>
      </c>
      <c r="M2" s="7" t="s">
        <v>29</v>
      </c>
      <c r="N2" s="7" t="s">
        <v>30</v>
      </c>
      <c r="O2" s="8" t="s">
        <v>31</v>
      </c>
      <c r="P2" s="8" t="s">
        <v>31</v>
      </c>
      <c r="Q2" s="8" t="s">
        <v>32</v>
      </c>
      <c r="R2" s="7" t="s">
        <v>31</v>
      </c>
      <c r="S2" t="s">
        <v>33</v>
      </c>
      <c r="T2" t="s">
        <v>33</v>
      </c>
      <c r="U2" s="9" t="s">
        <v>34</v>
      </c>
      <c r="V2" t="s">
        <v>35</v>
      </c>
    </row>
    <row r="3" spans="1:25" x14ac:dyDescent="0.2">
      <c r="G3" s="6"/>
      <c r="M3" s="7"/>
      <c r="N3" s="7"/>
      <c r="O3" s="8"/>
      <c r="P3" s="8"/>
      <c r="Q3" s="8"/>
      <c r="R3" s="7"/>
      <c r="U3" s="9"/>
    </row>
    <row r="4" spans="1:25" s="10" customFormat="1" x14ac:dyDescent="0.2">
      <c r="D4" s="10" t="s">
        <v>2</v>
      </c>
      <c r="E4" s="10" t="s">
        <v>3</v>
      </c>
      <c r="F4" s="10" t="s">
        <v>4</v>
      </c>
      <c r="G4" s="21" t="s">
        <v>5</v>
      </c>
      <c r="H4" s="10" t="s">
        <v>6</v>
      </c>
      <c r="I4" s="10" t="s">
        <v>7</v>
      </c>
      <c r="J4" s="10" t="s">
        <v>8</v>
      </c>
      <c r="K4" s="11" t="s">
        <v>9</v>
      </c>
      <c r="L4" s="11" t="s">
        <v>10</v>
      </c>
      <c r="M4" s="11" t="s">
        <v>11</v>
      </c>
      <c r="N4" s="11" t="s">
        <v>12</v>
      </c>
      <c r="O4" s="25" t="s">
        <v>13</v>
      </c>
      <c r="P4" s="25" t="s">
        <v>14</v>
      </c>
      <c r="Q4" s="25" t="s">
        <v>15</v>
      </c>
      <c r="R4" s="11" t="s">
        <v>16</v>
      </c>
      <c r="S4" s="10" t="s">
        <v>17</v>
      </c>
      <c r="T4" s="10" t="s">
        <v>18</v>
      </c>
      <c r="U4" s="23" t="s">
        <v>19</v>
      </c>
      <c r="V4" s="10" t="s">
        <v>20</v>
      </c>
      <c r="W4" s="10" t="s">
        <v>21</v>
      </c>
      <c r="X4" s="10" t="s">
        <v>22</v>
      </c>
      <c r="Y4" s="10" t="s">
        <v>23</v>
      </c>
    </row>
    <row r="5" spans="1:25" s="12" customFormat="1" x14ac:dyDescent="0.2">
      <c r="F5" s="12" t="s">
        <v>24</v>
      </c>
      <c r="G5" s="6" t="s">
        <v>25</v>
      </c>
      <c r="H5" s="12" t="s">
        <v>26</v>
      </c>
      <c r="I5" s="12" t="s">
        <v>27</v>
      </c>
      <c r="K5" s="12" t="s">
        <v>28</v>
      </c>
      <c r="L5" s="12" t="s">
        <v>28</v>
      </c>
      <c r="M5" s="13" t="s">
        <v>29</v>
      </c>
      <c r="N5" s="13" t="s">
        <v>30</v>
      </c>
      <c r="O5" s="8" t="s">
        <v>31</v>
      </c>
      <c r="P5" s="8" t="s">
        <v>31</v>
      </c>
      <c r="Q5" s="8" t="s">
        <v>32</v>
      </c>
      <c r="R5" s="13" t="s">
        <v>31</v>
      </c>
      <c r="S5" s="12" t="s">
        <v>33</v>
      </c>
      <c r="T5" s="12" t="s">
        <v>33</v>
      </c>
      <c r="U5" s="9" t="s">
        <v>34</v>
      </c>
      <c r="V5" s="12" t="s">
        <v>35</v>
      </c>
    </row>
    <row r="6" spans="1:25" s="15" customFormat="1" x14ac:dyDescent="0.2">
      <c r="D6" s="15" t="s">
        <v>178</v>
      </c>
      <c r="E6" s="44" t="s">
        <v>133</v>
      </c>
      <c r="F6" s="15">
        <v>2300</v>
      </c>
      <c r="G6" s="6">
        <v>0.25</v>
      </c>
      <c r="H6" s="15">
        <v>2.2999999999999998</v>
      </c>
      <c r="I6" s="15">
        <f>H6/G6</f>
        <v>9.1999999999999993</v>
      </c>
      <c r="K6" s="43">
        <v>9.0399999999999994E-2</v>
      </c>
      <c r="L6" s="42">
        <v>1.26E-2</v>
      </c>
      <c r="M6" s="29">
        <v>0</v>
      </c>
      <c r="N6" s="15">
        <f t="shared" ref="N6:N7" si="0">M6*3.66</f>
        <v>0</v>
      </c>
      <c r="O6" s="8">
        <f>K6*G6*F6</f>
        <v>51.98</v>
      </c>
      <c r="P6" s="8">
        <f t="shared" ref="P6:P7" si="1">F6*G6*L6</f>
        <v>7.2450000000000001</v>
      </c>
      <c r="Q6" s="8">
        <f t="shared" ref="Q6:Q7" si="2">F6*G6*N6</f>
        <v>0</v>
      </c>
      <c r="U6" s="9"/>
      <c r="X6" s="15" t="s">
        <v>176</v>
      </c>
    </row>
    <row r="7" spans="1:25" s="15" customFormat="1" x14ac:dyDescent="0.2">
      <c r="D7" s="15" t="s">
        <v>125</v>
      </c>
      <c r="E7" s="35" t="s">
        <v>126</v>
      </c>
      <c r="F7" s="15">
        <v>80</v>
      </c>
      <c r="G7" s="6">
        <v>0.25</v>
      </c>
      <c r="I7" s="15">
        <f>10^100</f>
        <v>1E+100</v>
      </c>
      <c r="K7" s="45">
        <v>0.77300000000000002</v>
      </c>
      <c r="L7" s="46">
        <v>1.2200000000000001E-2</v>
      </c>
      <c r="M7" s="29">
        <v>0</v>
      </c>
      <c r="N7" s="15">
        <f t="shared" si="0"/>
        <v>0</v>
      </c>
      <c r="O7" s="8">
        <f t="shared" ref="O7" si="3">K7*G7*F7</f>
        <v>15.46</v>
      </c>
      <c r="P7" s="8">
        <f t="shared" si="1"/>
        <v>0.24400000000000002</v>
      </c>
      <c r="Q7" s="8">
        <f t="shared" si="2"/>
        <v>0</v>
      </c>
      <c r="U7" s="9"/>
      <c r="X7" s="15" t="s">
        <v>174</v>
      </c>
    </row>
    <row r="8" spans="1:25" s="15" customFormat="1" x14ac:dyDescent="0.2">
      <c r="D8" s="15" t="s">
        <v>175</v>
      </c>
      <c r="E8" s="20">
        <v>1.0009999999999999</v>
      </c>
      <c r="F8" s="15">
        <v>2150</v>
      </c>
      <c r="G8" s="6">
        <v>0.1</v>
      </c>
      <c r="H8" s="15">
        <v>2.2999999999999998</v>
      </c>
      <c r="I8" s="15">
        <f>H8/G8</f>
        <v>22.999999999999996</v>
      </c>
      <c r="K8" s="43">
        <v>5.0200000000000002E-2</v>
      </c>
      <c r="L8" s="28">
        <v>1.26E-2</v>
      </c>
      <c r="M8" s="29">
        <v>0</v>
      </c>
      <c r="N8" s="15">
        <f t="shared" ref="N8" si="4">M8*3.66</f>
        <v>0</v>
      </c>
      <c r="O8" s="8">
        <f t="shared" ref="O8" si="5">K8*G8*F8</f>
        <v>10.793000000000001</v>
      </c>
      <c r="P8" s="8">
        <f t="shared" ref="P8" si="6">F8*G8*L8</f>
        <v>2.7090000000000001</v>
      </c>
      <c r="Q8" s="8">
        <f t="shared" ref="Q8" si="7">F8*G8*N8</f>
        <v>0</v>
      </c>
      <c r="U8" s="9"/>
    </row>
    <row r="9" spans="1:25" s="17" customFormat="1" ht="17" thickBot="1" x14ac:dyDescent="0.25">
      <c r="A9" s="17" t="s">
        <v>177</v>
      </c>
      <c r="B9" s="17" t="s">
        <v>281</v>
      </c>
      <c r="G9" s="22"/>
      <c r="I9" s="17" cm="1">
        <f t="array" ref="I9">1/SUM(1/I6:I8)</f>
        <v>6.5714285714285712</v>
      </c>
      <c r="O9" s="26">
        <f>SUM(O6:O8)</f>
        <v>78.233000000000004</v>
      </c>
      <c r="P9" s="26">
        <f>SUM(P6:P8)</f>
        <v>10.198</v>
      </c>
      <c r="Q9" s="26">
        <f>SUM(Q6:Q8)</f>
        <v>0</v>
      </c>
      <c r="S9" s="17" t="s">
        <v>136</v>
      </c>
      <c r="U9" s="24"/>
      <c r="V9" s="17" t="s">
        <v>36</v>
      </c>
      <c r="W9" s="17" t="s">
        <v>173</v>
      </c>
      <c r="X9" s="17" t="s">
        <v>176</v>
      </c>
    </row>
    <row r="10" spans="1:25" ht="17" thickTop="1" x14ac:dyDescent="0.2"/>
    <row r="11" spans="1:25" s="10" customFormat="1" x14ac:dyDescent="0.2">
      <c r="D11" s="10" t="s">
        <v>2</v>
      </c>
      <c r="E11" s="10" t="s">
        <v>3</v>
      </c>
      <c r="F11" s="10" t="s">
        <v>4</v>
      </c>
      <c r="G11" s="21" t="s">
        <v>5</v>
      </c>
      <c r="H11" s="10" t="s">
        <v>6</v>
      </c>
      <c r="I11" s="10" t="s">
        <v>7</v>
      </c>
      <c r="J11" s="10" t="s">
        <v>8</v>
      </c>
      <c r="K11" s="11" t="s">
        <v>9</v>
      </c>
      <c r="L11" s="11" t="s">
        <v>10</v>
      </c>
      <c r="M11" s="11" t="s">
        <v>11</v>
      </c>
      <c r="N11" s="11" t="s">
        <v>12</v>
      </c>
      <c r="O11" s="25" t="s">
        <v>13</v>
      </c>
      <c r="P11" s="25" t="s">
        <v>14</v>
      </c>
      <c r="Q11" s="25" t="s">
        <v>15</v>
      </c>
      <c r="R11" s="11" t="s">
        <v>16</v>
      </c>
      <c r="S11" s="10" t="s">
        <v>17</v>
      </c>
      <c r="T11" s="10" t="s">
        <v>18</v>
      </c>
      <c r="U11" s="23" t="s">
        <v>19</v>
      </c>
      <c r="V11" s="10" t="s">
        <v>20</v>
      </c>
      <c r="W11" s="10" t="s">
        <v>21</v>
      </c>
      <c r="X11" s="10" t="s">
        <v>22</v>
      </c>
      <c r="Y11" s="10" t="s">
        <v>23</v>
      </c>
    </row>
    <row r="12" spans="1:25" s="12" customFormat="1" x14ac:dyDescent="0.2">
      <c r="F12" s="12" t="s">
        <v>24</v>
      </c>
      <c r="G12" s="6" t="s">
        <v>25</v>
      </c>
      <c r="H12" s="12" t="s">
        <v>26</v>
      </c>
      <c r="I12" s="12" t="s">
        <v>27</v>
      </c>
      <c r="K12" s="12" t="s">
        <v>28</v>
      </c>
      <c r="L12" s="12" t="s">
        <v>28</v>
      </c>
      <c r="M12" s="13" t="s">
        <v>29</v>
      </c>
      <c r="N12" s="13" t="s">
        <v>30</v>
      </c>
      <c r="O12" s="8" t="s">
        <v>31</v>
      </c>
      <c r="P12" s="8" t="s">
        <v>31</v>
      </c>
      <c r="Q12" s="8" t="s">
        <v>32</v>
      </c>
      <c r="R12" s="13" t="s">
        <v>31</v>
      </c>
      <c r="S12" s="12" t="s">
        <v>33</v>
      </c>
      <c r="T12" s="12" t="s">
        <v>33</v>
      </c>
      <c r="U12" s="9" t="s">
        <v>34</v>
      </c>
      <c r="V12" s="12" t="s">
        <v>35</v>
      </c>
    </row>
    <row r="13" spans="1:25" s="15" customFormat="1" x14ac:dyDescent="0.2">
      <c r="D13" s="15" t="s">
        <v>179</v>
      </c>
      <c r="E13" s="44" t="s">
        <v>133</v>
      </c>
      <c r="F13" s="15">
        <v>2300</v>
      </c>
      <c r="G13" s="6">
        <v>0.25</v>
      </c>
      <c r="H13" s="15">
        <v>2.2999999999999998</v>
      </c>
      <c r="I13" s="15">
        <f>H13/G13</f>
        <v>9.1999999999999993</v>
      </c>
      <c r="K13" s="43">
        <v>4.8000000000000001E-2</v>
      </c>
      <c r="L13" s="42">
        <v>1.26E-2</v>
      </c>
      <c r="M13" s="29">
        <v>0</v>
      </c>
      <c r="N13" s="15">
        <f t="shared" ref="N13:N15" si="8">M13*3.66</f>
        <v>0</v>
      </c>
      <c r="O13" s="8">
        <f>K13*G13*F13</f>
        <v>27.6</v>
      </c>
      <c r="P13" s="8">
        <f t="shared" ref="P13:P15" si="9">F13*G13*L13</f>
        <v>7.2450000000000001</v>
      </c>
      <c r="Q13" s="8">
        <f t="shared" ref="Q13:Q15" si="10">F13*G13*N13</f>
        <v>0</v>
      </c>
      <c r="U13" s="9"/>
      <c r="X13" s="15" t="s">
        <v>179</v>
      </c>
    </row>
    <row r="14" spans="1:25" s="15" customFormat="1" x14ac:dyDescent="0.2">
      <c r="D14" s="15" t="s">
        <v>125</v>
      </c>
      <c r="E14" s="35" t="s">
        <v>126</v>
      </c>
      <c r="F14" s="15">
        <v>80</v>
      </c>
      <c r="G14" s="6">
        <v>0.25</v>
      </c>
      <c r="I14" s="15">
        <f>10^100</f>
        <v>1E+100</v>
      </c>
      <c r="K14" s="45">
        <v>0.77300000000000002</v>
      </c>
      <c r="L14" s="46">
        <v>1.2200000000000001E-2</v>
      </c>
      <c r="M14" s="29">
        <v>0</v>
      </c>
      <c r="N14" s="15">
        <f t="shared" si="8"/>
        <v>0</v>
      </c>
      <c r="O14" s="8">
        <f t="shared" ref="O14:O15" si="11">K14*G14*F14</f>
        <v>15.46</v>
      </c>
      <c r="P14" s="8">
        <f t="shared" si="9"/>
        <v>0.24400000000000002</v>
      </c>
      <c r="Q14" s="8">
        <f t="shared" si="10"/>
        <v>0</v>
      </c>
      <c r="U14" s="9"/>
      <c r="X14" s="15" t="s">
        <v>174</v>
      </c>
    </row>
    <row r="15" spans="1:25" s="15" customFormat="1" x14ac:dyDescent="0.2">
      <c r="D15" s="15" t="s">
        <v>175</v>
      </c>
      <c r="E15" s="20">
        <v>1.0009999999999999</v>
      </c>
      <c r="F15" s="15">
        <v>2150</v>
      </c>
      <c r="G15" s="6">
        <v>0.1</v>
      </c>
      <c r="H15" s="15">
        <v>2.2999999999999998</v>
      </c>
      <c r="I15" s="15">
        <f>H15/G15</f>
        <v>22.999999999999996</v>
      </c>
      <c r="K15" s="43">
        <v>5.0200000000000002E-2</v>
      </c>
      <c r="L15" s="28">
        <v>1.26E-2</v>
      </c>
      <c r="M15" s="29">
        <v>0</v>
      </c>
      <c r="N15" s="15">
        <f t="shared" si="8"/>
        <v>0</v>
      </c>
      <c r="O15" s="8">
        <f t="shared" si="11"/>
        <v>10.793000000000001</v>
      </c>
      <c r="P15" s="8">
        <f t="shared" si="9"/>
        <v>2.7090000000000001</v>
      </c>
      <c r="Q15" s="8">
        <f t="shared" si="10"/>
        <v>0</v>
      </c>
      <c r="U15" s="9"/>
    </row>
    <row r="16" spans="1:25" s="17" customFormat="1" ht="17" thickBot="1" x14ac:dyDescent="0.25">
      <c r="A16" s="17" t="s">
        <v>187</v>
      </c>
      <c r="B16" s="17" t="s">
        <v>281</v>
      </c>
      <c r="G16" s="22"/>
      <c r="I16" s="17" cm="1">
        <f t="array" ref="I16">1/SUM(1/I13:I15)</f>
        <v>6.5714285714285712</v>
      </c>
      <c r="O16" s="26">
        <f>SUM(O13:O15)</f>
        <v>53.853000000000002</v>
      </c>
      <c r="P16" s="26">
        <f>SUM(P13:P15)</f>
        <v>10.198</v>
      </c>
      <c r="Q16" s="26">
        <f>SUM(Q13:Q15)</f>
        <v>0</v>
      </c>
      <c r="S16" s="17" t="s">
        <v>136</v>
      </c>
      <c r="U16" s="24"/>
      <c r="V16" s="17" t="s">
        <v>36</v>
      </c>
      <c r="W16" s="17" t="s">
        <v>173</v>
      </c>
      <c r="X16" s="17" t="s">
        <v>179</v>
      </c>
    </row>
    <row r="17" spans="1:25" ht="17" thickTop="1" x14ac:dyDescent="0.2"/>
    <row r="19" spans="1:25" s="10" customFormat="1" x14ac:dyDescent="0.2">
      <c r="D19" s="10" t="s">
        <v>2</v>
      </c>
      <c r="E19" s="10" t="s">
        <v>3</v>
      </c>
      <c r="F19" s="10" t="s">
        <v>4</v>
      </c>
      <c r="G19" s="21" t="s">
        <v>5</v>
      </c>
      <c r="H19" s="10" t="s">
        <v>6</v>
      </c>
      <c r="I19" s="10" t="s">
        <v>7</v>
      </c>
      <c r="J19" s="10" t="s">
        <v>8</v>
      </c>
      <c r="K19" s="11" t="s">
        <v>9</v>
      </c>
      <c r="L19" s="11" t="s">
        <v>10</v>
      </c>
      <c r="M19" s="11" t="s">
        <v>11</v>
      </c>
      <c r="N19" s="11" t="s">
        <v>12</v>
      </c>
      <c r="O19" s="25" t="s">
        <v>13</v>
      </c>
      <c r="P19" s="25" t="s">
        <v>14</v>
      </c>
      <c r="Q19" s="25" t="s">
        <v>15</v>
      </c>
      <c r="R19" s="11" t="s">
        <v>16</v>
      </c>
      <c r="S19" s="10" t="s">
        <v>17</v>
      </c>
      <c r="T19" s="10" t="s">
        <v>18</v>
      </c>
      <c r="U19" s="23" t="s">
        <v>19</v>
      </c>
      <c r="V19" s="10" t="s">
        <v>20</v>
      </c>
      <c r="W19" s="10" t="s">
        <v>21</v>
      </c>
      <c r="X19" s="10" t="s">
        <v>22</v>
      </c>
      <c r="Y19" s="10" t="s">
        <v>23</v>
      </c>
    </row>
    <row r="20" spans="1:25" s="12" customFormat="1" x14ac:dyDescent="0.2">
      <c r="F20" s="12" t="s">
        <v>24</v>
      </c>
      <c r="G20" s="6" t="s">
        <v>25</v>
      </c>
      <c r="H20" s="12" t="s">
        <v>26</v>
      </c>
      <c r="I20" s="12" t="s">
        <v>27</v>
      </c>
      <c r="K20" s="12" t="s">
        <v>28</v>
      </c>
      <c r="L20" s="12" t="s">
        <v>28</v>
      </c>
      <c r="M20" s="13" t="s">
        <v>29</v>
      </c>
      <c r="N20" s="13" t="s">
        <v>30</v>
      </c>
      <c r="O20" s="8" t="s">
        <v>31</v>
      </c>
      <c r="P20" s="8" t="s">
        <v>31</v>
      </c>
      <c r="Q20" s="8" t="s">
        <v>32</v>
      </c>
      <c r="R20" s="13" t="s">
        <v>31</v>
      </c>
      <c r="S20" s="12" t="s">
        <v>33</v>
      </c>
      <c r="T20" s="12" t="s">
        <v>33</v>
      </c>
      <c r="U20" s="9" t="s">
        <v>34</v>
      </c>
      <c r="V20" s="12" t="s">
        <v>35</v>
      </c>
    </row>
    <row r="21" spans="1:25" s="15" customFormat="1" x14ac:dyDescent="0.2">
      <c r="D21" s="15" t="s">
        <v>178</v>
      </c>
      <c r="E21" s="44" t="s">
        <v>133</v>
      </c>
      <c r="F21" s="15">
        <v>2300</v>
      </c>
      <c r="G21" s="6">
        <v>0.25</v>
      </c>
      <c r="H21" s="15">
        <v>2.2999999999999998</v>
      </c>
      <c r="I21" s="15">
        <f>H21/G21</f>
        <v>9.1999999999999993</v>
      </c>
      <c r="K21" s="43">
        <v>9.0399999999999994E-2</v>
      </c>
      <c r="L21" s="42">
        <v>1.26E-2</v>
      </c>
      <c r="M21" s="29">
        <v>0</v>
      </c>
      <c r="N21" s="15">
        <f t="shared" ref="N21:N24" si="12">M21*3.66</f>
        <v>0</v>
      </c>
      <c r="O21" s="8">
        <f>K21*G21*F21</f>
        <v>51.98</v>
      </c>
      <c r="P21" s="8">
        <f t="shared" ref="P21:P24" si="13">F21*G21*L21</f>
        <v>7.2450000000000001</v>
      </c>
      <c r="Q21" s="8">
        <f t="shared" ref="Q21:Q24" si="14">F21*G21*N21</f>
        <v>0</v>
      </c>
      <c r="U21" s="9"/>
      <c r="X21" s="15" t="s">
        <v>176</v>
      </c>
    </row>
    <row r="22" spans="1:25" s="15" customFormat="1" x14ac:dyDescent="0.2">
      <c r="D22" s="15" t="s">
        <v>125</v>
      </c>
      <c r="E22" s="35" t="s">
        <v>126</v>
      </c>
      <c r="F22" s="15">
        <v>60</v>
      </c>
      <c r="G22" s="6">
        <v>0.25</v>
      </c>
      <c r="I22" s="15">
        <f>10^100</f>
        <v>1E+100</v>
      </c>
      <c r="K22" s="45">
        <v>0.77300000000000002</v>
      </c>
      <c r="L22" s="46">
        <v>1.2200000000000001E-2</v>
      </c>
      <c r="M22" s="29">
        <v>0</v>
      </c>
      <c r="N22" s="15">
        <f t="shared" si="12"/>
        <v>0</v>
      </c>
      <c r="O22" s="8">
        <f t="shared" ref="O22:O24" si="15">K22*G22*F22</f>
        <v>11.595000000000001</v>
      </c>
      <c r="P22" s="8">
        <f t="shared" si="13"/>
        <v>0.18300000000000002</v>
      </c>
      <c r="Q22" s="8">
        <f t="shared" si="14"/>
        <v>0</v>
      </c>
      <c r="U22" s="9"/>
      <c r="X22" s="15" t="s">
        <v>185</v>
      </c>
    </row>
    <row r="23" spans="1:25" s="15" customFormat="1" x14ac:dyDescent="0.2">
      <c r="D23" s="15" t="s">
        <v>181</v>
      </c>
      <c r="E23" s="20" t="s">
        <v>182</v>
      </c>
      <c r="F23" s="36">
        <v>1100</v>
      </c>
      <c r="G23" s="6">
        <v>2E-3</v>
      </c>
      <c r="I23" s="15">
        <f>10^100</f>
        <v>1E+100</v>
      </c>
      <c r="K23" s="37">
        <v>1</v>
      </c>
      <c r="L23" s="19">
        <v>2.33</v>
      </c>
      <c r="M23" s="29">
        <v>0</v>
      </c>
      <c r="N23" s="15">
        <f t="shared" ref="N23" si="16">M23*3.66</f>
        <v>0</v>
      </c>
      <c r="O23" s="8">
        <f t="shared" ref="O23" si="17">K23*G23*F23</f>
        <v>2.2000000000000002</v>
      </c>
      <c r="P23" s="8">
        <f t="shared" ref="P23" si="18">F23*G23*L23</f>
        <v>5.1260000000000003</v>
      </c>
      <c r="Q23" s="8">
        <f t="shared" ref="Q23" si="19">F23*G23*N23</f>
        <v>0</v>
      </c>
      <c r="U23" s="9"/>
    </row>
    <row r="24" spans="1:25" s="15" customFormat="1" x14ac:dyDescent="0.2">
      <c r="D24" s="15" t="s">
        <v>275</v>
      </c>
      <c r="E24" s="20" t="s">
        <v>277</v>
      </c>
      <c r="F24" s="36">
        <v>18</v>
      </c>
      <c r="G24" s="6">
        <v>0.06</v>
      </c>
      <c r="H24" s="15">
        <v>3.5000000000000003E-2</v>
      </c>
      <c r="I24" s="15">
        <f>H24/G24</f>
        <v>0.58333333333333337</v>
      </c>
      <c r="K24" s="27">
        <v>4.51</v>
      </c>
      <c r="L24" s="19">
        <v>3.09</v>
      </c>
      <c r="M24" s="19">
        <v>0</v>
      </c>
      <c r="N24" s="15">
        <f t="shared" si="12"/>
        <v>0</v>
      </c>
      <c r="O24" s="8">
        <f t="shared" si="15"/>
        <v>4.8707999999999991</v>
      </c>
      <c r="P24" s="8">
        <f t="shared" si="13"/>
        <v>3.3372000000000002</v>
      </c>
      <c r="Q24" s="8">
        <f t="shared" si="14"/>
        <v>0</v>
      </c>
      <c r="U24" s="9"/>
      <c r="X24" s="15" t="s">
        <v>276</v>
      </c>
    </row>
    <row r="25" spans="1:25" s="17" customFormat="1" ht="17" thickBot="1" x14ac:dyDescent="0.25">
      <c r="A25" s="17" t="s">
        <v>180</v>
      </c>
      <c r="B25" s="17" t="s">
        <v>170</v>
      </c>
      <c r="G25" s="22"/>
      <c r="I25" s="17" cm="1">
        <f t="array" ref="I25">1/SUM(1/I21:I24)</f>
        <v>0.54855195911413968</v>
      </c>
      <c r="O25" s="26">
        <f>SUM(O21:O24)</f>
        <v>70.645799999999994</v>
      </c>
      <c r="P25" s="26">
        <f>SUM(P21:P24)</f>
        <v>15.891200000000001</v>
      </c>
      <c r="Q25" s="26">
        <f>SUM(Q21:Q24)</f>
        <v>0</v>
      </c>
      <c r="S25" s="17" t="s">
        <v>136</v>
      </c>
      <c r="U25" s="24"/>
      <c r="V25" s="17" t="s">
        <v>36</v>
      </c>
      <c r="W25" s="17" t="s">
        <v>340</v>
      </c>
      <c r="X25" s="17" t="s">
        <v>176</v>
      </c>
    </row>
    <row r="26" spans="1:25" ht="17" thickTop="1" x14ac:dyDescent="0.2"/>
    <row r="28" spans="1:25" s="10" customFormat="1" x14ac:dyDescent="0.2">
      <c r="D28" s="10" t="s">
        <v>2</v>
      </c>
      <c r="E28" s="10" t="s">
        <v>3</v>
      </c>
      <c r="F28" s="10" t="s">
        <v>4</v>
      </c>
      <c r="G28" s="21" t="s">
        <v>5</v>
      </c>
      <c r="H28" s="10" t="s">
        <v>6</v>
      </c>
      <c r="I28" s="10" t="s">
        <v>7</v>
      </c>
      <c r="J28" s="10" t="s">
        <v>8</v>
      </c>
      <c r="K28" s="11" t="s">
        <v>9</v>
      </c>
      <c r="L28" s="11" t="s">
        <v>10</v>
      </c>
      <c r="M28" s="11" t="s">
        <v>11</v>
      </c>
      <c r="N28" s="11" t="s">
        <v>12</v>
      </c>
      <c r="O28" s="25" t="s">
        <v>13</v>
      </c>
      <c r="P28" s="25" t="s">
        <v>14</v>
      </c>
      <c r="Q28" s="25" t="s">
        <v>15</v>
      </c>
      <c r="R28" s="11" t="s">
        <v>16</v>
      </c>
      <c r="S28" s="10" t="s">
        <v>17</v>
      </c>
      <c r="T28" s="10" t="s">
        <v>18</v>
      </c>
      <c r="U28" s="23" t="s">
        <v>19</v>
      </c>
      <c r="V28" s="10" t="s">
        <v>20</v>
      </c>
      <c r="W28" s="10" t="s">
        <v>21</v>
      </c>
      <c r="X28" s="10" t="s">
        <v>22</v>
      </c>
      <c r="Y28" s="10" t="s">
        <v>23</v>
      </c>
    </row>
    <row r="29" spans="1:25" s="12" customFormat="1" x14ac:dyDescent="0.2">
      <c r="F29" s="12" t="s">
        <v>24</v>
      </c>
      <c r="G29" s="6" t="s">
        <v>25</v>
      </c>
      <c r="H29" s="12" t="s">
        <v>26</v>
      </c>
      <c r="I29" s="12" t="s">
        <v>27</v>
      </c>
      <c r="K29" s="12" t="s">
        <v>28</v>
      </c>
      <c r="L29" s="12" t="s">
        <v>28</v>
      </c>
      <c r="M29" s="13" t="s">
        <v>29</v>
      </c>
      <c r="N29" s="13" t="s">
        <v>30</v>
      </c>
      <c r="O29" s="8" t="s">
        <v>31</v>
      </c>
      <c r="P29" s="8" t="s">
        <v>31</v>
      </c>
      <c r="Q29" s="8" t="s">
        <v>32</v>
      </c>
      <c r="R29" s="13" t="s">
        <v>31</v>
      </c>
      <c r="S29" s="12" t="s">
        <v>33</v>
      </c>
      <c r="T29" s="12" t="s">
        <v>33</v>
      </c>
      <c r="U29" s="9" t="s">
        <v>34</v>
      </c>
      <c r="V29" s="12" t="s">
        <v>35</v>
      </c>
    </row>
    <row r="30" spans="1:25" s="15" customFormat="1" x14ac:dyDescent="0.2">
      <c r="D30" s="15" t="s">
        <v>179</v>
      </c>
      <c r="E30" s="44" t="s">
        <v>133</v>
      </c>
      <c r="F30" s="15">
        <v>2300</v>
      </c>
      <c r="G30" s="6">
        <v>0.25</v>
      </c>
      <c r="H30" s="15">
        <v>2.2999999999999998</v>
      </c>
      <c r="I30" s="15">
        <f>H30/G30</f>
        <v>9.1999999999999993</v>
      </c>
      <c r="K30" s="43">
        <v>4.8000000000000001E-2</v>
      </c>
      <c r="L30" s="42">
        <v>1.26E-2</v>
      </c>
      <c r="M30" s="29">
        <v>0</v>
      </c>
      <c r="N30" s="15">
        <f t="shared" ref="N30:N31" si="20">M30*3.66</f>
        <v>0</v>
      </c>
      <c r="O30" s="8">
        <f>K30*G30*F30</f>
        <v>27.6</v>
      </c>
      <c r="P30" s="8">
        <f t="shared" ref="P30:P31" si="21">F30*G30*L30</f>
        <v>7.2450000000000001</v>
      </c>
      <c r="Q30" s="8">
        <f t="shared" ref="Q30:Q31" si="22">F30*G30*N30</f>
        <v>0</v>
      </c>
      <c r="U30" s="9"/>
      <c r="X30" s="15" t="s">
        <v>179</v>
      </c>
    </row>
    <row r="31" spans="1:25" s="15" customFormat="1" x14ac:dyDescent="0.2">
      <c r="D31" s="15" t="s">
        <v>125</v>
      </c>
      <c r="E31" s="35" t="s">
        <v>126</v>
      </c>
      <c r="F31" s="15">
        <v>60</v>
      </c>
      <c r="G31" s="6">
        <v>0.25</v>
      </c>
      <c r="I31" s="15">
        <f>10^100</f>
        <v>1E+100</v>
      </c>
      <c r="K31" s="45">
        <v>0.77300000000000002</v>
      </c>
      <c r="L31" s="46">
        <v>1.2200000000000001E-2</v>
      </c>
      <c r="M31" s="29">
        <v>0</v>
      </c>
      <c r="N31" s="15">
        <f t="shared" si="20"/>
        <v>0</v>
      </c>
      <c r="O31" s="8">
        <f t="shared" ref="O31" si="23">K31*G31*F31</f>
        <v>11.595000000000001</v>
      </c>
      <c r="P31" s="8">
        <f t="shared" si="21"/>
        <v>0.18300000000000002</v>
      </c>
      <c r="Q31" s="8">
        <f t="shared" si="22"/>
        <v>0</v>
      </c>
      <c r="U31" s="9"/>
      <c r="X31" s="15" t="s">
        <v>174</v>
      </c>
    </row>
    <row r="32" spans="1:25" s="15" customFormat="1" x14ac:dyDescent="0.2">
      <c r="D32" s="15" t="s">
        <v>181</v>
      </c>
      <c r="E32" s="20" t="s">
        <v>182</v>
      </c>
      <c r="F32" s="36">
        <v>1100</v>
      </c>
      <c r="G32" s="6">
        <v>2E-3</v>
      </c>
      <c r="I32" s="15">
        <f>10^100</f>
        <v>1E+100</v>
      </c>
      <c r="K32" s="37">
        <v>1</v>
      </c>
      <c r="L32" s="19">
        <v>2.33</v>
      </c>
      <c r="M32" s="29">
        <v>0</v>
      </c>
      <c r="N32" s="15">
        <f t="shared" ref="N32:N33" si="24">M32*3.66</f>
        <v>0</v>
      </c>
      <c r="O32" s="8">
        <f t="shared" ref="O32:O33" si="25">K32*G32*F32</f>
        <v>2.2000000000000002</v>
      </c>
      <c r="P32" s="8">
        <f t="shared" ref="P32:P33" si="26">F32*G32*L32</f>
        <v>5.1260000000000003</v>
      </c>
      <c r="Q32" s="8">
        <f t="shared" ref="Q32:Q33" si="27">F32*G32*N32</f>
        <v>0</v>
      </c>
      <c r="U32" s="9"/>
    </row>
    <row r="33" spans="1:24" s="15" customFormat="1" x14ac:dyDescent="0.2">
      <c r="D33" s="15" t="s">
        <v>183</v>
      </c>
      <c r="E33" s="20" t="s">
        <v>184</v>
      </c>
      <c r="F33" s="36">
        <v>2000</v>
      </c>
      <c r="G33" s="6">
        <v>0.1</v>
      </c>
      <c r="I33" s="15">
        <f>10^100</f>
        <v>1E+100</v>
      </c>
      <c r="K33" s="50">
        <v>3.0500000000000002E-3</v>
      </c>
      <c r="L33" s="28">
        <v>1.26E-2</v>
      </c>
      <c r="M33" s="29">
        <v>0</v>
      </c>
      <c r="N33" s="15">
        <f t="shared" si="24"/>
        <v>0</v>
      </c>
      <c r="O33" s="8">
        <f t="shared" si="25"/>
        <v>0.6100000000000001</v>
      </c>
      <c r="P33" s="8">
        <f t="shared" si="26"/>
        <v>2.52</v>
      </c>
      <c r="Q33" s="8">
        <f t="shared" si="27"/>
        <v>0</v>
      </c>
      <c r="U33" s="9"/>
    </row>
    <row r="34" spans="1:24" s="17" customFormat="1" ht="17" thickBot="1" x14ac:dyDescent="0.25">
      <c r="A34" s="17" t="s">
        <v>186</v>
      </c>
      <c r="B34" s="17" t="s">
        <v>170</v>
      </c>
      <c r="G34" s="22"/>
      <c r="I34" s="17" cm="1">
        <f t="array" ref="I34">1/SUM(1/I30:I33)</f>
        <v>9.1999999999999993</v>
      </c>
      <c r="O34" s="26">
        <f>SUM(O30:O33)</f>
        <v>42.005000000000003</v>
      </c>
      <c r="P34" s="26">
        <f>SUM(P30:P33)</f>
        <v>15.074</v>
      </c>
      <c r="Q34" s="26">
        <f>SUM(Q30:Q33)</f>
        <v>0</v>
      </c>
      <c r="S34" s="17" t="s">
        <v>136</v>
      </c>
      <c r="U34" s="24"/>
      <c r="V34" s="17" t="s">
        <v>36</v>
      </c>
      <c r="W34" s="17" t="s">
        <v>340</v>
      </c>
      <c r="X34" s="17" t="s">
        <v>179</v>
      </c>
    </row>
    <row r="35" spans="1:24" ht="17" thickTop="1" x14ac:dyDescent="0.2"/>
  </sheetData>
  <conditionalFormatting sqref="K6:M8">
    <cfRule type="cellIs" dxfId="322" priority="100" operator="between">
      <formula>0.00000001</formula>
      <formula>1</formula>
    </cfRule>
    <cfRule type="cellIs" dxfId="321" priority="99" operator="between">
      <formula>1</formula>
      <formula>10</formula>
    </cfRule>
    <cfRule type="cellIs" dxfId="320" priority="98" operator="between">
      <formula>10</formula>
      <formula>100</formula>
    </cfRule>
    <cfRule type="cellIs" dxfId="319" priority="97" operator="greaterThan">
      <formula>100</formula>
    </cfRule>
    <cfRule type="cellIs" dxfId="318" priority="96" operator="equal">
      <formula>0</formula>
    </cfRule>
  </conditionalFormatting>
  <conditionalFormatting sqref="K13:M15">
    <cfRule type="cellIs" dxfId="317" priority="76" operator="equal">
      <formula>0</formula>
    </cfRule>
    <cfRule type="cellIs" dxfId="316" priority="80" operator="between">
      <formula>0.00000001</formula>
      <formula>1</formula>
    </cfRule>
    <cfRule type="cellIs" dxfId="315" priority="79" operator="between">
      <formula>1</formula>
      <formula>10</formula>
    </cfRule>
    <cfRule type="cellIs" dxfId="314" priority="78" operator="between">
      <formula>10</formula>
      <formula>100</formula>
    </cfRule>
    <cfRule type="cellIs" dxfId="313" priority="77" operator="greaterThan">
      <formula>100</formula>
    </cfRule>
  </conditionalFormatting>
  <conditionalFormatting sqref="K21:M24">
    <cfRule type="cellIs" dxfId="312" priority="1" operator="equal">
      <formula>0</formula>
    </cfRule>
    <cfRule type="cellIs" dxfId="311" priority="2" operator="greaterThan">
      <formula>100</formula>
    </cfRule>
    <cfRule type="cellIs" dxfId="310" priority="3" operator="between">
      <formula>10</formula>
      <formula>100</formula>
    </cfRule>
    <cfRule type="cellIs" dxfId="309" priority="4" operator="between">
      <formula>1</formula>
      <formula>10</formula>
    </cfRule>
    <cfRule type="cellIs" dxfId="308" priority="5" operator="between">
      <formula>0.00000001</formula>
      <formula>1</formula>
    </cfRule>
  </conditionalFormatting>
  <conditionalFormatting sqref="K30:M33">
    <cfRule type="cellIs" dxfId="307" priority="6" operator="equal">
      <formula>0</formula>
    </cfRule>
    <cfRule type="cellIs" dxfId="306" priority="10" operator="between">
      <formula>0.00000001</formula>
      <formula>1</formula>
    </cfRule>
    <cfRule type="cellIs" dxfId="305" priority="9" operator="between">
      <formula>1</formula>
      <formula>10</formula>
    </cfRule>
    <cfRule type="cellIs" dxfId="304" priority="8" operator="between">
      <formula>10</formula>
      <formula>100</formula>
    </cfRule>
    <cfRule type="cellIs" dxfId="303" priority="7" operator="greaterThan">
      <formula>100</formula>
    </cfRule>
  </conditionalFormatting>
  <conditionalFormatting sqref="Q6:Q8">
    <cfRule type="cellIs" dxfId="302" priority="110" operator="between">
      <formula>0.00000001</formula>
      <formula>1</formula>
    </cfRule>
    <cfRule type="cellIs" dxfId="301" priority="109" operator="between">
      <formula>1</formula>
      <formula>10</formula>
    </cfRule>
    <cfRule type="cellIs" dxfId="300" priority="108" operator="between">
      <formula>10</formula>
      <formula>100</formula>
    </cfRule>
    <cfRule type="cellIs" dxfId="299" priority="107" operator="greaterThan">
      <formula>100</formula>
    </cfRule>
    <cfRule type="cellIs" dxfId="298" priority="106" operator="equal">
      <formula>0</formula>
    </cfRule>
  </conditionalFormatting>
  <conditionalFormatting sqref="Q13:Q15">
    <cfRule type="cellIs" dxfId="297" priority="86" operator="equal">
      <formula>0</formula>
    </cfRule>
    <cfRule type="cellIs" dxfId="296" priority="87" operator="greaterThan">
      <formula>100</formula>
    </cfRule>
    <cfRule type="cellIs" dxfId="295" priority="88" operator="between">
      <formula>10</formula>
      <formula>100</formula>
    </cfRule>
    <cfRule type="cellIs" dxfId="294" priority="89" operator="between">
      <formula>1</formula>
      <formula>10</formula>
    </cfRule>
    <cfRule type="cellIs" dxfId="293" priority="90" operator="between">
      <formula>0.00000001</formula>
      <formula>1</formula>
    </cfRule>
  </conditionalFormatting>
  <conditionalFormatting sqref="Q21:Q24">
    <cfRule type="cellIs" dxfId="292" priority="70" operator="between">
      <formula>0.00000001</formula>
      <formula>1</formula>
    </cfRule>
    <cfRule type="cellIs" dxfId="291" priority="69" operator="between">
      <formula>1</formula>
      <formula>10</formula>
    </cfRule>
    <cfRule type="cellIs" dxfId="290" priority="68" operator="between">
      <formula>10</formula>
      <formula>100</formula>
    </cfRule>
    <cfRule type="cellIs" dxfId="289" priority="67" operator="greaterThan">
      <formula>100</formula>
    </cfRule>
    <cfRule type="cellIs" dxfId="288" priority="66" operator="equal">
      <formula>0</formula>
    </cfRule>
  </conditionalFormatting>
  <conditionalFormatting sqref="Q30:Q33">
    <cfRule type="cellIs" dxfId="287" priority="11" operator="equal">
      <formula>0</formula>
    </cfRule>
    <cfRule type="cellIs" dxfId="286" priority="15" operator="between">
      <formula>0.00000001</formula>
      <formula>1</formula>
    </cfRule>
    <cfRule type="cellIs" dxfId="285" priority="14" operator="between">
      <formula>1</formula>
      <formula>10</formula>
    </cfRule>
    <cfRule type="cellIs" dxfId="284" priority="13" operator="between">
      <formula>10</formula>
      <formula>100</formula>
    </cfRule>
    <cfRule type="cellIs" dxfId="283" priority="12" operator="greaterThan">
      <formula>100</formula>
    </cfRule>
  </conditionalFormatting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19B1-4502-1B4A-887F-F49B53A3F496}">
  <dimension ref="A1:Y64"/>
  <sheetViews>
    <sheetView topLeftCell="A39" zoomScale="81" workbookViewId="0">
      <selection activeCell="G70" sqref="G70"/>
    </sheetView>
  </sheetViews>
  <sheetFormatPr baseColWidth="10" defaultRowHeight="16" x14ac:dyDescent="0.2"/>
  <cols>
    <col min="1" max="1" width="33.5" customWidth="1"/>
    <col min="2" max="2" width="31.83203125" customWidth="1"/>
    <col min="4" max="4" width="33.5" customWidth="1"/>
    <col min="9" max="9" width="13.1640625" bestFit="1" customWidth="1"/>
    <col min="22" max="22" width="10.83203125" customWidth="1"/>
    <col min="23" max="23" width="36.1640625" customWidth="1"/>
  </cols>
  <sheetData>
    <row r="1" spans="1:25" s="1" customFormat="1" x14ac:dyDescent="0.2">
      <c r="A1" s="1" t="s">
        <v>0</v>
      </c>
      <c r="B1" s="1" t="s">
        <v>51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52</v>
      </c>
      <c r="J1" s="1" t="s">
        <v>53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4" t="s">
        <v>54</v>
      </c>
      <c r="R1" s="3" t="s">
        <v>16</v>
      </c>
      <c r="S1" s="1" t="s">
        <v>17</v>
      </c>
      <c r="T1" s="1" t="s">
        <v>55</v>
      </c>
      <c r="U1" s="5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F2" t="s">
        <v>24</v>
      </c>
      <c r="G2" s="6" t="s">
        <v>25</v>
      </c>
      <c r="H2" t="s">
        <v>26</v>
      </c>
      <c r="I2" t="s">
        <v>27</v>
      </c>
      <c r="K2" t="s">
        <v>28</v>
      </c>
      <c r="L2" t="s">
        <v>28</v>
      </c>
      <c r="M2" s="7" t="s">
        <v>29</v>
      </c>
      <c r="N2" s="7" t="s">
        <v>30</v>
      </c>
      <c r="O2" s="8" t="s">
        <v>31</v>
      </c>
      <c r="P2" s="8" t="s">
        <v>31</v>
      </c>
      <c r="Q2" s="8" t="s">
        <v>32</v>
      </c>
      <c r="R2" s="7" t="s">
        <v>31</v>
      </c>
      <c r="S2" t="s">
        <v>33</v>
      </c>
      <c r="T2" t="s">
        <v>33</v>
      </c>
      <c r="U2" s="9" t="s">
        <v>34</v>
      </c>
      <c r="V2" t="s">
        <v>35</v>
      </c>
    </row>
    <row r="3" spans="1:25" ht="27" x14ac:dyDescent="0.35">
      <c r="B3" s="61" t="s">
        <v>314</v>
      </c>
      <c r="G3" s="6"/>
      <c r="M3" s="7"/>
      <c r="N3" s="7"/>
      <c r="O3" s="8"/>
      <c r="P3" s="8"/>
      <c r="Q3" s="8"/>
      <c r="R3" s="7"/>
      <c r="U3" s="9"/>
    </row>
    <row r="4" spans="1:25" s="10" customFormat="1" x14ac:dyDescent="0.2">
      <c r="D4" s="10" t="s">
        <v>2</v>
      </c>
      <c r="E4" s="10" t="s">
        <v>3</v>
      </c>
      <c r="F4" s="10" t="s">
        <v>4</v>
      </c>
      <c r="G4" s="21" t="s">
        <v>5</v>
      </c>
      <c r="H4" s="10" t="s">
        <v>6</v>
      </c>
      <c r="I4" s="10" t="s">
        <v>7</v>
      </c>
      <c r="J4" s="10" t="s">
        <v>8</v>
      </c>
      <c r="K4" s="11" t="s">
        <v>9</v>
      </c>
      <c r="L4" s="11" t="s">
        <v>10</v>
      </c>
      <c r="M4" s="11" t="s">
        <v>11</v>
      </c>
      <c r="N4" s="11" t="s">
        <v>12</v>
      </c>
      <c r="O4" s="25" t="s">
        <v>13</v>
      </c>
      <c r="P4" s="25" t="s">
        <v>14</v>
      </c>
      <c r="Q4" s="25" t="s">
        <v>15</v>
      </c>
      <c r="R4" s="11" t="s">
        <v>16</v>
      </c>
      <c r="S4" s="10" t="s">
        <v>17</v>
      </c>
      <c r="T4" s="10" t="s">
        <v>18</v>
      </c>
      <c r="U4" s="23" t="s">
        <v>19</v>
      </c>
      <c r="V4" s="10" t="s">
        <v>20</v>
      </c>
      <c r="W4" s="10" t="s">
        <v>21</v>
      </c>
      <c r="X4" s="10" t="s">
        <v>22</v>
      </c>
      <c r="Y4" s="10" t="s">
        <v>23</v>
      </c>
    </row>
    <row r="5" spans="1:25" s="12" customFormat="1" x14ac:dyDescent="0.2">
      <c r="F5" s="12" t="s">
        <v>24</v>
      </c>
      <c r="G5" s="6" t="s">
        <v>25</v>
      </c>
      <c r="H5" s="12" t="s">
        <v>26</v>
      </c>
      <c r="I5" s="12" t="s">
        <v>27</v>
      </c>
      <c r="K5" s="12" t="s">
        <v>28</v>
      </c>
      <c r="L5" s="12" t="s">
        <v>28</v>
      </c>
      <c r="M5" s="13" t="s">
        <v>29</v>
      </c>
      <c r="N5" s="13" t="s">
        <v>30</v>
      </c>
      <c r="O5" s="8" t="s">
        <v>31</v>
      </c>
      <c r="P5" s="8" t="s">
        <v>31</v>
      </c>
      <c r="Q5" s="8" t="s">
        <v>32</v>
      </c>
      <c r="R5" s="13" t="s">
        <v>31</v>
      </c>
      <c r="S5" s="12" t="s">
        <v>33</v>
      </c>
      <c r="T5" s="12" t="s">
        <v>33</v>
      </c>
      <c r="U5" s="9" t="s">
        <v>34</v>
      </c>
      <c r="V5" s="12" t="s">
        <v>35</v>
      </c>
    </row>
    <row r="6" spans="1:25" s="15" customFormat="1" x14ac:dyDescent="0.2">
      <c r="D6" s="15" t="s">
        <v>118</v>
      </c>
      <c r="E6" s="20" t="s">
        <v>117</v>
      </c>
      <c r="F6" s="15">
        <v>900</v>
      </c>
      <c r="G6" s="6">
        <v>0.18</v>
      </c>
      <c r="H6" s="15">
        <v>0.44</v>
      </c>
      <c r="I6" s="15">
        <f>H6/G6</f>
        <v>2.4444444444444446</v>
      </c>
      <c r="K6" s="37">
        <v>0.254</v>
      </c>
      <c r="L6" s="28">
        <v>1.2699999999999999E-2</v>
      </c>
      <c r="M6" s="29">
        <v>0</v>
      </c>
      <c r="N6" s="15">
        <f t="shared" ref="N6" si="0">M6*3.66</f>
        <v>0</v>
      </c>
      <c r="O6" s="8">
        <f t="shared" ref="O6" si="1">K6*G6*F6</f>
        <v>41.147999999999996</v>
      </c>
      <c r="P6" s="8">
        <f t="shared" ref="P6" si="2">F6*G6*L6</f>
        <v>2.0573999999999999</v>
      </c>
      <c r="Q6" s="8">
        <f t="shared" ref="Q6" si="3">F6*G6*N6</f>
        <v>0</v>
      </c>
      <c r="U6" s="9"/>
    </row>
    <row r="7" spans="1:25" s="17" customFormat="1" ht="17" thickBot="1" x14ac:dyDescent="0.25">
      <c r="A7" s="17" t="s">
        <v>120</v>
      </c>
      <c r="B7" s="17" t="s">
        <v>169</v>
      </c>
      <c r="G7" s="22"/>
      <c r="I7" s="17" cm="1">
        <f t="array" ref="I7">1/SUM(1/I6:I6)</f>
        <v>2.4444444444444446</v>
      </c>
      <c r="O7" s="26">
        <f>SUM(O6:O6)</f>
        <v>41.147999999999996</v>
      </c>
      <c r="P7" s="26">
        <f>SUM(P6:P6)</f>
        <v>2.0573999999999999</v>
      </c>
      <c r="Q7" s="26">
        <f>SUM(Q6:Q6)</f>
        <v>0</v>
      </c>
      <c r="S7" s="17" t="s">
        <v>136</v>
      </c>
      <c r="U7" s="24"/>
      <c r="V7" s="17" t="s">
        <v>36</v>
      </c>
      <c r="W7" s="17" t="s">
        <v>40</v>
      </c>
    </row>
    <row r="8" spans="1:25" ht="17" thickTop="1" x14ac:dyDescent="0.2"/>
    <row r="9" spans="1:25" s="10" customFormat="1" x14ac:dyDescent="0.2">
      <c r="D9" s="10" t="s">
        <v>2</v>
      </c>
      <c r="E9" s="10" t="s">
        <v>3</v>
      </c>
      <c r="F9" s="10" t="s">
        <v>4</v>
      </c>
      <c r="G9" s="21" t="s">
        <v>5</v>
      </c>
      <c r="H9" s="10" t="s">
        <v>6</v>
      </c>
      <c r="I9" s="10" t="s">
        <v>7</v>
      </c>
      <c r="J9" s="10" t="s">
        <v>8</v>
      </c>
      <c r="K9" s="11" t="s">
        <v>9</v>
      </c>
      <c r="L9" s="11" t="s">
        <v>10</v>
      </c>
      <c r="M9" s="11" t="s">
        <v>11</v>
      </c>
      <c r="N9" s="11" t="s">
        <v>12</v>
      </c>
      <c r="O9" s="25" t="s">
        <v>13</v>
      </c>
      <c r="P9" s="25" t="s">
        <v>14</v>
      </c>
      <c r="Q9" s="25" t="s">
        <v>15</v>
      </c>
      <c r="R9" s="11" t="s">
        <v>16</v>
      </c>
      <c r="S9" s="10" t="s">
        <v>17</v>
      </c>
      <c r="T9" s="10" t="s">
        <v>18</v>
      </c>
      <c r="U9" s="23" t="s">
        <v>19</v>
      </c>
      <c r="V9" s="10" t="s">
        <v>20</v>
      </c>
      <c r="W9" s="10" t="s">
        <v>21</v>
      </c>
      <c r="X9" s="10" t="s">
        <v>22</v>
      </c>
      <c r="Y9" s="10" t="s">
        <v>23</v>
      </c>
    </row>
    <row r="10" spans="1:25" s="12" customFormat="1" x14ac:dyDescent="0.2">
      <c r="F10" s="12" t="s">
        <v>24</v>
      </c>
      <c r="G10" s="6" t="s">
        <v>25</v>
      </c>
      <c r="H10" s="12" t="s">
        <v>26</v>
      </c>
      <c r="I10" s="12" t="s">
        <v>27</v>
      </c>
      <c r="K10" s="12" t="s">
        <v>28</v>
      </c>
      <c r="L10" s="12" t="s">
        <v>28</v>
      </c>
      <c r="M10" s="13" t="s">
        <v>29</v>
      </c>
      <c r="N10" s="13" t="s">
        <v>30</v>
      </c>
      <c r="O10" s="8" t="s">
        <v>31</v>
      </c>
      <c r="P10" s="8" t="s">
        <v>31</v>
      </c>
      <c r="Q10" s="8" t="s">
        <v>32</v>
      </c>
      <c r="R10" s="13" t="s">
        <v>31</v>
      </c>
      <c r="S10" s="12" t="s">
        <v>33</v>
      </c>
      <c r="T10" s="12" t="s">
        <v>33</v>
      </c>
      <c r="U10" s="9" t="s">
        <v>34</v>
      </c>
      <c r="V10" s="12" t="s">
        <v>35</v>
      </c>
    </row>
    <row r="11" spans="1:25" s="15" customFormat="1" x14ac:dyDescent="0.2">
      <c r="D11" s="15" t="s">
        <v>118</v>
      </c>
      <c r="E11" s="20" t="s">
        <v>117</v>
      </c>
      <c r="F11" s="15">
        <v>900</v>
      </c>
      <c r="G11" s="6">
        <v>0.15</v>
      </c>
      <c r="H11" s="15">
        <v>0.44</v>
      </c>
      <c r="I11" s="15">
        <f>H11/G11</f>
        <v>2.9333333333333336</v>
      </c>
      <c r="K11" s="37">
        <v>0.254</v>
      </c>
      <c r="L11" s="28">
        <v>1.2699999999999999E-2</v>
      </c>
      <c r="M11" s="29">
        <v>0</v>
      </c>
      <c r="N11" s="15">
        <f t="shared" ref="N11" si="4">M11*3.66</f>
        <v>0</v>
      </c>
      <c r="O11" s="8">
        <f t="shared" ref="O11" si="5">K11*G11*F11</f>
        <v>34.29</v>
      </c>
      <c r="P11" s="8">
        <f t="shared" ref="P11" si="6">F11*G11*L11</f>
        <v>1.7144999999999999</v>
      </c>
      <c r="Q11" s="8">
        <f t="shared" ref="Q11" si="7">F11*G11*N11</f>
        <v>0</v>
      </c>
      <c r="U11" s="9"/>
    </row>
    <row r="12" spans="1:25" s="15" customFormat="1" x14ac:dyDescent="0.2">
      <c r="D12" s="15" t="s">
        <v>121</v>
      </c>
      <c r="E12" s="20" t="s">
        <v>117</v>
      </c>
      <c r="F12" s="15">
        <v>1400</v>
      </c>
      <c r="G12" s="6">
        <v>0.12</v>
      </c>
      <c r="H12" s="15">
        <v>1</v>
      </c>
      <c r="I12" s="15">
        <f>H12/G12</f>
        <v>8.3333333333333339</v>
      </c>
      <c r="K12" s="37">
        <v>0.14899999999999999</v>
      </c>
      <c r="L12" s="28">
        <v>1.2699999999999999E-2</v>
      </c>
      <c r="M12" s="29">
        <v>0</v>
      </c>
      <c r="N12" s="15">
        <f t="shared" ref="N12" si="8">M12*3.66</f>
        <v>0</v>
      </c>
      <c r="O12" s="8">
        <f t="shared" ref="O12" si="9">K12*G12*F12</f>
        <v>25.032</v>
      </c>
      <c r="P12" s="8">
        <f t="shared" ref="P12" si="10">F12*G12*L12</f>
        <v>2.1335999999999999</v>
      </c>
      <c r="Q12" s="8">
        <f t="shared" ref="Q12" si="11">F12*G12*N12</f>
        <v>0</v>
      </c>
      <c r="U12" s="9"/>
    </row>
    <row r="13" spans="1:25" s="17" customFormat="1" ht="17" thickBot="1" x14ac:dyDescent="0.25">
      <c r="A13" s="17" t="s">
        <v>119</v>
      </c>
      <c r="B13" s="17" t="s">
        <v>169</v>
      </c>
      <c r="G13" s="22"/>
      <c r="I13" s="17" cm="1">
        <f t="array" ref="I13">1/SUM(1/I11:I12)</f>
        <v>2.1696252465483234</v>
      </c>
      <c r="O13" s="26">
        <f>SUM(O11:O12)</f>
        <v>59.322000000000003</v>
      </c>
      <c r="P13" s="26">
        <f>SUM(P11:P12)</f>
        <v>3.8480999999999996</v>
      </c>
      <c r="Q13" s="26">
        <f>SUM(Q11:Q12)</f>
        <v>0</v>
      </c>
      <c r="S13" s="17" t="s">
        <v>136</v>
      </c>
      <c r="U13" s="24"/>
      <c r="V13" s="17" t="s">
        <v>36</v>
      </c>
      <c r="W13" s="17" t="s">
        <v>122</v>
      </c>
    </row>
    <row r="14" spans="1:25" ht="17" thickTop="1" x14ac:dyDescent="0.2"/>
    <row r="15" spans="1:25" s="10" customFormat="1" x14ac:dyDescent="0.2">
      <c r="D15" s="10" t="s">
        <v>2</v>
      </c>
      <c r="E15" s="10" t="s">
        <v>3</v>
      </c>
      <c r="F15" s="10" t="s">
        <v>4</v>
      </c>
      <c r="G15" s="21" t="s">
        <v>5</v>
      </c>
      <c r="H15" s="10" t="s">
        <v>6</v>
      </c>
      <c r="I15" s="10" t="s">
        <v>7</v>
      </c>
      <c r="J15" s="10" t="s">
        <v>8</v>
      </c>
      <c r="K15" s="11" t="s">
        <v>9</v>
      </c>
      <c r="L15" s="11" t="s">
        <v>10</v>
      </c>
      <c r="M15" s="11" t="s">
        <v>11</v>
      </c>
      <c r="N15" s="11" t="s">
        <v>12</v>
      </c>
      <c r="O15" s="25" t="s">
        <v>13</v>
      </c>
      <c r="P15" s="25" t="s">
        <v>14</v>
      </c>
      <c r="Q15" s="25" t="s">
        <v>15</v>
      </c>
      <c r="R15" s="11" t="s">
        <v>16</v>
      </c>
      <c r="S15" s="10" t="s">
        <v>17</v>
      </c>
      <c r="T15" s="10" t="s">
        <v>18</v>
      </c>
      <c r="U15" s="23" t="s">
        <v>19</v>
      </c>
      <c r="V15" s="10" t="s">
        <v>20</v>
      </c>
      <c r="W15" s="10" t="s">
        <v>21</v>
      </c>
      <c r="X15" s="10" t="s">
        <v>22</v>
      </c>
      <c r="Y15" s="10" t="s">
        <v>23</v>
      </c>
    </row>
    <row r="16" spans="1:25" s="12" customFormat="1" x14ac:dyDescent="0.2">
      <c r="F16" s="12" t="s">
        <v>24</v>
      </c>
      <c r="G16" s="6" t="s">
        <v>25</v>
      </c>
      <c r="H16" s="12" t="s">
        <v>26</v>
      </c>
      <c r="I16" s="12" t="s">
        <v>27</v>
      </c>
      <c r="K16" s="12" t="s">
        <v>28</v>
      </c>
      <c r="L16" s="12" t="s">
        <v>28</v>
      </c>
      <c r="M16" s="13" t="s">
        <v>29</v>
      </c>
      <c r="N16" s="13" t="s">
        <v>30</v>
      </c>
      <c r="O16" s="8" t="s">
        <v>31</v>
      </c>
      <c r="P16" s="8" t="s">
        <v>31</v>
      </c>
      <c r="Q16" s="8" t="s">
        <v>32</v>
      </c>
      <c r="R16" s="13" t="s">
        <v>31</v>
      </c>
      <c r="S16" s="12" t="s">
        <v>33</v>
      </c>
      <c r="T16" s="12" t="s">
        <v>33</v>
      </c>
      <c r="U16" s="9" t="s">
        <v>34</v>
      </c>
      <c r="V16" s="12" t="s">
        <v>35</v>
      </c>
    </row>
    <row r="17" spans="1:25" s="15" customFormat="1" x14ac:dyDescent="0.2">
      <c r="D17" s="15" t="s">
        <v>124</v>
      </c>
      <c r="E17" s="44" t="s">
        <v>123</v>
      </c>
      <c r="F17" s="15">
        <v>2300</v>
      </c>
      <c r="G17" s="6">
        <v>0.18</v>
      </c>
      <c r="H17" s="15">
        <v>2.2999999999999998</v>
      </c>
      <c r="I17" s="15">
        <f>H17/G17</f>
        <v>12.777777777777777</v>
      </c>
      <c r="K17" s="43">
        <v>8.8700000000000001E-2</v>
      </c>
      <c r="L17" s="42">
        <v>1.26E-2</v>
      </c>
      <c r="M17" s="29">
        <v>0</v>
      </c>
      <c r="N17" s="15">
        <f t="shared" ref="N17:N18" si="12">M17*3.66</f>
        <v>0</v>
      </c>
      <c r="O17" s="8">
        <f t="shared" ref="O17:O18" si="13">K17*G17*F17</f>
        <v>36.721800000000002</v>
      </c>
      <c r="P17" s="8">
        <f t="shared" ref="P17:P18" si="14">F17*G17*L17</f>
        <v>5.2164000000000001</v>
      </c>
      <c r="Q17" s="8">
        <f t="shared" ref="Q17:Q18" si="15">F17*G17*N17</f>
        <v>0</v>
      </c>
      <c r="U17" s="9"/>
    </row>
    <row r="18" spans="1:25" s="15" customFormat="1" x14ac:dyDescent="0.2">
      <c r="D18" s="15" t="s">
        <v>125</v>
      </c>
      <c r="E18" s="35" t="s">
        <v>126</v>
      </c>
      <c r="F18" s="15">
        <v>60</v>
      </c>
      <c r="G18" s="6">
        <v>0.18</v>
      </c>
      <c r="K18" s="45">
        <v>0.77300000000000002</v>
      </c>
      <c r="L18" s="46">
        <v>1.2200000000000001E-2</v>
      </c>
      <c r="M18" s="29">
        <v>0</v>
      </c>
      <c r="N18" s="15">
        <f t="shared" si="12"/>
        <v>0</v>
      </c>
      <c r="O18" s="8">
        <f t="shared" si="13"/>
        <v>8.3483999999999998</v>
      </c>
      <c r="P18" s="8">
        <f t="shared" si="14"/>
        <v>0.13175999999999999</v>
      </c>
      <c r="Q18" s="8">
        <f t="shared" si="15"/>
        <v>0</v>
      </c>
      <c r="U18" s="9"/>
      <c r="X18" s="15" t="s">
        <v>127</v>
      </c>
    </row>
    <row r="19" spans="1:25" s="17" customFormat="1" ht="17" thickBot="1" x14ac:dyDescent="0.25">
      <c r="A19" s="17" t="s">
        <v>129</v>
      </c>
      <c r="B19" s="17" t="s">
        <v>169</v>
      </c>
      <c r="G19" s="22"/>
      <c r="I19" s="17">
        <f>I17</f>
        <v>12.777777777777777</v>
      </c>
      <c r="O19" s="26">
        <f>SUM(O17:O18)</f>
        <v>45.0702</v>
      </c>
      <c r="P19" s="26">
        <f>SUM(P17:P18)</f>
        <v>5.34816</v>
      </c>
      <c r="Q19" s="26">
        <f>SUM(Q17:Q18)</f>
        <v>0</v>
      </c>
      <c r="S19" s="17" t="s">
        <v>136</v>
      </c>
      <c r="U19" s="24"/>
      <c r="V19" s="17" t="s">
        <v>36</v>
      </c>
      <c r="W19" s="17" t="s">
        <v>128</v>
      </c>
      <c r="X19" s="17" t="s">
        <v>135</v>
      </c>
    </row>
    <row r="20" spans="1:25" ht="17" thickTop="1" x14ac:dyDescent="0.2"/>
    <row r="21" spans="1:25" s="10" customFormat="1" x14ac:dyDescent="0.2">
      <c r="D21" s="10" t="s">
        <v>2</v>
      </c>
      <c r="E21" s="10" t="s">
        <v>3</v>
      </c>
      <c r="F21" s="10" t="s">
        <v>4</v>
      </c>
      <c r="G21" s="21" t="s">
        <v>5</v>
      </c>
      <c r="H21" s="10" t="s">
        <v>6</v>
      </c>
      <c r="I21" s="10" t="s">
        <v>7</v>
      </c>
      <c r="J21" s="10" t="s">
        <v>8</v>
      </c>
      <c r="K21" s="11" t="s">
        <v>9</v>
      </c>
      <c r="L21" s="11" t="s">
        <v>10</v>
      </c>
      <c r="M21" s="11" t="s">
        <v>11</v>
      </c>
      <c r="N21" s="11" t="s">
        <v>12</v>
      </c>
      <c r="O21" s="25" t="s">
        <v>13</v>
      </c>
      <c r="P21" s="25" t="s">
        <v>14</v>
      </c>
      <c r="Q21" s="25" t="s">
        <v>15</v>
      </c>
      <c r="R21" s="11" t="s">
        <v>16</v>
      </c>
      <c r="S21" s="10" t="s">
        <v>17</v>
      </c>
      <c r="T21" s="10" t="s">
        <v>18</v>
      </c>
      <c r="U21" s="23" t="s">
        <v>19</v>
      </c>
      <c r="V21" s="10" t="s">
        <v>20</v>
      </c>
      <c r="W21" s="10" t="s">
        <v>21</v>
      </c>
      <c r="X21" s="10" t="s">
        <v>22</v>
      </c>
      <c r="Y21" s="10" t="s">
        <v>23</v>
      </c>
    </row>
    <row r="22" spans="1:25" s="12" customFormat="1" x14ac:dyDescent="0.2">
      <c r="F22" s="12" t="s">
        <v>24</v>
      </c>
      <c r="G22" s="6" t="s">
        <v>25</v>
      </c>
      <c r="H22" s="12" t="s">
        <v>26</v>
      </c>
      <c r="I22" s="12" t="s">
        <v>27</v>
      </c>
      <c r="K22" s="12" t="s">
        <v>28</v>
      </c>
      <c r="L22" s="12" t="s">
        <v>28</v>
      </c>
      <c r="M22" s="13" t="s">
        <v>29</v>
      </c>
      <c r="N22" s="13" t="s">
        <v>30</v>
      </c>
      <c r="O22" s="8" t="s">
        <v>31</v>
      </c>
      <c r="P22" s="8" t="s">
        <v>31</v>
      </c>
      <c r="Q22" s="8" t="s">
        <v>32</v>
      </c>
      <c r="R22" s="13" t="s">
        <v>31</v>
      </c>
      <c r="S22" s="12" t="s">
        <v>33</v>
      </c>
      <c r="T22" s="12" t="s">
        <v>33</v>
      </c>
      <c r="U22" s="9" t="s">
        <v>34</v>
      </c>
      <c r="V22" s="12" t="s">
        <v>35</v>
      </c>
    </row>
    <row r="23" spans="1:25" s="15" customFormat="1" x14ac:dyDescent="0.2">
      <c r="D23" s="15" t="s">
        <v>130</v>
      </c>
      <c r="E23" s="44" t="s">
        <v>133</v>
      </c>
      <c r="F23" s="15">
        <v>2210</v>
      </c>
      <c r="G23" s="6">
        <v>0.18</v>
      </c>
      <c r="H23" s="15">
        <v>2.2999999999999998</v>
      </c>
      <c r="I23" s="15">
        <f>H23/G23</f>
        <v>12.777777777777777</v>
      </c>
      <c r="K23" s="43">
        <v>4.7E-2</v>
      </c>
      <c r="L23" s="42">
        <v>1.26E-2</v>
      </c>
      <c r="M23" s="29">
        <v>0</v>
      </c>
      <c r="N23" s="15">
        <f t="shared" ref="N23:N24" si="16">M23*3.66</f>
        <v>0</v>
      </c>
      <c r="O23" s="8">
        <f t="shared" ref="O23:O24" si="17">K23*G23*F23</f>
        <v>18.6966</v>
      </c>
      <c r="P23" s="8">
        <f t="shared" ref="P23:P24" si="18">F23*G23*L23</f>
        <v>5.0122800000000005</v>
      </c>
      <c r="Q23" s="8">
        <f t="shared" ref="Q23:Q24" si="19">F23*G23*N23</f>
        <v>0</v>
      </c>
      <c r="U23" s="9"/>
    </row>
    <row r="24" spans="1:25" s="15" customFormat="1" x14ac:dyDescent="0.2">
      <c r="D24" s="15" t="s">
        <v>125</v>
      </c>
      <c r="E24" s="35" t="s">
        <v>126</v>
      </c>
      <c r="F24" s="15">
        <v>60</v>
      </c>
      <c r="G24" s="6">
        <v>0.18</v>
      </c>
      <c r="K24" s="45">
        <v>0.77300000000000002</v>
      </c>
      <c r="L24" s="46">
        <v>1.2200000000000001E-2</v>
      </c>
      <c r="M24" s="29">
        <v>0</v>
      </c>
      <c r="N24" s="15">
        <f t="shared" si="16"/>
        <v>0</v>
      </c>
      <c r="O24" s="8">
        <f t="shared" si="17"/>
        <v>8.3483999999999998</v>
      </c>
      <c r="P24" s="8">
        <f t="shared" si="18"/>
        <v>0.13175999999999999</v>
      </c>
      <c r="Q24" s="8">
        <f t="shared" si="19"/>
        <v>0</v>
      </c>
      <c r="U24" s="9"/>
      <c r="X24" s="15" t="s">
        <v>127</v>
      </c>
    </row>
    <row r="25" spans="1:25" s="17" customFormat="1" ht="17" thickBot="1" x14ac:dyDescent="0.25">
      <c r="A25" s="17" t="s">
        <v>134</v>
      </c>
      <c r="B25" s="17" t="s">
        <v>169</v>
      </c>
      <c r="G25" s="22"/>
      <c r="I25" s="17">
        <f>I23</f>
        <v>12.777777777777777</v>
      </c>
      <c r="O25" s="26">
        <f>SUM(O23:O24)</f>
        <v>27.045000000000002</v>
      </c>
      <c r="P25" s="26">
        <f>SUM(P23:P24)</f>
        <v>5.1440400000000004</v>
      </c>
      <c r="Q25" s="26">
        <f>SUM(Q23:Q24)</f>
        <v>0</v>
      </c>
      <c r="S25" s="17" t="s">
        <v>136</v>
      </c>
      <c r="U25" s="24"/>
      <c r="V25" s="17" t="s">
        <v>36</v>
      </c>
      <c r="W25" s="17" t="s">
        <v>131</v>
      </c>
      <c r="X25" s="17" t="s">
        <v>132</v>
      </c>
    </row>
    <row r="26" spans="1:25" ht="17" thickTop="1" x14ac:dyDescent="0.2"/>
    <row r="28" spans="1:25" s="10" customFormat="1" x14ac:dyDescent="0.2">
      <c r="D28" s="10" t="s">
        <v>2</v>
      </c>
      <c r="E28" s="10" t="s">
        <v>3</v>
      </c>
      <c r="F28" s="10" t="s">
        <v>4</v>
      </c>
      <c r="G28" s="21" t="s">
        <v>5</v>
      </c>
      <c r="H28" s="10" t="s">
        <v>6</v>
      </c>
      <c r="I28" s="10" t="s">
        <v>7</v>
      </c>
      <c r="J28" s="10" t="s">
        <v>8</v>
      </c>
      <c r="K28" s="11" t="s">
        <v>9</v>
      </c>
      <c r="L28" s="11" t="s">
        <v>10</v>
      </c>
      <c r="M28" s="11" t="s">
        <v>11</v>
      </c>
      <c r="N28" s="11" t="s">
        <v>12</v>
      </c>
      <c r="O28" s="25" t="s">
        <v>13</v>
      </c>
      <c r="P28" s="25" t="s">
        <v>14</v>
      </c>
      <c r="Q28" s="25" t="s">
        <v>15</v>
      </c>
      <c r="R28" s="11" t="s">
        <v>16</v>
      </c>
      <c r="S28" s="10" t="s">
        <v>17</v>
      </c>
      <c r="T28" s="10" t="s">
        <v>18</v>
      </c>
      <c r="U28" s="23" t="s">
        <v>19</v>
      </c>
      <c r="V28" s="10" t="s">
        <v>20</v>
      </c>
      <c r="W28" s="10" t="s">
        <v>21</v>
      </c>
      <c r="X28" s="10" t="s">
        <v>22</v>
      </c>
      <c r="Y28" s="10" t="s">
        <v>23</v>
      </c>
    </row>
    <row r="29" spans="1:25" s="12" customFormat="1" x14ac:dyDescent="0.2">
      <c r="F29" s="12" t="s">
        <v>24</v>
      </c>
      <c r="G29" s="6" t="s">
        <v>25</v>
      </c>
      <c r="H29" s="12" t="s">
        <v>26</v>
      </c>
      <c r="I29" s="12" t="s">
        <v>27</v>
      </c>
      <c r="K29" s="12" t="s">
        <v>28</v>
      </c>
      <c r="L29" s="12" t="s">
        <v>28</v>
      </c>
      <c r="M29" s="13" t="s">
        <v>29</v>
      </c>
      <c r="N29" s="13" t="s">
        <v>30</v>
      </c>
      <c r="O29" s="8" t="s">
        <v>31</v>
      </c>
      <c r="P29" s="8" t="s">
        <v>31</v>
      </c>
      <c r="Q29" s="8" t="s">
        <v>32</v>
      </c>
      <c r="R29" s="13" t="s">
        <v>31</v>
      </c>
      <c r="S29" s="12" t="s">
        <v>33</v>
      </c>
      <c r="T29" s="12" t="s">
        <v>33</v>
      </c>
      <c r="U29" s="9" t="s">
        <v>34</v>
      </c>
      <c r="V29" s="12" t="s">
        <v>35</v>
      </c>
    </row>
    <row r="30" spans="1:25" s="15" customFormat="1" x14ac:dyDescent="0.2">
      <c r="D30" s="15" t="s">
        <v>140</v>
      </c>
      <c r="E30" s="20" t="s">
        <v>139</v>
      </c>
      <c r="F30" s="15">
        <v>2000</v>
      </c>
      <c r="G30" s="6">
        <v>0.06</v>
      </c>
      <c r="H30" s="15">
        <v>0.8</v>
      </c>
      <c r="I30" s="15">
        <f>H30/G30</f>
        <v>13.333333333333334</v>
      </c>
      <c r="K30" s="43">
        <v>7.8399999999999997E-2</v>
      </c>
      <c r="L30" s="42">
        <v>1.2699999999999999E-2</v>
      </c>
      <c r="M30" s="29">
        <v>0</v>
      </c>
      <c r="N30" s="15">
        <f t="shared" ref="N30:N32" si="20">M30*3.66</f>
        <v>0</v>
      </c>
      <c r="O30" s="8">
        <f t="shared" ref="O30:O32" si="21">K30*G30*F30</f>
        <v>9.4079999999999995</v>
      </c>
      <c r="P30" s="8">
        <f t="shared" ref="P30:P32" si="22">F30*G30*L30</f>
        <v>1.524</v>
      </c>
      <c r="Q30" s="8">
        <f t="shared" ref="Q30:Q32" si="23">F30*G30*N30</f>
        <v>0</v>
      </c>
      <c r="U30" s="9"/>
    </row>
    <row r="31" spans="1:25" s="15" customFormat="1" x14ac:dyDescent="0.2">
      <c r="D31" s="15" t="s">
        <v>141</v>
      </c>
      <c r="E31" s="20" t="s">
        <v>142</v>
      </c>
      <c r="F31" s="15">
        <v>920</v>
      </c>
      <c r="G31" s="6">
        <v>1E-4</v>
      </c>
      <c r="I31" s="15">
        <f>10^100</f>
        <v>1E+100</v>
      </c>
      <c r="K31" s="27">
        <v>2.75</v>
      </c>
      <c r="L31" s="19">
        <v>2.67</v>
      </c>
      <c r="M31" s="29">
        <v>0</v>
      </c>
      <c r="N31" s="15">
        <f t="shared" ref="N31" si="24">M31*3.66</f>
        <v>0</v>
      </c>
      <c r="O31" s="8">
        <f t="shared" ref="O31" si="25">K31*G31*F31</f>
        <v>0.253</v>
      </c>
      <c r="P31" s="8">
        <f t="shared" ref="P31" si="26">F31*G31*L31</f>
        <v>0.24564</v>
      </c>
      <c r="Q31" s="8">
        <f t="shared" ref="Q31" si="27">F31*G31*N31</f>
        <v>0</v>
      </c>
      <c r="U31" s="9"/>
    </row>
    <row r="32" spans="1:25" s="15" customFormat="1" x14ac:dyDescent="0.2">
      <c r="D32" s="15" t="s">
        <v>143</v>
      </c>
      <c r="E32" s="47" t="s">
        <v>144</v>
      </c>
      <c r="F32" s="15">
        <v>100</v>
      </c>
      <c r="G32" s="6">
        <v>0.02</v>
      </c>
      <c r="H32" s="15">
        <v>0.04</v>
      </c>
      <c r="I32" s="15">
        <f>H32/G32</f>
        <v>2</v>
      </c>
      <c r="K32" s="48">
        <v>1.04</v>
      </c>
      <c r="L32" s="49">
        <v>5.9200000000000003E-2</v>
      </c>
      <c r="M32" s="49">
        <v>0</v>
      </c>
      <c r="N32" s="15">
        <f t="shared" si="20"/>
        <v>0</v>
      </c>
      <c r="O32" s="8">
        <f t="shared" si="21"/>
        <v>2.08</v>
      </c>
      <c r="P32" s="8">
        <f t="shared" si="22"/>
        <v>0.11840000000000001</v>
      </c>
      <c r="Q32" s="8">
        <f t="shared" si="23"/>
        <v>0</v>
      </c>
      <c r="U32" s="9"/>
    </row>
    <row r="33" spans="1:25" s="15" customFormat="1" x14ac:dyDescent="0.2">
      <c r="D33" s="15" t="s">
        <v>124</v>
      </c>
      <c r="E33" s="44" t="s">
        <v>123</v>
      </c>
      <c r="F33" s="15">
        <v>2300</v>
      </c>
      <c r="G33" s="6">
        <v>0.24</v>
      </c>
      <c r="H33" s="15">
        <v>2.2999999999999998</v>
      </c>
      <c r="I33" s="15">
        <f>H33/G33</f>
        <v>9.5833333333333321</v>
      </c>
      <c r="K33" s="43">
        <v>8.8700000000000001E-2</v>
      </c>
      <c r="L33" s="42">
        <v>1.26E-2</v>
      </c>
      <c r="M33" s="29">
        <v>0</v>
      </c>
      <c r="N33" s="15">
        <f t="shared" ref="N33:N34" si="28">M33*3.66</f>
        <v>0</v>
      </c>
      <c r="O33" s="8">
        <f t="shared" ref="O33:O34" si="29">K33*G33*F33</f>
        <v>48.962399999999995</v>
      </c>
      <c r="P33" s="8">
        <f t="shared" ref="P33:P34" si="30">F33*G33*L33</f>
        <v>6.9551999999999996</v>
      </c>
      <c r="Q33" s="8">
        <f t="shared" ref="Q33:Q34" si="31">F33*G33*N33</f>
        <v>0</v>
      </c>
      <c r="U33" s="9"/>
    </row>
    <row r="34" spans="1:25" s="15" customFormat="1" x14ac:dyDescent="0.2">
      <c r="D34" s="15" t="s">
        <v>125</v>
      </c>
      <c r="E34" s="35" t="s">
        <v>126</v>
      </c>
      <c r="F34" s="15">
        <v>90</v>
      </c>
      <c r="G34" s="6">
        <v>0.24</v>
      </c>
      <c r="K34" s="45">
        <v>0.77300000000000002</v>
      </c>
      <c r="L34" s="46">
        <v>1.2200000000000001E-2</v>
      </c>
      <c r="M34" s="29">
        <v>0</v>
      </c>
      <c r="N34" s="15">
        <f t="shared" si="28"/>
        <v>0</v>
      </c>
      <c r="O34" s="8">
        <f t="shared" si="29"/>
        <v>16.6968</v>
      </c>
      <c r="P34" s="8">
        <f t="shared" si="30"/>
        <v>0.26351999999999998</v>
      </c>
      <c r="Q34" s="8">
        <f t="shared" si="31"/>
        <v>0</v>
      </c>
      <c r="U34" s="9"/>
      <c r="X34" s="15" t="s">
        <v>147</v>
      </c>
    </row>
    <row r="35" spans="1:25" s="17" customFormat="1" ht="17" thickBot="1" x14ac:dyDescent="0.25">
      <c r="A35" s="17" t="s">
        <v>137</v>
      </c>
      <c r="B35" s="17" t="s">
        <v>171</v>
      </c>
      <c r="G35" s="22"/>
      <c r="I35" s="17" cm="1">
        <f t="array" ref="I35">1/SUM(1/I30:I33)</f>
        <v>1.472</v>
      </c>
      <c r="O35" s="26">
        <f>SUM(O30:O34)</f>
        <v>77.400199999999998</v>
      </c>
      <c r="P35" s="26">
        <f>SUM(P30:P34)</f>
        <v>9.1067599999999995</v>
      </c>
      <c r="Q35" s="26">
        <f>SUM(Q30:Q34)</f>
        <v>0</v>
      </c>
      <c r="S35" s="17" t="s">
        <v>136</v>
      </c>
      <c r="U35" s="24"/>
      <c r="V35" s="17" t="s">
        <v>36</v>
      </c>
      <c r="W35" s="17" t="s">
        <v>138</v>
      </c>
      <c r="X35" s="17" t="s">
        <v>145</v>
      </c>
    </row>
    <row r="36" spans="1:25" ht="17" thickTop="1" x14ac:dyDescent="0.2"/>
    <row r="38" spans="1:25" s="10" customFormat="1" x14ac:dyDescent="0.2">
      <c r="D38" s="10" t="s">
        <v>2</v>
      </c>
      <c r="E38" s="10" t="s">
        <v>3</v>
      </c>
      <c r="F38" s="10" t="s">
        <v>4</v>
      </c>
      <c r="G38" s="21" t="s">
        <v>5</v>
      </c>
      <c r="H38" s="10" t="s">
        <v>6</v>
      </c>
      <c r="I38" s="10" t="s">
        <v>7</v>
      </c>
      <c r="J38" s="10" t="s">
        <v>8</v>
      </c>
      <c r="K38" s="11" t="s">
        <v>9</v>
      </c>
      <c r="L38" s="11" t="s">
        <v>10</v>
      </c>
      <c r="M38" s="11" t="s">
        <v>11</v>
      </c>
      <c r="N38" s="11" t="s">
        <v>12</v>
      </c>
      <c r="O38" s="25" t="s">
        <v>13</v>
      </c>
      <c r="P38" s="25" t="s">
        <v>14</v>
      </c>
      <c r="Q38" s="25" t="s">
        <v>15</v>
      </c>
      <c r="R38" s="11" t="s">
        <v>16</v>
      </c>
      <c r="S38" s="10" t="s">
        <v>17</v>
      </c>
      <c r="T38" s="10" t="s">
        <v>18</v>
      </c>
      <c r="U38" s="23" t="s">
        <v>19</v>
      </c>
      <c r="V38" s="10" t="s">
        <v>20</v>
      </c>
      <c r="W38" s="10" t="s">
        <v>21</v>
      </c>
      <c r="X38" s="10" t="s">
        <v>22</v>
      </c>
      <c r="Y38" s="10" t="s">
        <v>23</v>
      </c>
    </row>
    <row r="39" spans="1:25" s="12" customFormat="1" x14ac:dyDescent="0.2">
      <c r="F39" s="12" t="s">
        <v>24</v>
      </c>
      <c r="G39" s="6" t="s">
        <v>25</v>
      </c>
      <c r="H39" s="12" t="s">
        <v>26</v>
      </c>
      <c r="I39" s="12" t="s">
        <v>27</v>
      </c>
      <c r="K39" s="12" t="s">
        <v>28</v>
      </c>
      <c r="L39" s="12" t="s">
        <v>28</v>
      </c>
      <c r="M39" s="13" t="s">
        <v>29</v>
      </c>
      <c r="N39" s="13" t="s">
        <v>30</v>
      </c>
      <c r="O39" s="8" t="s">
        <v>31</v>
      </c>
      <c r="P39" s="8" t="s">
        <v>31</v>
      </c>
      <c r="Q39" s="8" t="s">
        <v>32</v>
      </c>
      <c r="R39" s="13" t="s">
        <v>31</v>
      </c>
      <c r="S39" s="12" t="s">
        <v>33</v>
      </c>
      <c r="T39" s="12" t="s">
        <v>33</v>
      </c>
      <c r="U39" s="9" t="s">
        <v>34</v>
      </c>
      <c r="V39" s="12" t="s">
        <v>35</v>
      </c>
    </row>
    <row r="40" spans="1:25" s="15" customFormat="1" x14ac:dyDescent="0.2">
      <c r="D40" s="15" t="s">
        <v>140</v>
      </c>
      <c r="E40" s="20" t="s">
        <v>139</v>
      </c>
      <c r="F40" s="15">
        <v>2000</v>
      </c>
      <c r="G40" s="6">
        <v>0.06</v>
      </c>
      <c r="H40" s="15">
        <v>0.8</v>
      </c>
      <c r="I40" s="15">
        <f>H40/G40</f>
        <v>13.333333333333334</v>
      </c>
      <c r="K40" s="43">
        <v>7.8399999999999997E-2</v>
      </c>
      <c r="L40" s="42">
        <v>1.2699999999999999E-2</v>
      </c>
      <c r="M40" s="29">
        <v>0</v>
      </c>
      <c r="N40" s="15">
        <f t="shared" ref="N40:N44" si="32">M40*3.66</f>
        <v>0</v>
      </c>
      <c r="O40" s="8">
        <f t="shared" ref="O40:O44" si="33">K40*G40*F40</f>
        <v>9.4079999999999995</v>
      </c>
      <c r="P40" s="8">
        <f t="shared" ref="P40:P44" si="34">F40*G40*L40</f>
        <v>1.524</v>
      </c>
      <c r="Q40" s="8">
        <f t="shared" ref="Q40:Q44" si="35">F40*G40*N40</f>
        <v>0</v>
      </c>
      <c r="U40" s="9"/>
    </row>
    <row r="41" spans="1:25" s="15" customFormat="1" x14ac:dyDescent="0.2">
      <c r="D41" s="15" t="s">
        <v>141</v>
      </c>
      <c r="E41" s="20" t="s">
        <v>142</v>
      </c>
      <c r="F41" s="15">
        <v>920</v>
      </c>
      <c r="G41" s="6">
        <v>1E-4</v>
      </c>
      <c r="I41" s="15">
        <f>10^100</f>
        <v>1E+100</v>
      </c>
      <c r="K41" s="27">
        <v>2.75</v>
      </c>
      <c r="L41" s="19">
        <v>2.67</v>
      </c>
      <c r="M41" s="29">
        <v>0</v>
      </c>
      <c r="N41" s="15">
        <f t="shared" si="32"/>
        <v>0</v>
      </c>
      <c r="O41" s="8">
        <f t="shared" si="33"/>
        <v>0.253</v>
      </c>
      <c r="P41" s="8">
        <f t="shared" si="34"/>
        <v>0.24564</v>
      </c>
      <c r="Q41" s="8">
        <f t="shared" si="35"/>
        <v>0</v>
      </c>
      <c r="U41" s="9"/>
    </row>
    <row r="42" spans="1:25" s="15" customFormat="1" x14ac:dyDescent="0.2">
      <c r="D42" s="15" t="s">
        <v>143</v>
      </c>
      <c r="E42" s="47" t="s">
        <v>144</v>
      </c>
      <c r="F42" s="15">
        <v>100</v>
      </c>
      <c r="G42" s="6">
        <v>0.02</v>
      </c>
      <c r="H42" s="15">
        <v>0.04</v>
      </c>
      <c r="I42" s="15">
        <f>H42/G42</f>
        <v>2</v>
      </c>
      <c r="K42" s="48">
        <v>1.04</v>
      </c>
      <c r="L42" s="49">
        <v>5.9200000000000003E-2</v>
      </c>
      <c r="M42" s="49">
        <v>0</v>
      </c>
      <c r="N42" s="15">
        <f t="shared" si="32"/>
        <v>0</v>
      </c>
      <c r="O42" s="8">
        <f t="shared" si="33"/>
        <v>2.08</v>
      </c>
      <c r="P42" s="8">
        <f t="shared" si="34"/>
        <v>0.11840000000000001</v>
      </c>
      <c r="Q42" s="8">
        <f t="shared" si="35"/>
        <v>0</v>
      </c>
      <c r="U42" s="9"/>
    </row>
    <row r="43" spans="1:25" s="15" customFormat="1" x14ac:dyDescent="0.2">
      <c r="D43" s="15" t="s">
        <v>130</v>
      </c>
      <c r="E43" s="44" t="s">
        <v>133</v>
      </c>
      <c r="F43" s="15">
        <v>2210</v>
      </c>
      <c r="G43" s="6">
        <v>0.24</v>
      </c>
      <c r="H43" s="15">
        <v>2.2999999999999998</v>
      </c>
      <c r="I43" s="15">
        <f>H43/G43</f>
        <v>9.5833333333333321</v>
      </c>
      <c r="K43" s="43">
        <v>4.7E-2</v>
      </c>
      <c r="L43" s="42">
        <v>1.26E-2</v>
      </c>
      <c r="M43" s="29">
        <v>0</v>
      </c>
      <c r="N43" s="15">
        <f t="shared" si="32"/>
        <v>0</v>
      </c>
      <c r="O43" s="8">
        <f t="shared" si="33"/>
        <v>24.928799999999999</v>
      </c>
      <c r="P43" s="8">
        <f t="shared" si="34"/>
        <v>6.6830400000000001</v>
      </c>
      <c r="Q43" s="8">
        <f t="shared" si="35"/>
        <v>0</v>
      </c>
      <c r="U43" s="9"/>
    </row>
    <row r="44" spans="1:25" s="15" customFormat="1" x14ac:dyDescent="0.2">
      <c r="D44" s="15" t="s">
        <v>125</v>
      </c>
      <c r="E44" s="35" t="s">
        <v>126</v>
      </c>
      <c r="F44" s="15">
        <v>90</v>
      </c>
      <c r="G44" s="6">
        <v>0.24</v>
      </c>
      <c r="K44" s="45">
        <v>0.77300000000000002</v>
      </c>
      <c r="L44" s="46">
        <v>1.2200000000000001E-2</v>
      </c>
      <c r="M44" s="29">
        <v>0</v>
      </c>
      <c r="N44" s="15">
        <f t="shared" si="32"/>
        <v>0</v>
      </c>
      <c r="O44" s="8">
        <f t="shared" si="33"/>
        <v>16.6968</v>
      </c>
      <c r="P44" s="8">
        <f t="shared" si="34"/>
        <v>0.26351999999999998</v>
      </c>
      <c r="Q44" s="8">
        <f t="shared" si="35"/>
        <v>0</v>
      </c>
      <c r="U44" s="9"/>
      <c r="X44" s="15" t="s">
        <v>147</v>
      </c>
    </row>
    <row r="45" spans="1:25" s="17" customFormat="1" ht="17" thickBot="1" x14ac:dyDescent="0.25">
      <c r="A45" s="17" t="s">
        <v>146</v>
      </c>
      <c r="B45" s="17" t="s">
        <v>171</v>
      </c>
      <c r="G45" s="22"/>
      <c r="I45" s="17" cm="1">
        <f t="array" ref="I45">1/SUM(1/I40:I43)</f>
        <v>1.472</v>
      </c>
      <c r="O45" s="26">
        <f>SUM(O40:O44)</f>
        <v>53.366599999999991</v>
      </c>
      <c r="P45" s="26">
        <f>SUM(P40:P44)</f>
        <v>8.8346</v>
      </c>
      <c r="Q45" s="26">
        <f>SUM(Q40:Q44)</f>
        <v>0</v>
      </c>
      <c r="S45" s="17" t="s">
        <v>136</v>
      </c>
      <c r="U45" s="24"/>
      <c r="V45" s="17" t="s">
        <v>36</v>
      </c>
      <c r="W45" s="17" t="s">
        <v>138</v>
      </c>
      <c r="X45" s="17" t="s">
        <v>148</v>
      </c>
    </row>
    <row r="46" spans="1:25" ht="17" thickTop="1" x14ac:dyDescent="0.2"/>
    <row r="49" spans="1:25" ht="27" x14ac:dyDescent="0.35">
      <c r="B49" s="61" t="s">
        <v>315</v>
      </c>
    </row>
    <row r="50" spans="1:25" s="10" customFormat="1" x14ac:dyDescent="0.2">
      <c r="D50" s="10" t="s">
        <v>2</v>
      </c>
      <c r="E50" s="10" t="s">
        <v>3</v>
      </c>
      <c r="F50" s="10" t="s">
        <v>4</v>
      </c>
      <c r="G50" s="21" t="s">
        <v>5</v>
      </c>
      <c r="H50" s="10" t="s">
        <v>6</v>
      </c>
      <c r="I50" s="10" t="s">
        <v>7</v>
      </c>
      <c r="J50" s="10" t="s">
        <v>8</v>
      </c>
      <c r="K50" s="11" t="s">
        <v>9</v>
      </c>
      <c r="L50" s="11" t="s">
        <v>10</v>
      </c>
      <c r="M50" s="11" t="s">
        <v>11</v>
      </c>
      <c r="N50" s="11" t="s">
        <v>12</v>
      </c>
      <c r="O50" s="25" t="s">
        <v>13</v>
      </c>
      <c r="P50" s="25" t="s">
        <v>14</v>
      </c>
      <c r="Q50" s="25" t="s">
        <v>15</v>
      </c>
      <c r="R50" s="11" t="s">
        <v>16</v>
      </c>
      <c r="S50" s="10" t="s">
        <v>17</v>
      </c>
      <c r="T50" s="10" t="s">
        <v>18</v>
      </c>
      <c r="U50" s="23" t="s">
        <v>19</v>
      </c>
      <c r="V50" s="10" t="s">
        <v>20</v>
      </c>
      <c r="W50" s="10" t="s">
        <v>21</v>
      </c>
      <c r="X50" s="10" t="s">
        <v>22</v>
      </c>
      <c r="Y50" s="10" t="s">
        <v>23</v>
      </c>
    </row>
    <row r="51" spans="1:25" s="12" customFormat="1" x14ac:dyDescent="0.2">
      <c r="F51" s="12" t="s">
        <v>24</v>
      </c>
      <c r="G51" s="6" t="s">
        <v>25</v>
      </c>
      <c r="H51" s="12" t="s">
        <v>26</v>
      </c>
      <c r="I51" s="12" t="s">
        <v>27</v>
      </c>
      <c r="K51" s="12" t="s">
        <v>28</v>
      </c>
      <c r="L51" s="12" t="s">
        <v>28</v>
      </c>
      <c r="M51" s="13" t="s">
        <v>29</v>
      </c>
      <c r="N51" s="13" t="s">
        <v>30</v>
      </c>
      <c r="O51" s="8" t="s">
        <v>31</v>
      </c>
      <c r="P51" s="8" t="s">
        <v>31</v>
      </c>
      <c r="Q51" s="8" t="s">
        <v>32</v>
      </c>
      <c r="R51" s="13" t="s">
        <v>31</v>
      </c>
      <c r="S51" s="12" t="s">
        <v>33</v>
      </c>
      <c r="T51" s="12" t="s">
        <v>33</v>
      </c>
      <c r="U51" s="9" t="s">
        <v>34</v>
      </c>
      <c r="V51" s="12" t="s">
        <v>35</v>
      </c>
    </row>
    <row r="52" spans="1:25" s="15" customFormat="1" x14ac:dyDescent="0.2">
      <c r="D52" s="15" t="s">
        <v>317</v>
      </c>
      <c r="E52" s="35" t="s">
        <v>304</v>
      </c>
      <c r="F52" s="15">
        <v>2000</v>
      </c>
      <c r="G52" s="6">
        <v>0.4</v>
      </c>
      <c r="H52" s="15">
        <v>0.8</v>
      </c>
      <c r="I52" s="15">
        <f>H52/G52</f>
        <v>2</v>
      </c>
      <c r="K52" s="27">
        <v>1.83E-2</v>
      </c>
      <c r="L52" s="28">
        <v>1.15E-3</v>
      </c>
      <c r="M52" s="29">
        <v>0</v>
      </c>
      <c r="N52" s="15">
        <f t="shared" ref="N52" si="36">M52*3.66</f>
        <v>0</v>
      </c>
      <c r="O52" s="8">
        <f t="shared" ref="O52" si="37">K52*G52*F52</f>
        <v>14.64</v>
      </c>
      <c r="P52" s="8">
        <f t="shared" ref="P52" si="38">F52*G52*L52</f>
        <v>0.91999999999999993</v>
      </c>
      <c r="Q52" s="8">
        <f t="shared" ref="Q52" si="39">F52*G52*N52</f>
        <v>0</v>
      </c>
      <c r="U52" s="9"/>
      <c r="X52" s="15" t="s">
        <v>318</v>
      </c>
    </row>
    <row r="53" spans="1:25" s="15" customFormat="1" x14ac:dyDescent="0.2">
      <c r="D53" s="15" t="s">
        <v>321</v>
      </c>
      <c r="E53" s="44" t="s">
        <v>320</v>
      </c>
      <c r="F53" s="36">
        <v>2500</v>
      </c>
      <c r="G53" s="6">
        <f>0.12*0.2*0.25</f>
        <v>6.0000000000000001E-3</v>
      </c>
      <c r="H53" s="15">
        <v>2.2999999999999998</v>
      </c>
      <c r="I53" s="15">
        <f>10^100</f>
        <v>1E+100</v>
      </c>
      <c r="K53" s="43">
        <v>0.16500000000000001</v>
      </c>
      <c r="L53" s="28">
        <v>1.21E-2</v>
      </c>
      <c r="M53" s="29">
        <v>0</v>
      </c>
      <c r="N53" s="15">
        <f t="shared" ref="N53" si="40">M53*3.66</f>
        <v>0</v>
      </c>
      <c r="O53" s="8">
        <f t="shared" ref="O53" si="41">K53*G53*F53</f>
        <v>2.4750000000000001</v>
      </c>
      <c r="P53" s="8">
        <f t="shared" ref="P53" si="42">F53*G53*L53</f>
        <v>0.18149999999999999</v>
      </c>
      <c r="Q53" s="8">
        <f t="shared" ref="Q53" si="43">F53*G53*N53</f>
        <v>0</v>
      </c>
      <c r="U53" s="9"/>
      <c r="X53" s="15" t="s">
        <v>318</v>
      </c>
    </row>
    <row r="54" spans="1:25" s="17" customFormat="1" ht="17" thickBot="1" x14ac:dyDescent="0.25">
      <c r="A54" s="17" t="s">
        <v>316</v>
      </c>
      <c r="B54" s="17" t="s">
        <v>169</v>
      </c>
      <c r="G54" s="22"/>
      <c r="I54" s="17" cm="1">
        <f t="array" ref="I54">1/SUM(1/I52:I53)</f>
        <v>2</v>
      </c>
      <c r="O54" s="26">
        <f>SUM(O52:O53)</f>
        <v>17.115000000000002</v>
      </c>
      <c r="P54" s="26">
        <f>SUM(P52:P53)</f>
        <v>1.1014999999999999</v>
      </c>
      <c r="Q54" s="26">
        <f>SUM(Q52:Q53)</f>
        <v>0</v>
      </c>
      <c r="S54" s="17" t="s">
        <v>136</v>
      </c>
      <c r="U54" s="24"/>
      <c r="V54" s="17" t="s">
        <v>36</v>
      </c>
      <c r="W54" s="17" t="s">
        <v>319</v>
      </c>
      <c r="X54" s="17" t="s">
        <v>322</v>
      </c>
    </row>
    <row r="55" spans="1:25" ht="17" thickTop="1" x14ac:dyDescent="0.2"/>
    <row r="58" spans="1:25" ht="27" x14ac:dyDescent="0.35">
      <c r="A58" s="63"/>
      <c r="B58" s="61" t="s">
        <v>347</v>
      </c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</row>
    <row r="59" spans="1:25" s="10" customFormat="1" x14ac:dyDescent="0.2">
      <c r="D59" s="10" t="s">
        <v>2</v>
      </c>
      <c r="E59" s="10" t="s">
        <v>3</v>
      </c>
      <c r="F59" s="10" t="s">
        <v>4</v>
      </c>
      <c r="G59" s="21" t="s">
        <v>5</v>
      </c>
      <c r="H59" s="10" t="s">
        <v>6</v>
      </c>
      <c r="I59" s="10" t="s">
        <v>7</v>
      </c>
      <c r="J59" s="10" t="s">
        <v>8</v>
      </c>
      <c r="K59" s="11" t="s">
        <v>9</v>
      </c>
      <c r="L59" s="11" t="s">
        <v>10</v>
      </c>
      <c r="M59" s="11" t="s">
        <v>11</v>
      </c>
      <c r="N59" s="11" t="s">
        <v>12</v>
      </c>
      <c r="O59" s="25" t="s">
        <v>13</v>
      </c>
      <c r="P59" s="25" t="s">
        <v>14</v>
      </c>
      <c r="Q59" s="25" t="s">
        <v>15</v>
      </c>
      <c r="R59" s="11" t="s">
        <v>16</v>
      </c>
      <c r="S59" s="10" t="s">
        <v>17</v>
      </c>
      <c r="T59" s="10" t="s">
        <v>18</v>
      </c>
      <c r="U59" s="23" t="s">
        <v>19</v>
      </c>
      <c r="V59" s="10" t="s">
        <v>20</v>
      </c>
      <c r="W59" s="10" t="s">
        <v>21</v>
      </c>
      <c r="X59" s="10" t="s">
        <v>22</v>
      </c>
      <c r="Y59" s="10" t="s">
        <v>23</v>
      </c>
    </row>
    <row r="60" spans="1:25" s="12" customFormat="1" x14ac:dyDescent="0.2">
      <c r="F60" s="12" t="s">
        <v>24</v>
      </c>
      <c r="G60" s="6" t="s">
        <v>25</v>
      </c>
      <c r="H60" s="12" t="s">
        <v>26</v>
      </c>
      <c r="I60" s="12" t="s">
        <v>27</v>
      </c>
      <c r="K60" s="12" t="s">
        <v>28</v>
      </c>
      <c r="L60" s="12" t="s">
        <v>28</v>
      </c>
      <c r="M60" s="13" t="s">
        <v>29</v>
      </c>
      <c r="N60" s="13" t="s">
        <v>30</v>
      </c>
      <c r="O60" s="8" t="s">
        <v>31</v>
      </c>
      <c r="P60" s="8" t="s">
        <v>31</v>
      </c>
      <c r="Q60" s="8" t="s">
        <v>32</v>
      </c>
      <c r="R60" s="13" t="s">
        <v>31</v>
      </c>
      <c r="S60" s="12" t="s">
        <v>33</v>
      </c>
      <c r="T60" s="12" t="s">
        <v>33</v>
      </c>
      <c r="U60" s="9" t="s">
        <v>34</v>
      </c>
      <c r="V60" s="12" t="s">
        <v>35</v>
      </c>
    </row>
    <row r="61" spans="1:25" s="15" customFormat="1" x14ac:dyDescent="0.2">
      <c r="D61" s="15" t="s">
        <v>41</v>
      </c>
      <c r="E61" s="35">
        <v>4.0019999999999998</v>
      </c>
      <c r="F61" s="15">
        <v>1670</v>
      </c>
      <c r="G61" s="6">
        <v>3.0000000000000001E-3</v>
      </c>
      <c r="H61" s="15">
        <v>0.8</v>
      </c>
      <c r="I61" s="15">
        <v>266.66666670000001</v>
      </c>
      <c r="K61" s="27">
        <v>0.76400000000000001</v>
      </c>
      <c r="L61" s="28">
        <v>1.2999999999999999E-2</v>
      </c>
      <c r="M61" s="29">
        <v>0</v>
      </c>
      <c r="N61" s="15">
        <v>0</v>
      </c>
      <c r="O61" s="8">
        <v>3.8276400000000002</v>
      </c>
      <c r="P61" s="8">
        <v>6.3627000000000003E-2</v>
      </c>
      <c r="Q61" s="8">
        <v>0</v>
      </c>
      <c r="U61" s="9"/>
      <c r="W61" s="15" t="s">
        <v>40</v>
      </c>
    </row>
    <row r="62" spans="1:25" s="15" customFormat="1" x14ac:dyDescent="0.2">
      <c r="D62" s="15" t="s">
        <v>348</v>
      </c>
      <c r="E62" s="44">
        <v>10.005000000000001</v>
      </c>
      <c r="F62" s="36">
        <v>40</v>
      </c>
      <c r="G62" s="6">
        <v>0.24</v>
      </c>
      <c r="H62" s="15">
        <v>3.5999999999999997E-2</v>
      </c>
      <c r="I62" s="15">
        <v>0.15</v>
      </c>
      <c r="K62" s="43">
        <v>4.51</v>
      </c>
      <c r="L62" s="28">
        <v>3.09</v>
      </c>
      <c r="M62" s="29">
        <v>0</v>
      </c>
      <c r="N62" s="15">
        <v>0</v>
      </c>
      <c r="O62" s="8">
        <v>43.295999999999999</v>
      </c>
      <c r="P62" s="8">
        <v>29.664000000000001</v>
      </c>
      <c r="Q62" s="8">
        <v>0</v>
      </c>
      <c r="U62" s="9"/>
      <c r="W62" s="15" t="s">
        <v>39</v>
      </c>
    </row>
    <row r="63" spans="1:25" s="17" customFormat="1" ht="17" thickBot="1" x14ac:dyDescent="0.25">
      <c r="A63" s="17" t="s">
        <v>349</v>
      </c>
      <c r="B63" s="17" t="s">
        <v>199</v>
      </c>
      <c r="G63" s="22"/>
      <c r="I63" s="17">
        <v>0.149915672</v>
      </c>
      <c r="O63" s="26">
        <v>47.123640000000002</v>
      </c>
      <c r="P63" s="26">
        <v>29.727626999999998</v>
      </c>
      <c r="Q63" s="26">
        <v>0</v>
      </c>
      <c r="S63" s="17">
        <v>30</v>
      </c>
      <c r="U63" s="24"/>
      <c r="V63" s="17" t="s">
        <v>36</v>
      </c>
      <c r="W63" s="17" t="s">
        <v>39</v>
      </c>
      <c r="X63" s="17" t="s">
        <v>350</v>
      </c>
    </row>
    <row r="64" spans="1:25" ht="17" thickTop="1" x14ac:dyDescent="0.2"/>
  </sheetData>
  <conditionalFormatting sqref="K6:M6">
    <cfRule type="cellIs" dxfId="282" priority="355" operator="between">
      <formula>0.00000001</formula>
      <formula>1</formula>
    </cfRule>
    <cfRule type="cellIs" dxfId="281" priority="354" operator="between">
      <formula>1</formula>
      <formula>10</formula>
    </cfRule>
    <cfRule type="cellIs" dxfId="280" priority="353" operator="between">
      <formula>10</formula>
      <formula>100</formula>
    </cfRule>
    <cfRule type="cellIs" dxfId="279" priority="352" operator="greaterThan">
      <formula>100</formula>
    </cfRule>
    <cfRule type="cellIs" dxfId="278" priority="351" operator="equal">
      <formula>0</formula>
    </cfRule>
  </conditionalFormatting>
  <conditionalFormatting sqref="K11:M12">
    <cfRule type="cellIs" dxfId="277" priority="330" operator="between">
      <formula>0.00000001</formula>
      <formula>1</formula>
    </cfRule>
    <cfRule type="cellIs" dxfId="276" priority="326" operator="equal">
      <formula>0</formula>
    </cfRule>
    <cfRule type="cellIs" dxfId="275" priority="327" operator="greaterThan">
      <formula>100</formula>
    </cfRule>
    <cfRule type="cellIs" dxfId="274" priority="328" operator="between">
      <formula>10</formula>
      <formula>100</formula>
    </cfRule>
    <cfRule type="cellIs" dxfId="273" priority="329" operator="between">
      <formula>1</formula>
      <formula>10</formula>
    </cfRule>
  </conditionalFormatting>
  <conditionalFormatting sqref="K17:M18">
    <cfRule type="cellIs" dxfId="272" priority="291" operator="equal">
      <formula>0</formula>
    </cfRule>
    <cfRule type="cellIs" dxfId="271" priority="292" operator="greaterThan">
      <formula>100</formula>
    </cfRule>
    <cfRule type="cellIs" dxfId="270" priority="293" operator="between">
      <formula>10</formula>
      <formula>100</formula>
    </cfRule>
    <cfRule type="cellIs" dxfId="269" priority="294" operator="between">
      <formula>1</formula>
      <formula>10</formula>
    </cfRule>
    <cfRule type="cellIs" dxfId="268" priority="295" operator="between">
      <formula>0.00000001</formula>
      <formula>1</formula>
    </cfRule>
  </conditionalFormatting>
  <conditionalFormatting sqref="K23:M24">
    <cfRule type="cellIs" dxfId="267" priority="280" operator="between">
      <formula>0.00000001</formula>
      <formula>1</formula>
    </cfRule>
    <cfRule type="cellIs" dxfId="266" priority="276" operator="equal">
      <formula>0</formula>
    </cfRule>
    <cfRule type="cellIs" dxfId="265" priority="277" operator="greaterThan">
      <formula>100</formula>
    </cfRule>
    <cfRule type="cellIs" dxfId="264" priority="278" operator="between">
      <formula>10</formula>
      <formula>100</formula>
    </cfRule>
    <cfRule type="cellIs" dxfId="263" priority="279" operator="between">
      <formula>1</formula>
      <formula>10</formula>
    </cfRule>
  </conditionalFormatting>
  <conditionalFormatting sqref="K30:M34">
    <cfRule type="cellIs" dxfId="262" priority="236" operator="equal">
      <formula>0</formula>
    </cfRule>
    <cfRule type="cellIs" dxfId="261" priority="237" operator="greaterThan">
      <formula>100</formula>
    </cfRule>
    <cfRule type="cellIs" dxfId="260" priority="238" operator="between">
      <formula>10</formula>
      <formula>100</formula>
    </cfRule>
    <cfRule type="cellIs" dxfId="259" priority="239" operator="between">
      <formula>1</formula>
      <formula>10</formula>
    </cfRule>
    <cfRule type="cellIs" dxfId="258" priority="240" operator="between">
      <formula>0.00000001</formula>
      <formula>1</formula>
    </cfRule>
  </conditionalFormatting>
  <conditionalFormatting sqref="K40:M44">
    <cfRule type="cellIs" dxfId="257" priority="205" operator="between">
      <formula>0.00000001</formula>
      <formula>1</formula>
    </cfRule>
    <cfRule type="cellIs" dxfId="256" priority="204" operator="between">
      <formula>1</formula>
      <formula>10</formula>
    </cfRule>
    <cfRule type="cellIs" dxfId="255" priority="203" operator="between">
      <formula>10</formula>
      <formula>100</formula>
    </cfRule>
    <cfRule type="cellIs" dxfId="254" priority="202" operator="greaterThan">
      <formula>100</formula>
    </cfRule>
    <cfRule type="cellIs" dxfId="253" priority="201" operator="equal">
      <formula>0</formula>
    </cfRule>
  </conditionalFormatting>
  <conditionalFormatting sqref="K52:M53">
    <cfRule type="cellIs" dxfId="252" priority="15" operator="between">
      <formula>0.00000001</formula>
      <formula>1</formula>
    </cfRule>
    <cfRule type="cellIs" dxfId="251" priority="14" operator="between">
      <formula>1</formula>
      <formula>10</formula>
    </cfRule>
    <cfRule type="cellIs" dxfId="250" priority="13" operator="between">
      <formula>10</formula>
      <formula>100</formula>
    </cfRule>
    <cfRule type="cellIs" dxfId="249" priority="12" operator="greaterThan">
      <formula>100</formula>
    </cfRule>
    <cfRule type="cellIs" dxfId="248" priority="11" operator="equal">
      <formula>0</formula>
    </cfRule>
  </conditionalFormatting>
  <conditionalFormatting sqref="Q6">
    <cfRule type="cellIs" dxfId="247" priority="370" operator="between">
      <formula>0.00000001</formula>
      <formula>1</formula>
    </cfRule>
    <cfRule type="cellIs" dxfId="246" priority="369" operator="between">
      <formula>1</formula>
      <formula>10</formula>
    </cfRule>
    <cfRule type="cellIs" dxfId="245" priority="368" operator="between">
      <formula>10</formula>
      <formula>100</formula>
    </cfRule>
    <cfRule type="cellIs" dxfId="244" priority="367" operator="greaterThan">
      <formula>100</formula>
    </cfRule>
    <cfRule type="cellIs" dxfId="243" priority="366" operator="equal">
      <formula>0</formula>
    </cfRule>
  </conditionalFormatting>
  <conditionalFormatting sqref="Q11:Q12">
    <cfRule type="cellIs" dxfId="242" priority="346" operator="equal">
      <formula>0</formula>
    </cfRule>
    <cfRule type="cellIs" dxfId="241" priority="350" operator="between">
      <formula>0.00000001</formula>
      <formula>1</formula>
    </cfRule>
    <cfRule type="cellIs" dxfId="240" priority="349" operator="between">
      <formula>1</formula>
      <formula>10</formula>
    </cfRule>
    <cfRule type="cellIs" dxfId="239" priority="348" operator="between">
      <formula>10</formula>
      <formula>100</formula>
    </cfRule>
    <cfRule type="cellIs" dxfId="238" priority="347" operator="greaterThan">
      <formula>100</formula>
    </cfRule>
  </conditionalFormatting>
  <conditionalFormatting sqref="Q17:Q18">
    <cfRule type="cellIs" dxfId="237" priority="321" operator="equal">
      <formula>0</formula>
    </cfRule>
    <cfRule type="cellIs" dxfId="236" priority="322" operator="greaterThan">
      <formula>100</formula>
    </cfRule>
    <cfRule type="cellIs" dxfId="235" priority="323" operator="between">
      <formula>10</formula>
      <formula>100</formula>
    </cfRule>
    <cfRule type="cellIs" dxfId="234" priority="324" operator="between">
      <formula>1</formula>
      <formula>10</formula>
    </cfRule>
    <cfRule type="cellIs" dxfId="233" priority="325" operator="between">
      <formula>0.00000001</formula>
      <formula>1</formula>
    </cfRule>
  </conditionalFormatting>
  <conditionalFormatting sqref="Q23:Q24">
    <cfRule type="cellIs" dxfId="232" priority="286" operator="equal">
      <formula>0</formula>
    </cfRule>
    <cfRule type="cellIs" dxfId="231" priority="287" operator="greaterThan">
      <formula>100</formula>
    </cfRule>
    <cfRule type="cellIs" dxfId="230" priority="290" operator="between">
      <formula>0.00000001</formula>
      <formula>1</formula>
    </cfRule>
    <cfRule type="cellIs" dxfId="229" priority="289" operator="between">
      <formula>1</formula>
      <formula>10</formula>
    </cfRule>
    <cfRule type="cellIs" dxfId="228" priority="288" operator="between">
      <formula>10</formula>
      <formula>100</formula>
    </cfRule>
  </conditionalFormatting>
  <conditionalFormatting sqref="Q30:Q34">
    <cfRule type="cellIs" dxfId="227" priority="271" operator="equal">
      <formula>0</formula>
    </cfRule>
    <cfRule type="cellIs" dxfId="226" priority="272" operator="greaterThan">
      <formula>100</formula>
    </cfRule>
    <cfRule type="cellIs" dxfId="225" priority="273" operator="between">
      <formula>10</formula>
      <formula>100</formula>
    </cfRule>
    <cfRule type="cellIs" dxfId="224" priority="274" operator="between">
      <formula>1</formula>
      <formula>10</formula>
    </cfRule>
    <cfRule type="cellIs" dxfId="223" priority="275" operator="between">
      <formula>0.00000001</formula>
      <formula>1</formula>
    </cfRule>
  </conditionalFormatting>
  <conditionalFormatting sqref="Q40:Q44">
    <cfRule type="cellIs" dxfId="222" priority="234" operator="between">
      <formula>1</formula>
      <formula>10</formula>
    </cfRule>
    <cfRule type="cellIs" dxfId="221" priority="233" operator="between">
      <formula>10</formula>
      <formula>100</formula>
    </cfRule>
    <cfRule type="cellIs" dxfId="220" priority="231" operator="equal">
      <formula>0</formula>
    </cfRule>
    <cfRule type="cellIs" dxfId="219" priority="235" operator="between">
      <formula>0.00000001</formula>
      <formula>1</formula>
    </cfRule>
    <cfRule type="cellIs" dxfId="218" priority="232" operator="greaterThan">
      <formula>100</formula>
    </cfRule>
  </conditionalFormatting>
  <conditionalFormatting sqref="Q52:Q53">
    <cfRule type="cellIs" dxfId="217" priority="30" operator="between">
      <formula>0.00000001</formula>
      <formula>1</formula>
    </cfRule>
    <cfRule type="cellIs" dxfId="216" priority="29" operator="between">
      <formula>1</formula>
      <formula>10</formula>
    </cfRule>
    <cfRule type="cellIs" dxfId="215" priority="28" operator="between">
      <formula>10</formula>
      <formula>100</formula>
    </cfRule>
    <cfRule type="cellIs" dxfId="214" priority="27" operator="greaterThan">
      <formula>100</formula>
    </cfRule>
    <cfRule type="cellIs" dxfId="213" priority="26" operator="equal">
      <formula>0</formula>
    </cfRule>
  </conditionalFormatting>
  <conditionalFormatting sqref="K61:M62">
    <cfRule type="cellIs" dxfId="5" priority="1" operator="equal">
      <formula>0</formula>
    </cfRule>
    <cfRule type="cellIs" dxfId="6" priority="2" operator="greaterThan">
      <formula>100</formula>
    </cfRule>
    <cfRule type="cellIs" dxfId="7" priority="3" operator="between">
      <formula>10</formula>
      <formula>100</formula>
    </cfRule>
    <cfRule type="cellIs" dxfId="8" priority="4" operator="between">
      <formula>1</formula>
      <formula>10</formula>
    </cfRule>
    <cfRule type="cellIs" dxfId="9" priority="5" operator="between">
      <formula>0.00000001</formula>
      <formula>1</formula>
    </cfRule>
  </conditionalFormatting>
  <conditionalFormatting sqref="Q61:Q62">
    <cfRule type="cellIs" dxfId="0" priority="6" operator="equal">
      <formula>0</formula>
    </cfRule>
    <cfRule type="cellIs" dxfId="1" priority="7" operator="greaterThan">
      <formula>100</formula>
    </cfRule>
    <cfRule type="cellIs" dxfId="2" priority="8" operator="between">
      <formula>10</formula>
      <formula>100</formula>
    </cfRule>
    <cfRule type="cellIs" dxfId="3" priority="9" operator="between">
      <formula>1</formula>
      <formula>10</formula>
    </cfRule>
    <cfRule type="cellIs" dxfId="4" priority="10" operator="between">
      <formula>0.00000001</formula>
      <formula>1</formula>
    </cfRule>
  </conditionalFormatting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991D9-DEE8-F842-B0AA-7A3C0E753101}">
  <dimension ref="A1:Y74"/>
  <sheetViews>
    <sheetView topLeftCell="A59" workbookViewId="0">
      <selection activeCell="W41" sqref="W41"/>
    </sheetView>
  </sheetViews>
  <sheetFormatPr baseColWidth="10" defaultRowHeight="16" x14ac:dyDescent="0.2"/>
  <cols>
    <col min="1" max="1" width="44.83203125" customWidth="1"/>
    <col min="4" max="4" width="35.5" customWidth="1"/>
  </cols>
  <sheetData>
    <row r="1" spans="1:25" s="1" customFormat="1" x14ac:dyDescent="0.2">
      <c r="A1" s="1" t="s">
        <v>0</v>
      </c>
      <c r="B1" s="1" t="s">
        <v>51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52</v>
      </c>
      <c r="J1" s="1" t="s">
        <v>53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4" t="s">
        <v>54</v>
      </c>
      <c r="R1" s="3" t="s">
        <v>16</v>
      </c>
      <c r="S1" s="1" t="s">
        <v>17</v>
      </c>
      <c r="T1" s="1" t="s">
        <v>55</v>
      </c>
      <c r="U1" s="5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3" spans="1:25" s="10" customFormat="1" x14ac:dyDescent="0.2">
      <c r="D3" s="10" t="s">
        <v>2</v>
      </c>
      <c r="E3" s="10" t="s">
        <v>3</v>
      </c>
      <c r="F3" s="10" t="s">
        <v>4</v>
      </c>
      <c r="G3" s="21" t="s">
        <v>5</v>
      </c>
      <c r="H3" s="10" t="s">
        <v>6</v>
      </c>
      <c r="I3" s="10" t="s">
        <v>7</v>
      </c>
      <c r="J3" s="10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25" t="s">
        <v>13</v>
      </c>
      <c r="P3" s="25" t="s">
        <v>14</v>
      </c>
      <c r="Q3" s="25" t="s">
        <v>15</v>
      </c>
      <c r="R3" s="11" t="s">
        <v>16</v>
      </c>
      <c r="S3" s="10" t="s">
        <v>17</v>
      </c>
      <c r="T3" s="10" t="s">
        <v>18</v>
      </c>
      <c r="U3" s="23" t="s">
        <v>19</v>
      </c>
      <c r="V3" s="10" t="s">
        <v>20</v>
      </c>
      <c r="W3" s="10" t="s">
        <v>21</v>
      </c>
      <c r="X3" s="10" t="s">
        <v>22</v>
      </c>
      <c r="Y3" s="10" t="s">
        <v>23</v>
      </c>
    </row>
    <row r="4" spans="1:25" s="12" customFormat="1" x14ac:dyDescent="0.2">
      <c r="F4" s="12" t="s">
        <v>24</v>
      </c>
      <c r="G4" s="6" t="s">
        <v>25</v>
      </c>
      <c r="H4" s="12" t="s">
        <v>26</v>
      </c>
      <c r="I4" s="12" t="s">
        <v>27</v>
      </c>
      <c r="K4" s="12" t="s">
        <v>28</v>
      </c>
      <c r="L4" s="12" t="s">
        <v>28</v>
      </c>
      <c r="M4" s="13" t="s">
        <v>29</v>
      </c>
      <c r="N4" s="13" t="s">
        <v>30</v>
      </c>
      <c r="O4" s="8" t="s">
        <v>31</v>
      </c>
      <c r="P4" s="8" t="s">
        <v>31</v>
      </c>
      <c r="Q4" s="8" t="s">
        <v>32</v>
      </c>
      <c r="R4" s="13" t="s">
        <v>31</v>
      </c>
      <c r="S4" s="12" t="s">
        <v>33</v>
      </c>
      <c r="T4" s="12" t="s">
        <v>33</v>
      </c>
      <c r="U4" s="9" t="s">
        <v>34</v>
      </c>
      <c r="V4" s="12" t="s">
        <v>35</v>
      </c>
    </row>
    <row r="5" spans="1:25" s="15" customFormat="1" x14ac:dyDescent="0.2">
      <c r="D5" s="15" t="s">
        <v>330</v>
      </c>
      <c r="E5" s="20" t="s">
        <v>158</v>
      </c>
      <c r="F5" s="15">
        <v>465</v>
      </c>
      <c r="G5" s="6">
        <v>2.5000000000000001E-2</v>
      </c>
      <c r="I5" s="15">
        <f>10^100</f>
        <v>1E+100</v>
      </c>
      <c r="K5" s="37">
        <v>0.13400000000000001</v>
      </c>
      <c r="L5" s="42">
        <v>3.9E-2</v>
      </c>
      <c r="M5" s="29">
        <v>0.45100000000000001</v>
      </c>
      <c r="N5" s="15">
        <f t="shared" ref="N5:N7" si="0">M5*3.66</f>
        <v>1.65066</v>
      </c>
      <c r="O5" s="8">
        <f t="shared" ref="O5:O7" si="1">K5*G5*F5</f>
        <v>1.5577500000000002</v>
      </c>
      <c r="P5" s="8">
        <f t="shared" ref="P5:P7" si="2">F5*G5*L5</f>
        <v>0.45337499999999997</v>
      </c>
      <c r="Q5" s="8">
        <f t="shared" ref="Q5:Q7" si="3">F5*G5*N5</f>
        <v>19.1889225</v>
      </c>
      <c r="U5" s="9"/>
      <c r="X5" s="15" t="s">
        <v>159</v>
      </c>
    </row>
    <row r="6" spans="1:25" s="15" customFormat="1" x14ac:dyDescent="0.2">
      <c r="D6" s="15" t="s">
        <v>164</v>
      </c>
      <c r="E6" s="20" t="s">
        <v>165</v>
      </c>
      <c r="F6" s="15">
        <v>920</v>
      </c>
      <c r="G6" s="6">
        <v>1.3999999999999999E-4</v>
      </c>
      <c r="I6" s="15">
        <f>10^100</f>
        <v>1E+100</v>
      </c>
      <c r="K6" s="27">
        <v>2.75</v>
      </c>
      <c r="L6" s="19">
        <v>2.67</v>
      </c>
      <c r="M6" s="29">
        <v>0</v>
      </c>
      <c r="N6" s="15">
        <f t="shared" si="0"/>
        <v>0</v>
      </c>
      <c r="O6" s="8">
        <f t="shared" si="1"/>
        <v>0.35419999999999996</v>
      </c>
      <c r="P6" s="8">
        <f t="shared" si="2"/>
        <v>0.34389599999999998</v>
      </c>
      <c r="Q6" s="8">
        <f t="shared" si="3"/>
        <v>0</v>
      </c>
      <c r="U6" s="9"/>
      <c r="X6" s="15" t="s">
        <v>166</v>
      </c>
    </row>
    <row r="7" spans="1:25" s="15" customFormat="1" x14ac:dyDescent="0.2">
      <c r="D7" s="15" t="s">
        <v>323</v>
      </c>
      <c r="E7" s="20" t="s">
        <v>162</v>
      </c>
      <c r="F7" s="15">
        <v>605</v>
      </c>
      <c r="G7" s="6">
        <v>1.4999999999999999E-2</v>
      </c>
      <c r="H7" s="15">
        <v>0.12</v>
      </c>
      <c r="I7" s="15">
        <f>H7/G7</f>
        <v>8</v>
      </c>
      <c r="K7" s="37">
        <v>0.48299999999999998</v>
      </c>
      <c r="L7" s="45">
        <v>7.9799999999999996E-2</v>
      </c>
      <c r="M7" s="29">
        <v>0.44400000000000001</v>
      </c>
      <c r="N7" s="15">
        <f t="shared" si="0"/>
        <v>1.62504</v>
      </c>
      <c r="O7" s="8">
        <f t="shared" si="1"/>
        <v>4.3832249999999995</v>
      </c>
      <c r="P7" s="8">
        <f t="shared" si="2"/>
        <v>0.72418499999999986</v>
      </c>
      <c r="Q7" s="8">
        <f t="shared" si="3"/>
        <v>14.747237999999999</v>
      </c>
      <c r="U7" s="9"/>
    </row>
    <row r="8" spans="1:25" s="17" customFormat="1" ht="17" thickBot="1" x14ac:dyDescent="0.25">
      <c r="A8" s="17" t="s">
        <v>329</v>
      </c>
      <c r="B8" s="17" t="s">
        <v>169</v>
      </c>
      <c r="G8" s="22"/>
      <c r="I8" s="17">
        <f>I7</f>
        <v>8</v>
      </c>
      <c r="O8" s="26">
        <f>SUM(O5:O7)</f>
        <v>6.2951749999999995</v>
      </c>
      <c r="P8" s="26">
        <f t="shared" ref="P8:Q8" si="4">SUM(P5:P7)</f>
        <v>1.5214559999999997</v>
      </c>
      <c r="Q8" s="26">
        <f t="shared" si="4"/>
        <v>33.9361605</v>
      </c>
      <c r="S8" s="17" t="s">
        <v>136</v>
      </c>
      <c r="T8" s="17">
        <v>80</v>
      </c>
      <c r="U8" s="24"/>
      <c r="V8" s="17" t="s">
        <v>36</v>
      </c>
      <c r="W8" s="17" t="s">
        <v>157</v>
      </c>
      <c r="Y8" s="17" t="s">
        <v>76</v>
      </c>
    </row>
    <row r="9" spans="1:25" ht="17" thickTop="1" x14ac:dyDescent="0.2"/>
    <row r="10" spans="1:25" s="10" customFormat="1" x14ac:dyDescent="0.2">
      <c r="D10" s="10" t="s">
        <v>2</v>
      </c>
      <c r="E10" s="10" t="s">
        <v>3</v>
      </c>
      <c r="F10" s="10" t="s">
        <v>4</v>
      </c>
      <c r="G10" s="21" t="s">
        <v>5</v>
      </c>
      <c r="H10" s="10" t="s">
        <v>6</v>
      </c>
      <c r="I10" s="10" t="s">
        <v>7</v>
      </c>
      <c r="J10" s="10" t="s">
        <v>8</v>
      </c>
      <c r="K10" s="11" t="s">
        <v>9</v>
      </c>
      <c r="L10" s="11" t="s">
        <v>10</v>
      </c>
      <c r="M10" s="11" t="s">
        <v>11</v>
      </c>
      <c r="N10" s="11" t="s">
        <v>12</v>
      </c>
      <c r="O10" s="25" t="s">
        <v>13</v>
      </c>
      <c r="P10" s="25" t="s">
        <v>14</v>
      </c>
      <c r="Q10" s="25" t="s">
        <v>15</v>
      </c>
      <c r="R10" s="11" t="s">
        <v>16</v>
      </c>
      <c r="S10" s="10" t="s">
        <v>17</v>
      </c>
      <c r="T10" s="10" t="s">
        <v>18</v>
      </c>
      <c r="U10" s="23" t="s">
        <v>19</v>
      </c>
      <c r="V10" s="10" t="s">
        <v>20</v>
      </c>
      <c r="W10" s="10" t="s">
        <v>21</v>
      </c>
      <c r="X10" s="10" t="s">
        <v>22</v>
      </c>
      <c r="Y10" s="10" t="s">
        <v>23</v>
      </c>
    </row>
    <row r="11" spans="1:25" s="12" customFormat="1" x14ac:dyDescent="0.2">
      <c r="F11" s="12" t="s">
        <v>24</v>
      </c>
      <c r="G11" s="6" t="s">
        <v>25</v>
      </c>
      <c r="H11" s="12" t="s">
        <v>26</v>
      </c>
      <c r="I11" s="12" t="s">
        <v>27</v>
      </c>
      <c r="K11" s="12" t="s">
        <v>28</v>
      </c>
      <c r="L11" s="12" t="s">
        <v>28</v>
      </c>
      <c r="M11" s="13" t="s">
        <v>29</v>
      </c>
      <c r="N11" s="13" t="s">
        <v>30</v>
      </c>
      <c r="O11" s="8" t="s">
        <v>31</v>
      </c>
      <c r="P11" s="8" t="s">
        <v>31</v>
      </c>
      <c r="Q11" s="8" t="s">
        <v>32</v>
      </c>
      <c r="R11" s="13" t="s">
        <v>31</v>
      </c>
      <c r="S11" s="12" t="s">
        <v>33</v>
      </c>
      <c r="T11" s="12" t="s">
        <v>33</v>
      </c>
      <c r="U11" s="9" t="s">
        <v>34</v>
      </c>
      <c r="V11" s="12" t="s">
        <v>35</v>
      </c>
    </row>
    <row r="12" spans="1:25" s="15" customFormat="1" x14ac:dyDescent="0.2">
      <c r="D12" s="15" t="s">
        <v>282</v>
      </c>
      <c r="E12" s="20" t="s">
        <v>158</v>
      </c>
      <c r="F12" s="15">
        <v>465</v>
      </c>
      <c r="G12" s="6">
        <v>3.9800000000000002E-2</v>
      </c>
      <c r="I12" s="15">
        <f>10^100</f>
        <v>1E+100</v>
      </c>
      <c r="K12" s="37">
        <v>0.13400000000000001</v>
      </c>
      <c r="L12" s="42">
        <v>3.9E-2</v>
      </c>
      <c r="M12" s="29">
        <v>0.45100000000000001</v>
      </c>
      <c r="N12" s="15">
        <f t="shared" ref="N12:N14" si="5">M12*3.66</f>
        <v>1.65066</v>
      </c>
      <c r="O12" s="8">
        <f t="shared" ref="O12:O14" si="6">K12*G12*F12</f>
        <v>2.4799380000000002</v>
      </c>
      <c r="P12" s="8">
        <f t="shared" ref="P12:P14" si="7">F12*G12*L12</f>
        <v>0.72177300000000011</v>
      </c>
      <c r="Q12" s="8">
        <f t="shared" ref="Q12:Q14" si="8">F12*G12*N12</f>
        <v>30.548764620000004</v>
      </c>
      <c r="U12" s="9"/>
      <c r="X12" s="15" t="s">
        <v>159</v>
      </c>
    </row>
    <row r="13" spans="1:25" s="15" customFormat="1" x14ac:dyDescent="0.2">
      <c r="D13" s="15" t="s">
        <v>164</v>
      </c>
      <c r="E13" s="20" t="s">
        <v>165</v>
      </c>
      <c r="F13" s="15">
        <v>920</v>
      </c>
      <c r="G13" s="6">
        <v>1.3999999999999999E-4</v>
      </c>
      <c r="I13" s="15">
        <f>10^100</f>
        <v>1E+100</v>
      </c>
      <c r="K13" s="27">
        <v>2.75</v>
      </c>
      <c r="L13" s="19">
        <v>2.67</v>
      </c>
      <c r="M13" s="29">
        <v>0</v>
      </c>
      <c r="N13" s="15">
        <f t="shared" si="5"/>
        <v>0</v>
      </c>
      <c r="O13" s="8">
        <f t="shared" si="6"/>
        <v>0.35419999999999996</v>
      </c>
      <c r="P13" s="8">
        <f t="shared" si="7"/>
        <v>0.34389599999999998</v>
      </c>
      <c r="Q13" s="8">
        <f t="shared" si="8"/>
        <v>0</v>
      </c>
      <c r="U13" s="9"/>
      <c r="X13" s="15" t="s">
        <v>166</v>
      </c>
    </row>
    <row r="14" spans="1:25" s="15" customFormat="1" x14ac:dyDescent="0.2">
      <c r="D14" s="15" t="s">
        <v>323</v>
      </c>
      <c r="E14" s="20" t="s">
        <v>162</v>
      </c>
      <c r="F14" s="15">
        <v>605</v>
      </c>
      <c r="G14" s="6">
        <v>1.4999999999999999E-2</v>
      </c>
      <c r="H14" s="15">
        <v>0.12</v>
      </c>
      <c r="I14" s="15">
        <f>H14/G14</f>
        <v>8</v>
      </c>
      <c r="K14" s="37">
        <v>0.48299999999999998</v>
      </c>
      <c r="L14" s="45">
        <v>7.9799999999999996E-2</v>
      </c>
      <c r="M14" s="29">
        <v>0.44400000000000001</v>
      </c>
      <c r="N14" s="15">
        <f t="shared" si="5"/>
        <v>1.62504</v>
      </c>
      <c r="O14" s="8">
        <f t="shared" si="6"/>
        <v>4.3832249999999995</v>
      </c>
      <c r="P14" s="8">
        <f t="shared" si="7"/>
        <v>0.72418499999999986</v>
      </c>
      <c r="Q14" s="8">
        <f t="shared" si="8"/>
        <v>14.747237999999999</v>
      </c>
      <c r="U14" s="9"/>
    </row>
    <row r="15" spans="1:25" s="17" customFormat="1" ht="17" thickBot="1" x14ac:dyDescent="0.25">
      <c r="A15" s="17" t="s">
        <v>160</v>
      </c>
      <c r="B15" s="17" t="s">
        <v>169</v>
      </c>
      <c r="G15" s="22"/>
      <c r="I15" s="17">
        <f>I14</f>
        <v>8</v>
      </c>
      <c r="O15" s="26">
        <f>SUM(O12:O14)</f>
        <v>7.2173629999999998</v>
      </c>
      <c r="P15" s="26">
        <f t="shared" ref="P15:Q15" si="9">SUM(P12:P14)</f>
        <v>1.7898540000000001</v>
      </c>
      <c r="Q15" s="26">
        <f t="shared" si="9"/>
        <v>45.296002620000003</v>
      </c>
      <c r="S15" s="17" t="s">
        <v>136</v>
      </c>
      <c r="T15" s="17">
        <v>80</v>
      </c>
      <c r="U15" s="24"/>
      <c r="V15" s="17" t="s">
        <v>36</v>
      </c>
      <c r="W15" s="17" t="s">
        <v>157</v>
      </c>
      <c r="Y15" s="17" t="s">
        <v>76</v>
      </c>
    </row>
    <row r="16" spans="1:25" ht="17" thickTop="1" x14ac:dyDescent="0.2"/>
    <row r="18" spans="1:25" s="10" customFormat="1" x14ac:dyDescent="0.2">
      <c r="D18" s="10" t="s">
        <v>2</v>
      </c>
      <c r="E18" s="10" t="s">
        <v>3</v>
      </c>
      <c r="F18" s="10" t="s">
        <v>4</v>
      </c>
      <c r="G18" s="21" t="s">
        <v>5</v>
      </c>
      <c r="H18" s="10" t="s">
        <v>6</v>
      </c>
      <c r="I18" s="10" t="s">
        <v>7</v>
      </c>
      <c r="J18" s="10" t="s">
        <v>8</v>
      </c>
      <c r="K18" s="11" t="s">
        <v>9</v>
      </c>
      <c r="L18" s="11" t="s">
        <v>10</v>
      </c>
      <c r="M18" s="11" t="s">
        <v>11</v>
      </c>
      <c r="N18" s="11" t="s">
        <v>12</v>
      </c>
      <c r="O18" s="25" t="s">
        <v>13</v>
      </c>
      <c r="P18" s="25" t="s">
        <v>14</v>
      </c>
      <c r="Q18" s="25" t="s">
        <v>15</v>
      </c>
      <c r="R18" s="11" t="s">
        <v>16</v>
      </c>
      <c r="S18" s="10" t="s">
        <v>17</v>
      </c>
      <c r="T18" s="10" t="s">
        <v>18</v>
      </c>
      <c r="U18" s="23" t="s">
        <v>19</v>
      </c>
      <c r="V18" s="10" t="s">
        <v>20</v>
      </c>
      <c r="W18" s="10" t="s">
        <v>21</v>
      </c>
      <c r="X18" s="10" t="s">
        <v>22</v>
      </c>
      <c r="Y18" s="10" t="s">
        <v>23</v>
      </c>
    </row>
    <row r="19" spans="1:25" s="12" customFormat="1" x14ac:dyDescent="0.2">
      <c r="F19" s="12" t="s">
        <v>24</v>
      </c>
      <c r="G19" s="6" t="s">
        <v>25</v>
      </c>
      <c r="H19" s="12" t="s">
        <v>26</v>
      </c>
      <c r="I19" s="12" t="s">
        <v>27</v>
      </c>
      <c r="K19" s="12" t="s">
        <v>28</v>
      </c>
      <c r="L19" s="12" t="s">
        <v>28</v>
      </c>
      <c r="M19" s="13" t="s">
        <v>29</v>
      </c>
      <c r="N19" s="13" t="s">
        <v>30</v>
      </c>
      <c r="O19" s="8" t="s">
        <v>31</v>
      </c>
      <c r="P19" s="8" t="s">
        <v>31</v>
      </c>
      <c r="Q19" s="8" t="s">
        <v>32</v>
      </c>
      <c r="R19" s="13" t="s">
        <v>31</v>
      </c>
      <c r="S19" s="12" t="s">
        <v>33</v>
      </c>
      <c r="T19" s="12" t="s">
        <v>33</v>
      </c>
      <c r="U19" s="9" t="s">
        <v>34</v>
      </c>
      <c r="V19" s="12" t="s">
        <v>35</v>
      </c>
    </row>
    <row r="20" spans="1:25" s="15" customFormat="1" x14ac:dyDescent="0.2">
      <c r="D20" s="15" t="s">
        <v>140</v>
      </c>
      <c r="E20" s="20" t="s">
        <v>139</v>
      </c>
      <c r="F20" s="15">
        <v>2000</v>
      </c>
      <c r="G20" s="6">
        <v>0.06</v>
      </c>
      <c r="H20" s="15">
        <v>0.8</v>
      </c>
      <c r="I20" s="15">
        <f>H20/G20</f>
        <v>13.333333333333334</v>
      </c>
      <c r="K20" s="43">
        <v>7.8399999999999997E-2</v>
      </c>
      <c r="L20" s="42">
        <v>1.2699999999999999E-2</v>
      </c>
      <c r="M20" s="29">
        <v>0</v>
      </c>
      <c r="N20" s="15">
        <f t="shared" ref="N20:N22" si="10">M20*3.66</f>
        <v>0</v>
      </c>
      <c r="O20" s="8">
        <f t="shared" ref="O20:O22" si="11">K20*G20*F20</f>
        <v>9.4079999999999995</v>
      </c>
      <c r="P20" s="8">
        <f t="shared" ref="P20:P22" si="12">F20*G20*L20</f>
        <v>1.524</v>
      </c>
      <c r="Q20" s="8">
        <f t="shared" ref="Q20:Q27" si="13">F20*G20*N20</f>
        <v>0</v>
      </c>
      <c r="U20" s="9"/>
    </row>
    <row r="21" spans="1:25" s="15" customFormat="1" x14ac:dyDescent="0.2">
      <c r="D21" s="15" t="s">
        <v>141</v>
      </c>
      <c r="E21" s="20" t="s">
        <v>142</v>
      </c>
      <c r="F21" s="15">
        <v>920</v>
      </c>
      <c r="G21" s="6">
        <v>1E-4</v>
      </c>
      <c r="I21" s="15">
        <f>10^100</f>
        <v>1E+100</v>
      </c>
      <c r="K21" s="27">
        <v>2.75</v>
      </c>
      <c r="L21" s="19">
        <v>2.67</v>
      </c>
      <c r="M21" s="29">
        <v>0</v>
      </c>
      <c r="N21" s="15">
        <f t="shared" si="10"/>
        <v>0</v>
      </c>
      <c r="O21" s="8">
        <f t="shared" si="11"/>
        <v>0.253</v>
      </c>
      <c r="P21" s="8">
        <f t="shared" si="12"/>
        <v>0.24564</v>
      </c>
      <c r="Q21" s="8">
        <f t="shared" si="13"/>
        <v>0</v>
      </c>
      <c r="U21" s="9"/>
    </row>
    <row r="22" spans="1:25" s="15" customFormat="1" x14ac:dyDescent="0.2">
      <c r="D22" s="15" t="s">
        <v>143</v>
      </c>
      <c r="E22" s="47" t="s">
        <v>144</v>
      </c>
      <c r="F22" s="15">
        <v>100</v>
      </c>
      <c r="G22" s="6">
        <v>0.02</v>
      </c>
      <c r="H22" s="15">
        <v>0.04</v>
      </c>
      <c r="I22" s="15">
        <f>H22/G22</f>
        <v>2</v>
      </c>
      <c r="K22" s="48">
        <v>1.04</v>
      </c>
      <c r="L22" s="49">
        <v>5.9200000000000003E-2</v>
      </c>
      <c r="M22" s="49">
        <v>0</v>
      </c>
      <c r="N22" s="15">
        <f t="shared" si="10"/>
        <v>0</v>
      </c>
      <c r="O22" s="8">
        <f t="shared" si="11"/>
        <v>2.08</v>
      </c>
      <c r="P22" s="8">
        <f t="shared" si="12"/>
        <v>0.11840000000000001</v>
      </c>
      <c r="Q22" s="8">
        <f t="shared" si="13"/>
        <v>0</v>
      </c>
      <c r="U22" s="9"/>
    </row>
    <row r="23" spans="1:25" s="15" customFormat="1" x14ac:dyDescent="0.2">
      <c r="D23" s="15" t="s">
        <v>205</v>
      </c>
      <c r="E23" s="20" t="s">
        <v>206</v>
      </c>
      <c r="F23" s="15">
        <v>453</v>
      </c>
      <c r="G23" s="6">
        <v>2.1000000000000001E-2</v>
      </c>
      <c r="H23" s="15">
        <v>0.15</v>
      </c>
      <c r="I23" s="15">
        <f>H23/G23</f>
        <v>7.1428571428571423</v>
      </c>
      <c r="K23" s="45">
        <v>0.41399999999999998</v>
      </c>
      <c r="L23" s="45">
        <v>5.5300000000000002E-2</v>
      </c>
      <c r="M23" s="29">
        <v>0.433</v>
      </c>
      <c r="N23" s="15">
        <f>M23*3.66</f>
        <v>1.5847800000000001</v>
      </c>
      <c r="O23" s="8">
        <f>K23*G23*F23</f>
        <v>3.9383820000000003</v>
      </c>
      <c r="P23" s="8">
        <f>F23*G23*L23</f>
        <v>0.52606890000000006</v>
      </c>
      <c r="Q23" s="8">
        <f t="shared" si="13"/>
        <v>15.076012140000001</v>
      </c>
      <c r="U23" s="9"/>
    </row>
    <row r="24" spans="1:25" s="15" customFormat="1" x14ac:dyDescent="0.2">
      <c r="D24" s="15" t="s">
        <v>295</v>
      </c>
      <c r="E24" s="62" t="s">
        <v>286</v>
      </c>
      <c r="F24" s="15">
        <v>439</v>
      </c>
      <c r="G24" s="6">
        <v>3.6900000000000002E-2</v>
      </c>
      <c r="I24" s="15">
        <f>10^100</f>
        <v>1E+100</v>
      </c>
      <c r="K24" s="45">
        <v>0.29299999999999998</v>
      </c>
      <c r="L24" s="45">
        <v>4.9200000000000001E-2</v>
      </c>
      <c r="M24" s="29">
        <v>0.44600000000000001</v>
      </c>
      <c r="N24" s="15">
        <f>M24*3.66</f>
        <v>1.63236</v>
      </c>
      <c r="O24" s="8">
        <f>K24*G24*F24</f>
        <v>4.7463363000000003</v>
      </c>
      <c r="P24" s="8">
        <f>F24*G24*L24</f>
        <v>0.79699572000000007</v>
      </c>
      <c r="Q24" s="8">
        <f>F24*G24*N24</f>
        <v>26.442762876000003</v>
      </c>
      <c r="U24" s="9"/>
    </row>
    <row r="25" spans="1:25" s="15" customFormat="1" x14ac:dyDescent="0.2">
      <c r="D25" s="15" t="s">
        <v>212</v>
      </c>
      <c r="E25" s="20" t="s">
        <v>144</v>
      </c>
      <c r="F25" s="15">
        <v>30</v>
      </c>
      <c r="G25" s="6">
        <v>0.08</v>
      </c>
      <c r="H25" s="15">
        <v>0.04</v>
      </c>
      <c r="I25" s="15">
        <f>H25/G25</f>
        <v>0.5</v>
      </c>
      <c r="K25" s="37">
        <v>1.04</v>
      </c>
      <c r="L25" s="42">
        <v>5.9200000000000003E-2</v>
      </c>
      <c r="M25" s="29">
        <v>0</v>
      </c>
      <c r="N25" s="15">
        <f>M25*3.66</f>
        <v>0</v>
      </c>
      <c r="O25" s="8">
        <f>K25*G25*F25</f>
        <v>2.4960000000000004</v>
      </c>
      <c r="P25" s="8">
        <f>F25*G25*L25</f>
        <v>0.14208000000000001</v>
      </c>
      <c r="Q25" s="8">
        <f>F25*G25*N25</f>
        <v>0</v>
      </c>
      <c r="U25" s="9"/>
    </row>
    <row r="26" spans="1:25" s="15" customFormat="1" x14ac:dyDescent="0.2">
      <c r="D26" s="15" t="s">
        <v>289</v>
      </c>
      <c r="E26" s="20" t="s">
        <v>158</v>
      </c>
      <c r="F26" s="15">
        <v>465</v>
      </c>
      <c r="G26" s="6">
        <f>0.03*0.06*(1/0.65)</f>
        <v>2.7692307692307691E-3</v>
      </c>
      <c r="I26" s="15">
        <f>10^100</f>
        <v>1E+100</v>
      </c>
      <c r="K26" s="37">
        <v>0.13400000000000001</v>
      </c>
      <c r="L26" s="42">
        <v>3.9E-2</v>
      </c>
      <c r="M26" s="29">
        <v>0.45100000000000001</v>
      </c>
      <c r="N26" s="15">
        <f>M26*3.66</f>
        <v>1.65066</v>
      </c>
      <c r="O26" s="8">
        <f>K26*G26*F26</f>
        <v>0.17255076923076923</v>
      </c>
      <c r="P26" s="8">
        <f>F26*G26*L26</f>
        <v>5.0220000000000001E-2</v>
      </c>
      <c r="Q26" s="8">
        <f>F26*G26*N26</f>
        <v>2.1255421846153846</v>
      </c>
      <c r="U26" s="9"/>
      <c r="X26" s="15" t="s">
        <v>290</v>
      </c>
    </row>
    <row r="27" spans="1:25" s="15" customFormat="1" x14ac:dyDescent="0.2">
      <c r="D27" s="15" t="s">
        <v>202</v>
      </c>
      <c r="E27" s="20" t="s">
        <v>203</v>
      </c>
      <c r="F27" s="15">
        <v>1200</v>
      </c>
      <c r="G27" s="6">
        <v>1.4999999999999999E-2</v>
      </c>
      <c r="H27" s="15">
        <v>0.32</v>
      </c>
      <c r="I27" s="15">
        <f>H27/G27</f>
        <v>21.333333333333336</v>
      </c>
      <c r="K27" s="51">
        <v>0.53300000000000003</v>
      </c>
      <c r="L27" s="52">
        <v>1.8599999999999998E-2</v>
      </c>
      <c r="M27" s="53">
        <v>0</v>
      </c>
      <c r="N27" s="15">
        <f>M27*3.66</f>
        <v>0</v>
      </c>
      <c r="O27" s="8">
        <f>K27*G27*F27</f>
        <v>9.5940000000000012</v>
      </c>
      <c r="P27" s="8">
        <f>F27*G27*L27</f>
        <v>0.33479999999999999</v>
      </c>
      <c r="Q27" s="8">
        <f t="shared" si="13"/>
        <v>0</v>
      </c>
      <c r="U27" s="9"/>
    </row>
    <row r="28" spans="1:25" s="17" customFormat="1" ht="17" thickBot="1" x14ac:dyDescent="0.25">
      <c r="A28" s="17" t="s">
        <v>167</v>
      </c>
      <c r="B28" s="17" t="s">
        <v>172</v>
      </c>
      <c r="G28" s="22"/>
      <c r="I28" s="17" cm="1">
        <f t="array" ref="I28">1/SUM(1/I20:I27)</f>
        <v>0.36207286716451687</v>
      </c>
      <c r="O28" s="26">
        <f>SUM(O20:O27)</f>
        <v>32.68826906923077</v>
      </c>
      <c r="P28" s="26">
        <f t="shared" ref="P28:Q28" si="14">SUM(P20:P27)</f>
        <v>3.7382046200000003</v>
      </c>
      <c r="Q28" s="26">
        <f t="shared" si="14"/>
        <v>43.64431720061539</v>
      </c>
      <c r="S28" s="17" t="s">
        <v>136</v>
      </c>
      <c r="T28" s="17">
        <v>80</v>
      </c>
      <c r="U28" s="24"/>
      <c r="V28" s="17" t="s">
        <v>36</v>
      </c>
      <c r="W28" s="17" t="s">
        <v>218</v>
      </c>
      <c r="Y28" s="17" t="s">
        <v>76</v>
      </c>
    </row>
    <row r="29" spans="1:25" ht="17" thickTop="1" x14ac:dyDescent="0.2"/>
    <row r="31" spans="1:25" s="10" customFormat="1" x14ac:dyDescent="0.2">
      <c r="D31" s="10" t="s">
        <v>2</v>
      </c>
      <c r="E31" s="10" t="s">
        <v>3</v>
      </c>
      <c r="F31" s="10" t="s">
        <v>4</v>
      </c>
      <c r="G31" s="21" t="s">
        <v>5</v>
      </c>
      <c r="H31" s="10" t="s">
        <v>6</v>
      </c>
      <c r="I31" s="10" t="s">
        <v>7</v>
      </c>
      <c r="J31" s="10" t="s">
        <v>8</v>
      </c>
      <c r="K31" s="11" t="s">
        <v>9</v>
      </c>
      <c r="L31" s="11" t="s">
        <v>10</v>
      </c>
      <c r="M31" s="11" t="s">
        <v>11</v>
      </c>
      <c r="N31" s="11" t="s">
        <v>12</v>
      </c>
      <c r="O31" s="25" t="s">
        <v>13</v>
      </c>
      <c r="P31" s="25" t="s">
        <v>14</v>
      </c>
      <c r="Q31" s="25" t="s">
        <v>15</v>
      </c>
      <c r="R31" s="11" t="s">
        <v>16</v>
      </c>
      <c r="S31" s="10" t="s">
        <v>17</v>
      </c>
      <c r="T31" s="10" t="s">
        <v>18</v>
      </c>
      <c r="U31" s="23" t="s">
        <v>19</v>
      </c>
      <c r="V31" s="10" t="s">
        <v>20</v>
      </c>
      <c r="W31" s="10" t="s">
        <v>21</v>
      </c>
      <c r="X31" s="10" t="s">
        <v>22</v>
      </c>
      <c r="Y31" s="10" t="s">
        <v>23</v>
      </c>
    </row>
    <row r="32" spans="1:25" s="12" customFormat="1" x14ac:dyDescent="0.2">
      <c r="F32" s="12" t="s">
        <v>24</v>
      </c>
      <c r="G32" s="6" t="s">
        <v>25</v>
      </c>
      <c r="H32" s="12" t="s">
        <v>26</v>
      </c>
      <c r="I32" s="12" t="s">
        <v>27</v>
      </c>
      <c r="K32" s="12" t="s">
        <v>28</v>
      </c>
      <c r="L32" s="12" t="s">
        <v>28</v>
      </c>
      <c r="M32" s="13" t="s">
        <v>29</v>
      </c>
      <c r="N32" s="13" t="s">
        <v>30</v>
      </c>
      <c r="O32" s="8" t="s">
        <v>31</v>
      </c>
      <c r="P32" s="8" t="s">
        <v>31</v>
      </c>
      <c r="Q32" s="8" t="s">
        <v>32</v>
      </c>
      <c r="R32" s="13" t="s">
        <v>31</v>
      </c>
      <c r="S32" s="12" t="s">
        <v>33</v>
      </c>
      <c r="T32" s="12" t="s">
        <v>33</v>
      </c>
      <c r="U32" s="9" t="s">
        <v>34</v>
      </c>
      <c r="V32" s="12" t="s">
        <v>35</v>
      </c>
    </row>
    <row r="33" spans="1:25" s="15" customFormat="1" x14ac:dyDescent="0.2">
      <c r="D33" s="15" t="s">
        <v>207</v>
      </c>
      <c r="E33" s="39">
        <v>3.02</v>
      </c>
      <c r="F33" s="15">
        <v>2000</v>
      </c>
      <c r="G33" s="6">
        <v>0.06</v>
      </c>
      <c r="H33" s="15">
        <v>0.8</v>
      </c>
      <c r="I33" s="15">
        <f>H33/G33</f>
        <v>13.333333333333334</v>
      </c>
      <c r="K33" s="27">
        <v>1.83E-2</v>
      </c>
      <c r="L33" s="28">
        <v>1.15E-3</v>
      </c>
      <c r="M33" s="29">
        <v>0</v>
      </c>
      <c r="N33" s="15">
        <f t="shared" ref="N33:N35" si="15">M33*3.66</f>
        <v>0</v>
      </c>
      <c r="O33" s="8">
        <f t="shared" ref="O33:O35" si="16">K33*G33*F33</f>
        <v>2.1960000000000002</v>
      </c>
      <c r="P33" s="8">
        <f t="shared" ref="P33:P35" si="17">F33*G33*L33</f>
        <v>0.13800000000000001</v>
      </c>
      <c r="Q33" s="8">
        <f t="shared" ref="Q33:Q37" si="18">F33*G33*N33</f>
        <v>0</v>
      </c>
      <c r="U33" s="9"/>
    </row>
    <row r="34" spans="1:25" s="15" customFormat="1" x14ac:dyDescent="0.2">
      <c r="D34" s="15" t="s">
        <v>141</v>
      </c>
      <c r="E34" s="20" t="s">
        <v>142</v>
      </c>
      <c r="F34" s="15">
        <v>920</v>
      </c>
      <c r="G34" s="6">
        <v>1E-4</v>
      </c>
      <c r="I34" s="15">
        <f>10^100</f>
        <v>1E+100</v>
      </c>
      <c r="K34" s="27">
        <v>2.75</v>
      </c>
      <c r="L34" s="19">
        <v>2.67</v>
      </c>
      <c r="M34" s="29">
        <v>0</v>
      </c>
      <c r="N34" s="15">
        <f t="shared" si="15"/>
        <v>0</v>
      </c>
      <c r="O34" s="8">
        <f t="shared" si="16"/>
        <v>0.253</v>
      </c>
      <c r="P34" s="8">
        <f t="shared" si="17"/>
        <v>0.24564</v>
      </c>
      <c r="Q34" s="8">
        <f t="shared" si="18"/>
        <v>0</v>
      </c>
      <c r="U34" s="9"/>
    </row>
    <row r="35" spans="1:25" s="15" customFormat="1" x14ac:dyDescent="0.2">
      <c r="D35" s="15" t="s">
        <v>209</v>
      </c>
      <c r="E35" s="20" t="s">
        <v>208</v>
      </c>
      <c r="F35" s="15">
        <v>120</v>
      </c>
      <c r="G35" s="6">
        <v>0.02</v>
      </c>
      <c r="H35" s="15">
        <v>0.04</v>
      </c>
      <c r="I35" s="15">
        <f>H35/G35</f>
        <v>2</v>
      </c>
      <c r="K35" s="27">
        <v>1.07</v>
      </c>
      <c r="L35" s="45">
        <v>3.8699999999999998E-2</v>
      </c>
      <c r="M35" s="45">
        <v>0.496</v>
      </c>
      <c r="N35" s="15">
        <f t="shared" si="15"/>
        <v>1.8153600000000001</v>
      </c>
      <c r="O35" s="8">
        <f t="shared" si="16"/>
        <v>2.5680000000000005</v>
      </c>
      <c r="P35" s="8">
        <f t="shared" si="17"/>
        <v>9.287999999999999E-2</v>
      </c>
      <c r="Q35" s="8">
        <f t="shared" si="18"/>
        <v>4.3568639999999998</v>
      </c>
      <c r="U35" s="9"/>
    </row>
    <row r="36" spans="1:25" s="15" customFormat="1" x14ac:dyDescent="0.2">
      <c r="D36" s="15" t="s">
        <v>296</v>
      </c>
      <c r="E36" s="20" t="s">
        <v>158</v>
      </c>
      <c r="F36" s="15">
        <v>465</v>
      </c>
      <c r="G36" s="6">
        <v>0.02</v>
      </c>
      <c r="H36" s="15">
        <v>0.15</v>
      </c>
      <c r="I36" s="15">
        <f>H36/G36</f>
        <v>7.5</v>
      </c>
      <c r="K36" s="37">
        <v>0.13400000000000001</v>
      </c>
      <c r="L36" s="42">
        <v>3.9E-2</v>
      </c>
      <c r="M36" s="29">
        <v>0.45100000000000001</v>
      </c>
      <c r="N36" s="15">
        <f>M36*3.66</f>
        <v>1.65066</v>
      </c>
      <c r="O36" s="8">
        <f>K36*G36*F36</f>
        <v>1.2462</v>
      </c>
      <c r="P36" s="8">
        <f>F36*G36*L36</f>
        <v>0.36270000000000002</v>
      </c>
      <c r="Q36" s="8">
        <f t="shared" si="18"/>
        <v>15.351138000000001</v>
      </c>
      <c r="U36" s="9"/>
    </row>
    <row r="37" spans="1:25" s="15" customFormat="1" x14ac:dyDescent="0.2">
      <c r="D37" s="15" t="s">
        <v>168</v>
      </c>
      <c r="E37" s="20" t="s">
        <v>158</v>
      </c>
      <c r="F37" s="15">
        <v>465</v>
      </c>
      <c r="G37" s="6">
        <v>3.6900000000000002E-2</v>
      </c>
      <c r="I37" s="15">
        <f>10^100</f>
        <v>1E+100</v>
      </c>
      <c r="K37" s="37">
        <v>0.13400000000000001</v>
      </c>
      <c r="L37" s="42">
        <v>3.9E-2</v>
      </c>
      <c r="M37" s="29">
        <v>0.45100000000000001</v>
      </c>
      <c r="N37" s="15">
        <f>M37*3.66</f>
        <v>1.65066</v>
      </c>
      <c r="O37" s="8">
        <f>K37*G37*F37</f>
        <v>2.299239</v>
      </c>
      <c r="P37" s="8">
        <f>F37*G37*L37</f>
        <v>0.66918149999999998</v>
      </c>
      <c r="Q37" s="8">
        <f t="shared" si="18"/>
        <v>28.322849609999999</v>
      </c>
      <c r="U37" s="9"/>
    </row>
    <row r="38" spans="1:25" s="15" customFormat="1" x14ac:dyDescent="0.2">
      <c r="D38" s="15" t="s">
        <v>211</v>
      </c>
      <c r="E38" s="20" t="s">
        <v>111</v>
      </c>
      <c r="F38" s="15">
        <v>100</v>
      </c>
      <c r="G38" s="6">
        <v>0.1</v>
      </c>
      <c r="H38" s="15">
        <v>0.05</v>
      </c>
      <c r="I38" s="15">
        <f>H38/G38</f>
        <v>0.5</v>
      </c>
      <c r="K38" s="37">
        <v>9.5600000000000004E-2</v>
      </c>
      <c r="L38" s="42">
        <v>0</v>
      </c>
      <c r="M38" s="29">
        <v>0.36799999999999999</v>
      </c>
      <c r="N38" s="15">
        <f>M38*3.66</f>
        <v>1.3468800000000001</v>
      </c>
      <c r="O38" s="8">
        <f>K38*G38*F38</f>
        <v>0.95600000000000007</v>
      </c>
      <c r="P38" s="8">
        <f>F38*G38*L38</f>
        <v>0</v>
      </c>
      <c r="Q38" s="8">
        <f>F38*G38*N38</f>
        <v>13.468800000000002</v>
      </c>
      <c r="U38" s="9"/>
    </row>
    <row r="39" spans="1:25" s="15" customFormat="1" x14ac:dyDescent="0.2">
      <c r="D39" s="15" t="s">
        <v>289</v>
      </c>
      <c r="E39" s="20" t="s">
        <v>158</v>
      </c>
      <c r="F39" s="15">
        <v>465</v>
      </c>
      <c r="G39" s="6">
        <f>0.03*0.06*(1/0.65)</f>
        <v>2.7692307692307691E-3</v>
      </c>
      <c r="I39" s="15">
        <f>10^100</f>
        <v>1E+100</v>
      </c>
      <c r="K39" s="37">
        <v>0.13400000000000001</v>
      </c>
      <c r="L39" s="42">
        <v>3.9E-2</v>
      </c>
      <c r="M39" s="29">
        <v>0.45100000000000001</v>
      </c>
      <c r="N39" s="15">
        <f>M39*3.66</f>
        <v>1.65066</v>
      </c>
      <c r="O39" s="8">
        <f>K39*G39*F39</f>
        <v>0.17255076923076923</v>
      </c>
      <c r="P39" s="8">
        <f>F39*G39*L39</f>
        <v>5.0220000000000001E-2</v>
      </c>
      <c r="Q39" s="8">
        <f>F39*G39*N39</f>
        <v>2.1255421846153846</v>
      </c>
      <c r="U39" s="9"/>
      <c r="X39" s="15" t="s">
        <v>290</v>
      </c>
    </row>
    <row r="40" spans="1:25" s="15" customFormat="1" x14ac:dyDescent="0.2">
      <c r="D40" s="15" t="s">
        <v>204</v>
      </c>
      <c r="E40" s="20" t="s">
        <v>161</v>
      </c>
      <c r="F40" s="15">
        <v>453</v>
      </c>
      <c r="G40" s="6">
        <v>1.2E-2</v>
      </c>
      <c r="H40" s="15">
        <v>0.21</v>
      </c>
      <c r="I40" s="15">
        <f>H40/G40</f>
        <v>17.5</v>
      </c>
      <c r="K40" s="45">
        <v>0.41399999999999998</v>
      </c>
      <c r="L40" s="45">
        <v>5.5300000000000002E-2</v>
      </c>
      <c r="M40" s="29">
        <v>0.433</v>
      </c>
      <c r="N40" s="15">
        <f>M40*3.66</f>
        <v>1.5847800000000001</v>
      </c>
      <c r="O40" s="8">
        <f>K40*G40*F40</f>
        <v>2.2505040000000003</v>
      </c>
      <c r="P40" s="8">
        <f>F40*G40*L40</f>
        <v>0.30061080000000001</v>
      </c>
      <c r="Q40" s="8">
        <f>F40*G40*N40</f>
        <v>8.6148640800000003</v>
      </c>
      <c r="U40" s="9"/>
    </row>
    <row r="41" spans="1:25" s="17" customFormat="1" ht="17" thickBot="1" x14ac:dyDescent="0.25">
      <c r="A41" s="17" t="s">
        <v>201</v>
      </c>
      <c r="B41" s="17" t="s">
        <v>172</v>
      </c>
      <c r="G41" s="22"/>
      <c r="I41" s="17" cm="1">
        <f t="array" ref="I41">1/SUM(1/I33:I40)</f>
        <v>0.3616013775290573</v>
      </c>
      <c r="O41" s="26">
        <f>SUM(O33:O40)</f>
        <v>11.941493769230771</v>
      </c>
      <c r="P41" s="26">
        <f t="shared" ref="P41:Q41" si="19">SUM(P33:P40)</f>
        <v>1.8592322999999999</v>
      </c>
      <c r="Q41" s="26">
        <f t="shared" si="19"/>
        <v>72.240057874615388</v>
      </c>
      <c r="S41" s="17" t="s">
        <v>136</v>
      </c>
      <c r="T41" s="17">
        <v>80</v>
      </c>
      <c r="U41" s="24"/>
      <c r="V41" s="17" t="s">
        <v>36</v>
      </c>
      <c r="W41" s="17" t="s">
        <v>217</v>
      </c>
      <c r="X41" s="17" t="s">
        <v>235</v>
      </c>
      <c r="Y41" s="17" t="s">
        <v>210</v>
      </c>
    </row>
    <row r="42" spans="1:25" ht="17" thickTop="1" x14ac:dyDescent="0.2"/>
    <row r="44" spans="1:25" ht="27" x14ac:dyDescent="0.35">
      <c r="B44" s="57" t="s">
        <v>336</v>
      </c>
    </row>
    <row r="45" spans="1:25" s="10" customFormat="1" x14ac:dyDescent="0.2">
      <c r="D45" s="10" t="s">
        <v>2</v>
      </c>
      <c r="E45" s="10" t="s">
        <v>3</v>
      </c>
      <c r="F45" s="10" t="s">
        <v>4</v>
      </c>
      <c r="G45" s="21" t="s">
        <v>5</v>
      </c>
      <c r="H45" s="10" t="s">
        <v>6</v>
      </c>
      <c r="I45" s="10" t="s">
        <v>7</v>
      </c>
      <c r="J45" s="10" t="s">
        <v>8</v>
      </c>
      <c r="K45" s="11" t="s">
        <v>9</v>
      </c>
      <c r="L45" s="11" t="s">
        <v>10</v>
      </c>
      <c r="M45" s="11" t="s">
        <v>11</v>
      </c>
      <c r="N45" s="11" t="s">
        <v>12</v>
      </c>
      <c r="O45" s="25" t="s">
        <v>13</v>
      </c>
      <c r="P45" s="25" t="s">
        <v>14</v>
      </c>
      <c r="Q45" s="25" t="s">
        <v>15</v>
      </c>
      <c r="R45" s="11" t="s">
        <v>16</v>
      </c>
      <c r="S45" s="10" t="s">
        <v>17</v>
      </c>
      <c r="T45" s="10" t="s">
        <v>18</v>
      </c>
      <c r="U45" s="23" t="s">
        <v>19</v>
      </c>
      <c r="V45" s="10" t="s">
        <v>20</v>
      </c>
      <c r="W45" s="10" t="s">
        <v>21</v>
      </c>
      <c r="X45" s="10" t="s">
        <v>22</v>
      </c>
      <c r="Y45" s="10" t="s">
        <v>23</v>
      </c>
    </row>
    <row r="46" spans="1:25" s="12" customFormat="1" x14ac:dyDescent="0.2">
      <c r="F46" s="12" t="s">
        <v>24</v>
      </c>
      <c r="G46" s="6" t="s">
        <v>25</v>
      </c>
      <c r="H46" s="12" t="s">
        <v>26</v>
      </c>
      <c r="I46" s="12" t="s">
        <v>27</v>
      </c>
      <c r="K46" s="12" t="s">
        <v>28</v>
      </c>
      <c r="L46" s="12" t="s">
        <v>28</v>
      </c>
      <c r="M46" s="13" t="s">
        <v>29</v>
      </c>
      <c r="N46" s="13" t="s">
        <v>30</v>
      </c>
      <c r="O46" s="8" t="s">
        <v>31</v>
      </c>
      <c r="P46" s="8" t="s">
        <v>31</v>
      </c>
      <c r="Q46" s="8" t="s">
        <v>32</v>
      </c>
      <c r="R46" s="13" t="s">
        <v>31</v>
      </c>
      <c r="S46" s="12" t="s">
        <v>33</v>
      </c>
      <c r="T46" s="12" t="s">
        <v>33</v>
      </c>
      <c r="U46" s="9" t="s">
        <v>34</v>
      </c>
      <c r="V46" s="12" t="s">
        <v>35</v>
      </c>
    </row>
    <row r="47" spans="1:25" s="15" customFormat="1" x14ac:dyDescent="0.2">
      <c r="D47" s="15" t="s">
        <v>140</v>
      </c>
      <c r="E47" s="20" t="s">
        <v>139</v>
      </c>
      <c r="F47" s="15">
        <v>2000</v>
      </c>
      <c r="G47" s="6">
        <v>0.06</v>
      </c>
      <c r="H47" s="15">
        <v>0.8</v>
      </c>
      <c r="I47" s="15">
        <f>H47/G47</f>
        <v>13.333333333333334</v>
      </c>
      <c r="K47" s="43">
        <v>7.8399999999999997E-2</v>
      </c>
      <c r="L47" s="42">
        <v>1.2699999999999999E-2</v>
      </c>
      <c r="M47" s="29">
        <v>0</v>
      </c>
      <c r="N47" s="15">
        <f t="shared" ref="N47:N49" si="20">M47*3.66</f>
        <v>0</v>
      </c>
      <c r="O47" s="8">
        <f t="shared" ref="O47:O49" si="21">K47*G47*F47</f>
        <v>9.4079999999999995</v>
      </c>
      <c r="P47" s="8">
        <f t="shared" ref="P47:P49" si="22">F47*G47*L47</f>
        <v>1.524</v>
      </c>
      <c r="Q47" s="8">
        <f t="shared" ref="Q47:Q50" si="23">F47*G47*N47</f>
        <v>0</v>
      </c>
      <c r="U47" s="9"/>
    </row>
    <row r="48" spans="1:25" s="15" customFormat="1" x14ac:dyDescent="0.2">
      <c r="D48" s="15" t="s">
        <v>141</v>
      </c>
      <c r="E48" s="20" t="s">
        <v>142</v>
      </c>
      <c r="F48" s="15">
        <v>920</v>
      </c>
      <c r="G48" s="6">
        <v>1E-4</v>
      </c>
      <c r="I48" s="15">
        <f>10^100</f>
        <v>1E+100</v>
      </c>
      <c r="K48" s="27">
        <v>2.75</v>
      </c>
      <c r="L48" s="19">
        <v>2.67</v>
      </c>
      <c r="M48" s="29">
        <v>0</v>
      </c>
      <c r="N48" s="15">
        <f t="shared" si="20"/>
        <v>0</v>
      </c>
      <c r="O48" s="8">
        <f t="shared" si="21"/>
        <v>0.253</v>
      </c>
      <c r="P48" s="8">
        <f t="shared" si="22"/>
        <v>0.24564</v>
      </c>
      <c r="Q48" s="8">
        <f t="shared" si="23"/>
        <v>0</v>
      </c>
      <c r="U48" s="9"/>
    </row>
    <row r="49" spans="1:25" s="15" customFormat="1" x14ac:dyDescent="0.2">
      <c r="D49" s="15" t="s">
        <v>143</v>
      </c>
      <c r="E49" s="47" t="s">
        <v>144</v>
      </c>
      <c r="F49" s="15">
        <v>100</v>
      </c>
      <c r="G49" s="6">
        <v>0.02</v>
      </c>
      <c r="H49" s="15">
        <v>0.04</v>
      </c>
      <c r="I49" s="15">
        <f>H49/G49</f>
        <v>2</v>
      </c>
      <c r="K49" s="48">
        <v>1.04</v>
      </c>
      <c r="L49" s="49">
        <v>5.9200000000000003E-2</v>
      </c>
      <c r="M49" s="49">
        <v>0</v>
      </c>
      <c r="N49" s="15">
        <f t="shared" si="20"/>
        <v>0</v>
      </c>
      <c r="O49" s="8">
        <f t="shared" si="21"/>
        <v>2.08</v>
      </c>
      <c r="P49" s="8">
        <f t="shared" si="22"/>
        <v>0.11840000000000001</v>
      </c>
      <c r="Q49" s="8">
        <f t="shared" si="23"/>
        <v>0</v>
      </c>
      <c r="U49" s="9"/>
    </row>
    <row r="50" spans="1:25" s="15" customFormat="1" x14ac:dyDescent="0.2">
      <c r="D50" s="15" t="s">
        <v>205</v>
      </c>
      <c r="E50" s="20" t="s">
        <v>206</v>
      </c>
      <c r="F50" s="15">
        <v>453</v>
      </c>
      <c r="G50" s="6">
        <v>2.1000000000000001E-2</v>
      </c>
      <c r="H50" s="15">
        <v>0.15</v>
      </c>
      <c r="I50" s="15">
        <f>H50/G50</f>
        <v>7.1428571428571423</v>
      </c>
      <c r="K50" s="45">
        <v>0.41399999999999998</v>
      </c>
      <c r="L50" s="45">
        <v>5.5300000000000002E-2</v>
      </c>
      <c r="M50" s="29">
        <v>0.433</v>
      </c>
      <c r="N50" s="15">
        <f t="shared" ref="N50:N57" si="24">M50*3.66</f>
        <v>1.5847800000000001</v>
      </c>
      <c r="O50" s="8">
        <f t="shared" ref="O50:O57" si="25">K50*G50*F50</f>
        <v>3.9383820000000003</v>
      </c>
      <c r="P50" s="8">
        <f t="shared" ref="P50:P57" si="26">F50*G50*L50</f>
        <v>0.52606890000000006</v>
      </c>
      <c r="Q50" s="8">
        <f t="shared" si="23"/>
        <v>15.076012140000001</v>
      </c>
      <c r="U50" s="9"/>
    </row>
    <row r="51" spans="1:25" s="15" customFormat="1" x14ac:dyDescent="0.2">
      <c r="D51" s="15" t="s">
        <v>292</v>
      </c>
      <c r="E51" s="62" t="s">
        <v>286</v>
      </c>
      <c r="F51" s="15">
        <v>439</v>
      </c>
      <c r="G51" s="6">
        <v>1.7899999999999999E-2</v>
      </c>
      <c r="I51" s="15">
        <f>10^100</f>
        <v>1E+100</v>
      </c>
      <c r="K51" s="45">
        <v>0.29299999999999998</v>
      </c>
      <c r="L51" s="45">
        <v>4.9200000000000001E-2</v>
      </c>
      <c r="M51" s="29">
        <v>0.44600000000000001</v>
      </c>
      <c r="N51" s="15">
        <f t="shared" si="24"/>
        <v>1.63236</v>
      </c>
      <c r="O51" s="8">
        <f t="shared" si="25"/>
        <v>2.3024233000000001</v>
      </c>
      <c r="P51" s="8">
        <f t="shared" si="26"/>
        <v>0.38661851999999997</v>
      </c>
      <c r="Q51" s="8">
        <f>F51*G51*N51</f>
        <v>12.827248116</v>
      </c>
      <c r="U51" s="9"/>
    </row>
    <row r="52" spans="1:25" s="15" customFormat="1" x14ac:dyDescent="0.2">
      <c r="D52" s="15" t="s">
        <v>212</v>
      </c>
      <c r="E52" s="20" t="s">
        <v>144</v>
      </c>
      <c r="F52" s="15">
        <v>30</v>
      </c>
      <c r="G52" s="6">
        <v>0.08</v>
      </c>
      <c r="H52" s="15">
        <v>0.04</v>
      </c>
      <c r="I52" s="15">
        <f>H52/G52</f>
        <v>0.5</v>
      </c>
      <c r="K52" s="37">
        <v>1.04</v>
      </c>
      <c r="L52" s="42">
        <v>5.9200000000000003E-2</v>
      </c>
      <c r="M52" s="29">
        <v>0</v>
      </c>
      <c r="N52" s="15">
        <f t="shared" si="24"/>
        <v>0</v>
      </c>
      <c r="O52" s="8">
        <f t="shared" si="25"/>
        <v>2.4960000000000004</v>
      </c>
      <c r="P52" s="8">
        <f t="shared" si="26"/>
        <v>0.14208000000000001</v>
      </c>
      <c r="Q52" s="8">
        <f>F52*G52*N52</f>
        <v>0</v>
      </c>
      <c r="U52" s="9"/>
    </row>
    <row r="53" spans="1:25" s="15" customFormat="1" x14ac:dyDescent="0.2">
      <c r="D53" s="15" t="s">
        <v>291</v>
      </c>
      <c r="E53" s="20" t="s">
        <v>158</v>
      </c>
      <c r="F53" s="15">
        <v>465</v>
      </c>
      <c r="G53" s="6">
        <f>0.03*0.06*(1/0.625)</f>
        <v>2.8800000000000002E-3</v>
      </c>
      <c r="I53" s="15">
        <f>10^100</f>
        <v>1E+100</v>
      </c>
      <c r="K53" s="37">
        <v>0.13400000000000001</v>
      </c>
      <c r="L53" s="42">
        <v>3.9E-2</v>
      </c>
      <c r="M53" s="29">
        <v>0.45100000000000001</v>
      </c>
      <c r="N53" s="15">
        <f t="shared" si="24"/>
        <v>1.65066</v>
      </c>
      <c r="O53" s="8">
        <f t="shared" si="25"/>
        <v>0.17945280000000002</v>
      </c>
      <c r="P53" s="8">
        <f t="shared" si="26"/>
        <v>5.2228800000000006E-2</v>
      </c>
      <c r="Q53" s="8">
        <f>F53*G53*N53</f>
        <v>2.2105638720000003</v>
      </c>
      <c r="U53" s="9"/>
      <c r="X53" s="15" t="s">
        <v>290</v>
      </c>
    </row>
    <row r="54" spans="1:25" s="15" customFormat="1" x14ac:dyDescent="0.2">
      <c r="D54" s="15" t="s">
        <v>202</v>
      </c>
      <c r="E54" s="20" t="s">
        <v>203</v>
      </c>
      <c r="F54" s="15">
        <v>1200</v>
      </c>
      <c r="G54" s="6">
        <v>1.4999999999999999E-2</v>
      </c>
      <c r="H54" s="15">
        <v>0.32</v>
      </c>
      <c r="I54" s="15">
        <f>H54/G54</f>
        <v>21.333333333333336</v>
      </c>
      <c r="K54" s="51">
        <v>0.53300000000000003</v>
      </c>
      <c r="L54" s="52">
        <v>1.8599999999999998E-2</v>
      </c>
      <c r="M54" s="53">
        <v>0</v>
      </c>
      <c r="N54" s="15">
        <f t="shared" si="24"/>
        <v>0</v>
      </c>
      <c r="O54" s="8">
        <f t="shared" si="25"/>
        <v>9.5940000000000012</v>
      </c>
      <c r="P54" s="8">
        <f t="shared" si="26"/>
        <v>0.33479999999999999</v>
      </c>
      <c r="Q54" s="8">
        <f t="shared" ref="Q54" si="27">F54*G54*N54</f>
        <v>0</v>
      </c>
      <c r="U54" s="9"/>
    </row>
    <row r="55" spans="1:25" s="15" customFormat="1" x14ac:dyDescent="0.2">
      <c r="D55" s="15" t="s">
        <v>288</v>
      </c>
      <c r="E55" s="62" t="s">
        <v>286</v>
      </c>
      <c r="F55" s="15">
        <v>439</v>
      </c>
      <c r="G55" s="6">
        <v>3.696E-2</v>
      </c>
      <c r="I55" s="15">
        <f>10^100</f>
        <v>1E+100</v>
      </c>
      <c r="K55" s="45">
        <v>0.29299999999999998</v>
      </c>
      <c r="L55" s="45">
        <v>4.9200000000000001E-2</v>
      </c>
      <c r="M55" s="29">
        <v>0.44600000000000001</v>
      </c>
      <c r="N55" s="15">
        <f t="shared" si="24"/>
        <v>1.63236</v>
      </c>
      <c r="O55" s="8">
        <f t="shared" si="25"/>
        <v>4.7540539200000005</v>
      </c>
      <c r="P55" s="8">
        <f t="shared" si="26"/>
        <v>0.79829164799999996</v>
      </c>
      <c r="Q55" s="8">
        <f>F55*G55*N55</f>
        <v>26.4857592384</v>
      </c>
      <c r="U55" s="9"/>
    </row>
    <row r="56" spans="1:25" s="15" customFormat="1" x14ac:dyDescent="0.2">
      <c r="D56" s="15" t="s">
        <v>293</v>
      </c>
      <c r="E56" s="62" t="s">
        <v>286</v>
      </c>
      <c r="F56" s="15">
        <v>439</v>
      </c>
      <c r="G56" s="6">
        <f>2*0.16*0.26*3.2*3.5/(5*5)</f>
        <v>3.7273600000000004E-2</v>
      </c>
      <c r="I56" s="15">
        <f>10^100</f>
        <v>1E+100</v>
      </c>
      <c r="K56" s="45">
        <v>0.29299999999999998</v>
      </c>
      <c r="L56" s="45">
        <v>4.9200000000000001E-2</v>
      </c>
      <c r="M56" s="29">
        <v>0.44600000000000001</v>
      </c>
      <c r="N56" s="15">
        <f t="shared" si="24"/>
        <v>1.63236</v>
      </c>
      <c r="O56" s="8">
        <f t="shared" si="25"/>
        <v>4.7943913472000004</v>
      </c>
      <c r="P56" s="8">
        <f t="shared" si="26"/>
        <v>0.80506503167999999</v>
      </c>
      <c r="Q56" s="8">
        <f>F56*G56*N56</f>
        <v>26.710486892544001</v>
      </c>
      <c r="U56" s="9"/>
    </row>
    <row r="57" spans="1:25" s="15" customFormat="1" x14ac:dyDescent="0.2">
      <c r="D57" s="15" t="s">
        <v>297</v>
      </c>
      <c r="E57" s="20" t="s">
        <v>294</v>
      </c>
      <c r="F57" s="36">
        <v>7850</v>
      </c>
      <c r="G57" s="6">
        <f>0.01^2*PI()*1</f>
        <v>3.1415926535897931E-4</v>
      </c>
      <c r="I57" s="15">
        <f>10^100</f>
        <v>1E+100</v>
      </c>
      <c r="K57" s="37">
        <v>0.72899999999999998</v>
      </c>
      <c r="L57" s="46">
        <v>6.9300000000000004E-3</v>
      </c>
      <c r="M57" s="29">
        <v>0</v>
      </c>
      <c r="N57" s="15">
        <f t="shared" si="24"/>
        <v>0</v>
      </c>
      <c r="O57" s="8">
        <f t="shared" si="25"/>
        <v>1.7978235199065629</v>
      </c>
      <c r="P57" s="8">
        <f t="shared" si="26"/>
        <v>1.7090421115161153E-2</v>
      </c>
      <c r="Q57" s="8">
        <f>F57*G57*N57</f>
        <v>0</v>
      </c>
      <c r="U57" s="9"/>
      <c r="W57" s="15" t="s">
        <v>298</v>
      </c>
    </row>
    <row r="58" spans="1:25" s="17" customFormat="1" ht="17" thickBot="1" x14ac:dyDescent="0.25">
      <c r="A58" s="17" t="s">
        <v>285</v>
      </c>
      <c r="B58" s="17" t="s">
        <v>172</v>
      </c>
      <c r="G58" s="22"/>
      <c r="I58" s="17" cm="1">
        <f t="array" ref="I58">1/SUM(1/I47:I57)</f>
        <v>0.36207286716451687</v>
      </c>
      <c r="O58" s="26">
        <f>SUM(O47:O57)</f>
        <v>41.597526887106568</v>
      </c>
      <c r="P58" s="26">
        <f>SUM(P47:P57)</f>
        <v>4.9502833207951609</v>
      </c>
      <c r="Q58" s="26">
        <f>SUM(Q47:Q57)</f>
        <v>83.310070258944009</v>
      </c>
      <c r="S58" s="17" t="s">
        <v>136</v>
      </c>
      <c r="T58" s="17">
        <v>80</v>
      </c>
      <c r="U58" s="24"/>
      <c r="V58" s="17" t="s">
        <v>36</v>
      </c>
      <c r="W58" s="17" t="s">
        <v>287</v>
      </c>
      <c r="X58" s="17" t="s">
        <v>284</v>
      </c>
      <c r="Y58" s="17" t="s">
        <v>76</v>
      </c>
    </row>
    <row r="59" spans="1:25" ht="17" thickTop="1" x14ac:dyDescent="0.2"/>
    <row r="60" spans="1:25" s="10" customFormat="1" x14ac:dyDescent="0.2">
      <c r="D60" s="10" t="s">
        <v>2</v>
      </c>
      <c r="E60" s="10" t="s">
        <v>3</v>
      </c>
      <c r="F60" s="10" t="s">
        <v>4</v>
      </c>
      <c r="G60" s="21" t="s">
        <v>5</v>
      </c>
      <c r="H60" s="10" t="s">
        <v>6</v>
      </c>
      <c r="I60" s="10" t="s">
        <v>7</v>
      </c>
      <c r="J60" s="10" t="s">
        <v>8</v>
      </c>
      <c r="K60" s="11" t="s">
        <v>9</v>
      </c>
      <c r="L60" s="11" t="s">
        <v>10</v>
      </c>
      <c r="M60" s="11" t="s">
        <v>11</v>
      </c>
      <c r="N60" s="11" t="s">
        <v>12</v>
      </c>
      <c r="O60" s="25" t="s">
        <v>13</v>
      </c>
      <c r="P60" s="25" t="s">
        <v>14</v>
      </c>
      <c r="Q60" s="25" t="s">
        <v>15</v>
      </c>
      <c r="R60" s="11" t="s">
        <v>16</v>
      </c>
      <c r="S60" s="10" t="s">
        <v>17</v>
      </c>
      <c r="T60" s="10" t="s">
        <v>18</v>
      </c>
      <c r="U60" s="23" t="s">
        <v>19</v>
      </c>
      <c r="V60" s="10" t="s">
        <v>20</v>
      </c>
      <c r="W60" s="10" t="s">
        <v>21</v>
      </c>
      <c r="X60" s="10" t="s">
        <v>22</v>
      </c>
      <c r="Y60" s="10" t="s">
        <v>23</v>
      </c>
    </row>
    <row r="61" spans="1:25" s="12" customFormat="1" x14ac:dyDescent="0.2">
      <c r="F61" s="12" t="s">
        <v>24</v>
      </c>
      <c r="G61" s="6" t="s">
        <v>25</v>
      </c>
      <c r="H61" s="12" t="s">
        <v>26</v>
      </c>
      <c r="I61" s="12" t="s">
        <v>27</v>
      </c>
      <c r="K61" s="12" t="s">
        <v>28</v>
      </c>
      <c r="L61" s="12" t="s">
        <v>28</v>
      </c>
      <c r="M61" s="13" t="s">
        <v>29</v>
      </c>
      <c r="N61" s="13" t="s">
        <v>30</v>
      </c>
      <c r="O61" s="8" t="s">
        <v>31</v>
      </c>
      <c r="P61" s="8" t="s">
        <v>31</v>
      </c>
      <c r="Q61" s="8" t="s">
        <v>32</v>
      </c>
      <c r="R61" s="13" t="s">
        <v>31</v>
      </c>
      <c r="S61" s="12" t="s">
        <v>33</v>
      </c>
      <c r="T61" s="12" t="s">
        <v>33</v>
      </c>
      <c r="U61" s="9" t="s">
        <v>34</v>
      </c>
      <c r="V61" s="12" t="s">
        <v>35</v>
      </c>
    </row>
    <row r="62" spans="1:25" s="15" customFormat="1" x14ac:dyDescent="0.2">
      <c r="D62" s="15" t="s">
        <v>207</v>
      </c>
      <c r="E62" s="39">
        <v>3.02</v>
      </c>
      <c r="F62" s="15">
        <v>2000</v>
      </c>
      <c r="G62" s="6">
        <v>0.06</v>
      </c>
      <c r="H62" s="15">
        <v>0.8</v>
      </c>
      <c r="I62" s="15">
        <f>H62/G62</f>
        <v>13.333333333333334</v>
      </c>
      <c r="K62" s="27">
        <v>1.83E-2</v>
      </c>
      <c r="L62" s="28">
        <v>1.15E-3</v>
      </c>
      <c r="M62" s="29">
        <v>0</v>
      </c>
      <c r="N62" s="15">
        <f t="shared" ref="N62:N64" si="28">M62*3.66</f>
        <v>0</v>
      </c>
      <c r="O62" s="8">
        <f t="shared" ref="O62:O64" si="29">K62*G62*F62</f>
        <v>2.1960000000000002</v>
      </c>
      <c r="P62" s="8">
        <f t="shared" ref="P62:P64" si="30">F62*G62*L62</f>
        <v>0.13800000000000001</v>
      </c>
      <c r="Q62" s="8">
        <f t="shared" ref="Q62:Q65" si="31">F62*G62*N62</f>
        <v>0</v>
      </c>
      <c r="U62" s="9"/>
    </row>
    <row r="63" spans="1:25" s="15" customFormat="1" x14ac:dyDescent="0.2">
      <c r="D63" s="15" t="s">
        <v>141</v>
      </c>
      <c r="E63" s="20" t="s">
        <v>142</v>
      </c>
      <c r="F63" s="15">
        <v>920</v>
      </c>
      <c r="G63" s="6">
        <v>1E-4</v>
      </c>
      <c r="I63" s="15">
        <f>10^100</f>
        <v>1E+100</v>
      </c>
      <c r="K63" s="27">
        <v>2.75</v>
      </c>
      <c r="L63" s="19">
        <v>2.67</v>
      </c>
      <c r="M63" s="29">
        <v>0</v>
      </c>
      <c r="N63" s="15">
        <f t="shared" si="28"/>
        <v>0</v>
      </c>
      <c r="O63" s="8">
        <f t="shared" si="29"/>
        <v>0.253</v>
      </c>
      <c r="P63" s="8">
        <f t="shared" si="30"/>
        <v>0.24564</v>
      </c>
      <c r="Q63" s="8">
        <f t="shared" si="31"/>
        <v>0</v>
      </c>
      <c r="U63" s="9"/>
    </row>
    <row r="64" spans="1:25" s="15" customFormat="1" x14ac:dyDescent="0.2">
      <c r="D64" s="15" t="s">
        <v>209</v>
      </c>
      <c r="E64" s="20" t="s">
        <v>208</v>
      </c>
      <c r="F64" s="15">
        <v>120</v>
      </c>
      <c r="G64" s="6">
        <v>0.02</v>
      </c>
      <c r="H64" s="15">
        <v>0.04</v>
      </c>
      <c r="I64" s="15">
        <f>H64/G64</f>
        <v>2</v>
      </c>
      <c r="K64" s="27">
        <v>1.07</v>
      </c>
      <c r="L64" s="45">
        <v>3.8699999999999998E-2</v>
      </c>
      <c r="M64" s="45">
        <v>0.496</v>
      </c>
      <c r="N64" s="15">
        <f t="shared" si="28"/>
        <v>1.8153600000000001</v>
      </c>
      <c r="O64" s="8">
        <f t="shared" si="29"/>
        <v>2.5680000000000005</v>
      </c>
      <c r="P64" s="8">
        <f t="shared" si="30"/>
        <v>9.287999999999999E-2</v>
      </c>
      <c r="Q64" s="8">
        <f t="shared" si="31"/>
        <v>4.3568639999999998</v>
      </c>
      <c r="U64" s="9"/>
    </row>
    <row r="65" spans="1:25" s="15" customFormat="1" x14ac:dyDescent="0.2">
      <c r="D65" s="15" t="s">
        <v>296</v>
      </c>
      <c r="E65" s="20" t="s">
        <v>158</v>
      </c>
      <c r="F65" s="15">
        <v>465</v>
      </c>
      <c r="G65" s="6">
        <v>0.02</v>
      </c>
      <c r="H65" s="15">
        <v>0.15</v>
      </c>
      <c r="I65" s="15">
        <f>H65/G65</f>
        <v>7.5</v>
      </c>
      <c r="K65" s="37">
        <v>0.13400000000000001</v>
      </c>
      <c r="L65" s="42">
        <v>3.9E-2</v>
      </c>
      <c r="M65" s="29">
        <v>0.45100000000000001</v>
      </c>
      <c r="N65" s="15">
        <f t="shared" ref="N65:N72" si="32">M65*3.66</f>
        <v>1.65066</v>
      </c>
      <c r="O65" s="8">
        <f t="shared" ref="O65:O72" si="33">K65*G65*F65</f>
        <v>1.2462</v>
      </c>
      <c r="P65" s="8">
        <f t="shared" ref="P65:P72" si="34">F65*G65*L65</f>
        <v>0.36270000000000002</v>
      </c>
      <c r="Q65" s="8">
        <f t="shared" si="31"/>
        <v>15.351138000000001</v>
      </c>
      <c r="U65" s="9"/>
    </row>
    <row r="66" spans="1:25" s="15" customFormat="1" x14ac:dyDescent="0.2">
      <c r="D66" s="15" t="s">
        <v>300</v>
      </c>
      <c r="E66" s="20" t="s">
        <v>158</v>
      </c>
      <c r="F66" s="15">
        <v>465</v>
      </c>
      <c r="G66" s="6">
        <v>1.7899999999999999E-2</v>
      </c>
      <c r="I66" s="15">
        <f>10^100</f>
        <v>1E+100</v>
      </c>
      <c r="K66" s="37">
        <v>0.13400000000000001</v>
      </c>
      <c r="L66" s="42">
        <v>3.9E-2</v>
      </c>
      <c r="M66" s="29">
        <v>0.45100000000000001</v>
      </c>
      <c r="N66" s="15">
        <f t="shared" si="32"/>
        <v>1.65066</v>
      </c>
      <c r="O66" s="8">
        <f t="shared" si="33"/>
        <v>1.1153489999999999</v>
      </c>
      <c r="P66" s="8">
        <f t="shared" si="34"/>
        <v>0.32461649999999997</v>
      </c>
      <c r="Q66" s="8">
        <f t="shared" ref="Q66:Q72" si="35">F66*G66*N66</f>
        <v>13.739268509999999</v>
      </c>
      <c r="U66" s="9"/>
    </row>
    <row r="67" spans="1:25" s="15" customFormat="1" x14ac:dyDescent="0.2">
      <c r="D67" s="15" t="s">
        <v>211</v>
      </c>
      <c r="E67" s="20" t="s">
        <v>111</v>
      </c>
      <c r="F67" s="15">
        <v>100</v>
      </c>
      <c r="G67" s="6">
        <v>0.1</v>
      </c>
      <c r="H67" s="15">
        <v>0.05</v>
      </c>
      <c r="I67" s="15">
        <f>H67/G67</f>
        <v>0.5</v>
      </c>
      <c r="K67" s="37">
        <v>9.5600000000000004E-2</v>
      </c>
      <c r="L67" s="42">
        <v>0</v>
      </c>
      <c r="M67" s="29">
        <v>0.36799999999999999</v>
      </c>
      <c r="N67" s="15">
        <f t="shared" si="32"/>
        <v>1.3468800000000001</v>
      </c>
      <c r="O67" s="8">
        <f t="shared" si="33"/>
        <v>0.95600000000000007</v>
      </c>
      <c r="P67" s="8">
        <f t="shared" si="34"/>
        <v>0</v>
      </c>
      <c r="Q67" s="8">
        <f t="shared" si="35"/>
        <v>13.468800000000002</v>
      </c>
      <c r="U67" s="9"/>
    </row>
    <row r="68" spans="1:25" s="15" customFormat="1" x14ac:dyDescent="0.2">
      <c r="D68" s="15" t="s">
        <v>291</v>
      </c>
      <c r="E68" s="20" t="s">
        <v>158</v>
      </c>
      <c r="F68" s="15">
        <v>465</v>
      </c>
      <c r="G68" s="6">
        <f>0.03*0.06*(1/0.625)</f>
        <v>2.8800000000000002E-3</v>
      </c>
      <c r="I68" s="15">
        <f>10^100</f>
        <v>1E+100</v>
      </c>
      <c r="K68" s="37">
        <v>0.13400000000000001</v>
      </c>
      <c r="L68" s="42">
        <v>3.9E-2</v>
      </c>
      <c r="M68" s="29">
        <v>0.45100000000000001</v>
      </c>
      <c r="N68" s="15">
        <f t="shared" si="32"/>
        <v>1.65066</v>
      </c>
      <c r="O68" s="8">
        <f t="shared" si="33"/>
        <v>0.17945280000000002</v>
      </c>
      <c r="P68" s="8">
        <f t="shared" si="34"/>
        <v>5.2228800000000006E-2</v>
      </c>
      <c r="Q68" s="8">
        <f t="shared" si="35"/>
        <v>2.2105638720000003</v>
      </c>
      <c r="U68" s="9"/>
      <c r="X68" s="15" t="s">
        <v>290</v>
      </c>
    </row>
    <row r="69" spans="1:25" s="15" customFormat="1" x14ac:dyDescent="0.2">
      <c r="D69" s="15" t="s">
        <v>204</v>
      </c>
      <c r="E69" s="20" t="s">
        <v>161</v>
      </c>
      <c r="F69" s="15">
        <v>453</v>
      </c>
      <c r="G69" s="6">
        <v>1.2E-2</v>
      </c>
      <c r="H69" s="15">
        <v>0.21</v>
      </c>
      <c r="I69" s="15">
        <f>H69/G69</f>
        <v>17.5</v>
      </c>
      <c r="K69" s="45">
        <v>0.41399999999999998</v>
      </c>
      <c r="L69" s="45">
        <v>5.5300000000000002E-2</v>
      </c>
      <c r="M69" s="29">
        <v>0.433</v>
      </c>
      <c r="N69" s="15">
        <f t="shared" si="32"/>
        <v>1.5847800000000001</v>
      </c>
      <c r="O69" s="8">
        <f t="shared" si="33"/>
        <v>2.2505040000000003</v>
      </c>
      <c r="P69" s="8">
        <f t="shared" si="34"/>
        <v>0.30061080000000001</v>
      </c>
      <c r="Q69" s="8">
        <f t="shared" si="35"/>
        <v>8.6148640800000003</v>
      </c>
      <c r="U69" s="9"/>
    </row>
    <row r="70" spans="1:25" s="15" customFormat="1" x14ac:dyDescent="0.2">
      <c r="D70" s="15" t="s">
        <v>288</v>
      </c>
      <c r="E70" s="62" t="s">
        <v>286</v>
      </c>
      <c r="F70" s="15">
        <v>439</v>
      </c>
      <c r="G70" s="6">
        <v>3.696E-2</v>
      </c>
      <c r="I70" s="15">
        <f>10^100</f>
        <v>1E+100</v>
      </c>
      <c r="K70" s="45">
        <v>0.29299999999999998</v>
      </c>
      <c r="L70" s="45">
        <v>4.9200000000000001E-2</v>
      </c>
      <c r="M70" s="29">
        <v>0.44600000000000001</v>
      </c>
      <c r="N70" s="15">
        <f t="shared" si="32"/>
        <v>1.63236</v>
      </c>
      <c r="O70" s="8">
        <f t="shared" si="33"/>
        <v>4.7540539200000005</v>
      </c>
      <c r="P70" s="8">
        <f t="shared" si="34"/>
        <v>0.79829164799999996</v>
      </c>
      <c r="Q70" s="8">
        <f t="shared" si="35"/>
        <v>26.4857592384</v>
      </c>
      <c r="U70" s="9"/>
    </row>
    <row r="71" spans="1:25" s="15" customFormat="1" x14ac:dyDescent="0.2">
      <c r="D71" s="15" t="s">
        <v>293</v>
      </c>
      <c r="E71" s="62" t="s">
        <v>286</v>
      </c>
      <c r="F71" s="15">
        <v>439</v>
      </c>
      <c r="G71" s="6">
        <f>2*0.16*0.26*3.2*3.5/(5*5)</f>
        <v>3.7273600000000004E-2</v>
      </c>
      <c r="I71" s="15">
        <f>10^100</f>
        <v>1E+100</v>
      </c>
      <c r="K71" s="45">
        <v>0.29299999999999998</v>
      </c>
      <c r="L71" s="45">
        <v>4.9200000000000001E-2</v>
      </c>
      <c r="M71" s="29">
        <v>0.44600000000000001</v>
      </c>
      <c r="N71" s="15">
        <f t="shared" si="32"/>
        <v>1.63236</v>
      </c>
      <c r="O71" s="8">
        <f t="shared" si="33"/>
        <v>4.7943913472000004</v>
      </c>
      <c r="P71" s="8">
        <f t="shared" si="34"/>
        <v>0.80506503167999999</v>
      </c>
      <c r="Q71" s="8">
        <f t="shared" si="35"/>
        <v>26.710486892544001</v>
      </c>
      <c r="U71" s="9"/>
    </row>
    <row r="72" spans="1:25" s="15" customFormat="1" x14ac:dyDescent="0.2">
      <c r="D72" s="15" t="s">
        <v>297</v>
      </c>
      <c r="E72" s="20" t="s">
        <v>294</v>
      </c>
      <c r="F72" s="36">
        <v>7850</v>
      </c>
      <c r="G72" s="6">
        <f>0.01^2*PI()*1</f>
        <v>3.1415926535897931E-4</v>
      </c>
      <c r="I72" s="15">
        <f>10^100</f>
        <v>1E+100</v>
      </c>
      <c r="K72" s="37">
        <v>0.72899999999999998</v>
      </c>
      <c r="L72" s="46">
        <v>6.9300000000000004E-3</v>
      </c>
      <c r="M72" s="29">
        <v>0</v>
      </c>
      <c r="N72" s="15">
        <f t="shared" si="32"/>
        <v>0</v>
      </c>
      <c r="O72" s="8">
        <f t="shared" si="33"/>
        <v>1.7978235199065629</v>
      </c>
      <c r="P72" s="8">
        <f t="shared" si="34"/>
        <v>1.7090421115161153E-2</v>
      </c>
      <c r="Q72" s="8">
        <f t="shared" si="35"/>
        <v>0</v>
      </c>
      <c r="U72" s="9"/>
      <c r="W72" s="15" t="s">
        <v>298</v>
      </c>
    </row>
    <row r="73" spans="1:25" s="17" customFormat="1" ht="17" thickBot="1" x14ac:dyDescent="0.25">
      <c r="A73" s="17" t="s">
        <v>299</v>
      </c>
      <c r="B73" s="17" t="s">
        <v>172</v>
      </c>
      <c r="G73" s="22"/>
      <c r="I73" s="17" cm="1">
        <f t="array" ref="I73">1/SUM(1/I62:I72)</f>
        <v>0.3616013775290573</v>
      </c>
      <c r="O73" s="26">
        <f>SUM(O62:O72)</f>
        <v>22.110774587106565</v>
      </c>
      <c r="P73" s="26">
        <f>SUM(P62:P72)</f>
        <v>3.1371232007951608</v>
      </c>
      <c r="Q73" s="26">
        <f>SUM(Q62:Q72)</f>
        <v>110.937744592944</v>
      </c>
      <c r="S73" s="17" t="s">
        <v>136</v>
      </c>
      <c r="T73" s="17">
        <v>80</v>
      </c>
      <c r="U73" s="24"/>
      <c r="V73" s="17" t="s">
        <v>36</v>
      </c>
      <c r="W73" s="17" t="s">
        <v>287</v>
      </c>
      <c r="X73" s="17" t="s">
        <v>284</v>
      </c>
      <c r="Y73" s="17" t="s">
        <v>76</v>
      </c>
    </row>
    <row r="74" spans="1:25" ht="17" thickTop="1" x14ac:dyDescent="0.2"/>
  </sheetData>
  <conditionalFormatting sqref="K50:L50">
    <cfRule type="cellIs" dxfId="212" priority="167" operator="greaterThan">
      <formula>100</formula>
    </cfRule>
  </conditionalFormatting>
  <conditionalFormatting sqref="K50:L51">
    <cfRule type="cellIs" dxfId="211" priority="121" operator="equal">
      <formula>0</formula>
    </cfRule>
  </conditionalFormatting>
  <conditionalFormatting sqref="K69:L69">
    <cfRule type="cellIs" dxfId="210" priority="2" operator="greaterThan">
      <formula>100</formula>
    </cfRule>
    <cfRule type="cellIs" dxfId="209" priority="3" operator="between">
      <formula>10</formula>
      <formula>100</formula>
    </cfRule>
    <cfRule type="cellIs" dxfId="208" priority="4" operator="between">
      <formula>1</formula>
      <formula>10</formula>
    </cfRule>
    <cfRule type="cellIs" dxfId="207" priority="5" operator="between">
      <formula>0.00000001</formula>
      <formula>1</formula>
    </cfRule>
  </conditionalFormatting>
  <conditionalFormatting sqref="K69:L71">
    <cfRule type="cellIs" dxfId="206" priority="1" operator="equal">
      <formula>0</formula>
    </cfRule>
  </conditionalFormatting>
  <conditionalFormatting sqref="K5:M7">
    <cfRule type="cellIs" dxfId="205" priority="247" operator="greaterThan">
      <formula>100</formula>
    </cfRule>
    <cfRule type="cellIs" dxfId="204" priority="249" operator="between">
      <formula>1</formula>
      <formula>10</formula>
    </cfRule>
    <cfRule type="cellIs" dxfId="203" priority="248" operator="between">
      <formula>10</formula>
      <formula>100</formula>
    </cfRule>
    <cfRule type="cellIs" dxfId="202" priority="246" operator="equal">
      <formula>0</formula>
    </cfRule>
    <cfRule type="cellIs" dxfId="201" priority="250" operator="between">
      <formula>0.00000001</formula>
      <formula>1</formula>
    </cfRule>
  </conditionalFormatting>
  <conditionalFormatting sqref="K12:M14">
    <cfRule type="cellIs" dxfId="200" priority="260" operator="between">
      <formula>0.00000001</formula>
      <formula>1</formula>
    </cfRule>
    <cfRule type="cellIs" dxfId="199" priority="259" operator="between">
      <formula>1</formula>
      <formula>10</formula>
    </cfRule>
    <cfRule type="cellIs" dxfId="198" priority="258" operator="between">
      <formula>10</formula>
      <formula>100</formula>
    </cfRule>
    <cfRule type="cellIs" dxfId="197" priority="257" operator="greaterThan">
      <formula>100</formula>
    </cfRule>
    <cfRule type="cellIs" dxfId="196" priority="256" operator="equal">
      <formula>0</formula>
    </cfRule>
  </conditionalFormatting>
  <conditionalFormatting sqref="K20:M26">
    <cfRule type="cellIs" dxfId="195" priority="106" operator="equal">
      <formula>0</formula>
    </cfRule>
    <cfRule type="cellIs" dxfId="194" priority="110" operator="between">
      <formula>0.00000001</formula>
      <formula>1</formula>
    </cfRule>
    <cfRule type="cellIs" dxfId="193" priority="109" operator="between">
      <formula>1</formula>
      <formula>10</formula>
    </cfRule>
    <cfRule type="cellIs" dxfId="192" priority="108" operator="between">
      <formula>10</formula>
      <formula>100</formula>
    </cfRule>
    <cfRule type="cellIs" dxfId="191" priority="107" operator="greaterThan">
      <formula>100</formula>
    </cfRule>
  </conditionalFormatting>
  <conditionalFormatting sqref="K33:M40">
    <cfRule type="cellIs" dxfId="190" priority="145" operator="between">
      <formula>0.00000001</formula>
      <formula>1</formula>
    </cfRule>
    <cfRule type="cellIs" dxfId="189" priority="144" operator="between">
      <formula>1</formula>
      <formula>10</formula>
    </cfRule>
    <cfRule type="cellIs" dxfId="188" priority="143" operator="between">
      <formula>10</formula>
      <formula>100</formula>
    </cfRule>
    <cfRule type="cellIs" dxfId="187" priority="142" operator="greaterThan">
      <formula>100</formula>
    </cfRule>
    <cfRule type="cellIs" dxfId="186" priority="141" operator="equal">
      <formula>0</formula>
    </cfRule>
  </conditionalFormatting>
  <conditionalFormatting sqref="K47:M49">
    <cfRule type="cellIs" dxfId="185" priority="177" operator="greaterThan">
      <formula>100</formula>
    </cfRule>
    <cfRule type="cellIs" dxfId="184" priority="176" operator="equal">
      <formula>0</formula>
    </cfRule>
  </conditionalFormatting>
  <conditionalFormatting sqref="K47:M50">
    <cfRule type="cellIs" dxfId="183" priority="170" operator="between">
      <formula>0.00000001</formula>
      <formula>1</formula>
    </cfRule>
    <cfRule type="cellIs" dxfId="182" priority="168" operator="between">
      <formula>10</formula>
      <formula>100</formula>
    </cfRule>
    <cfRule type="cellIs" dxfId="181" priority="169" operator="between">
      <formula>1</formula>
      <formula>10</formula>
    </cfRule>
  </conditionalFormatting>
  <conditionalFormatting sqref="K52:M53">
    <cfRule type="cellIs" dxfId="180" priority="135" operator="between">
      <formula>0.00000001</formula>
      <formula>1</formula>
    </cfRule>
    <cfRule type="cellIs" dxfId="179" priority="134" operator="between">
      <formula>1</formula>
      <formula>10</formula>
    </cfRule>
    <cfRule type="cellIs" dxfId="178" priority="133" operator="between">
      <formula>10</formula>
      <formula>100</formula>
    </cfRule>
    <cfRule type="cellIs" dxfId="177" priority="132" operator="greaterThan">
      <formula>100</formula>
    </cfRule>
    <cfRule type="cellIs" dxfId="176" priority="131" operator="equal">
      <formula>0</formula>
    </cfRule>
  </conditionalFormatting>
  <conditionalFormatting sqref="K55:M56">
    <cfRule type="cellIs" dxfId="175" priority="261" operator="between">
      <formula>10</formula>
      <formula>100</formula>
    </cfRule>
  </conditionalFormatting>
  <conditionalFormatting sqref="K55:M57">
    <cfRule type="cellIs" dxfId="174" priority="117" operator="greaterThan">
      <formula>100</formula>
    </cfRule>
    <cfRule type="cellIs" dxfId="173" priority="120" operator="between">
      <formula>0.00000001</formula>
      <formula>1</formula>
    </cfRule>
    <cfRule type="cellIs" dxfId="172" priority="119" operator="between">
      <formula>1</formula>
      <formula>10</formula>
    </cfRule>
    <cfRule type="cellIs" dxfId="171" priority="116" operator="equal">
      <formula>0</formula>
    </cfRule>
  </conditionalFormatting>
  <conditionalFormatting sqref="K57:M57">
    <cfRule type="cellIs" dxfId="170" priority="118" operator="between">
      <formula>10</formula>
      <formula>100</formula>
    </cfRule>
  </conditionalFormatting>
  <conditionalFormatting sqref="K62:M68">
    <cfRule type="cellIs" dxfId="169" priority="17" operator="greaterThan">
      <formula>100</formula>
    </cfRule>
    <cfRule type="cellIs" dxfId="168" priority="16" operator="equal">
      <formula>0</formula>
    </cfRule>
    <cfRule type="cellIs" dxfId="167" priority="18" operator="between">
      <formula>10</formula>
      <formula>100</formula>
    </cfRule>
    <cfRule type="cellIs" dxfId="166" priority="19" operator="between">
      <formula>1</formula>
      <formula>10</formula>
    </cfRule>
    <cfRule type="cellIs" dxfId="165" priority="20" operator="between">
      <formula>0.00000001</formula>
      <formula>1</formula>
    </cfRule>
  </conditionalFormatting>
  <conditionalFormatting sqref="K72:M72">
    <cfRule type="cellIs" dxfId="164" priority="51" operator="equal">
      <formula>0</formula>
    </cfRule>
    <cfRule type="cellIs" dxfId="163" priority="52" operator="greaterThan">
      <formula>100</formula>
    </cfRule>
    <cfRule type="cellIs" dxfId="162" priority="53" operator="between">
      <formula>10</formula>
      <formula>100</formula>
    </cfRule>
    <cfRule type="cellIs" dxfId="161" priority="55" operator="between">
      <formula>0.00000001</formula>
      <formula>1</formula>
    </cfRule>
    <cfRule type="cellIs" dxfId="160" priority="54" operator="between">
      <formula>1</formula>
      <formula>10</formula>
    </cfRule>
  </conditionalFormatting>
  <conditionalFormatting sqref="M50">
    <cfRule type="cellIs" dxfId="159" priority="171" operator="equal">
      <formula>0</formula>
    </cfRule>
  </conditionalFormatting>
  <conditionalFormatting sqref="M50:M51">
    <cfRule type="cellIs" dxfId="158" priority="122" operator="greaterThan">
      <formula>100</formula>
    </cfRule>
  </conditionalFormatting>
  <conditionalFormatting sqref="M51">
    <cfRule type="cellIs" dxfId="157" priority="124" operator="between">
      <formula>1</formula>
      <formula>10</formula>
    </cfRule>
    <cfRule type="cellIs" dxfId="156" priority="125" operator="between">
      <formula>0.00000001</formula>
      <formula>1</formula>
    </cfRule>
    <cfRule type="cellIs" dxfId="155" priority="123" operator="between">
      <formula>10</formula>
      <formula>100</formula>
    </cfRule>
  </conditionalFormatting>
  <conditionalFormatting sqref="M69">
    <cfRule type="cellIs" dxfId="154" priority="6" operator="equal">
      <formula>0</formula>
    </cfRule>
  </conditionalFormatting>
  <conditionalFormatting sqref="M69:M71">
    <cfRule type="cellIs" dxfId="153" priority="7" operator="greaterThan">
      <formula>100</formula>
    </cfRule>
    <cfRule type="cellIs" dxfId="152" priority="8" operator="between">
      <formula>10</formula>
      <formula>100</formula>
    </cfRule>
    <cfRule type="cellIs" dxfId="151" priority="10" operator="between">
      <formula>0.00000001</formula>
      <formula>1</formula>
    </cfRule>
    <cfRule type="cellIs" dxfId="150" priority="9" operator="between">
      <formula>1</formula>
      <formula>10</formula>
    </cfRule>
  </conditionalFormatting>
  <conditionalFormatting sqref="Q5:Q7">
    <cfRule type="cellIs" dxfId="149" priority="251" operator="equal">
      <formula>0</formula>
    </cfRule>
    <cfRule type="cellIs" dxfId="148" priority="252" operator="greaterThan">
      <formula>100</formula>
    </cfRule>
    <cfRule type="cellIs" dxfId="147" priority="253" operator="between">
      <formula>10</formula>
      <formula>100</formula>
    </cfRule>
    <cfRule type="cellIs" dxfId="146" priority="254" operator="between">
      <formula>1</formula>
      <formula>10</formula>
    </cfRule>
    <cfRule type="cellIs" dxfId="145" priority="255" operator="between">
      <formula>0.00000001</formula>
      <formula>1</formula>
    </cfRule>
  </conditionalFormatting>
  <conditionalFormatting sqref="Q12:Q14">
    <cfRule type="cellIs" dxfId="144" priority="265" operator="between">
      <formula>0.00000001</formula>
      <formula>1</formula>
    </cfRule>
    <cfRule type="cellIs" dxfId="143" priority="262" operator="greaterThan">
      <formula>100</formula>
    </cfRule>
    <cfRule type="cellIs" dxfId="142" priority="264" operator="between">
      <formula>1</formula>
      <formula>10</formula>
    </cfRule>
    <cfRule type="cellIs" dxfId="141" priority="263" operator="between">
      <formula>10</formula>
      <formula>100</formula>
    </cfRule>
    <cfRule type="cellIs" dxfId="140" priority="262" operator="equal">
      <formula>0</formula>
    </cfRule>
  </conditionalFormatting>
  <conditionalFormatting sqref="Q20:Q27">
    <cfRule type="cellIs" dxfId="139" priority="244" operator="between">
      <formula>1</formula>
      <formula>10</formula>
    </cfRule>
    <cfRule type="cellIs" dxfId="138" priority="245" operator="between">
      <formula>0.00000001</formula>
      <formula>1</formula>
    </cfRule>
    <cfRule type="cellIs" dxfId="137" priority="242" operator="greaterThan">
      <formula>100</formula>
    </cfRule>
    <cfRule type="cellIs" dxfId="136" priority="241" operator="equal">
      <formula>0</formula>
    </cfRule>
    <cfRule type="cellIs" dxfId="135" priority="243" operator="between">
      <formula>10</formula>
      <formula>100</formula>
    </cfRule>
  </conditionalFormatting>
  <conditionalFormatting sqref="Q33:Q40">
    <cfRule type="cellIs" dxfId="134" priority="150" operator="between">
      <formula>0.00000001</formula>
      <formula>1</formula>
    </cfRule>
    <cfRule type="cellIs" dxfId="133" priority="149" operator="between">
      <formula>1</formula>
      <formula>10</formula>
    </cfRule>
    <cfRule type="cellIs" dxfId="132" priority="148" operator="between">
      <formula>10</formula>
      <formula>100</formula>
    </cfRule>
    <cfRule type="cellIs" dxfId="131" priority="147" operator="greaterThan">
      <formula>100</formula>
    </cfRule>
    <cfRule type="cellIs" dxfId="130" priority="146" operator="equal">
      <formula>0</formula>
    </cfRule>
  </conditionalFormatting>
  <conditionalFormatting sqref="Q47:Q57">
    <cfRule type="cellIs" dxfId="129" priority="138" operator="between">
      <formula>10</formula>
      <formula>100</formula>
    </cfRule>
    <cfRule type="cellIs" dxfId="128" priority="136" operator="equal">
      <formula>0</formula>
    </cfRule>
    <cfRule type="cellIs" dxfId="127" priority="139" operator="between">
      <formula>1</formula>
      <formula>10</formula>
    </cfRule>
    <cfRule type="cellIs" dxfId="126" priority="140" operator="between">
      <formula>0.00000001</formula>
      <formula>1</formula>
    </cfRule>
    <cfRule type="cellIs" dxfId="125" priority="137" operator="greaterThan">
      <formula>100</formula>
    </cfRule>
  </conditionalFormatting>
  <conditionalFormatting sqref="Q62:Q72">
    <cfRule type="cellIs" dxfId="124" priority="14" operator="between">
      <formula>1</formula>
      <formula>10</formula>
    </cfRule>
    <cfRule type="cellIs" dxfId="123" priority="13" operator="between">
      <formula>10</formula>
      <formula>100</formula>
    </cfRule>
    <cfRule type="cellIs" dxfId="122" priority="12" operator="greaterThan">
      <formula>100</formula>
    </cfRule>
    <cfRule type="cellIs" dxfId="121" priority="11" operator="equal">
      <formula>0</formula>
    </cfRule>
    <cfRule type="cellIs" dxfId="120" priority="15" operator="between">
      <formula>0.00000001</formula>
      <formula>1</formula>
    </cfRule>
  </conditionalFormatting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38DB-FC73-1045-B365-3D99679DEF61}">
  <dimension ref="A1:Y23"/>
  <sheetViews>
    <sheetView zoomScale="87" workbookViewId="0">
      <selection activeCell="B22" sqref="B22"/>
    </sheetView>
  </sheetViews>
  <sheetFormatPr baseColWidth="10" defaultRowHeight="16" x14ac:dyDescent="0.2"/>
  <cols>
    <col min="1" max="1" width="24.6640625" customWidth="1"/>
    <col min="4" max="4" width="20.6640625" customWidth="1"/>
  </cols>
  <sheetData>
    <row r="1" spans="1:25" s="1" customFormat="1" x14ac:dyDescent="0.2">
      <c r="A1" s="1" t="s">
        <v>0</v>
      </c>
      <c r="B1" s="1" t="s">
        <v>51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52</v>
      </c>
      <c r="J1" s="1" t="s">
        <v>53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4" t="s">
        <v>54</v>
      </c>
      <c r="R1" s="3" t="s">
        <v>16</v>
      </c>
      <c r="S1" s="1" t="s">
        <v>17</v>
      </c>
      <c r="T1" s="1" t="s">
        <v>55</v>
      </c>
      <c r="U1" s="5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3" spans="1:25" s="10" customFormat="1" x14ac:dyDescent="0.2">
      <c r="D3" s="10" t="s">
        <v>2</v>
      </c>
      <c r="E3" s="10" t="s">
        <v>3</v>
      </c>
      <c r="F3" s="10" t="s">
        <v>4</v>
      </c>
      <c r="G3" s="21" t="s">
        <v>5</v>
      </c>
      <c r="H3" s="10" t="s">
        <v>6</v>
      </c>
      <c r="I3" s="10" t="s">
        <v>7</v>
      </c>
      <c r="J3" s="10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25" t="s">
        <v>13</v>
      </c>
      <c r="P3" s="25" t="s">
        <v>14</v>
      </c>
      <c r="Q3" s="25" t="s">
        <v>15</v>
      </c>
      <c r="R3" s="11" t="s">
        <v>16</v>
      </c>
      <c r="S3" s="10" t="s">
        <v>17</v>
      </c>
      <c r="T3" s="10" t="s">
        <v>18</v>
      </c>
      <c r="U3" s="23" t="s">
        <v>19</v>
      </c>
      <c r="V3" s="10" t="s">
        <v>20</v>
      </c>
      <c r="W3" s="10" t="s">
        <v>21</v>
      </c>
      <c r="X3" s="10" t="s">
        <v>22</v>
      </c>
      <c r="Y3" s="10" t="s">
        <v>23</v>
      </c>
    </row>
    <row r="4" spans="1:25" s="12" customFormat="1" x14ac:dyDescent="0.2">
      <c r="F4" s="12" t="s">
        <v>24</v>
      </c>
      <c r="G4" s="6" t="s">
        <v>25</v>
      </c>
      <c r="H4" s="12" t="s">
        <v>26</v>
      </c>
      <c r="I4" s="12" t="s">
        <v>27</v>
      </c>
      <c r="K4" s="12" t="s">
        <v>28</v>
      </c>
      <c r="L4" s="12" t="s">
        <v>28</v>
      </c>
      <c r="M4" s="13" t="s">
        <v>29</v>
      </c>
      <c r="N4" s="13" t="s">
        <v>30</v>
      </c>
      <c r="O4" s="8" t="s">
        <v>31</v>
      </c>
      <c r="P4" s="8" t="s">
        <v>31</v>
      </c>
      <c r="Q4" s="8" t="s">
        <v>32</v>
      </c>
      <c r="R4" s="13" t="s">
        <v>31</v>
      </c>
      <c r="S4" s="12" t="s">
        <v>33</v>
      </c>
      <c r="T4" s="12" t="s">
        <v>33</v>
      </c>
      <c r="U4" s="9" t="s">
        <v>34</v>
      </c>
      <c r="V4" s="12" t="s">
        <v>35</v>
      </c>
    </row>
    <row r="5" spans="1:25" s="15" customFormat="1" x14ac:dyDescent="0.2">
      <c r="D5" s="15" t="s">
        <v>303</v>
      </c>
      <c r="E5" s="20" t="s">
        <v>117</v>
      </c>
      <c r="F5" s="15">
        <v>900</v>
      </c>
      <c r="G5" s="6">
        <v>0.15</v>
      </c>
      <c r="H5" s="15">
        <v>0.44</v>
      </c>
      <c r="I5" s="15">
        <f>H5/G5</f>
        <v>2.9333333333333336</v>
      </c>
      <c r="K5" s="37">
        <v>0.254</v>
      </c>
      <c r="L5" s="28">
        <v>1.2699999999999999E-2</v>
      </c>
      <c r="M5" s="29">
        <v>0</v>
      </c>
      <c r="N5" s="15">
        <f t="shared" ref="N5" si="0">M5*3.66</f>
        <v>0</v>
      </c>
      <c r="O5" s="8">
        <f t="shared" ref="O5" si="1">K5*G5*F5</f>
        <v>34.29</v>
      </c>
      <c r="P5" s="8">
        <f t="shared" ref="P5" si="2">F5*G5*L5</f>
        <v>1.7144999999999999</v>
      </c>
      <c r="Q5" s="8">
        <f t="shared" ref="Q5" si="3">F5*G5*N5</f>
        <v>0</v>
      </c>
      <c r="U5" s="9"/>
    </row>
    <row r="6" spans="1:25" s="17" customFormat="1" ht="17" thickBot="1" x14ac:dyDescent="0.25">
      <c r="A6" s="17" t="s">
        <v>302</v>
      </c>
      <c r="B6" s="17" t="s">
        <v>301</v>
      </c>
      <c r="G6" s="22"/>
      <c r="O6" s="26">
        <f>SUM(O5:O5)</f>
        <v>34.29</v>
      </c>
      <c r="P6" s="26">
        <f>SUM(P5:P5)</f>
        <v>1.7144999999999999</v>
      </c>
      <c r="Q6" s="26">
        <f>SUM(Q5:Q5)</f>
        <v>0</v>
      </c>
      <c r="S6" s="17" t="s">
        <v>136</v>
      </c>
      <c r="U6" s="24"/>
      <c r="V6" s="17" t="s">
        <v>36</v>
      </c>
      <c r="W6" s="17" t="s">
        <v>312</v>
      </c>
    </row>
    <row r="7" spans="1:25" ht="17" thickTop="1" x14ac:dyDescent="0.2"/>
    <row r="8" spans="1:25" s="10" customFormat="1" x14ac:dyDescent="0.2">
      <c r="D8" s="10" t="s">
        <v>2</v>
      </c>
      <c r="E8" s="10" t="s">
        <v>3</v>
      </c>
      <c r="F8" s="10" t="s">
        <v>4</v>
      </c>
      <c r="G8" s="21" t="s">
        <v>5</v>
      </c>
      <c r="H8" s="10" t="s">
        <v>6</v>
      </c>
      <c r="I8" s="10" t="s">
        <v>7</v>
      </c>
      <c r="J8" s="10" t="s">
        <v>8</v>
      </c>
      <c r="K8" s="11" t="s">
        <v>9</v>
      </c>
      <c r="L8" s="11" t="s">
        <v>10</v>
      </c>
      <c r="M8" s="11" t="s">
        <v>11</v>
      </c>
      <c r="N8" s="11" t="s">
        <v>12</v>
      </c>
      <c r="O8" s="25" t="s">
        <v>13</v>
      </c>
      <c r="P8" s="25" t="s">
        <v>14</v>
      </c>
      <c r="Q8" s="25" t="s">
        <v>15</v>
      </c>
      <c r="R8" s="11" t="s">
        <v>16</v>
      </c>
      <c r="S8" s="10" t="s">
        <v>17</v>
      </c>
      <c r="T8" s="10" t="s">
        <v>18</v>
      </c>
      <c r="U8" s="23" t="s">
        <v>19</v>
      </c>
      <c r="V8" s="10" t="s">
        <v>20</v>
      </c>
      <c r="W8" s="10" t="s">
        <v>21</v>
      </c>
      <c r="X8" s="10" t="s">
        <v>22</v>
      </c>
      <c r="Y8" s="10" t="s">
        <v>23</v>
      </c>
    </row>
    <row r="9" spans="1:25" s="12" customFormat="1" x14ac:dyDescent="0.2">
      <c r="F9" s="12" t="s">
        <v>24</v>
      </c>
      <c r="G9" s="6" t="s">
        <v>25</v>
      </c>
      <c r="H9" s="12" t="s">
        <v>26</v>
      </c>
      <c r="I9" s="12" t="s">
        <v>27</v>
      </c>
      <c r="K9" s="12" t="s">
        <v>28</v>
      </c>
      <c r="L9" s="12" t="s">
        <v>28</v>
      </c>
      <c r="M9" s="13" t="s">
        <v>29</v>
      </c>
      <c r="N9" s="13" t="s">
        <v>30</v>
      </c>
      <c r="O9" s="8" t="s">
        <v>31</v>
      </c>
      <c r="P9" s="8" t="s">
        <v>31</v>
      </c>
      <c r="Q9" s="8" t="s">
        <v>32</v>
      </c>
      <c r="R9" s="13" t="s">
        <v>31</v>
      </c>
      <c r="S9" s="12" t="s">
        <v>33</v>
      </c>
      <c r="T9" s="12" t="s">
        <v>33</v>
      </c>
      <c r="U9" s="9" t="s">
        <v>34</v>
      </c>
      <c r="V9" s="12" t="s">
        <v>35</v>
      </c>
    </row>
    <row r="10" spans="1:25" s="15" customFormat="1" x14ac:dyDescent="0.2">
      <c r="D10" s="15" t="s">
        <v>328</v>
      </c>
      <c r="E10" s="35" t="s">
        <v>304</v>
      </c>
      <c r="F10" s="15">
        <v>2000</v>
      </c>
      <c r="G10" s="6">
        <v>0.15</v>
      </c>
      <c r="H10" s="15">
        <v>0.8</v>
      </c>
      <c r="I10" s="15">
        <f>H10/G10</f>
        <v>5.3333333333333339</v>
      </c>
      <c r="K10" s="27">
        <v>1.83E-2</v>
      </c>
      <c r="L10" s="28">
        <v>1.15E-3</v>
      </c>
      <c r="M10" s="29">
        <v>0</v>
      </c>
      <c r="N10" s="15">
        <f t="shared" ref="N10" si="4">M10*3.66</f>
        <v>0</v>
      </c>
      <c r="O10" s="8">
        <f t="shared" ref="O10" si="5">K10*G10*F10</f>
        <v>5.49</v>
      </c>
      <c r="P10" s="8">
        <f t="shared" ref="P10" si="6">F10*G10*L10</f>
        <v>0.34499999999999997</v>
      </c>
      <c r="Q10" s="8">
        <f t="shared" ref="Q10" si="7">F10*G10*N10</f>
        <v>0</v>
      </c>
      <c r="U10" s="9"/>
    </row>
    <row r="11" spans="1:25" s="17" customFormat="1" ht="17" thickBot="1" x14ac:dyDescent="0.25">
      <c r="A11" s="17" t="s">
        <v>327</v>
      </c>
      <c r="B11" s="17" t="s">
        <v>301</v>
      </c>
      <c r="G11" s="22"/>
      <c r="O11" s="26">
        <f>SUM(O10:O10)</f>
        <v>5.49</v>
      </c>
      <c r="P11" s="26">
        <f>SUM(P10:P10)</f>
        <v>0.34499999999999997</v>
      </c>
      <c r="Q11" s="26">
        <f>SUM(Q10:Q10)</f>
        <v>0</v>
      </c>
      <c r="S11" s="17" t="s">
        <v>136</v>
      </c>
      <c r="U11" s="24"/>
      <c r="V11" s="17" t="s">
        <v>36</v>
      </c>
      <c r="W11" s="17" t="s">
        <v>313</v>
      </c>
    </row>
    <row r="12" spans="1:25" ht="17" thickTop="1" x14ac:dyDescent="0.2"/>
    <row r="13" spans="1:25" s="10" customFormat="1" x14ac:dyDescent="0.2">
      <c r="D13" s="10" t="s">
        <v>2</v>
      </c>
      <c r="E13" s="10" t="s">
        <v>3</v>
      </c>
      <c r="F13" s="10" t="s">
        <v>4</v>
      </c>
      <c r="G13" s="21" t="s">
        <v>5</v>
      </c>
      <c r="H13" s="10" t="s">
        <v>6</v>
      </c>
      <c r="I13" s="10" t="s">
        <v>7</v>
      </c>
      <c r="J13" s="10" t="s">
        <v>8</v>
      </c>
      <c r="K13" s="11" t="s">
        <v>9</v>
      </c>
      <c r="L13" s="11" t="s">
        <v>10</v>
      </c>
      <c r="M13" s="11" t="s">
        <v>11</v>
      </c>
      <c r="N13" s="11" t="s">
        <v>12</v>
      </c>
      <c r="O13" s="25" t="s">
        <v>13</v>
      </c>
      <c r="P13" s="25" t="s">
        <v>14</v>
      </c>
      <c r="Q13" s="25" t="s">
        <v>15</v>
      </c>
      <c r="R13" s="11" t="s">
        <v>16</v>
      </c>
      <c r="S13" s="10" t="s">
        <v>17</v>
      </c>
      <c r="T13" s="10" t="s">
        <v>18</v>
      </c>
      <c r="U13" s="23" t="s">
        <v>19</v>
      </c>
      <c r="V13" s="10" t="s">
        <v>20</v>
      </c>
      <c r="W13" s="10" t="s">
        <v>21</v>
      </c>
      <c r="X13" s="10" t="s">
        <v>22</v>
      </c>
      <c r="Y13" s="10" t="s">
        <v>23</v>
      </c>
    </row>
    <row r="14" spans="1:25" s="12" customFormat="1" x14ac:dyDescent="0.2">
      <c r="F14" s="12" t="s">
        <v>24</v>
      </c>
      <c r="G14" s="6" t="s">
        <v>25</v>
      </c>
      <c r="H14" s="12" t="s">
        <v>26</v>
      </c>
      <c r="I14" s="12" t="s">
        <v>27</v>
      </c>
      <c r="K14" s="12" t="s">
        <v>28</v>
      </c>
      <c r="L14" s="12" t="s">
        <v>28</v>
      </c>
      <c r="M14" s="13" t="s">
        <v>29</v>
      </c>
      <c r="N14" s="13" t="s">
        <v>30</v>
      </c>
      <c r="O14" s="8" t="s">
        <v>31</v>
      </c>
      <c r="P14" s="8" t="s">
        <v>31</v>
      </c>
      <c r="Q14" s="8" t="s">
        <v>32</v>
      </c>
      <c r="R14" s="13" t="s">
        <v>31</v>
      </c>
      <c r="S14" s="12" t="s">
        <v>33</v>
      </c>
      <c r="T14" s="12" t="s">
        <v>33</v>
      </c>
      <c r="U14" s="9" t="s">
        <v>34</v>
      </c>
      <c r="V14" s="12" t="s">
        <v>35</v>
      </c>
    </row>
    <row r="15" spans="1:25" s="15" customFormat="1" x14ac:dyDescent="0.2">
      <c r="D15" s="15" t="s">
        <v>202</v>
      </c>
      <c r="E15" s="20" t="s">
        <v>203</v>
      </c>
      <c r="F15" s="36">
        <v>1200</v>
      </c>
      <c r="G15" s="6">
        <v>0.01</v>
      </c>
      <c r="H15" s="15">
        <v>0.32</v>
      </c>
      <c r="I15" s="15">
        <f t="shared" ref="I15" si="8">H15/G15</f>
        <v>32</v>
      </c>
      <c r="K15" s="37">
        <v>0.53300000000000003</v>
      </c>
      <c r="L15" s="42">
        <v>1.8599999999999998E-2</v>
      </c>
      <c r="M15" s="29">
        <v>4.4900000000000002E-2</v>
      </c>
      <c r="N15" s="15">
        <f t="shared" ref="N15:N16" si="9">M15*3.66</f>
        <v>0.16433400000000001</v>
      </c>
      <c r="O15" s="8">
        <f t="shared" ref="O15:O16" si="10">K15*G15*F15</f>
        <v>6.3960000000000008</v>
      </c>
      <c r="P15" s="8">
        <f t="shared" ref="P15:P16" si="11">F15*G15*L15</f>
        <v>0.22319999999999998</v>
      </c>
      <c r="Q15" s="8">
        <f t="shared" ref="Q15:Q16" si="12">F15*G15*N15</f>
        <v>1.9720080000000002</v>
      </c>
      <c r="U15" s="9"/>
    </row>
    <row r="16" spans="1:25" s="15" customFormat="1" x14ac:dyDescent="0.2">
      <c r="D16" s="15" t="s">
        <v>163</v>
      </c>
      <c r="E16" s="20" t="s">
        <v>162</v>
      </c>
      <c r="F16" s="15">
        <v>605</v>
      </c>
      <c r="G16" s="6">
        <v>1.2500000000000001E-2</v>
      </c>
      <c r="H16" s="15">
        <v>0.12</v>
      </c>
      <c r="I16" s="15">
        <f>H16/G16</f>
        <v>9.6</v>
      </c>
      <c r="K16" s="37">
        <v>0.48299999999999998</v>
      </c>
      <c r="L16" s="45">
        <v>7.9799999999999996E-2</v>
      </c>
      <c r="M16" s="29">
        <v>0.44400000000000001</v>
      </c>
      <c r="N16" s="15">
        <f t="shared" si="9"/>
        <v>1.62504</v>
      </c>
      <c r="O16" s="8">
        <f t="shared" si="10"/>
        <v>3.6526875000000003</v>
      </c>
      <c r="P16" s="8">
        <f t="shared" si="11"/>
        <v>0.60348749999999995</v>
      </c>
      <c r="Q16" s="8">
        <f t="shared" si="12"/>
        <v>12.289365</v>
      </c>
      <c r="U16" s="9"/>
      <c r="X16" s="15" t="s">
        <v>310</v>
      </c>
    </row>
    <row r="17" spans="1:25" s="15" customFormat="1" x14ac:dyDescent="0.2">
      <c r="D17" s="15" t="s">
        <v>306</v>
      </c>
      <c r="E17" s="20" t="s">
        <v>158</v>
      </c>
      <c r="F17" s="15">
        <v>465</v>
      </c>
      <c r="G17" s="6">
        <f>0.03*0.05*(1/0.65)</f>
        <v>2.3076923076923075E-3</v>
      </c>
      <c r="I17" s="15">
        <f>10^100</f>
        <v>1E+100</v>
      </c>
      <c r="K17" s="37">
        <v>0.13400000000000001</v>
      </c>
      <c r="L17" s="42">
        <v>3.9E-2</v>
      </c>
      <c r="M17" s="29">
        <v>0.45100000000000001</v>
      </c>
      <c r="N17" s="15">
        <f>M17*3.66</f>
        <v>1.65066</v>
      </c>
      <c r="O17" s="8">
        <f>K17*G17*F17</f>
        <v>0.14379230769230769</v>
      </c>
      <c r="P17" s="8">
        <f>F17*G17*L17</f>
        <v>4.1849999999999998E-2</v>
      </c>
      <c r="Q17" s="8">
        <f>F17*G17*N17</f>
        <v>1.7712851538461538</v>
      </c>
      <c r="U17" s="9"/>
      <c r="X17" s="15" t="s">
        <v>309</v>
      </c>
    </row>
    <row r="18" spans="1:25" s="15" customFormat="1" x14ac:dyDescent="0.2">
      <c r="D18" s="15" t="s">
        <v>307</v>
      </c>
      <c r="E18" s="20" t="s">
        <v>158</v>
      </c>
      <c r="F18" s="15">
        <v>465</v>
      </c>
      <c r="G18" s="6">
        <v>6.4200000000000004E-3</v>
      </c>
      <c r="I18" s="15">
        <f>10^100</f>
        <v>1E+100</v>
      </c>
      <c r="K18" s="37">
        <v>0.13400000000000001</v>
      </c>
      <c r="L18" s="42">
        <v>3.9E-2</v>
      </c>
      <c r="M18" s="29">
        <v>0.45100000000000001</v>
      </c>
      <c r="N18" s="15">
        <f>M18*3.66</f>
        <v>1.65066</v>
      </c>
      <c r="O18" s="8">
        <f>K18*G18*F18</f>
        <v>0.4000302</v>
      </c>
      <c r="P18" s="8">
        <f>F18*G18*L18</f>
        <v>0.11642670000000001</v>
      </c>
      <c r="Q18" s="8">
        <f t="shared" ref="Q18:Q21" si="13">F18*G18*N18</f>
        <v>4.9277152979999999</v>
      </c>
      <c r="U18" s="9"/>
    </row>
    <row r="19" spans="1:25" s="15" customFormat="1" x14ac:dyDescent="0.2">
      <c r="D19" s="15" t="s">
        <v>311</v>
      </c>
      <c r="E19" s="20" t="s">
        <v>144</v>
      </c>
      <c r="F19" s="15">
        <v>40</v>
      </c>
      <c r="G19" s="6">
        <v>0.04</v>
      </c>
      <c r="H19" s="15">
        <v>0.04</v>
      </c>
      <c r="I19" s="15">
        <f>H19/G19</f>
        <v>1</v>
      </c>
      <c r="K19" s="37">
        <v>1.04</v>
      </c>
      <c r="L19" s="42">
        <v>5.9200000000000003E-2</v>
      </c>
      <c r="M19" s="29">
        <v>0</v>
      </c>
      <c r="N19" s="15">
        <f>M19*3.66</f>
        <v>0</v>
      </c>
      <c r="O19" s="8">
        <f>K19*G19*F19</f>
        <v>1.6640000000000001</v>
      </c>
      <c r="P19" s="8">
        <f>F19*G19*L19</f>
        <v>9.4720000000000013E-2</v>
      </c>
      <c r="Q19" s="8">
        <f>F19*G19*N19</f>
        <v>0</v>
      </c>
      <c r="U19" s="9"/>
    </row>
    <row r="20" spans="1:25" s="15" customFormat="1" x14ac:dyDescent="0.2">
      <c r="D20" s="15" t="s">
        <v>163</v>
      </c>
      <c r="E20" s="20" t="s">
        <v>162</v>
      </c>
      <c r="F20" s="15">
        <v>605</v>
      </c>
      <c r="G20" s="6">
        <v>1.2500000000000001E-2</v>
      </c>
      <c r="H20" s="15">
        <v>0.12</v>
      </c>
      <c r="I20" s="15">
        <f>H20/G20</f>
        <v>9.6</v>
      </c>
      <c r="K20" s="37">
        <v>0.48299999999999998</v>
      </c>
      <c r="L20" s="45">
        <v>7.9799999999999996E-2</v>
      </c>
      <c r="M20" s="29">
        <v>0.44400000000000001</v>
      </c>
      <c r="N20" s="15">
        <f t="shared" ref="N20:N21" si="14">M20*3.66</f>
        <v>1.62504</v>
      </c>
      <c r="O20" s="8">
        <f t="shared" ref="O20:O21" si="15">K20*G20*F20</f>
        <v>3.6526875000000003</v>
      </c>
      <c r="P20" s="8">
        <f t="shared" ref="P20:P21" si="16">F20*G20*L20</f>
        <v>0.60348749999999995</v>
      </c>
      <c r="Q20" s="8">
        <f t="shared" si="13"/>
        <v>12.289365</v>
      </c>
      <c r="U20" s="9"/>
      <c r="X20" s="15" t="s">
        <v>310</v>
      </c>
    </row>
    <row r="21" spans="1:25" s="15" customFormat="1" x14ac:dyDescent="0.2">
      <c r="D21" s="15" t="s">
        <v>202</v>
      </c>
      <c r="E21" s="20" t="s">
        <v>203</v>
      </c>
      <c r="F21" s="36">
        <v>1200</v>
      </c>
      <c r="G21" s="6">
        <v>0.01</v>
      </c>
      <c r="H21" s="15">
        <v>0.32</v>
      </c>
      <c r="I21" s="15">
        <f t="shared" ref="I21" si="17">H21/G21</f>
        <v>32</v>
      </c>
      <c r="K21" s="37">
        <v>0.53300000000000003</v>
      </c>
      <c r="L21" s="42">
        <v>1.8599999999999998E-2</v>
      </c>
      <c r="M21" s="29">
        <v>4.4900000000000002E-2</v>
      </c>
      <c r="N21" s="15">
        <f t="shared" si="14"/>
        <v>0.16433400000000001</v>
      </c>
      <c r="O21" s="8">
        <f t="shared" si="15"/>
        <v>6.3960000000000008</v>
      </c>
      <c r="P21" s="8">
        <f t="shared" si="16"/>
        <v>0.22319999999999998</v>
      </c>
      <c r="Q21" s="8">
        <f t="shared" si="13"/>
        <v>1.9720080000000002</v>
      </c>
      <c r="U21" s="9"/>
    </row>
    <row r="22" spans="1:25" s="17" customFormat="1" ht="17" thickBot="1" x14ac:dyDescent="0.25">
      <c r="A22" s="17" t="s">
        <v>326</v>
      </c>
      <c r="B22" s="17" t="s">
        <v>301</v>
      </c>
      <c r="G22" s="22"/>
      <c r="O22" s="26">
        <f>SUM(O15:O21)</f>
        <v>22.305197507692313</v>
      </c>
      <c r="P22" s="26">
        <f t="shared" ref="P22:Q22" si="18">SUM(P15:P21)</f>
        <v>1.9063717</v>
      </c>
      <c r="Q22" s="26">
        <f t="shared" si="18"/>
        <v>35.221746451846158</v>
      </c>
      <c r="S22" s="17" t="s">
        <v>136</v>
      </c>
      <c r="T22" s="17">
        <v>80</v>
      </c>
      <c r="U22" s="24"/>
      <c r="V22" s="17" t="s">
        <v>36</v>
      </c>
      <c r="W22" s="17" t="s">
        <v>305</v>
      </c>
      <c r="Y22" s="17" t="s">
        <v>76</v>
      </c>
    </row>
    <row r="23" spans="1:25" ht="17" thickTop="1" x14ac:dyDescent="0.2"/>
  </sheetData>
  <conditionalFormatting sqref="K5:M5">
    <cfRule type="cellIs" dxfId="119" priority="100" operator="between">
      <formula>0.00000001</formula>
      <formula>1</formula>
    </cfRule>
    <cfRule type="cellIs" dxfId="118" priority="99" operator="between">
      <formula>1</formula>
      <formula>10</formula>
    </cfRule>
    <cfRule type="cellIs" dxfId="117" priority="98" operator="between">
      <formula>10</formula>
      <formula>100</formula>
    </cfRule>
    <cfRule type="cellIs" dxfId="116" priority="97" operator="greaterThan">
      <formula>100</formula>
    </cfRule>
    <cfRule type="cellIs" dxfId="115" priority="96" operator="equal">
      <formula>0</formula>
    </cfRule>
  </conditionalFormatting>
  <conditionalFormatting sqref="K10:M10">
    <cfRule type="cellIs" dxfId="114" priority="81" operator="equal">
      <formula>0</formula>
    </cfRule>
    <cfRule type="cellIs" dxfId="113" priority="82" operator="greaterThan">
      <formula>100</formula>
    </cfRule>
    <cfRule type="cellIs" dxfId="112" priority="83" operator="between">
      <formula>10</formula>
      <formula>100</formula>
    </cfRule>
    <cfRule type="cellIs" dxfId="111" priority="84" operator="between">
      <formula>1</formula>
      <formula>10</formula>
    </cfRule>
    <cfRule type="cellIs" dxfId="110" priority="85" operator="between">
      <formula>0.00000001</formula>
      <formula>1</formula>
    </cfRule>
  </conditionalFormatting>
  <conditionalFormatting sqref="K15:M21">
    <cfRule type="cellIs" dxfId="109" priority="1" operator="equal">
      <formula>0</formula>
    </cfRule>
    <cfRule type="cellIs" dxfId="108" priority="2" operator="greaterThan">
      <formula>100</formula>
    </cfRule>
    <cfRule type="cellIs" dxfId="107" priority="3" operator="between">
      <formula>10</formula>
      <formula>100</formula>
    </cfRule>
    <cfRule type="cellIs" dxfId="106" priority="4" operator="between">
      <formula>1</formula>
      <formula>10</formula>
    </cfRule>
    <cfRule type="cellIs" dxfId="105" priority="5" operator="between">
      <formula>0.00000001</formula>
      <formula>1</formula>
    </cfRule>
  </conditionalFormatting>
  <conditionalFormatting sqref="Q5">
    <cfRule type="cellIs" dxfId="104" priority="105" operator="between">
      <formula>0.00000001</formula>
      <formula>1</formula>
    </cfRule>
    <cfRule type="cellIs" dxfId="103" priority="101" operator="equal">
      <formula>0</formula>
    </cfRule>
    <cfRule type="cellIs" dxfId="102" priority="102" operator="greaterThan">
      <formula>100</formula>
    </cfRule>
    <cfRule type="cellIs" dxfId="101" priority="103" operator="between">
      <formula>10</formula>
      <formula>100</formula>
    </cfRule>
    <cfRule type="cellIs" dxfId="100" priority="104" operator="between">
      <formula>1</formula>
      <formula>10</formula>
    </cfRule>
  </conditionalFormatting>
  <conditionalFormatting sqref="Q10">
    <cfRule type="cellIs" dxfId="99" priority="92" operator="greaterThan">
      <formula>100</formula>
    </cfRule>
    <cfRule type="cellIs" dxfId="98" priority="93" operator="between">
      <formula>10</formula>
      <formula>100</formula>
    </cfRule>
    <cfRule type="cellIs" dxfId="97" priority="94" operator="between">
      <formula>1</formula>
      <formula>10</formula>
    </cfRule>
    <cfRule type="cellIs" dxfId="96" priority="95" operator="between">
      <formula>0.00000001</formula>
      <formula>1</formula>
    </cfRule>
    <cfRule type="cellIs" dxfId="95" priority="91" operator="equal">
      <formula>0</formula>
    </cfRule>
  </conditionalFormatting>
  <conditionalFormatting sqref="Q15:Q21">
    <cfRule type="cellIs" dxfId="94" priority="10" operator="between">
      <formula>0.00000001</formula>
      <formula>1</formula>
    </cfRule>
    <cfRule type="cellIs" dxfId="93" priority="9" operator="between">
      <formula>1</formula>
      <formula>10</formula>
    </cfRule>
    <cfRule type="cellIs" dxfId="92" priority="8" operator="between">
      <formula>10</formula>
      <formula>100</formula>
    </cfRule>
    <cfRule type="cellIs" dxfId="91" priority="7" operator="greaterThan">
      <formula>100</formula>
    </cfRule>
    <cfRule type="cellIs" dxfId="90" priority="6" operator="equal">
      <formula>0</formula>
    </cfRule>
  </conditionalFormatting>
  <pageMargins left="0.7" right="0.7" top="0.78740157499999996" bottom="0.78740157499999996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B892-3711-1547-8BD1-A865025BDEBC}">
  <dimension ref="A1:Y63"/>
  <sheetViews>
    <sheetView topLeftCell="A64" zoomScale="75" workbookViewId="0">
      <selection activeCell="B62" sqref="B62"/>
    </sheetView>
  </sheetViews>
  <sheetFormatPr baseColWidth="10" defaultRowHeight="16" x14ac:dyDescent="0.2"/>
  <cols>
    <col min="1" max="1" width="42.83203125" customWidth="1"/>
    <col min="4" max="4" width="29.5" customWidth="1"/>
  </cols>
  <sheetData>
    <row r="1" spans="1:25" s="1" customFormat="1" x14ac:dyDescent="0.2">
      <c r="A1" s="1" t="s">
        <v>0</v>
      </c>
      <c r="B1" s="1" t="s">
        <v>51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52</v>
      </c>
      <c r="J1" s="1" t="s">
        <v>53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4" t="s">
        <v>54</v>
      </c>
      <c r="R1" s="3" t="s">
        <v>16</v>
      </c>
      <c r="S1" s="1" t="s">
        <v>17</v>
      </c>
      <c r="T1" s="1" t="s">
        <v>55</v>
      </c>
      <c r="U1" s="5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ht="27" x14ac:dyDescent="0.35">
      <c r="B2" s="57" t="s">
        <v>324</v>
      </c>
    </row>
    <row r="3" spans="1:25" s="10" customFormat="1" x14ac:dyDescent="0.2">
      <c r="D3" s="10" t="s">
        <v>2</v>
      </c>
      <c r="E3" s="10" t="s">
        <v>3</v>
      </c>
      <c r="F3" s="10" t="s">
        <v>4</v>
      </c>
      <c r="G3" s="21" t="s">
        <v>5</v>
      </c>
      <c r="H3" s="10" t="s">
        <v>6</v>
      </c>
      <c r="I3" s="10" t="s">
        <v>7</v>
      </c>
      <c r="J3" s="10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25" t="s">
        <v>13</v>
      </c>
      <c r="P3" s="25" t="s">
        <v>14</v>
      </c>
      <c r="Q3" s="25" t="s">
        <v>15</v>
      </c>
      <c r="R3" s="11" t="s">
        <v>16</v>
      </c>
      <c r="S3" s="10" t="s">
        <v>17</v>
      </c>
      <c r="T3" s="10" t="s">
        <v>18</v>
      </c>
      <c r="U3" s="23" t="s">
        <v>19</v>
      </c>
      <c r="V3" s="10" t="s">
        <v>20</v>
      </c>
      <c r="W3" s="10" t="s">
        <v>21</v>
      </c>
      <c r="X3" s="10" t="s">
        <v>22</v>
      </c>
      <c r="Y3" s="10" t="s">
        <v>23</v>
      </c>
    </row>
    <row r="4" spans="1:25" s="12" customFormat="1" x14ac:dyDescent="0.2">
      <c r="F4" s="12" t="s">
        <v>24</v>
      </c>
      <c r="G4" s="6" t="s">
        <v>25</v>
      </c>
      <c r="H4" s="12" t="s">
        <v>26</v>
      </c>
      <c r="I4" s="12" t="s">
        <v>27</v>
      </c>
      <c r="K4" s="12" t="s">
        <v>28</v>
      </c>
      <c r="L4" s="12" t="s">
        <v>28</v>
      </c>
      <c r="M4" s="13" t="s">
        <v>29</v>
      </c>
      <c r="N4" s="13" t="s">
        <v>30</v>
      </c>
      <c r="O4" s="8" t="s">
        <v>31</v>
      </c>
      <c r="P4" s="8" t="s">
        <v>31</v>
      </c>
      <c r="Q4" s="8" t="s">
        <v>32</v>
      </c>
      <c r="R4" s="13" t="s">
        <v>31</v>
      </c>
      <c r="S4" s="12" t="s">
        <v>33</v>
      </c>
      <c r="T4" s="12" t="s">
        <v>33</v>
      </c>
      <c r="U4" s="9" t="s">
        <v>34</v>
      </c>
      <c r="V4" s="12" t="s">
        <v>35</v>
      </c>
    </row>
    <row r="5" spans="1:25" s="15" customFormat="1" x14ac:dyDescent="0.2">
      <c r="D5" s="15" t="s">
        <v>191</v>
      </c>
      <c r="E5" s="20" t="s">
        <v>192</v>
      </c>
      <c r="F5" s="15">
        <v>1100</v>
      </c>
      <c r="G5" s="6">
        <v>3.0000000000000001E-3</v>
      </c>
      <c r="I5" s="15">
        <f>10^100</f>
        <v>1E+100</v>
      </c>
      <c r="K5" s="27">
        <v>1.31</v>
      </c>
      <c r="L5" s="19">
        <v>2.33</v>
      </c>
      <c r="M5" s="29">
        <v>0</v>
      </c>
      <c r="N5" s="15">
        <f>M5*3.66</f>
        <v>0</v>
      </c>
      <c r="O5" s="8">
        <f>K5*G5*F5</f>
        <v>4.3230000000000004</v>
      </c>
      <c r="P5" s="8">
        <f>F5*G5*L5</f>
        <v>7.6890000000000009</v>
      </c>
      <c r="Q5" s="8">
        <f>F5*G5*N5</f>
        <v>0</v>
      </c>
      <c r="U5" s="9"/>
    </row>
    <row r="6" spans="1:25" s="15" customFormat="1" x14ac:dyDescent="0.2">
      <c r="D6" s="15" t="s">
        <v>124</v>
      </c>
      <c r="E6" s="44" t="s">
        <v>123</v>
      </c>
      <c r="F6" s="15">
        <v>2300</v>
      </c>
      <c r="G6" s="6">
        <v>0.18</v>
      </c>
      <c r="H6" s="15">
        <v>2.2999999999999998</v>
      </c>
      <c r="I6" s="15">
        <f>H6/G6</f>
        <v>12.777777777777777</v>
      </c>
      <c r="K6" s="43">
        <v>8.8700000000000001E-2</v>
      </c>
      <c r="L6" s="42">
        <v>1.26E-2</v>
      </c>
      <c r="M6" s="29">
        <v>0</v>
      </c>
      <c r="N6" s="15">
        <f>M6*3.66</f>
        <v>0</v>
      </c>
      <c r="O6" s="8">
        <f>K6*G6*F6</f>
        <v>36.721800000000002</v>
      </c>
      <c r="P6" s="8">
        <f>F6*G6*L6</f>
        <v>5.2164000000000001</v>
      </c>
      <c r="Q6" s="8">
        <f>F6*G6*N6</f>
        <v>0</v>
      </c>
      <c r="U6" s="9"/>
    </row>
    <row r="7" spans="1:25" s="15" customFormat="1" x14ac:dyDescent="0.2">
      <c r="D7" s="15" t="s">
        <v>125</v>
      </c>
      <c r="E7" s="35" t="s">
        <v>126</v>
      </c>
      <c r="F7" s="15">
        <v>80</v>
      </c>
      <c r="G7" s="6">
        <v>0.18</v>
      </c>
      <c r="K7" s="45">
        <v>0.77300000000000002</v>
      </c>
      <c r="L7" s="46">
        <v>1.2200000000000001E-2</v>
      </c>
      <c r="M7" s="29">
        <v>0</v>
      </c>
      <c r="N7" s="15">
        <f>M7*3.66</f>
        <v>0</v>
      </c>
      <c r="O7" s="8">
        <f>K7*G7*F7</f>
        <v>11.1312</v>
      </c>
      <c r="P7" s="8">
        <f>F7*G7*L7</f>
        <v>0.17568</v>
      </c>
      <c r="Q7" s="8">
        <f>F7*G7*N7</f>
        <v>0</v>
      </c>
      <c r="U7" s="9"/>
      <c r="X7" s="15" t="s">
        <v>190</v>
      </c>
    </row>
    <row r="8" spans="1:25" s="17" customFormat="1" ht="17" thickBot="1" x14ac:dyDescent="0.25">
      <c r="A8" s="17" t="s">
        <v>188</v>
      </c>
      <c r="B8" s="17" t="s">
        <v>272</v>
      </c>
      <c r="G8" s="22"/>
      <c r="I8" s="17" cm="1">
        <f t="array" ref="I8">1/SUM(1/I5:I6)</f>
        <v>12.777777777777777</v>
      </c>
      <c r="O8" s="26">
        <f>SUM(O5:O7)</f>
        <v>52.176000000000002</v>
      </c>
      <c r="P8" s="26">
        <f>SUM(P5:P7)</f>
        <v>13.08108</v>
      </c>
      <c r="Q8" s="26">
        <f>SUM(Q5:Q7)</f>
        <v>0</v>
      </c>
      <c r="S8" s="17" t="s">
        <v>136</v>
      </c>
      <c r="U8" s="24"/>
      <c r="V8" s="17" t="s">
        <v>36</v>
      </c>
      <c r="W8" s="17" t="s">
        <v>189</v>
      </c>
      <c r="X8" s="17" t="s">
        <v>237</v>
      </c>
    </row>
    <row r="9" spans="1:25" ht="17" thickTop="1" x14ac:dyDescent="0.2"/>
    <row r="10" spans="1:25" s="10" customFormat="1" x14ac:dyDescent="0.2">
      <c r="D10" s="10" t="s">
        <v>2</v>
      </c>
      <c r="E10" s="10" t="s">
        <v>3</v>
      </c>
      <c r="F10" s="10" t="s">
        <v>4</v>
      </c>
      <c r="G10" s="21" t="s">
        <v>5</v>
      </c>
      <c r="H10" s="10" t="s">
        <v>6</v>
      </c>
      <c r="I10" s="10" t="s">
        <v>7</v>
      </c>
      <c r="J10" s="10" t="s">
        <v>8</v>
      </c>
      <c r="K10" s="11" t="s">
        <v>9</v>
      </c>
      <c r="L10" s="11" t="s">
        <v>10</v>
      </c>
      <c r="M10" s="11" t="s">
        <v>11</v>
      </c>
      <c r="N10" s="11" t="s">
        <v>12</v>
      </c>
      <c r="O10" s="25" t="s">
        <v>13</v>
      </c>
      <c r="P10" s="25" t="s">
        <v>14</v>
      </c>
      <c r="Q10" s="25" t="s">
        <v>15</v>
      </c>
      <c r="R10" s="11" t="s">
        <v>16</v>
      </c>
      <c r="S10" s="10" t="s">
        <v>17</v>
      </c>
      <c r="T10" s="10" t="s">
        <v>18</v>
      </c>
      <c r="U10" s="23" t="s">
        <v>19</v>
      </c>
      <c r="V10" s="10" t="s">
        <v>20</v>
      </c>
      <c r="W10" s="10" t="s">
        <v>21</v>
      </c>
      <c r="X10" s="10" t="s">
        <v>22</v>
      </c>
      <c r="Y10" s="10" t="s">
        <v>23</v>
      </c>
    </row>
    <row r="11" spans="1:25" s="12" customFormat="1" x14ac:dyDescent="0.2">
      <c r="F11" s="12" t="s">
        <v>24</v>
      </c>
      <c r="G11" s="6" t="s">
        <v>25</v>
      </c>
      <c r="H11" s="12" t="s">
        <v>26</v>
      </c>
      <c r="I11" s="12" t="s">
        <v>27</v>
      </c>
      <c r="K11" s="12" t="s">
        <v>28</v>
      </c>
      <c r="L11" s="12" t="s">
        <v>28</v>
      </c>
      <c r="M11" s="13" t="s">
        <v>29</v>
      </c>
      <c r="N11" s="13" t="s">
        <v>30</v>
      </c>
      <c r="O11" s="8" t="s">
        <v>31</v>
      </c>
      <c r="P11" s="8" t="s">
        <v>31</v>
      </c>
      <c r="Q11" s="8" t="s">
        <v>32</v>
      </c>
      <c r="R11" s="13" t="s">
        <v>31</v>
      </c>
      <c r="S11" s="12" t="s">
        <v>33</v>
      </c>
      <c r="T11" s="12" t="s">
        <v>33</v>
      </c>
      <c r="U11" s="9" t="s">
        <v>34</v>
      </c>
      <c r="V11" s="12" t="s">
        <v>35</v>
      </c>
    </row>
    <row r="12" spans="1:25" s="15" customFormat="1" x14ac:dyDescent="0.2">
      <c r="D12" s="15" t="s">
        <v>191</v>
      </c>
      <c r="E12" s="20" t="s">
        <v>192</v>
      </c>
      <c r="F12" s="15">
        <v>1100</v>
      </c>
      <c r="G12" s="6">
        <v>3.0000000000000001E-3</v>
      </c>
      <c r="I12" s="15">
        <f>10^100</f>
        <v>1E+100</v>
      </c>
      <c r="K12" s="27">
        <v>1.31</v>
      </c>
      <c r="L12" s="19">
        <v>2.33</v>
      </c>
      <c r="M12" s="29">
        <v>0</v>
      </c>
      <c r="N12" s="15">
        <f>M12*3.66</f>
        <v>0</v>
      </c>
      <c r="O12" s="8">
        <f>K12*G12*F12</f>
        <v>4.3230000000000004</v>
      </c>
      <c r="P12" s="8">
        <f>F12*G12*L12</f>
        <v>7.6890000000000009</v>
      </c>
      <c r="Q12" s="8">
        <f>F12*G12*N12</f>
        <v>0</v>
      </c>
      <c r="U12" s="9"/>
    </row>
    <row r="13" spans="1:25" s="15" customFormat="1" x14ac:dyDescent="0.2">
      <c r="D13" s="15" t="s">
        <v>130</v>
      </c>
      <c r="E13" s="44" t="s">
        <v>133</v>
      </c>
      <c r="F13" s="15">
        <v>2210</v>
      </c>
      <c r="G13" s="6">
        <v>0.18</v>
      </c>
      <c r="H13" s="15">
        <v>2.2999999999999998</v>
      </c>
      <c r="I13" s="15">
        <f>H13/G13</f>
        <v>12.777777777777777</v>
      </c>
      <c r="K13" s="43">
        <v>4.7E-2</v>
      </c>
      <c r="L13" s="42">
        <v>1.26E-2</v>
      </c>
      <c r="M13" s="29">
        <v>0</v>
      </c>
      <c r="N13" s="15">
        <f t="shared" ref="N13" si="0">M13*3.66</f>
        <v>0</v>
      </c>
      <c r="O13" s="8">
        <f t="shared" ref="O13" si="1">K13*G13*F13</f>
        <v>18.6966</v>
      </c>
      <c r="P13" s="8">
        <f t="shared" ref="P13" si="2">F13*G13*L13</f>
        <v>5.0122800000000005</v>
      </c>
      <c r="Q13" s="8">
        <f t="shared" ref="Q13" si="3">F13*G13*N13</f>
        <v>0</v>
      </c>
      <c r="U13" s="9"/>
    </row>
    <row r="14" spans="1:25" s="15" customFormat="1" x14ac:dyDescent="0.2">
      <c r="D14" s="15" t="s">
        <v>125</v>
      </c>
      <c r="E14" s="35" t="s">
        <v>126</v>
      </c>
      <c r="F14" s="15">
        <v>80</v>
      </c>
      <c r="G14" s="6">
        <v>0.18</v>
      </c>
      <c r="K14" s="45">
        <v>0.77300000000000002</v>
      </c>
      <c r="L14" s="46">
        <v>1.2200000000000001E-2</v>
      </c>
      <c r="M14" s="29">
        <v>0</v>
      </c>
      <c r="N14" s="15">
        <f>M14*3.66</f>
        <v>0</v>
      </c>
      <c r="O14" s="8">
        <f>K14*G14*F14</f>
        <v>11.1312</v>
      </c>
      <c r="P14" s="8">
        <f>F14*G14*L14</f>
        <v>0.17568</v>
      </c>
      <c r="Q14" s="8">
        <f>F14*G14*N14</f>
        <v>0</v>
      </c>
      <c r="U14" s="9"/>
      <c r="X14" s="15" t="s">
        <v>190</v>
      </c>
    </row>
    <row r="15" spans="1:25" s="17" customFormat="1" ht="17" thickBot="1" x14ac:dyDescent="0.25">
      <c r="A15" s="17" t="s">
        <v>243</v>
      </c>
      <c r="B15" s="17" t="s">
        <v>272</v>
      </c>
      <c r="G15" s="22"/>
      <c r="I15" s="17" cm="1">
        <f t="array" ref="I15">1/SUM(1/I12:I13)</f>
        <v>12.777777777777777</v>
      </c>
      <c r="O15" s="26">
        <f>SUM(O12:O14)</f>
        <v>34.150800000000004</v>
      </c>
      <c r="P15" s="26">
        <f>SUM(P12:P14)</f>
        <v>12.87696</v>
      </c>
      <c r="Q15" s="26">
        <f>SUM(Q12:Q14)</f>
        <v>0</v>
      </c>
      <c r="S15" s="17" t="s">
        <v>136</v>
      </c>
      <c r="U15" s="24"/>
      <c r="V15" s="17" t="s">
        <v>36</v>
      </c>
      <c r="W15" s="17" t="s">
        <v>189</v>
      </c>
      <c r="X15" s="17" t="s">
        <v>237</v>
      </c>
    </row>
    <row r="16" spans="1:25" ht="17" thickTop="1" x14ac:dyDescent="0.2"/>
    <row r="17" spans="1:25" s="10" customFormat="1" x14ac:dyDescent="0.2">
      <c r="D17" s="10" t="s">
        <v>2</v>
      </c>
      <c r="E17" s="10" t="s">
        <v>3</v>
      </c>
      <c r="F17" s="10" t="s">
        <v>4</v>
      </c>
      <c r="G17" s="21" t="s">
        <v>5</v>
      </c>
      <c r="H17" s="10" t="s">
        <v>6</v>
      </c>
      <c r="I17" s="10" t="s">
        <v>7</v>
      </c>
      <c r="J17" s="10" t="s">
        <v>8</v>
      </c>
      <c r="K17" s="11" t="s">
        <v>9</v>
      </c>
      <c r="L17" s="11" t="s">
        <v>10</v>
      </c>
      <c r="M17" s="11" t="s">
        <v>11</v>
      </c>
      <c r="N17" s="11" t="s">
        <v>12</v>
      </c>
      <c r="O17" s="25" t="s">
        <v>13</v>
      </c>
      <c r="P17" s="25" t="s">
        <v>14</v>
      </c>
      <c r="Q17" s="25" t="s">
        <v>15</v>
      </c>
      <c r="R17" s="11" t="s">
        <v>16</v>
      </c>
      <c r="S17" s="10" t="s">
        <v>17</v>
      </c>
      <c r="T17" s="10" t="s">
        <v>18</v>
      </c>
      <c r="U17" s="23" t="s">
        <v>19</v>
      </c>
      <c r="V17" s="10" t="s">
        <v>20</v>
      </c>
      <c r="W17" s="10" t="s">
        <v>21</v>
      </c>
      <c r="X17" s="10" t="s">
        <v>22</v>
      </c>
      <c r="Y17" s="10" t="s">
        <v>23</v>
      </c>
    </row>
    <row r="18" spans="1:25" s="12" customFormat="1" x14ac:dyDescent="0.2">
      <c r="F18" s="12" t="s">
        <v>24</v>
      </c>
      <c r="G18" s="6" t="s">
        <v>25</v>
      </c>
      <c r="H18" s="12" t="s">
        <v>26</v>
      </c>
      <c r="I18" s="12" t="s">
        <v>27</v>
      </c>
      <c r="K18" s="12" t="s">
        <v>28</v>
      </c>
      <c r="L18" s="12" t="s">
        <v>28</v>
      </c>
      <c r="M18" s="13" t="s">
        <v>29</v>
      </c>
      <c r="N18" s="13" t="s">
        <v>30</v>
      </c>
      <c r="O18" s="8" t="s">
        <v>31</v>
      </c>
      <c r="P18" s="8" t="s">
        <v>31</v>
      </c>
      <c r="Q18" s="8" t="s">
        <v>32</v>
      </c>
      <c r="R18" s="13" t="s">
        <v>31</v>
      </c>
      <c r="S18" s="12" t="s">
        <v>33</v>
      </c>
      <c r="T18" s="12" t="s">
        <v>33</v>
      </c>
      <c r="U18" s="9" t="s">
        <v>34</v>
      </c>
      <c r="V18" s="12" t="s">
        <v>35</v>
      </c>
    </row>
    <row r="19" spans="1:25" s="15" customFormat="1" x14ac:dyDescent="0.2">
      <c r="D19" s="15" t="s">
        <v>240</v>
      </c>
      <c r="E19" s="39">
        <v>7.0090000000000003</v>
      </c>
      <c r="F19" s="15">
        <v>485</v>
      </c>
      <c r="G19" s="6">
        <v>2.7E-2</v>
      </c>
      <c r="I19" s="15">
        <f>10^100</f>
        <v>1E+100</v>
      </c>
      <c r="K19" s="43">
        <v>9.0399999999999994E-2</v>
      </c>
      <c r="L19" s="28">
        <v>3.9E-2</v>
      </c>
      <c r="M19" s="29">
        <v>0.41299999999999998</v>
      </c>
      <c r="N19" s="15">
        <f t="shared" ref="N19" si="4">M19*3.66</f>
        <v>1.5115799999999999</v>
      </c>
      <c r="O19" s="8">
        <f>K19*G19*F19</f>
        <v>1.1837880000000001</v>
      </c>
      <c r="P19" s="8">
        <f t="shared" ref="P19" si="5">F19*G19*L19</f>
        <v>0.51070500000000008</v>
      </c>
      <c r="Q19" s="8">
        <f t="shared" ref="Q19" si="6">F19*G19*N19</f>
        <v>19.7941401</v>
      </c>
      <c r="U19" s="9"/>
      <c r="X19" s="15" t="s">
        <v>107</v>
      </c>
    </row>
    <row r="20" spans="1:25" s="15" customFormat="1" x14ac:dyDescent="0.2">
      <c r="D20" s="15" t="s">
        <v>241</v>
      </c>
      <c r="E20" s="39">
        <v>7.0090000000000003</v>
      </c>
      <c r="F20" s="15">
        <v>485</v>
      </c>
      <c r="G20" s="6">
        <f>0.08*0.06*(1/0.685)</f>
        <v>7.0072992700729924E-3</v>
      </c>
      <c r="I20" s="15">
        <f>10^100</f>
        <v>1E+100</v>
      </c>
      <c r="K20" s="43">
        <v>9.0399999999999994E-2</v>
      </c>
      <c r="L20" s="28">
        <v>3.9E-2</v>
      </c>
      <c r="M20" s="29">
        <v>0.41299999999999998</v>
      </c>
      <c r="N20" s="15">
        <f t="shared" ref="N20:N21" si="7">M20*3.66</f>
        <v>1.5115799999999999</v>
      </c>
      <c r="O20" s="8">
        <f t="shared" ref="O20:O21" si="8">K20*G20*F20</f>
        <v>0.30722802919708025</v>
      </c>
      <c r="P20" s="8">
        <f t="shared" ref="P20:P21" si="9">F20*G20*L20</f>
        <v>0.13254306569343063</v>
      </c>
      <c r="Q20" s="8">
        <f t="shared" ref="Q20:Q23" si="10">F20*G20*N20</f>
        <v>5.1371653138686124</v>
      </c>
      <c r="U20" s="9"/>
      <c r="X20" s="15" t="s">
        <v>107</v>
      </c>
    </row>
    <row r="21" spans="1:25" s="15" customFormat="1" x14ac:dyDescent="0.2">
      <c r="D21" s="15" t="s">
        <v>193</v>
      </c>
      <c r="E21" s="20" t="s">
        <v>196</v>
      </c>
      <c r="F21" s="15">
        <v>1000</v>
      </c>
      <c r="G21" s="6">
        <v>3.2000000000000002E-3</v>
      </c>
      <c r="I21" s="15">
        <f>10^100</f>
        <v>1E+100</v>
      </c>
      <c r="K21" s="27">
        <v>2.52</v>
      </c>
      <c r="L21" s="19">
        <v>2.67</v>
      </c>
      <c r="M21" s="29">
        <v>0</v>
      </c>
      <c r="N21" s="15">
        <f t="shared" si="7"/>
        <v>0</v>
      </c>
      <c r="O21" s="8">
        <f t="shared" si="8"/>
        <v>8.0640000000000001</v>
      </c>
      <c r="P21" s="8">
        <f t="shared" si="9"/>
        <v>8.5440000000000005</v>
      </c>
      <c r="Q21" s="8">
        <f t="shared" si="10"/>
        <v>0</v>
      </c>
      <c r="U21" s="9"/>
      <c r="X21" s="15" t="s">
        <v>269</v>
      </c>
    </row>
    <row r="22" spans="1:25" s="15" customFormat="1" x14ac:dyDescent="0.2">
      <c r="D22" s="15" t="s">
        <v>239</v>
      </c>
      <c r="E22" s="20">
        <v>10.009</v>
      </c>
      <c r="F22" s="15">
        <v>148</v>
      </c>
      <c r="G22" s="6">
        <v>1.2E-2</v>
      </c>
      <c r="H22" s="15">
        <v>0.15</v>
      </c>
      <c r="I22" s="15">
        <f>H22/G22</f>
        <v>12.5</v>
      </c>
      <c r="K22" s="37">
        <v>0.63300000000000001</v>
      </c>
      <c r="L22" s="42">
        <v>9.2100000000000001E-2</v>
      </c>
      <c r="M22" s="42">
        <v>0.436</v>
      </c>
      <c r="N22" s="15">
        <f>M22*3.66</f>
        <v>1.5957600000000001</v>
      </c>
      <c r="O22" s="8">
        <f>K22*G22*F22</f>
        <v>1.1242080000000001</v>
      </c>
      <c r="P22" s="8">
        <f>F22*G22*L22</f>
        <v>0.16356960000000001</v>
      </c>
      <c r="Q22" s="8">
        <f t="shared" si="10"/>
        <v>2.8340697600000002</v>
      </c>
      <c r="U22" s="9"/>
    </row>
    <row r="23" spans="1:25" s="15" customFormat="1" x14ac:dyDescent="0.2">
      <c r="D23" s="15" t="s">
        <v>238</v>
      </c>
      <c r="E23" s="20" t="s">
        <v>158</v>
      </c>
      <c r="F23" s="15">
        <v>465</v>
      </c>
      <c r="G23" s="6">
        <v>5.2499999999999998E-2</v>
      </c>
      <c r="I23" s="15">
        <f>10^100</f>
        <v>1E+100</v>
      </c>
      <c r="K23" s="37">
        <v>0.13400000000000001</v>
      </c>
      <c r="L23" s="42">
        <v>3.9E-2</v>
      </c>
      <c r="M23" s="29">
        <v>0.45100000000000001</v>
      </c>
      <c r="N23" s="15">
        <f>M23*3.66</f>
        <v>1.65066</v>
      </c>
      <c r="O23" s="8">
        <f>K23*G23*F23</f>
        <v>3.2712750000000002</v>
      </c>
      <c r="P23" s="8">
        <f>F23*G23*L23</f>
        <v>0.95208749999999986</v>
      </c>
      <c r="Q23" s="8">
        <f t="shared" si="10"/>
        <v>40.29673725</v>
      </c>
      <c r="U23" s="9"/>
    </row>
    <row r="24" spans="1:25" s="15" customFormat="1" x14ac:dyDescent="0.2">
      <c r="D24" s="15" t="s">
        <v>164</v>
      </c>
      <c r="E24" s="20" t="s">
        <v>165</v>
      </c>
      <c r="F24" s="15">
        <v>920</v>
      </c>
      <c r="G24" s="6">
        <v>1.3999999999999999E-4</v>
      </c>
      <c r="I24" s="15">
        <f>10^100</f>
        <v>1E+100</v>
      </c>
      <c r="K24" s="27">
        <v>2.75</v>
      </c>
      <c r="L24" s="19">
        <v>2.67</v>
      </c>
      <c r="M24" s="29">
        <v>0</v>
      </c>
      <c r="N24" s="15">
        <f>M24*3.66</f>
        <v>0</v>
      </c>
      <c r="O24" s="8">
        <f>K24*G24*F24</f>
        <v>0.35419999999999996</v>
      </c>
      <c r="P24" s="8">
        <f>F24*G24*L24</f>
        <v>0.34389599999999998</v>
      </c>
      <c r="Q24" s="8">
        <f>F24*G24*N24</f>
        <v>0</v>
      </c>
      <c r="U24" s="9"/>
    </row>
    <row r="25" spans="1:25" s="15" customFormat="1" x14ac:dyDescent="0.2">
      <c r="D25" s="15" t="s">
        <v>204</v>
      </c>
      <c r="E25" s="20" t="s">
        <v>161</v>
      </c>
      <c r="F25" s="15">
        <v>453</v>
      </c>
      <c r="G25" s="6">
        <v>2.1000000000000001E-2</v>
      </c>
      <c r="H25" s="15">
        <v>0.21</v>
      </c>
      <c r="I25" s="15">
        <f>H25/G25</f>
        <v>9.9999999999999982</v>
      </c>
      <c r="K25" s="45">
        <v>0.41399999999999998</v>
      </c>
      <c r="L25" s="45">
        <v>5.5300000000000002E-2</v>
      </c>
      <c r="M25" s="29">
        <v>0.433</v>
      </c>
      <c r="N25" s="15">
        <f>M25*3.66</f>
        <v>1.5847800000000001</v>
      </c>
      <c r="O25" s="8">
        <f>K25*G25*F25</f>
        <v>3.9383820000000003</v>
      </c>
      <c r="P25" s="8">
        <f>F25*G25*L25</f>
        <v>0.52606890000000006</v>
      </c>
      <c r="Q25" s="8">
        <f>F25*G25*N25</f>
        <v>15.076012140000001</v>
      </c>
      <c r="U25" s="9"/>
    </row>
    <row r="26" spans="1:25" s="17" customFormat="1" ht="17" thickBot="1" x14ac:dyDescent="0.25">
      <c r="A26" s="17" t="s">
        <v>236</v>
      </c>
      <c r="B26" s="17" t="s">
        <v>272</v>
      </c>
      <c r="G26" s="22"/>
      <c r="I26" s="17" cm="1">
        <f t="array" ref="I26">1/SUM(1/I19:I25)</f>
        <v>5.5555555555555545</v>
      </c>
      <c r="O26" s="26">
        <f>SUM(O19:O25)</f>
        <v>18.243081029197079</v>
      </c>
      <c r="P26" s="26">
        <f t="shared" ref="P26:Q26" si="11">SUM(P19:P25)</f>
        <v>11.172870065693433</v>
      </c>
      <c r="Q26" s="26">
        <f t="shared" si="11"/>
        <v>83.138124563868615</v>
      </c>
      <c r="S26" s="17" t="s">
        <v>136</v>
      </c>
      <c r="T26" s="17">
        <v>80</v>
      </c>
      <c r="U26" s="24"/>
      <c r="V26" s="17" t="s">
        <v>36</v>
      </c>
      <c r="W26" s="17" t="s">
        <v>242</v>
      </c>
      <c r="Y26" s="17" t="s">
        <v>210</v>
      </c>
    </row>
    <row r="27" spans="1:25" ht="17" thickTop="1" x14ac:dyDescent="0.2"/>
    <row r="30" spans="1:25" ht="27" x14ac:dyDescent="0.35">
      <c r="B30" s="61" t="s">
        <v>325</v>
      </c>
    </row>
    <row r="31" spans="1:25" s="10" customFormat="1" x14ac:dyDescent="0.2">
      <c r="D31" s="10" t="s">
        <v>2</v>
      </c>
      <c r="E31" s="10" t="s">
        <v>3</v>
      </c>
      <c r="F31" s="10" t="s">
        <v>4</v>
      </c>
      <c r="G31" s="21" t="s">
        <v>5</v>
      </c>
      <c r="H31" s="10" t="s">
        <v>6</v>
      </c>
      <c r="I31" s="10" t="s">
        <v>7</v>
      </c>
      <c r="J31" s="10" t="s">
        <v>8</v>
      </c>
      <c r="K31" s="11" t="s">
        <v>9</v>
      </c>
      <c r="L31" s="11" t="s">
        <v>10</v>
      </c>
      <c r="M31" s="11" t="s">
        <v>11</v>
      </c>
      <c r="N31" s="11" t="s">
        <v>12</v>
      </c>
      <c r="O31" s="25" t="s">
        <v>13</v>
      </c>
      <c r="P31" s="25" t="s">
        <v>14</v>
      </c>
      <c r="Q31" s="25" t="s">
        <v>15</v>
      </c>
      <c r="R31" s="11" t="s">
        <v>16</v>
      </c>
      <c r="S31" s="10" t="s">
        <v>17</v>
      </c>
      <c r="T31" s="10" t="s">
        <v>18</v>
      </c>
      <c r="U31" s="23" t="s">
        <v>19</v>
      </c>
      <c r="V31" s="10" t="s">
        <v>20</v>
      </c>
      <c r="W31" s="10" t="s">
        <v>21</v>
      </c>
      <c r="X31" s="10" t="s">
        <v>22</v>
      </c>
      <c r="Y31" s="10" t="s">
        <v>23</v>
      </c>
    </row>
    <row r="32" spans="1:25" s="12" customFormat="1" x14ac:dyDescent="0.2">
      <c r="F32" s="12" t="s">
        <v>24</v>
      </c>
      <c r="G32" s="6" t="s">
        <v>25</v>
      </c>
      <c r="H32" s="12" t="s">
        <v>26</v>
      </c>
      <c r="I32" s="12" t="s">
        <v>27</v>
      </c>
      <c r="K32" s="12" t="s">
        <v>28</v>
      </c>
      <c r="L32" s="12" t="s">
        <v>28</v>
      </c>
      <c r="M32" s="13" t="s">
        <v>29</v>
      </c>
      <c r="N32" s="13" t="s">
        <v>30</v>
      </c>
      <c r="O32" s="8" t="s">
        <v>31</v>
      </c>
      <c r="P32" s="8" t="s">
        <v>31</v>
      </c>
      <c r="Q32" s="8" t="s">
        <v>32</v>
      </c>
      <c r="R32" s="13" t="s">
        <v>31</v>
      </c>
      <c r="S32" s="12" t="s">
        <v>33</v>
      </c>
      <c r="T32" s="12" t="s">
        <v>33</v>
      </c>
      <c r="U32" s="9" t="s">
        <v>34</v>
      </c>
      <c r="V32" s="12" t="s">
        <v>35</v>
      </c>
    </row>
    <row r="33" spans="1:25" s="15" customFormat="1" x14ac:dyDescent="0.2">
      <c r="D33" s="15" t="s">
        <v>195</v>
      </c>
      <c r="E33" s="20" t="s">
        <v>198</v>
      </c>
      <c r="F33" s="15">
        <v>2000</v>
      </c>
      <c r="G33" s="6">
        <v>0.04</v>
      </c>
      <c r="H33" s="15">
        <v>2</v>
      </c>
      <c r="I33" s="15">
        <f t="shared" ref="I33:I34" si="12">H33/G33</f>
        <v>50</v>
      </c>
      <c r="K33" s="50">
        <v>5.0000000000000001E-3</v>
      </c>
      <c r="L33" s="28">
        <v>1.26E-2</v>
      </c>
      <c r="M33" s="29">
        <v>0</v>
      </c>
      <c r="N33" s="15">
        <f t="shared" ref="N33:N36" si="13">M33*3.66</f>
        <v>0</v>
      </c>
      <c r="O33" s="8">
        <f t="shared" ref="O33:O36" si="14">K33*G33*F33</f>
        <v>0.4</v>
      </c>
      <c r="P33" s="8">
        <f t="shared" ref="P33:P36" si="15">F33*G33*L33</f>
        <v>1.008</v>
      </c>
      <c r="Q33" s="8">
        <f t="shared" ref="Q33:Q36" si="16">F33*G33*N33</f>
        <v>0</v>
      </c>
      <c r="U33" s="9"/>
    </row>
    <row r="34" spans="1:25" s="15" customFormat="1" x14ac:dyDescent="0.2">
      <c r="D34" s="15" t="s">
        <v>183</v>
      </c>
      <c r="E34" s="20" t="s">
        <v>184</v>
      </c>
      <c r="F34" s="36">
        <v>2000</v>
      </c>
      <c r="G34" s="6">
        <v>0.04</v>
      </c>
      <c r="H34" s="15">
        <v>2</v>
      </c>
      <c r="I34" s="15">
        <f t="shared" si="12"/>
        <v>50</v>
      </c>
      <c r="K34" s="50">
        <v>3.0500000000000002E-3</v>
      </c>
      <c r="L34" s="28">
        <v>1.26E-2</v>
      </c>
      <c r="M34" s="29">
        <v>0</v>
      </c>
      <c r="N34" s="15">
        <f t="shared" si="13"/>
        <v>0</v>
      </c>
      <c r="O34" s="8">
        <f t="shared" si="14"/>
        <v>0.24400000000000002</v>
      </c>
      <c r="P34" s="8">
        <f t="shared" si="15"/>
        <v>1.008</v>
      </c>
      <c r="Q34" s="8">
        <f t="shared" si="16"/>
        <v>0</v>
      </c>
      <c r="U34" s="9"/>
    </row>
    <row r="35" spans="1:25" s="15" customFormat="1" x14ac:dyDescent="0.2">
      <c r="D35" s="15" t="s">
        <v>194</v>
      </c>
      <c r="E35" s="20" t="s">
        <v>197</v>
      </c>
      <c r="F35" s="15">
        <v>920</v>
      </c>
      <c r="G35" s="6">
        <v>6.0000000000000001E-3</v>
      </c>
      <c r="I35" s="15">
        <f>10^100</f>
        <v>1E+100</v>
      </c>
      <c r="K35" s="27">
        <v>2.96</v>
      </c>
      <c r="L35" s="19">
        <v>2.67</v>
      </c>
      <c r="M35" s="29">
        <v>0</v>
      </c>
      <c r="N35" s="15">
        <f t="shared" si="13"/>
        <v>0</v>
      </c>
      <c r="O35" s="8">
        <f t="shared" si="14"/>
        <v>16.339200000000002</v>
      </c>
      <c r="P35" s="8">
        <f t="shared" si="15"/>
        <v>14.7384</v>
      </c>
      <c r="Q35" s="8">
        <f t="shared" si="16"/>
        <v>0</v>
      </c>
      <c r="U35" s="9"/>
    </row>
    <row r="36" spans="1:25" s="15" customFormat="1" x14ac:dyDescent="0.2">
      <c r="D36" s="15" t="s">
        <v>193</v>
      </c>
      <c r="E36" s="20" t="s">
        <v>196</v>
      </c>
      <c r="F36" s="15">
        <v>1000</v>
      </c>
      <c r="G36" s="6">
        <v>3.2000000000000002E-3</v>
      </c>
      <c r="I36" s="15">
        <f>10^100</f>
        <v>1E+100</v>
      </c>
      <c r="K36" s="27">
        <v>2.52</v>
      </c>
      <c r="L36" s="19">
        <v>2.67</v>
      </c>
      <c r="M36" s="29">
        <v>0</v>
      </c>
      <c r="N36" s="15">
        <f t="shared" si="13"/>
        <v>0</v>
      </c>
      <c r="O36" s="8">
        <f t="shared" si="14"/>
        <v>8.0640000000000001</v>
      </c>
      <c r="P36" s="8">
        <f t="shared" si="15"/>
        <v>8.5440000000000005</v>
      </c>
      <c r="Q36" s="8">
        <f t="shared" si="16"/>
        <v>0</v>
      </c>
      <c r="U36" s="9"/>
    </row>
    <row r="37" spans="1:25" s="17" customFormat="1" ht="17" thickBot="1" x14ac:dyDescent="0.25">
      <c r="A37" s="17" t="s">
        <v>261</v>
      </c>
      <c r="B37" s="17" t="s">
        <v>273</v>
      </c>
      <c r="I37" s="17" cm="1">
        <f t="array" ref="I37">1/SUM(1/I33:I36)</f>
        <v>25</v>
      </c>
      <c r="O37" s="17">
        <f>SUM(O33:O36)</f>
        <v>25.0472</v>
      </c>
      <c r="P37" s="17">
        <f>SUM(P33:P36)</f>
        <v>25.298400000000001</v>
      </c>
      <c r="Q37" s="17">
        <f>SUM(Q33:Q36)</f>
        <v>0</v>
      </c>
      <c r="S37" s="17">
        <v>30</v>
      </c>
      <c r="T37" s="17">
        <v>80</v>
      </c>
      <c r="V37" s="17" t="s">
        <v>36</v>
      </c>
      <c r="W37" s="17" t="s">
        <v>84</v>
      </c>
      <c r="X37" s="17" t="s">
        <v>262</v>
      </c>
    </row>
    <row r="38" spans="1:25" ht="17" thickTop="1" x14ac:dyDescent="0.2"/>
    <row r="39" spans="1:25" s="10" customFormat="1" x14ac:dyDescent="0.2">
      <c r="D39" s="10" t="s">
        <v>2</v>
      </c>
      <c r="E39" s="10" t="s">
        <v>3</v>
      </c>
      <c r="F39" s="10" t="s">
        <v>4</v>
      </c>
      <c r="G39" s="21" t="s">
        <v>5</v>
      </c>
      <c r="H39" s="10" t="s">
        <v>6</v>
      </c>
      <c r="I39" s="10" t="s">
        <v>7</v>
      </c>
      <c r="J39" s="10" t="s">
        <v>8</v>
      </c>
      <c r="K39" s="11" t="s">
        <v>9</v>
      </c>
      <c r="L39" s="11" t="s">
        <v>10</v>
      </c>
      <c r="M39" s="11" t="s">
        <v>11</v>
      </c>
      <c r="N39" s="11" t="s">
        <v>12</v>
      </c>
      <c r="O39" s="25" t="s">
        <v>13</v>
      </c>
      <c r="P39" s="25" t="s">
        <v>14</v>
      </c>
      <c r="Q39" s="25" t="s">
        <v>15</v>
      </c>
      <c r="R39" s="11" t="s">
        <v>16</v>
      </c>
      <c r="S39" s="10" t="s">
        <v>17</v>
      </c>
      <c r="T39" s="10" t="s">
        <v>18</v>
      </c>
      <c r="U39" s="23" t="s">
        <v>19</v>
      </c>
      <c r="V39" s="10" t="s">
        <v>20</v>
      </c>
      <c r="W39" s="10" t="s">
        <v>21</v>
      </c>
      <c r="X39" s="10" t="s">
        <v>22</v>
      </c>
      <c r="Y39" s="10" t="s">
        <v>23</v>
      </c>
    </row>
    <row r="40" spans="1:25" s="12" customFormat="1" x14ac:dyDescent="0.2">
      <c r="F40" s="12" t="s">
        <v>24</v>
      </c>
      <c r="G40" s="6" t="s">
        <v>25</v>
      </c>
      <c r="H40" s="12" t="s">
        <v>26</v>
      </c>
      <c r="I40" s="12" t="s">
        <v>27</v>
      </c>
      <c r="K40" s="12" t="s">
        <v>28</v>
      </c>
      <c r="L40" s="12" t="s">
        <v>28</v>
      </c>
      <c r="M40" s="13" t="s">
        <v>29</v>
      </c>
      <c r="N40" s="13" t="s">
        <v>30</v>
      </c>
      <c r="O40" s="8" t="s">
        <v>31</v>
      </c>
      <c r="P40" s="8" t="s">
        <v>31</v>
      </c>
      <c r="Q40" s="8" t="s">
        <v>32</v>
      </c>
      <c r="R40" s="13" t="s">
        <v>31</v>
      </c>
      <c r="S40" s="12" t="s">
        <v>33</v>
      </c>
      <c r="T40" s="12" t="s">
        <v>33</v>
      </c>
      <c r="U40" s="9" t="s">
        <v>34</v>
      </c>
      <c r="V40" s="12" t="s">
        <v>35</v>
      </c>
    </row>
    <row r="41" spans="1:25" s="15" customFormat="1" x14ac:dyDescent="0.2">
      <c r="D41" s="15" t="s">
        <v>195</v>
      </c>
      <c r="E41" s="20" t="s">
        <v>198</v>
      </c>
      <c r="F41" s="15">
        <v>2000</v>
      </c>
      <c r="G41" s="6">
        <v>0.04</v>
      </c>
      <c r="H41" s="15">
        <v>2</v>
      </c>
      <c r="I41" s="15">
        <f t="shared" ref="I41:I42" si="17">H41/G41</f>
        <v>50</v>
      </c>
      <c r="K41" s="50">
        <v>5.0000000000000001E-3</v>
      </c>
      <c r="L41" s="28">
        <v>1.26E-2</v>
      </c>
      <c r="M41" s="29">
        <v>0</v>
      </c>
      <c r="N41" s="15">
        <f t="shared" ref="N41:N43" si="18">M41*3.66</f>
        <v>0</v>
      </c>
      <c r="O41" s="8">
        <f t="shared" ref="O41:O43" si="19">K41*G41*F41</f>
        <v>0.4</v>
      </c>
      <c r="P41" s="8">
        <f t="shared" ref="P41:P43" si="20">F41*G41*L41</f>
        <v>1.008</v>
      </c>
      <c r="Q41" s="8">
        <f t="shared" ref="Q41:Q43" si="21">F41*G41*N41</f>
        <v>0</v>
      </c>
      <c r="U41" s="9"/>
    </row>
    <row r="42" spans="1:25" s="15" customFormat="1" x14ac:dyDescent="0.2">
      <c r="D42" s="15" t="s">
        <v>183</v>
      </c>
      <c r="E42" s="20" t="s">
        <v>184</v>
      </c>
      <c r="F42" s="36">
        <v>2000</v>
      </c>
      <c r="G42" s="6">
        <v>0.04</v>
      </c>
      <c r="H42" s="15">
        <v>2</v>
      </c>
      <c r="I42" s="15">
        <f t="shared" si="17"/>
        <v>50</v>
      </c>
      <c r="K42" s="50">
        <v>3.0500000000000002E-3</v>
      </c>
      <c r="L42" s="28">
        <v>1.26E-2</v>
      </c>
      <c r="M42" s="29">
        <v>0</v>
      </c>
      <c r="N42" s="15">
        <f t="shared" si="18"/>
        <v>0</v>
      </c>
      <c r="O42" s="8">
        <f t="shared" si="19"/>
        <v>0.24400000000000002</v>
      </c>
      <c r="P42" s="8">
        <f t="shared" si="20"/>
        <v>1.008</v>
      </c>
      <c r="Q42" s="8">
        <f t="shared" si="21"/>
        <v>0</v>
      </c>
      <c r="U42" s="9"/>
    </row>
    <row r="43" spans="1:25" s="15" customFormat="1" x14ac:dyDescent="0.2">
      <c r="D43" s="15" t="s">
        <v>194</v>
      </c>
      <c r="E43" s="20" t="s">
        <v>197</v>
      </c>
      <c r="F43" s="15">
        <v>920</v>
      </c>
      <c r="G43" s="6">
        <v>6.0000000000000001E-3</v>
      </c>
      <c r="I43" s="15">
        <f>10^100</f>
        <v>1E+100</v>
      </c>
      <c r="K43" s="27">
        <v>2.96</v>
      </c>
      <c r="L43" s="19">
        <v>2.67</v>
      </c>
      <c r="M43" s="29">
        <v>0</v>
      </c>
      <c r="N43" s="15">
        <f t="shared" si="18"/>
        <v>0</v>
      </c>
      <c r="O43" s="8">
        <f t="shared" si="19"/>
        <v>16.339200000000002</v>
      </c>
      <c r="P43" s="8">
        <f t="shared" si="20"/>
        <v>14.7384</v>
      </c>
      <c r="Q43" s="8">
        <f t="shared" si="21"/>
        <v>0</v>
      </c>
      <c r="U43" s="9"/>
    </row>
    <row r="44" spans="1:25" s="15" customFormat="1" x14ac:dyDescent="0.2">
      <c r="D44" s="15" t="s">
        <v>193</v>
      </c>
      <c r="E44" s="20" t="s">
        <v>196</v>
      </c>
      <c r="F44" s="15">
        <v>1000</v>
      </c>
      <c r="G44" s="6">
        <v>3.2000000000000002E-3</v>
      </c>
      <c r="I44" s="15">
        <f>10^100</f>
        <v>1E+100</v>
      </c>
      <c r="K44" s="27">
        <v>2.52</v>
      </c>
      <c r="L44" s="19">
        <v>2.67</v>
      </c>
      <c r="M44" s="29">
        <v>0</v>
      </c>
      <c r="N44" s="15">
        <f t="shared" ref="N44:N47" si="22">M44*3.66</f>
        <v>0</v>
      </c>
      <c r="O44" s="8">
        <f t="shared" ref="O44" si="23">K44*G44*F44</f>
        <v>8.0640000000000001</v>
      </c>
      <c r="P44" s="8">
        <f t="shared" ref="P44:P47" si="24">F44*G44*L44</f>
        <v>8.5440000000000005</v>
      </c>
      <c r="Q44" s="8">
        <f t="shared" ref="Q44:Q49" si="25">F44*G44*N44</f>
        <v>0</v>
      </c>
      <c r="U44" s="9"/>
    </row>
    <row r="45" spans="1:25" s="15" customFormat="1" x14ac:dyDescent="0.2">
      <c r="D45" s="15" t="s">
        <v>204</v>
      </c>
      <c r="E45" s="20" t="s">
        <v>161</v>
      </c>
      <c r="F45" s="15">
        <v>453</v>
      </c>
      <c r="G45" s="6">
        <v>2.7E-2</v>
      </c>
      <c r="H45" s="15">
        <v>0.21</v>
      </c>
      <c r="I45" s="15">
        <f>H45/G45</f>
        <v>7.7777777777777777</v>
      </c>
      <c r="K45" s="45">
        <v>0.41399999999999998</v>
      </c>
      <c r="L45" s="45">
        <v>5.5300000000000002E-2</v>
      </c>
      <c r="M45" s="29">
        <v>0.433</v>
      </c>
      <c r="N45" s="15">
        <f t="shared" si="22"/>
        <v>1.5847800000000001</v>
      </c>
      <c r="O45" s="8">
        <f>K45*G45*F45</f>
        <v>5.0636339999999995</v>
      </c>
      <c r="P45" s="8">
        <f t="shared" si="24"/>
        <v>0.67637429999999998</v>
      </c>
      <c r="Q45" s="8">
        <f t="shared" si="25"/>
        <v>19.383444180000001</v>
      </c>
      <c r="U45" s="9"/>
      <c r="X45" s="15" t="s">
        <v>266</v>
      </c>
    </row>
    <row r="46" spans="1:25" s="15" customFormat="1" x14ac:dyDescent="0.2">
      <c r="D46" s="15" t="s">
        <v>241</v>
      </c>
      <c r="E46" s="39">
        <v>7.0090000000000003</v>
      </c>
      <c r="F46" s="15">
        <v>485</v>
      </c>
      <c r="G46" s="6">
        <f>0.08*0.06*(1/0.685)</f>
        <v>7.0072992700729924E-3</v>
      </c>
      <c r="I46" s="15">
        <f>10^100</f>
        <v>1E+100</v>
      </c>
      <c r="K46" s="43">
        <v>9.0399999999999994E-2</v>
      </c>
      <c r="L46" s="28">
        <v>3.9E-2</v>
      </c>
      <c r="M46" s="29">
        <v>0.41299999999999998</v>
      </c>
      <c r="N46" s="15">
        <f t="shared" si="22"/>
        <v>1.5115799999999999</v>
      </c>
      <c r="O46" s="8">
        <f t="shared" ref="O46:O47" si="26">K46*G46*F46</f>
        <v>0.30722802919708025</v>
      </c>
      <c r="P46" s="8">
        <f t="shared" si="24"/>
        <v>0.13254306569343063</v>
      </c>
      <c r="Q46" s="8">
        <f t="shared" si="25"/>
        <v>5.1371653138686124</v>
      </c>
      <c r="U46" s="9"/>
      <c r="X46" s="15" t="s">
        <v>267</v>
      </c>
    </row>
    <row r="47" spans="1:25" s="15" customFormat="1" x14ac:dyDescent="0.2">
      <c r="D47" s="15" t="s">
        <v>193</v>
      </c>
      <c r="E47" s="20" t="s">
        <v>196</v>
      </c>
      <c r="F47" s="15">
        <v>1000</v>
      </c>
      <c r="G47" s="6">
        <v>3.2000000000000002E-3</v>
      </c>
      <c r="I47" s="15">
        <f>10^100</f>
        <v>1E+100</v>
      </c>
      <c r="K47" s="27">
        <v>2.52</v>
      </c>
      <c r="L47" s="19">
        <v>2.67</v>
      </c>
      <c r="M47" s="29">
        <v>0</v>
      </c>
      <c r="N47" s="15">
        <f t="shared" si="22"/>
        <v>0</v>
      </c>
      <c r="O47" s="8">
        <f t="shared" si="26"/>
        <v>8.0640000000000001</v>
      </c>
      <c r="P47" s="8">
        <f t="shared" si="24"/>
        <v>8.5440000000000005</v>
      </c>
      <c r="Q47" s="8">
        <f t="shared" si="25"/>
        <v>0</v>
      </c>
      <c r="U47" s="9"/>
      <c r="X47" s="15" t="s">
        <v>268</v>
      </c>
    </row>
    <row r="48" spans="1:25" s="15" customFormat="1" x14ac:dyDescent="0.2">
      <c r="D48" s="15" t="s">
        <v>239</v>
      </c>
      <c r="E48" s="20">
        <v>10.009</v>
      </c>
      <c r="F48" s="15">
        <v>148</v>
      </c>
      <c r="G48" s="6">
        <v>1.2E-2</v>
      </c>
      <c r="H48" s="15">
        <v>0.15</v>
      </c>
      <c r="I48" s="15">
        <f>H48/G48</f>
        <v>12.5</v>
      </c>
      <c r="K48" s="37">
        <v>0.63300000000000001</v>
      </c>
      <c r="L48" s="42">
        <v>9.2100000000000001E-2</v>
      </c>
      <c r="M48" s="42">
        <v>0.436</v>
      </c>
      <c r="N48" s="15">
        <f>M48*3.66</f>
        <v>1.5957600000000001</v>
      </c>
      <c r="O48" s="8">
        <f>K48*G48*F48</f>
        <v>1.1242080000000001</v>
      </c>
      <c r="P48" s="8">
        <f>F48*G48*L48</f>
        <v>0.16356960000000001</v>
      </c>
      <c r="Q48" s="8">
        <f t="shared" si="25"/>
        <v>2.8340697600000002</v>
      </c>
      <c r="U48" s="9"/>
    </row>
    <row r="49" spans="1:25" s="15" customFormat="1" x14ac:dyDescent="0.2">
      <c r="D49" s="15" t="s">
        <v>265</v>
      </c>
      <c r="E49" s="20" t="s">
        <v>158</v>
      </c>
      <c r="F49" s="15">
        <v>465</v>
      </c>
      <c r="G49" s="6">
        <v>1.9800000000000002E-2</v>
      </c>
      <c r="I49" s="15">
        <f>10^100</f>
        <v>1E+100</v>
      </c>
      <c r="K49" s="37">
        <v>0.13400000000000001</v>
      </c>
      <c r="L49" s="42">
        <v>3.9E-2</v>
      </c>
      <c r="M49" s="29">
        <v>0.45100000000000001</v>
      </c>
      <c r="N49" s="15">
        <f>M49*3.66</f>
        <v>1.65066</v>
      </c>
      <c r="O49" s="8">
        <f>K49*G49*F49</f>
        <v>1.2337380000000002</v>
      </c>
      <c r="P49" s="8">
        <f>F49*G49*L49</f>
        <v>0.35907300000000003</v>
      </c>
      <c r="Q49" s="8">
        <f t="shared" si="25"/>
        <v>15.197626620000001</v>
      </c>
      <c r="U49" s="9"/>
      <c r="X49" s="15" t="s">
        <v>270</v>
      </c>
    </row>
    <row r="50" spans="1:25" s="17" customFormat="1" ht="17" thickBot="1" x14ac:dyDescent="0.25">
      <c r="A50" s="17" t="s">
        <v>274</v>
      </c>
      <c r="B50" s="17" t="s">
        <v>273</v>
      </c>
      <c r="I50" s="17" cm="1">
        <f t="array" ref="I50">1/SUM(1/I41:I49)</f>
        <v>4.0229885057471257</v>
      </c>
      <c r="O50" s="17">
        <f>SUM(O41:O49)</f>
        <v>40.840008029197087</v>
      </c>
      <c r="P50" s="17">
        <f>SUM(P41:P49)</f>
        <v>35.173959965693435</v>
      </c>
      <c r="Q50" s="17">
        <f>SUM(Q41:Q49)</f>
        <v>42.552305873868612</v>
      </c>
      <c r="S50" s="17">
        <v>30</v>
      </c>
      <c r="T50" s="17">
        <v>80</v>
      </c>
      <c r="V50" s="17" t="s">
        <v>36</v>
      </c>
      <c r="W50" s="17" t="s">
        <v>264</v>
      </c>
      <c r="X50" s="17" t="s">
        <v>263</v>
      </c>
    </row>
    <row r="51" spans="1:25" ht="17" thickTop="1" x14ac:dyDescent="0.2"/>
    <row r="52" spans="1:25" s="10" customFormat="1" x14ac:dyDescent="0.2">
      <c r="D52" s="10" t="s">
        <v>2</v>
      </c>
      <c r="E52" s="10" t="s">
        <v>3</v>
      </c>
      <c r="F52" s="10" t="s">
        <v>4</v>
      </c>
      <c r="G52" s="21" t="s">
        <v>5</v>
      </c>
      <c r="H52" s="10" t="s">
        <v>6</v>
      </c>
      <c r="I52" s="10" t="s">
        <v>7</v>
      </c>
      <c r="J52" s="10" t="s">
        <v>8</v>
      </c>
      <c r="K52" s="11" t="s">
        <v>9</v>
      </c>
      <c r="L52" s="11" t="s">
        <v>10</v>
      </c>
      <c r="M52" s="11" t="s">
        <v>11</v>
      </c>
      <c r="N52" s="11" t="s">
        <v>12</v>
      </c>
      <c r="O52" s="25" t="s">
        <v>13</v>
      </c>
      <c r="P52" s="25" t="s">
        <v>14</v>
      </c>
      <c r="Q52" s="25" t="s">
        <v>15</v>
      </c>
      <c r="R52" s="11" t="s">
        <v>16</v>
      </c>
      <c r="S52" s="10" t="s">
        <v>17</v>
      </c>
      <c r="T52" s="10" t="s">
        <v>18</v>
      </c>
      <c r="U52" s="23" t="s">
        <v>19</v>
      </c>
      <c r="V52" s="10" t="s">
        <v>20</v>
      </c>
      <c r="W52" s="10" t="s">
        <v>21</v>
      </c>
      <c r="X52" s="10" t="s">
        <v>22</v>
      </c>
      <c r="Y52" s="10" t="s">
        <v>23</v>
      </c>
    </row>
    <row r="53" spans="1:25" s="12" customFormat="1" x14ac:dyDescent="0.2">
      <c r="F53" s="12" t="s">
        <v>24</v>
      </c>
      <c r="G53" s="6" t="s">
        <v>25</v>
      </c>
      <c r="H53" s="12" t="s">
        <v>26</v>
      </c>
      <c r="I53" s="12" t="s">
        <v>27</v>
      </c>
      <c r="K53" s="12" t="s">
        <v>28</v>
      </c>
      <c r="L53" s="12" t="s">
        <v>28</v>
      </c>
      <c r="M53" s="13" t="s">
        <v>29</v>
      </c>
      <c r="N53" s="13" t="s">
        <v>30</v>
      </c>
      <c r="O53" s="8" t="s">
        <v>31</v>
      </c>
      <c r="P53" s="8" t="s">
        <v>31</v>
      </c>
      <c r="Q53" s="8" t="s">
        <v>32</v>
      </c>
      <c r="R53" s="13" t="s">
        <v>31</v>
      </c>
      <c r="S53" s="12" t="s">
        <v>33</v>
      </c>
      <c r="T53" s="12" t="s">
        <v>33</v>
      </c>
      <c r="U53" s="9" t="s">
        <v>34</v>
      </c>
      <c r="V53" s="12" t="s">
        <v>35</v>
      </c>
    </row>
    <row r="54" spans="1:25" s="15" customFormat="1" x14ac:dyDescent="0.2">
      <c r="D54" s="15" t="s">
        <v>80</v>
      </c>
      <c r="E54" s="20" t="s">
        <v>82</v>
      </c>
      <c r="F54" s="15">
        <v>1800</v>
      </c>
      <c r="G54" s="6">
        <f>16/F54</f>
        <v>8.8888888888888889E-3</v>
      </c>
      <c r="H54" s="15">
        <v>0.8</v>
      </c>
      <c r="K54" s="37">
        <v>0.63600000000000001</v>
      </c>
      <c r="L54" s="42">
        <v>1.32E-2</v>
      </c>
      <c r="M54" s="29">
        <v>0</v>
      </c>
      <c r="N54" s="15">
        <f t="shared" ref="N54" si="27">M54*3.66</f>
        <v>0</v>
      </c>
      <c r="O54" s="8">
        <f t="shared" ref="O54" si="28">K54*G54*F54</f>
        <v>10.176</v>
      </c>
      <c r="P54" s="8">
        <f t="shared" ref="P54" si="29">F54*G54*L54</f>
        <v>0.2112</v>
      </c>
      <c r="Q54" s="8">
        <f t="shared" ref="Q54" si="30">F54*G54*N54</f>
        <v>0</v>
      </c>
      <c r="U54" s="9"/>
      <c r="X54" s="15" t="s">
        <v>259</v>
      </c>
    </row>
    <row r="55" spans="1:25" s="17" customFormat="1" ht="17" thickBot="1" x14ac:dyDescent="0.25">
      <c r="A55" s="17" t="s">
        <v>271</v>
      </c>
      <c r="B55" s="17" t="s">
        <v>273</v>
      </c>
      <c r="O55" s="17">
        <f>SUM(O54:O54)</f>
        <v>10.176</v>
      </c>
      <c r="P55" s="17">
        <f>SUM(P54:P54)</f>
        <v>0.2112</v>
      </c>
      <c r="Q55" s="17">
        <f>SUM(Q54:Q54)</f>
        <v>0</v>
      </c>
      <c r="S55" s="17">
        <v>30</v>
      </c>
      <c r="T55" s="17">
        <v>80</v>
      </c>
      <c r="V55" s="17" t="s">
        <v>36</v>
      </c>
      <c r="W55" s="17" t="s">
        <v>84</v>
      </c>
      <c r="X55" s="17" t="s">
        <v>262</v>
      </c>
    </row>
    <row r="56" spans="1:25" ht="17" thickTop="1" x14ac:dyDescent="0.2"/>
    <row r="58" spans="1:25" ht="27" x14ac:dyDescent="0.35">
      <c r="B58" s="61" t="s">
        <v>346</v>
      </c>
    </row>
    <row r="59" spans="1:25" s="10" customFormat="1" x14ac:dyDescent="0.2">
      <c r="D59" s="10" t="s">
        <v>2</v>
      </c>
      <c r="E59" s="10" t="s">
        <v>3</v>
      </c>
      <c r="F59" s="10" t="s">
        <v>4</v>
      </c>
      <c r="G59" s="21" t="s">
        <v>5</v>
      </c>
      <c r="H59" s="10" t="s">
        <v>6</v>
      </c>
      <c r="I59" s="10" t="s">
        <v>7</v>
      </c>
      <c r="J59" s="10" t="s">
        <v>8</v>
      </c>
      <c r="K59" s="11" t="s">
        <v>9</v>
      </c>
      <c r="L59" s="11" t="s">
        <v>10</v>
      </c>
      <c r="M59" s="11" t="s">
        <v>11</v>
      </c>
      <c r="N59" s="11" t="s">
        <v>12</v>
      </c>
      <c r="O59" s="25" t="s">
        <v>13</v>
      </c>
      <c r="P59" s="25" t="s">
        <v>14</v>
      </c>
      <c r="Q59" s="25" t="s">
        <v>15</v>
      </c>
      <c r="R59" s="11" t="s">
        <v>16</v>
      </c>
      <c r="S59" s="10" t="s">
        <v>17</v>
      </c>
      <c r="T59" s="10" t="s">
        <v>18</v>
      </c>
      <c r="U59" s="23" t="s">
        <v>19</v>
      </c>
      <c r="V59" s="10" t="s">
        <v>20</v>
      </c>
      <c r="W59" s="10" t="s">
        <v>21</v>
      </c>
      <c r="X59" s="10" t="s">
        <v>22</v>
      </c>
      <c r="Y59" s="10" t="s">
        <v>23</v>
      </c>
    </row>
    <row r="60" spans="1:25" s="12" customFormat="1" x14ac:dyDescent="0.2">
      <c r="F60" s="12" t="s">
        <v>24</v>
      </c>
      <c r="G60" s="6" t="s">
        <v>25</v>
      </c>
      <c r="H60" s="12" t="s">
        <v>26</v>
      </c>
      <c r="I60" s="12" t="s">
        <v>27</v>
      </c>
      <c r="K60" s="12" t="s">
        <v>28</v>
      </c>
      <c r="L60" s="12" t="s">
        <v>28</v>
      </c>
      <c r="M60" s="13" t="s">
        <v>29</v>
      </c>
      <c r="N60" s="13" t="s">
        <v>30</v>
      </c>
      <c r="O60" s="8" t="s">
        <v>31</v>
      </c>
      <c r="P60" s="8" t="s">
        <v>31</v>
      </c>
      <c r="Q60" s="8" t="s">
        <v>32</v>
      </c>
      <c r="R60" s="13" t="s">
        <v>31</v>
      </c>
      <c r="S60" s="12" t="s">
        <v>33</v>
      </c>
      <c r="T60" s="12" t="s">
        <v>33</v>
      </c>
      <c r="U60" s="9" t="s">
        <v>34</v>
      </c>
      <c r="V60" s="12" t="s">
        <v>35</v>
      </c>
    </row>
    <row r="61" spans="1:25" s="15" customFormat="1" x14ac:dyDescent="0.2">
      <c r="D61" s="15" t="s">
        <v>341</v>
      </c>
      <c r="E61" s="39" t="s">
        <v>342</v>
      </c>
      <c r="F61" s="15">
        <v>500</v>
      </c>
      <c r="G61" s="6">
        <v>1.6E-2</v>
      </c>
      <c r="H61" s="15">
        <v>0.12</v>
      </c>
      <c r="I61" s="15">
        <f t="shared" ref="I61" si="31">H61/G61</f>
        <v>7.5</v>
      </c>
      <c r="K61" s="43">
        <v>9.0399999999999994E-2</v>
      </c>
      <c r="L61" s="28">
        <v>3.9E-2</v>
      </c>
      <c r="M61" s="29">
        <v>0.41299999999999998</v>
      </c>
      <c r="N61" s="15">
        <f t="shared" ref="N61" si="32">M61*3.66</f>
        <v>1.5115799999999999</v>
      </c>
      <c r="O61" s="8">
        <f>F61*G61*K61</f>
        <v>0.72319999999999995</v>
      </c>
      <c r="P61" s="8">
        <f>F61*G61*L61</f>
        <v>0.312</v>
      </c>
      <c r="Q61" s="8">
        <f>F61*G61*N61</f>
        <v>12.092639999999999</v>
      </c>
      <c r="U61" s="9">
        <v>0</v>
      </c>
      <c r="W61" s="15" t="s">
        <v>343</v>
      </c>
    </row>
    <row r="62" spans="1:25" s="17" customFormat="1" ht="17" thickBot="1" x14ac:dyDescent="0.25">
      <c r="A62" s="17" t="s">
        <v>345</v>
      </c>
      <c r="B62" s="17" t="s">
        <v>331</v>
      </c>
      <c r="I62" s="17">
        <f>I61</f>
        <v>7.5</v>
      </c>
      <c r="O62" s="17">
        <f>SUM(O61:O61)</f>
        <v>0.72319999999999995</v>
      </c>
      <c r="P62" s="17">
        <f>SUM(P61:P61)</f>
        <v>0.312</v>
      </c>
      <c r="Q62" s="17">
        <f>SUM(Q61:Q61)</f>
        <v>12.092639999999999</v>
      </c>
      <c r="S62" s="17">
        <v>30</v>
      </c>
      <c r="T62" s="17">
        <v>80</v>
      </c>
      <c r="V62" s="17" t="s">
        <v>36</v>
      </c>
      <c r="W62" s="17" t="s">
        <v>344</v>
      </c>
      <c r="Y62" s="17" t="s">
        <v>76</v>
      </c>
    </row>
    <row r="63" spans="1:25" ht="17" thickTop="1" x14ac:dyDescent="0.2"/>
  </sheetData>
  <conditionalFormatting sqref="K5:M7">
    <cfRule type="cellIs" dxfId="89" priority="180" operator="between">
      <formula>0.00000001</formula>
      <formula>1</formula>
    </cfRule>
    <cfRule type="cellIs" dxfId="88" priority="179" operator="between">
      <formula>1</formula>
      <formula>10</formula>
    </cfRule>
    <cfRule type="cellIs" dxfId="87" priority="178" operator="between">
      <formula>10</formula>
      <formula>100</formula>
    </cfRule>
    <cfRule type="cellIs" dxfId="86" priority="177" operator="greaterThan">
      <formula>100</formula>
    </cfRule>
    <cfRule type="cellIs" dxfId="85" priority="176" operator="equal">
      <formula>0</formula>
    </cfRule>
  </conditionalFormatting>
  <conditionalFormatting sqref="K12:M14">
    <cfRule type="cellIs" dxfId="84" priority="116" operator="equal">
      <formula>0</formula>
    </cfRule>
    <cfRule type="cellIs" dxfId="83" priority="117" operator="greaterThan">
      <formula>100</formula>
    </cfRule>
    <cfRule type="cellIs" dxfId="82" priority="118" operator="between">
      <formula>10</formula>
      <formula>100</formula>
    </cfRule>
    <cfRule type="cellIs" dxfId="81" priority="119" operator="between">
      <formula>1</formula>
      <formula>10</formula>
    </cfRule>
    <cfRule type="cellIs" dxfId="80" priority="120" operator="between">
      <formula>0.00000001</formula>
      <formula>1</formula>
    </cfRule>
  </conditionalFormatting>
  <conditionalFormatting sqref="K19:M25">
    <cfRule type="cellIs" dxfId="79" priority="130" operator="between">
      <formula>0.00000001</formula>
      <formula>1</formula>
    </cfRule>
    <cfRule type="cellIs" dxfId="78" priority="126" operator="equal">
      <formula>0</formula>
    </cfRule>
    <cfRule type="cellIs" dxfId="77" priority="127" operator="greaterThan">
      <formula>100</formula>
    </cfRule>
    <cfRule type="cellIs" dxfId="76" priority="128" operator="between">
      <formula>10</formula>
      <formula>100</formula>
    </cfRule>
    <cfRule type="cellIs" dxfId="75" priority="129" operator="between">
      <formula>1</formula>
      <formula>10</formula>
    </cfRule>
  </conditionalFormatting>
  <conditionalFormatting sqref="K33:M36">
    <cfRule type="cellIs" dxfId="74" priority="110" operator="between">
      <formula>0.00000001</formula>
      <formula>1</formula>
    </cfRule>
    <cfRule type="cellIs" dxfId="73" priority="106" operator="equal">
      <formula>0</formula>
    </cfRule>
    <cfRule type="cellIs" dxfId="72" priority="107" operator="greaterThan">
      <formula>100</formula>
    </cfRule>
    <cfRule type="cellIs" dxfId="71" priority="108" operator="between">
      <formula>10</formula>
      <formula>100</formula>
    </cfRule>
    <cfRule type="cellIs" dxfId="70" priority="109" operator="between">
      <formula>1</formula>
      <formula>10</formula>
    </cfRule>
  </conditionalFormatting>
  <conditionalFormatting sqref="K41:M49">
    <cfRule type="cellIs" dxfId="69" priority="31" operator="equal">
      <formula>0</formula>
    </cfRule>
    <cfRule type="cellIs" dxfId="68" priority="32" operator="greaterThan">
      <formula>100</formula>
    </cfRule>
    <cfRule type="cellIs" dxfId="67" priority="33" operator="between">
      <formula>10</formula>
      <formula>100</formula>
    </cfRule>
    <cfRule type="cellIs" dxfId="66" priority="34" operator="between">
      <formula>1</formula>
      <formula>10</formula>
    </cfRule>
    <cfRule type="cellIs" dxfId="65" priority="35" operator="between">
      <formula>0.00000001</formula>
      <formula>1</formula>
    </cfRule>
  </conditionalFormatting>
  <conditionalFormatting sqref="K54:M54">
    <cfRule type="cellIs" dxfId="64" priority="15" operator="between">
      <formula>0.00000001</formula>
      <formula>1</formula>
    </cfRule>
    <cfRule type="cellIs" dxfId="63" priority="14" operator="between">
      <formula>1</formula>
      <formula>10</formula>
    </cfRule>
    <cfRule type="cellIs" dxfId="62" priority="13" operator="between">
      <formula>10</formula>
      <formula>100</formula>
    </cfRule>
    <cfRule type="cellIs" dxfId="61" priority="12" operator="greaterThan">
      <formula>100</formula>
    </cfRule>
    <cfRule type="cellIs" dxfId="60" priority="11" operator="equal">
      <formula>0</formula>
    </cfRule>
  </conditionalFormatting>
  <conditionalFormatting sqref="K61:M61">
    <cfRule type="cellIs" dxfId="59" priority="5" operator="between">
      <formula>0.00000001</formula>
      <formula>1</formula>
    </cfRule>
    <cfRule type="cellIs" dxfId="58" priority="4" operator="between">
      <formula>1</formula>
      <formula>10</formula>
    </cfRule>
    <cfRule type="cellIs" dxfId="57" priority="3" operator="between">
      <formula>10</formula>
      <formula>100</formula>
    </cfRule>
    <cfRule type="cellIs" dxfId="56" priority="2" operator="greaterThan">
      <formula>100</formula>
    </cfRule>
    <cfRule type="cellIs" dxfId="55" priority="1" operator="equal">
      <formula>0</formula>
    </cfRule>
  </conditionalFormatting>
  <conditionalFormatting sqref="Q5:Q7">
    <cfRule type="cellIs" dxfId="54" priority="185" operator="between">
      <formula>0.00000001</formula>
      <formula>1</formula>
    </cfRule>
    <cfRule type="cellIs" dxfId="53" priority="184" operator="between">
      <formula>1</formula>
      <formula>10</formula>
    </cfRule>
    <cfRule type="cellIs" dxfId="52" priority="183" operator="between">
      <formula>10</formula>
      <formula>100</formula>
    </cfRule>
    <cfRule type="cellIs" dxfId="51" priority="182" operator="greaterThan">
      <formula>100</formula>
    </cfRule>
    <cfRule type="cellIs" dxfId="50" priority="181" operator="equal">
      <formula>0</formula>
    </cfRule>
  </conditionalFormatting>
  <conditionalFormatting sqref="Q12:Q14">
    <cfRule type="cellIs" dxfId="49" priority="121" operator="equal">
      <formula>0</formula>
    </cfRule>
    <cfRule type="cellIs" dxfId="48" priority="122" operator="greaterThan">
      <formula>100</formula>
    </cfRule>
    <cfRule type="cellIs" dxfId="47" priority="123" operator="between">
      <formula>10</formula>
      <formula>100</formula>
    </cfRule>
    <cfRule type="cellIs" dxfId="46" priority="124" operator="between">
      <formula>1</formula>
      <formula>10</formula>
    </cfRule>
    <cfRule type="cellIs" dxfId="45" priority="125" operator="between">
      <formula>0.00000001</formula>
      <formula>1</formula>
    </cfRule>
  </conditionalFormatting>
  <conditionalFormatting sqref="Q19:Q25">
    <cfRule type="cellIs" dxfId="44" priority="136" operator="equal">
      <formula>0</formula>
    </cfRule>
    <cfRule type="cellIs" dxfId="43" priority="140" operator="between">
      <formula>0.00000001</formula>
      <formula>1</formula>
    </cfRule>
    <cfRule type="cellIs" dxfId="42" priority="139" operator="between">
      <formula>1</formula>
      <formula>10</formula>
    </cfRule>
    <cfRule type="cellIs" dxfId="41" priority="138" operator="between">
      <formula>10</formula>
      <formula>100</formula>
    </cfRule>
    <cfRule type="cellIs" dxfId="40" priority="137" operator="greaterThan">
      <formula>100</formula>
    </cfRule>
  </conditionalFormatting>
  <conditionalFormatting sqref="Q33:Q36">
    <cfRule type="cellIs" dxfId="39" priority="111" operator="equal">
      <formula>0</formula>
    </cfRule>
    <cfRule type="cellIs" dxfId="38" priority="112" operator="greaterThan">
      <formula>100</formula>
    </cfRule>
    <cfRule type="cellIs" dxfId="37" priority="115" operator="between">
      <formula>0.00000001</formula>
      <formula>1</formula>
    </cfRule>
    <cfRule type="cellIs" dxfId="36" priority="114" operator="between">
      <formula>1</formula>
      <formula>10</formula>
    </cfRule>
    <cfRule type="cellIs" dxfId="35" priority="113" operator="between">
      <formula>10</formula>
      <formula>100</formula>
    </cfRule>
  </conditionalFormatting>
  <conditionalFormatting sqref="Q41:Q49">
    <cfRule type="cellIs" dxfId="34" priority="46" operator="equal">
      <formula>0</formula>
    </cfRule>
    <cfRule type="cellIs" dxfId="33" priority="47" operator="greaterThan">
      <formula>100</formula>
    </cfRule>
    <cfRule type="cellIs" dxfId="32" priority="48" operator="between">
      <formula>10</formula>
      <formula>100</formula>
    </cfRule>
    <cfRule type="cellIs" dxfId="31" priority="49" operator="between">
      <formula>1</formula>
      <formula>10</formula>
    </cfRule>
    <cfRule type="cellIs" dxfId="30" priority="50" operator="between">
      <formula>0.00000001</formula>
      <formula>1</formula>
    </cfRule>
  </conditionalFormatting>
  <conditionalFormatting sqref="Q54">
    <cfRule type="cellIs" dxfId="29" priority="19" operator="between">
      <formula>1</formula>
      <formula>10</formula>
    </cfRule>
    <cfRule type="cellIs" dxfId="28" priority="18" operator="between">
      <formula>10</formula>
      <formula>100</formula>
    </cfRule>
    <cfRule type="cellIs" dxfId="27" priority="16" operator="equal">
      <formula>0</formula>
    </cfRule>
    <cfRule type="cellIs" dxfId="26" priority="20" operator="between">
      <formula>0.00000001</formula>
      <formula>1</formula>
    </cfRule>
    <cfRule type="cellIs" dxfId="25" priority="17" operator="greaterThan">
      <formula>100</formula>
    </cfRule>
  </conditionalFormatting>
  <conditionalFormatting sqref="Q61">
    <cfRule type="cellIs" dxfId="24" priority="10" operator="between">
      <formula>0.00000001</formula>
      <formula>1</formula>
    </cfRule>
    <cfRule type="cellIs" dxfId="23" priority="9" operator="between">
      <formula>1</formula>
      <formula>10</formula>
    </cfRule>
    <cfRule type="cellIs" dxfId="22" priority="8" operator="between">
      <formula>10</formula>
      <formula>100</formula>
    </cfRule>
    <cfRule type="cellIs" dxfId="21" priority="7" operator="greaterThan">
      <formula>100</formula>
    </cfRule>
    <cfRule type="cellIs" dxfId="20" priority="6" operator="equal">
      <formula>0</formula>
    </cfRule>
  </conditionalFormatting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F278-236E-6748-97DA-C44AAC9E260B}">
  <dimension ref="A1:Y1"/>
  <sheetViews>
    <sheetView workbookViewId="0">
      <selection activeCell="L25" sqref="L25"/>
    </sheetView>
  </sheetViews>
  <sheetFormatPr baseColWidth="10" defaultRowHeight="16" x14ac:dyDescent="0.2"/>
  <sheetData>
    <row r="1" spans="1:25" s="1" customFormat="1" x14ac:dyDescent="0.2">
      <c r="A1" s="1" t="s">
        <v>0</v>
      </c>
      <c r="B1" s="1" t="s">
        <v>51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52</v>
      </c>
      <c r="J1" s="1" t="s">
        <v>53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4" t="s">
        <v>54</v>
      </c>
      <c r="R1" s="3" t="s">
        <v>16</v>
      </c>
      <c r="S1" s="1" t="s">
        <v>17</v>
      </c>
      <c r="T1" s="1" t="s">
        <v>55</v>
      </c>
      <c r="U1" s="5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</sheetData>
  <pageMargins left="0.7" right="0.7" top="0.78740157499999996" bottom="0.78740157499999996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9846D-741D-1D4B-810A-5CDD609F5DB3}">
  <dimension ref="B2:F10"/>
  <sheetViews>
    <sheetView zoomScale="86" workbookViewId="0">
      <selection activeCell="E5" sqref="E5"/>
    </sheetView>
  </sheetViews>
  <sheetFormatPr baseColWidth="10" defaultRowHeight="16" x14ac:dyDescent="0.2"/>
  <cols>
    <col min="2" max="2" width="29.33203125" customWidth="1"/>
    <col min="3" max="3" width="12.1640625" bestFit="1" customWidth="1"/>
    <col min="5" max="5" width="18.5" customWidth="1"/>
  </cols>
  <sheetData>
    <row r="2" spans="2:6" x14ac:dyDescent="0.2">
      <c r="C2" t="s">
        <v>5</v>
      </c>
      <c r="D2" t="s">
        <v>151</v>
      </c>
      <c r="E2" t="s">
        <v>152</v>
      </c>
    </row>
    <row r="3" spans="2:6" x14ac:dyDescent="0.2">
      <c r="B3" t="s">
        <v>149</v>
      </c>
      <c r="C3" s="6">
        <v>24</v>
      </c>
      <c r="D3" s="6">
        <v>48</v>
      </c>
      <c r="E3" s="6">
        <v>650</v>
      </c>
    </row>
    <row r="4" spans="2:6" x14ac:dyDescent="0.2">
      <c r="B4" t="s">
        <v>150</v>
      </c>
      <c r="C4" s="6">
        <v>24</v>
      </c>
      <c r="D4" s="6">
        <v>48</v>
      </c>
      <c r="E4" s="6">
        <v>350</v>
      </c>
      <c r="F4" t="s">
        <v>308</v>
      </c>
    </row>
    <row r="6" spans="2:6" x14ac:dyDescent="0.2">
      <c r="B6" t="s">
        <v>153</v>
      </c>
      <c r="C6">
        <f>C3*D3*1000*(1/E3)/(1000^2)</f>
        <v>1.7723076923076924E-3</v>
      </c>
    </row>
    <row r="7" spans="2:6" x14ac:dyDescent="0.2">
      <c r="B7" t="s">
        <v>154</v>
      </c>
      <c r="C7">
        <f>C4*D4*1000*(1/E4)/(1000^2)</f>
        <v>3.2914285714285715E-3</v>
      </c>
    </row>
    <row r="8" spans="2:6" x14ac:dyDescent="0.2">
      <c r="B8" t="s">
        <v>155</v>
      </c>
      <c r="C8">
        <f>SUM(C6:C7)</f>
        <v>5.0637362637362638E-3</v>
      </c>
    </row>
    <row r="10" spans="2:6" x14ac:dyDescent="0.2">
      <c r="B10" s="6" t="s">
        <v>156</v>
      </c>
      <c r="C10" s="6">
        <f>C8/1</f>
        <v>5.0637362637362638E-3</v>
      </c>
      <c r="D10" t="s">
        <v>167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Explanation_and_custom_mat</vt:lpstr>
      <vt:lpstr>xps</vt:lpstr>
      <vt:lpstr>rockwool</vt:lpstr>
      <vt:lpstr>straw</vt:lpstr>
      <vt:lpstr>windows</vt:lpstr>
      <vt:lpstr>interior_finishings</vt:lpstr>
      <vt:lpstr>constructions_bg</vt:lpstr>
      <vt:lpstr>constructions_ag</vt:lpstr>
      <vt:lpstr>constructions_ag_wood</vt:lpstr>
      <vt:lpstr>partitions</vt:lpstr>
      <vt:lpstr>roof</vt:lpstr>
      <vt:lpstr>tilted_roof</vt:lpstr>
      <vt:lpstr>wood_frame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Büttiker</dc:creator>
  <cp:lastModifiedBy>Dominic Büttiker</cp:lastModifiedBy>
  <dcterms:created xsi:type="dcterms:W3CDTF">2024-06-06T09:48:00Z</dcterms:created>
  <dcterms:modified xsi:type="dcterms:W3CDTF">2024-10-17T12:49:19Z</dcterms:modified>
</cp:coreProperties>
</file>